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worksheets/sheet13.xml" ContentType="application/vnd.openxmlformats-officedocument.spreadsheetml.worksheet+xml"/>
  <Override PartName="/xl/chartsheets/sheet2.xml" ContentType="application/vnd.openxmlformats-officedocument.spreadsheetml.chartsheet+xml"/>
  <Override PartName="/xl/worksheets/sheet14.xml" ContentType="application/vnd.openxmlformats-officedocument.spreadsheetml.worksheet+xml"/>
  <Override PartName="/xl/chartsheets/sheet3.xml" ContentType="application/vnd.openxmlformats-officedocument.spreadsheetml.chart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drawings/drawing6.xml" ContentType="application/vnd.openxmlformats-officedocument.drawing+xml"/>
  <Override PartName="/xl/comments6.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7.xml" ContentType="application/vnd.openxmlformats-officedocument.drawing+xml"/>
  <Override PartName="/xl/comments7.xml" ContentType="application/vnd.openxmlformats-officedocument.spreadsheetml.comments+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8.xml" ContentType="application/vnd.openxmlformats-officedocument.drawing+xml"/>
  <Override PartName="/xl/comments8.xml" ContentType="application/vnd.openxmlformats-officedocument.spreadsheetml.comments+xml"/>
  <Override PartName="/xl/charts/chart21.xml" ContentType="application/vnd.openxmlformats-officedocument.drawingml.chart+xml"/>
  <Override PartName="/xl/charts/chart22.xml" ContentType="application/vnd.openxmlformats-officedocument.drawingml.chart+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comments9.xml" ContentType="application/vnd.openxmlformats-officedocument.spreadsheetml.comments+xml"/>
  <Override PartName="/xl/charts/chart23.xml" ContentType="application/vnd.openxmlformats-officedocument.drawingml.chart+xml"/>
  <Override PartName="/xl/charts/chart24.xml" ContentType="application/vnd.openxmlformats-officedocument.drawingml.chart+xml"/>
  <Override PartName="/xl/drawings/drawing10.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1.xml" ContentType="application/vnd.openxmlformats-officedocument.drawing+xml"/>
  <Override PartName="/xl/activeX/activeX2.xml" ContentType="application/vnd.ms-office.activeX+xml"/>
  <Override PartName="/xl/activeX/activeX2.bin" ContentType="application/vnd.ms-office.activeX"/>
  <Override PartName="/xl/comments10.xml" ContentType="application/vnd.openxmlformats-officedocument.spreadsheetml.comments+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12.xml" ContentType="application/vnd.openxmlformats-officedocument.drawing+xml"/>
  <Override PartName="/xl/activeX/activeX3.xml" ContentType="application/vnd.ms-office.activeX+xml"/>
  <Override PartName="/xl/activeX/activeX3.bin" ContentType="application/vnd.ms-office.activeX"/>
  <Override PartName="/xl/comments11.xml" ContentType="application/vnd.openxmlformats-officedocument.spreadsheetml.comments+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3.xml" ContentType="application/vnd.openxmlformats-officedocument.drawing+xml"/>
  <Override PartName="/xl/charts/chart34.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activeX/activeX4.xml" ContentType="application/vnd.ms-office.activeX+xml"/>
  <Override PartName="/xl/activeX/activeX4.bin" ContentType="application/vnd.ms-office.activeX"/>
  <Override PartName="/xl/comments12.xml" ContentType="application/vnd.openxmlformats-officedocument.spreadsheetml.comments+xml"/>
  <Override PartName="/xl/drawings/drawing16.xml" ContentType="application/vnd.openxmlformats-officedocument.drawing+xml"/>
  <Override PartName="/xl/charts/chart35.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activeX/activeX5.xml" ContentType="application/vnd.ms-office.activeX+xml"/>
  <Override PartName="/xl/activeX/activeX5.bin" ContentType="application/vnd.ms-office.activeX"/>
  <Override PartName="/xl/comments13.xml" ContentType="application/vnd.openxmlformats-officedocument.spreadsheetml.comments+xml"/>
  <Override PartName="/xl/drawings/drawing19.xml" ContentType="application/vnd.openxmlformats-officedocument.drawing+xml"/>
  <Override PartName="/xl/charts/chart36.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activeX/activeX6.xml" ContentType="application/vnd.ms-office.activeX+xml"/>
  <Override PartName="/xl/activeX/activeX6.bin" ContentType="application/vnd.ms-office.activeX"/>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240" yWindow="60" windowWidth="10860" windowHeight="6030" activeTab="3"/>
  </bookViews>
  <sheets>
    <sheet name="Logistic 2018" sheetId="273" r:id="rId1"/>
    <sheet name="Logistic 2008" sheetId="272" r:id="rId2"/>
    <sheet name="Logistic 2007" sheetId="270" r:id="rId3"/>
    <sheet name="Logistic 2006" sheetId="269" r:id="rId4"/>
    <sheet name="gsi all" sheetId="267" r:id="rId5"/>
    <sheet name="TOE1960s" sheetId="266" r:id="rId6"/>
    <sheet name="Logistic 2017" sheetId="265" r:id="rId7"/>
    <sheet name="Logistic 2016" sheetId="264" r:id="rId8"/>
    <sheet name="Logistic 2015" sheetId="263" r:id="rId9"/>
    <sheet name="model average" sheetId="262" r:id="rId10"/>
    <sheet name="Logistic2014" sheetId="261" r:id="rId11"/>
    <sheet name="Logistic2013" sheetId="260" r:id="rId12"/>
    <sheet name="Chart2012" sheetId="259" r:id="rId13"/>
    <sheet name="Logistic2012" sheetId="258" r:id="rId14"/>
    <sheet name="Chart2011" sheetId="257" r:id="rId15"/>
    <sheet name="Logistic2011" sheetId="256" r:id="rId16"/>
    <sheet name="Chart2010" sheetId="255" r:id="rId17"/>
    <sheet name="Logistic2010" sheetId="253" r:id="rId18"/>
  </sheets>
  <definedNames>
    <definedName name="solver_adj" localSheetId="4" hidden="1">'gsi all'!$G$4:$G$5</definedName>
    <definedName name="solver_adj" localSheetId="3" hidden="1">'Logistic 2006'!$G$4:$G$5</definedName>
    <definedName name="solver_adj" localSheetId="2" hidden="1">'Logistic 2007'!$G$4:$G$5</definedName>
    <definedName name="solver_adj" localSheetId="1" hidden="1">'Logistic 2008'!$G$4:$G$5</definedName>
    <definedName name="solver_adj" localSheetId="8" hidden="1">'Logistic 2015'!$G$4:$G$5</definedName>
    <definedName name="solver_adj" localSheetId="7" hidden="1">'Logistic 2016'!$G$4:$G$5</definedName>
    <definedName name="solver_adj" localSheetId="6" hidden="1">'Logistic 2017'!$G$4:$G$5</definedName>
    <definedName name="solver_adj" localSheetId="0" hidden="1">'Logistic 2018'!$G$4:$G$5</definedName>
    <definedName name="solver_adj" localSheetId="17" hidden="1">Logistic2010!$G$4:$G$5</definedName>
    <definedName name="solver_adj" localSheetId="15" hidden="1">Logistic2011!$G$4:$G$5</definedName>
    <definedName name="solver_adj" localSheetId="13" hidden="1">Logistic2012!$G$4:$G$5</definedName>
    <definedName name="solver_adj" localSheetId="11" hidden="1">Logistic2013!$G$4:$G$5</definedName>
    <definedName name="solver_adj" localSheetId="10" hidden="1">Logistic2014!$G$4:$G$5</definedName>
    <definedName name="solver_adj" localSheetId="5" hidden="1">TOE1960s!$G$4:$G$5</definedName>
    <definedName name="solver_cvg" localSheetId="4" hidden="1">0.001</definedName>
    <definedName name="solver_cvg" localSheetId="3" hidden="1">0.001</definedName>
    <definedName name="solver_cvg" localSheetId="2" hidden="1">0.001</definedName>
    <definedName name="solver_cvg" localSheetId="1" hidden="1">0.001</definedName>
    <definedName name="solver_cvg" localSheetId="8" hidden="1">0.001</definedName>
    <definedName name="solver_cvg" localSheetId="7" hidden="1">0.001</definedName>
    <definedName name="solver_cvg" localSheetId="6" hidden="1">0.001</definedName>
    <definedName name="solver_cvg" localSheetId="0" hidden="1">0.001</definedName>
    <definedName name="solver_cvg" localSheetId="17" hidden="1">0.001</definedName>
    <definedName name="solver_cvg" localSheetId="15" hidden="1">0.001</definedName>
    <definedName name="solver_cvg" localSheetId="13" hidden="1">0.001</definedName>
    <definedName name="solver_cvg" localSheetId="11" hidden="1">0.001</definedName>
    <definedName name="solver_cvg" localSheetId="10" hidden="1">0.001</definedName>
    <definedName name="solver_cvg" localSheetId="5" hidden="1">0.001</definedName>
    <definedName name="solver_drv" localSheetId="4" hidden="1">1</definedName>
    <definedName name="solver_drv" localSheetId="3" hidden="1">1</definedName>
    <definedName name="solver_drv" localSheetId="2" hidden="1">1</definedName>
    <definedName name="solver_drv" localSheetId="1" hidden="1">1</definedName>
    <definedName name="solver_drv" localSheetId="8" hidden="1">1</definedName>
    <definedName name="solver_drv" localSheetId="7" hidden="1">1</definedName>
    <definedName name="solver_drv" localSheetId="6" hidden="1">1</definedName>
    <definedName name="solver_drv" localSheetId="0" hidden="1">1</definedName>
    <definedName name="solver_drv" localSheetId="17" hidden="1">1</definedName>
    <definedName name="solver_drv" localSheetId="15" hidden="1">1</definedName>
    <definedName name="solver_drv" localSheetId="13" hidden="1">1</definedName>
    <definedName name="solver_drv" localSheetId="11" hidden="1">1</definedName>
    <definedName name="solver_drv" localSheetId="10" hidden="1">1</definedName>
    <definedName name="solver_drv" localSheetId="5" hidden="1">1</definedName>
    <definedName name="solver_est" localSheetId="4" hidden="1">1</definedName>
    <definedName name="solver_est" localSheetId="3" hidden="1">1</definedName>
    <definedName name="solver_est" localSheetId="2" hidden="1">1</definedName>
    <definedName name="solver_est" localSheetId="1" hidden="1">1</definedName>
    <definedName name="solver_est" localSheetId="8" hidden="1">1</definedName>
    <definedName name="solver_est" localSheetId="7" hidden="1">1</definedName>
    <definedName name="solver_est" localSheetId="6" hidden="1">1</definedName>
    <definedName name="solver_est" localSheetId="0" hidden="1">1</definedName>
    <definedName name="solver_est" localSheetId="17" hidden="1">1</definedName>
    <definedName name="solver_est" localSheetId="15" hidden="1">1</definedName>
    <definedName name="solver_est" localSheetId="13" hidden="1">1</definedName>
    <definedName name="solver_est" localSheetId="11" hidden="1">1</definedName>
    <definedName name="solver_est" localSheetId="10" hidden="1">1</definedName>
    <definedName name="solver_est" localSheetId="5" hidden="1">1</definedName>
    <definedName name="solver_itr" localSheetId="4" hidden="1">100</definedName>
    <definedName name="solver_itr" localSheetId="3" hidden="1">100</definedName>
    <definedName name="solver_itr" localSheetId="2" hidden="1">100</definedName>
    <definedName name="solver_itr" localSheetId="1" hidden="1">100</definedName>
    <definedName name="solver_itr" localSheetId="8" hidden="1">100</definedName>
    <definedName name="solver_itr" localSheetId="7" hidden="1">100</definedName>
    <definedName name="solver_itr" localSheetId="6" hidden="1">100</definedName>
    <definedName name="solver_itr" localSheetId="0" hidden="1">100</definedName>
    <definedName name="solver_itr" localSheetId="17" hidden="1">100</definedName>
    <definedName name="solver_itr" localSheetId="15" hidden="1">100</definedName>
    <definedName name="solver_itr" localSheetId="13" hidden="1">100</definedName>
    <definedName name="solver_itr" localSheetId="11" hidden="1">100</definedName>
    <definedName name="solver_itr" localSheetId="10" hidden="1">100</definedName>
    <definedName name="solver_itr" localSheetId="5" hidden="1">100</definedName>
    <definedName name="solver_lhs1" localSheetId="4" hidden="1">'gsi all'!$F$9:$F$32</definedName>
    <definedName name="solver_lhs1" localSheetId="3" hidden="1">'Logistic 2006'!$F$9:$F$32</definedName>
    <definedName name="solver_lhs1" localSheetId="2" hidden="1">'Logistic 2007'!$F$9:$F$32</definedName>
    <definedName name="solver_lhs1" localSheetId="1" hidden="1">'Logistic 2008'!$F$9:$F$32</definedName>
    <definedName name="solver_lhs1" localSheetId="8" hidden="1">'Logistic 2015'!$F$9:$F$32</definedName>
    <definedName name="solver_lhs1" localSheetId="7" hidden="1">'Logistic 2016'!$F$9:$F$32</definedName>
    <definedName name="solver_lhs1" localSheetId="6" hidden="1">'Logistic 2017'!$F$9:$F$32</definedName>
    <definedName name="solver_lhs1" localSheetId="0" hidden="1">'Logistic 2018'!$F$9:$F$32</definedName>
    <definedName name="solver_lhs1" localSheetId="17" hidden="1">Logistic2010!$F$9:$F$32</definedName>
    <definedName name="solver_lhs1" localSheetId="15" hidden="1">Logistic2011!$F$9:$F$32</definedName>
    <definedName name="solver_lhs1" localSheetId="13" hidden="1">Logistic2012!$F$9:$F$32</definedName>
    <definedName name="solver_lhs1" localSheetId="11" hidden="1">Logistic2013!$F$9:$F$32</definedName>
    <definedName name="solver_lhs1" localSheetId="10" hidden="1">Logistic2014!$F$9:$F$32</definedName>
    <definedName name="solver_lhs1" localSheetId="5" hidden="1">TOE1960s!$F$9:$F$32</definedName>
    <definedName name="solver_lin" localSheetId="4" hidden="1">2</definedName>
    <definedName name="solver_lin" localSheetId="3" hidden="1">2</definedName>
    <definedName name="solver_lin" localSheetId="2" hidden="1">2</definedName>
    <definedName name="solver_lin" localSheetId="1" hidden="1">2</definedName>
    <definedName name="solver_lin" localSheetId="8" hidden="1">2</definedName>
    <definedName name="solver_lin" localSheetId="7" hidden="1">2</definedName>
    <definedName name="solver_lin" localSheetId="6" hidden="1">2</definedName>
    <definedName name="solver_lin" localSheetId="0" hidden="1">2</definedName>
    <definedName name="solver_lin" localSheetId="17" hidden="1">2</definedName>
    <definedName name="solver_lin" localSheetId="15" hidden="1">2</definedName>
    <definedName name="solver_lin" localSheetId="13" hidden="1">2</definedName>
    <definedName name="solver_lin" localSheetId="11" hidden="1">2</definedName>
    <definedName name="solver_lin" localSheetId="10" hidden="1">2</definedName>
    <definedName name="solver_lin" localSheetId="5" hidden="1">2</definedName>
    <definedName name="solver_neg" localSheetId="4" hidden="1">2</definedName>
    <definedName name="solver_neg" localSheetId="3" hidden="1">2</definedName>
    <definedName name="solver_neg" localSheetId="2" hidden="1">2</definedName>
    <definedName name="solver_neg" localSheetId="1" hidden="1">2</definedName>
    <definedName name="solver_neg" localSheetId="8" hidden="1">2</definedName>
    <definedName name="solver_neg" localSheetId="7" hidden="1">2</definedName>
    <definedName name="solver_neg" localSheetId="6" hidden="1">2</definedName>
    <definedName name="solver_neg" localSheetId="0" hidden="1">2</definedName>
    <definedName name="solver_neg" localSheetId="17" hidden="1">2</definedName>
    <definedName name="solver_neg" localSheetId="15" hidden="1">2</definedName>
    <definedName name="solver_neg" localSheetId="13" hidden="1">2</definedName>
    <definedName name="solver_neg" localSheetId="11" hidden="1">2</definedName>
    <definedName name="solver_neg" localSheetId="10" hidden="1">2</definedName>
    <definedName name="solver_neg" localSheetId="5" hidden="1">2</definedName>
    <definedName name="solver_num" localSheetId="4" hidden="1">0</definedName>
    <definedName name="solver_num" localSheetId="3" hidden="1">0</definedName>
    <definedName name="solver_num" localSheetId="2" hidden="1">0</definedName>
    <definedName name="solver_num" localSheetId="1" hidden="1">0</definedName>
    <definedName name="solver_num" localSheetId="8" hidden="1">0</definedName>
    <definedName name="solver_num" localSheetId="7" hidden="1">0</definedName>
    <definedName name="solver_num" localSheetId="6" hidden="1">0</definedName>
    <definedName name="solver_num" localSheetId="0" hidden="1">0</definedName>
    <definedName name="solver_num" localSheetId="17" hidden="1">0</definedName>
    <definedName name="solver_num" localSheetId="15" hidden="1">0</definedName>
    <definedName name="solver_num" localSheetId="13" hidden="1">0</definedName>
    <definedName name="solver_num" localSheetId="11" hidden="1">0</definedName>
    <definedName name="solver_num" localSheetId="10" hidden="1">0</definedName>
    <definedName name="solver_num" localSheetId="5" hidden="1">0</definedName>
    <definedName name="solver_nwt" localSheetId="4" hidden="1">1</definedName>
    <definedName name="solver_nwt" localSheetId="3" hidden="1">1</definedName>
    <definedName name="solver_nwt" localSheetId="2" hidden="1">1</definedName>
    <definedName name="solver_nwt" localSheetId="1" hidden="1">1</definedName>
    <definedName name="solver_nwt" localSheetId="8" hidden="1">1</definedName>
    <definedName name="solver_nwt" localSheetId="7" hidden="1">1</definedName>
    <definedName name="solver_nwt" localSheetId="6" hidden="1">1</definedName>
    <definedName name="solver_nwt" localSheetId="0" hidden="1">1</definedName>
    <definedName name="solver_nwt" localSheetId="17" hidden="1">1</definedName>
    <definedName name="solver_nwt" localSheetId="15" hidden="1">1</definedName>
    <definedName name="solver_nwt" localSheetId="13" hidden="1">1</definedName>
    <definedName name="solver_nwt" localSheetId="11" hidden="1">1</definedName>
    <definedName name="solver_nwt" localSheetId="10" hidden="1">1</definedName>
    <definedName name="solver_nwt" localSheetId="5" hidden="1">1</definedName>
    <definedName name="solver_opt" localSheetId="4" hidden="1">'gsi all'!$J$4</definedName>
    <definedName name="solver_opt" localSheetId="3" hidden="1">'Logistic 2006'!$J$4</definedName>
    <definedName name="solver_opt" localSheetId="2" hidden="1">'Logistic 2007'!$J$4</definedName>
    <definedName name="solver_opt" localSheetId="1" hidden="1">'Logistic 2008'!$J$4</definedName>
    <definedName name="solver_opt" localSheetId="8" hidden="1">'Logistic 2015'!$J$4</definedName>
    <definedName name="solver_opt" localSheetId="7" hidden="1">'Logistic 2016'!$J$4</definedName>
    <definedName name="solver_opt" localSheetId="6" hidden="1">'Logistic 2017'!$J$4</definedName>
    <definedName name="solver_opt" localSheetId="0" hidden="1">'Logistic 2018'!$J$4</definedName>
    <definedName name="solver_opt" localSheetId="17" hidden="1">Logistic2010!$J$4</definedName>
    <definedName name="solver_opt" localSheetId="15" hidden="1">Logistic2011!$J$4</definedName>
    <definedName name="solver_opt" localSheetId="13" hidden="1">Logistic2012!$J$4</definedName>
    <definedName name="solver_opt" localSheetId="11" hidden="1">Logistic2013!$J$4</definedName>
    <definedName name="solver_opt" localSheetId="10" hidden="1">Logistic2014!$J$4</definedName>
    <definedName name="solver_opt" localSheetId="5" hidden="1">TOE1960s!$J$4</definedName>
    <definedName name="solver_pre" localSheetId="4" hidden="1">0.000001</definedName>
    <definedName name="solver_pre" localSheetId="3" hidden="1">0.000001</definedName>
    <definedName name="solver_pre" localSheetId="2" hidden="1">0.000001</definedName>
    <definedName name="solver_pre" localSheetId="1" hidden="1">0.000001</definedName>
    <definedName name="solver_pre" localSheetId="8" hidden="1">0.000001</definedName>
    <definedName name="solver_pre" localSheetId="7" hidden="1">0.000001</definedName>
    <definedName name="solver_pre" localSheetId="6" hidden="1">0.000001</definedName>
    <definedName name="solver_pre" localSheetId="0" hidden="1">0.000001</definedName>
    <definedName name="solver_pre" localSheetId="17" hidden="1">0.000001</definedName>
    <definedName name="solver_pre" localSheetId="15" hidden="1">0.000001</definedName>
    <definedName name="solver_pre" localSheetId="13" hidden="1">0.000001</definedName>
    <definedName name="solver_pre" localSheetId="11" hidden="1">0.000001</definedName>
    <definedName name="solver_pre" localSheetId="10" hidden="1">0.000001</definedName>
    <definedName name="solver_pre" localSheetId="5" hidden="1">0.000001</definedName>
    <definedName name="solver_rel1" localSheetId="4" hidden="1">1</definedName>
    <definedName name="solver_rel1" localSheetId="3" hidden="1">1</definedName>
    <definedName name="solver_rel1" localSheetId="2" hidden="1">1</definedName>
    <definedName name="solver_rel1" localSheetId="1" hidden="1">1</definedName>
    <definedName name="solver_rel1" localSheetId="8" hidden="1">1</definedName>
    <definedName name="solver_rel1" localSheetId="7" hidden="1">1</definedName>
    <definedName name="solver_rel1" localSheetId="6" hidden="1">1</definedName>
    <definedName name="solver_rel1" localSheetId="0" hidden="1">1</definedName>
    <definedName name="solver_rel1" localSheetId="17" hidden="1">1</definedName>
    <definedName name="solver_rel1" localSheetId="15" hidden="1">1</definedName>
    <definedName name="solver_rel1" localSheetId="13" hidden="1">1</definedName>
    <definedName name="solver_rel1" localSheetId="11" hidden="1">1</definedName>
    <definedName name="solver_rel1" localSheetId="10" hidden="1">1</definedName>
    <definedName name="solver_rel1" localSheetId="5" hidden="1">1</definedName>
    <definedName name="solver_rhs1" localSheetId="4" hidden="1">1</definedName>
    <definedName name="solver_rhs1" localSheetId="3" hidden="1">1</definedName>
    <definedName name="solver_rhs1" localSheetId="2" hidden="1">1</definedName>
    <definedName name="solver_rhs1" localSheetId="1" hidden="1">1</definedName>
    <definedName name="solver_rhs1" localSheetId="8" hidden="1">1</definedName>
    <definedName name="solver_rhs1" localSheetId="7" hidden="1">1</definedName>
    <definedName name="solver_rhs1" localSheetId="6" hidden="1">1</definedName>
    <definedName name="solver_rhs1" localSheetId="0" hidden="1">1</definedName>
    <definedName name="solver_rhs1" localSheetId="17" hidden="1">1</definedName>
    <definedName name="solver_rhs1" localSheetId="15" hidden="1">1</definedName>
    <definedName name="solver_rhs1" localSheetId="13" hidden="1">1</definedName>
    <definedName name="solver_rhs1" localSheetId="11" hidden="1">1</definedName>
    <definedName name="solver_rhs1" localSheetId="10" hidden="1">1</definedName>
    <definedName name="solver_rhs1" localSheetId="5" hidden="1">1</definedName>
    <definedName name="solver_scl" localSheetId="4" hidden="1">2</definedName>
    <definedName name="solver_scl" localSheetId="3" hidden="1">2</definedName>
    <definedName name="solver_scl" localSheetId="2" hidden="1">2</definedName>
    <definedName name="solver_scl" localSheetId="1" hidden="1">2</definedName>
    <definedName name="solver_scl" localSheetId="8" hidden="1">2</definedName>
    <definedName name="solver_scl" localSheetId="7" hidden="1">2</definedName>
    <definedName name="solver_scl" localSheetId="6" hidden="1">2</definedName>
    <definedName name="solver_scl" localSheetId="0" hidden="1">2</definedName>
    <definedName name="solver_scl" localSheetId="17" hidden="1">2</definedName>
    <definedName name="solver_scl" localSheetId="15" hidden="1">2</definedName>
    <definedName name="solver_scl" localSheetId="13" hidden="1">2</definedName>
    <definedName name="solver_scl" localSheetId="11" hidden="1">2</definedName>
    <definedName name="solver_scl" localSheetId="10" hidden="1">2</definedName>
    <definedName name="solver_scl" localSheetId="5" hidden="1">2</definedName>
    <definedName name="solver_sho" localSheetId="4" hidden="1">2</definedName>
    <definedName name="solver_sho" localSheetId="3" hidden="1">2</definedName>
    <definedName name="solver_sho" localSheetId="2" hidden="1">2</definedName>
    <definedName name="solver_sho" localSheetId="1" hidden="1">2</definedName>
    <definedName name="solver_sho" localSheetId="8" hidden="1">2</definedName>
    <definedName name="solver_sho" localSheetId="7" hidden="1">2</definedName>
    <definedName name="solver_sho" localSheetId="6" hidden="1">2</definedName>
    <definedName name="solver_sho" localSheetId="0" hidden="1">2</definedName>
    <definedName name="solver_sho" localSheetId="17" hidden="1">2</definedName>
    <definedName name="solver_sho" localSheetId="15" hidden="1">2</definedName>
    <definedName name="solver_sho" localSheetId="13" hidden="1">2</definedName>
    <definedName name="solver_sho" localSheetId="11" hidden="1">2</definedName>
    <definedName name="solver_sho" localSheetId="10" hidden="1">2</definedName>
    <definedName name="solver_sho" localSheetId="5" hidden="1">2</definedName>
    <definedName name="solver_tim" localSheetId="4" hidden="1">100</definedName>
    <definedName name="solver_tim" localSheetId="3" hidden="1">100</definedName>
    <definedName name="solver_tim" localSheetId="2" hidden="1">100</definedName>
    <definedName name="solver_tim" localSheetId="1" hidden="1">100</definedName>
    <definedName name="solver_tim" localSheetId="8" hidden="1">100</definedName>
    <definedName name="solver_tim" localSheetId="7" hidden="1">100</definedName>
    <definedName name="solver_tim" localSheetId="6" hidden="1">100</definedName>
    <definedName name="solver_tim" localSheetId="0" hidden="1">100</definedName>
    <definedName name="solver_tim" localSheetId="17" hidden="1">100</definedName>
    <definedName name="solver_tim" localSheetId="15" hidden="1">100</definedName>
    <definedName name="solver_tim" localSheetId="13" hidden="1">100</definedName>
    <definedName name="solver_tim" localSheetId="11" hidden="1">100</definedName>
    <definedName name="solver_tim" localSheetId="10" hidden="1">100</definedName>
    <definedName name="solver_tim" localSheetId="5" hidden="1">100</definedName>
    <definedName name="solver_tol" localSheetId="4" hidden="1">0.05</definedName>
    <definedName name="solver_tol" localSheetId="3" hidden="1">0.05</definedName>
    <definedName name="solver_tol" localSheetId="2" hidden="1">0.05</definedName>
    <definedName name="solver_tol" localSheetId="1" hidden="1">0.05</definedName>
    <definedName name="solver_tol" localSheetId="8" hidden="1">0.05</definedName>
    <definedName name="solver_tol" localSheetId="7" hidden="1">0.05</definedName>
    <definedName name="solver_tol" localSheetId="6" hidden="1">0.05</definedName>
    <definedName name="solver_tol" localSheetId="0" hidden="1">0.05</definedName>
    <definedName name="solver_tol" localSheetId="17" hidden="1">0.05</definedName>
    <definedName name="solver_tol" localSheetId="15" hidden="1">0.05</definedName>
    <definedName name="solver_tol" localSheetId="13" hidden="1">0.05</definedName>
    <definedName name="solver_tol" localSheetId="11" hidden="1">0.05</definedName>
    <definedName name="solver_tol" localSheetId="10" hidden="1">0.05</definedName>
    <definedName name="solver_tol" localSheetId="5" hidden="1">0.05</definedName>
    <definedName name="solver_typ" localSheetId="4" hidden="1">2</definedName>
    <definedName name="solver_typ" localSheetId="3" hidden="1">2</definedName>
    <definedName name="solver_typ" localSheetId="2" hidden="1">2</definedName>
    <definedName name="solver_typ" localSheetId="1" hidden="1">2</definedName>
    <definedName name="solver_typ" localSheetId="8" hidden="1">2</definedName>
    <definedName name="solver_typ" localSheetId="7" hidden="1">2</definedName>
    <definedName name="solver_typ" localSheetId="6" hidden="1">2</definedName>
    <definedName name="solver_typ" localSheetId="0" hidden="1">2</definedName>
    <definedName name="solver_typ" localSheetId="17" hidden="1">2</definedName>
    <definedName name="solver_typ" localSheetId="15" hidden="1">2</definedName>
    <definedName name="solver_typ" localSheetId="13" hidden="1">2</definedName>
    <definedName name="solver_typ" localSheetId="11" hidden="1">2</definedName>
    <definedName name="solver_typ" localSheetId="10" hidden="1">2</definedName>
    <definedName name="solver_typ" localSheetId="5" hidden="1">2</definedName>
    <definedName name="solver_val" localSheetId="4" hidden="1">0</definedName>
    <definedName name="solver_val" localSheetId="3" hidden="1">0</definedName>
    <definedName name="solver_val" localSheetId="2" hidden="1">0</definedName>
    <definedName name="solver_val" localSheetId="1" hidden="1">0</definedName>
    <definedName name="solver_val" localSheetId="8" hidden="1">0</definedName>
    <definedName name="solver_val" localSheetId="7" hidden="1">0</definedName>
    <definedName name="solver_val" localSheetId="6" hidden="1">0</definedName>
    <definedName name="solver_val" localSheetId="0" hidden="1">0</definedName>
    <definedName name="solver_val" localSheetId="17" hidden="1">0</definedName>
    <definedName name="solver_val" localSheetId="15" hidden="1">0</definedName>
    <definedName name="solver_val" localSheetId="13" hidden="1">0</definedName>
    <definedName name="solver_val" localSheetId="11" hidden="1">0</definedName>
    <definedName name="solver_val" localSheetId="10" hidden="1">0</definedName>
    <definedName name="solver_val" localSheetId="5" hidden="1">0</definedName>
  </definedNames>
  <calcPr calcId="145621"/>
</workbook>
</file>

<file path=xl/calcChain.xml><?xml version="1.0" encoding="utf-8"?>
<calcChain xmlns="http://schemas.openxmlformats.org/spreadsheetml/2006/main">
  <c r="C11" i="273" l="1"/>
  <c r="C66" i="273"/>
  <c r="C65" i="273"/>
  <c r="C9" i="273"/>
  <c r="C10" i="273"/>
  <c r="C12" i="273"/>
  <c r="C13" i="273"/>
  <c r="C14" i="273"/>
  <c r="F139" i="273"/>
  <c r="E139" i="273"/>
  <c r="F138" i="273"/>
  <c r="E138" i="273"/>
  <c r="F137" i="273"/>
  <c r="E137" i="273"/>
  <c r="F136" i="273"/>
  <c r="E136" i="273"/>
  <c r="F135" i="273"/>
  <c r="E135" i="273"/>
  <c r="F134" i="273"/>
  <c r="E134" i="273"/>
  <c r="F133" i="273"/>
  <c r="E133" i="273"/>
  <c r="F132" i="273"/>
  <c r="E132" i="273"/>
  <c r="M107" i="273"/>
  <c r="O107" i="273" s="1"/>
  <c r="L107" i="273"/>
  <c r="L106" i="273"/>
  <c r="L105" i="273"/>
  <c r="L104" i="273"/>
  <c r="L103" i="273"/>
  <c r="L102" i="273"/>
  <c r="L101" i="273"/>
  <c r="L100" i="273"/>
  <c r="L99" i="273"/>
  <c r="L98" i="273"/>
  <c r="L97" i="273"/>
  <c r="L96" i="273"/>
  <c r="L95" i="273"/>
  <c r="L94" i="273"/>
  <c r="L93" i="273"/>
  <c r="D93" i="273" a="1"/>
  <c r="L92" i="273"/>
  <c r="L91" i="273"/>
  <c r="L90" i="273"/>
  <c r="L89" i="273"/>
  <c r="L88" i="273"/>
  <c r="L87" i="273"/>
  <c r="L86" i="273"/>
  <c r="L85" i="273"/>
  <c r="L84" i="273"/>
  <c r="L83" i="273"/>
  <c r="L82" i="273"/>
  <c r="L81" i="273"/>
  <c r="L80" i="273"/>
  <c r="D80" i="273" a="1"/>
  <c r="E80" i="273" s="1"/>
  <c r="L79" i="273"/>
  <c r="L78" i="273"/>
  <c r="L77" i="273"/>
  <c r="C74" i="262" s="1"/>
  <c r="AI76" i="273"/>
  <c r="AG76" i="273" s="1"/>
  <c r="AH76" i="273"/>
  <c r="AF76" i="273"/>
  <c r="L76" i="273"/>
  <c r="AL76" i="273" s="1"/>
  <c r="AI75" i="273"/>
  <c r="AG75" i="273" s="1"/>
  <c r="AH75" i="273"/>
  <c r="AF75" i="273"/>
  <c r="L75" i="273"/>
  <c r="AL75" i="273" s="1"/>
  <c r="AI74" i="273"/>
  <c r="AG74" i="273" s="1"/>
  <c r="AH74" i="273"/>
  <c r="AF74" i="273"/>
  <c r="L74" i="273"/>
  <c r="AL74" i="273" s="1"/>
  <c r="AI73" i="273"/>
  <c r="AG73" i="273" s="1"/>
  <c r="AH73" i="273"/>
  <c r="AF73" i="273"/>
  <c r="L73" i="273"/>
  <c r="AL73" i="273" s="1"/>
  <c r="AI72" i="273"/>
  <c r="AG72" i="273" s="1"/>
  <c r="AH72" i="273"/>
  <c r="AF72" i="273"/>
  <c r="L72" i="273"/>
  <c r="AL72" i="273" s="1"/>
  <c r="AI71" i="273"/>
  <c r="AG71" i="273" s="1"/>
  <c r="AH71" i="273"/>
  <c r="AF71" i="273"/>
  <c r="L71" i="273"/>
  <c r="AL71" i="273" s="1"/>
  <c r="AI70" i="273"/>
  <c r="AG70" i="273" s="1"/>
  <c r="AH70" i="273"/>
  <c r="AF70" i="273"/>
  <c r="L70" i="273"/>
  <c r="C67" i="262" s="1"/>
  <c r="B139" i="262" s="1"/>
  <c r="AI69" i="273"/>
  <c r="AH69" i="273"/>
  <c r="AG69" i="273"/>
  <c r="AF69" i="273"/>
  <c r="L69" i="273"/>
  <c r="C66" i="262" s="1"/>
  <c r="B138" i="262" s="1"/>
  <c r="AI68" i="273"/>
  <c r="AG68" i="273" s="1"/>
  <c r="AH68" i="273"/>
  <c r="AF68" i="273"/>
  <c r="L68" i="273"/>
  <c r="C65" i="262" s="1"/>
  <c r="B137" i="262" s="1"/>
  <c r="AI67" i="273"/>
  <c r="AH67" i="273"/>
  <c r="AG67" i="273"/>
  <c r="AF67" i="273"/>
  <c r="L67" i="273"/>
  <c r="C64" i="262" s="1"/>
  <c r="B136" i="262" s="1"/>
  <c r="AI66" i="273"/>
  <c r="AG66" i="273" s="1"/>
  <c r="AH66" i="273"/>
  <c r="AF66" i="273"/>
  <c r="L66" i="273"/>
  <c r="C63" i="262" s="1"/>
  <c r="B135" i="262" s="1"/>
  <c r="B66" i="273"/>
  <c r="D66" i="273" s="1"/>
  <c r="AI65" i="273"/>
  <c r="AG65" i="273" s="1"/>
  <c r="AH65" i="273"/>
  <c r="AF65" i="273"/>
  <c r="L65" i="273"/>
  <c r="C62" i="262" s="1"/>
  <c r="B134" i="262" s="1"/>
  <c r="B65" i="273"/>
  <c r="D65" i="273" s="1"/>
  <c r="AI64" i="273"/>
  <c r="AG64" i="273" s="1"/>
  <c r="AH64" i="273"/>
  <c r="AF64" i="273"/>
  <c r="L64" i="273"/>
  <c r="H64" i="273"/>
  <c r="G64" i="273"/>
  <c r="F64" i="273"/>
  <c r="D64" i="273"/>
  <c r="AI63" i="273"/>
  <c r="AG63" i="273" s="1"/>
  <c r="AH63" i="273"/>
  <c r="AF63" i="273"/>
  <c r="L63" i="273"/>
  <c r="C60" i="262" s="1"/>
  <c r="B132" i="262" s="1"/>
  <c r="H63" i="273"/>
  <c r="G63" i="273"/>
  <c r="F63" i="273"/>
  <c r="D63" i="273"/>
  <c r="AI62" i="273"/>
  <c r="AG62" i="273" s="1"/>
  <c r="AH62" i="273"/>
  <c r="AF62" i="273"/>
  <c r="L62" i="273"/>
  <c r="C59" i="262" s="1"/>
  <c r="B131" i="262" s="1"/>
  <c r="H62" i="273"/>
  <c r="G62" i="273"/>
  <c r="F62" i="273"/>
  <c r="D62" i="273"/>
  <c r="AI61" i="273"/>
  <c r="AG61" i="273" s="1"/>
  <c r="AH61" i="273"/>
  <c r="AF61" i="273"/>
  <c r="L61" i="273"/>
  <c r="C58" i="262" s="1"/>
  <c r="B130" i="262" s="1"/>
  <c r="H61" i="273"/>
  <c r="G61" i="273"/>
  <c r="F61" i="273"/>
  <c r="D61" i="273"/>
  <c r="AI60" i="273"/>
  <c r="AG60" i="273" s="1"/>
  <c r="AH60" i="273"/>
  <c r="AF60" i="273"/>
  <c r="L60" i="273"/>
  <c r="C57" i="262" s="1"/>
  <c r="B129" i="262" s="1"/>
  <c r="H60" i="273"/>
  <c r="G60" i="273"/>
  <c r="F60" i="273"/>
  <c r="D60" i="273"/>
  <c r="AI59" i="273"/>
  <c r="AH59" i="273"/>
  <c r="AG59" i="273"/>
  <c r="AF59" i="273"/>
  <c r="L59" i="273"/>
  <c r="C56" i="262" s="1"/>
  <c r="B128" i="262" s="1"/>
  <c r="H59" i="273"/>
  <c r="G59" i="273"/>
  <c r="F59" i="273"/>
  <c r="D59" i="273"/>
  <c r="AI58" i="273"/>
  <c r="AG58" i="273" s="1"/>
  <c r="AH58" i="273"/>
  <c r="AF58" i="273"/>
  <c r="L58" i="273"/>
  <c r="C55" i="262" s="1"/>
  <c r="B127" i="262" s="1"/>
  <c r="H58" i="273"/>
  <c r="G58" i="273"/>
  <c r="F58" i="273"/>
  <c r="D58" i="273"/>
  <c r="AI57" i="273"/>
  <c r="AG57" i="273" s="1"/>
  <c r="AH57" i="273"/>
  <c r="AF57" i="273"/>
  <c r="L57" i="273"/>
  <c r="C54" i="262" s="1"/>
  <c r="B126" i="262" s="1"/>
  <c r="H57" i="273"/>
  <c r="G57" i="273"/>
  <c r="F57" i="273"/>
  <c r="D57" i="273"/>
  <c r="AI56" i="273"/>
  <c r="AG56" i="273" s="1"/>
  <c r="AH56" i="273"/>
  <c r="AF56" i="273"/>
  <c r="L56" i="273"/>
  <c r="C53" i="262" s="1"/>
  <c r="B125" i="262" s="1"/>
  <c r="H56" i="273"/>
  <c r="G56" i="273"/>
  <c r="F56" i="273"/>
  <c r="D56" i="273"/>
  <c r="AI55" i="273"/>
  <c r="AH55" i="273"/>
  <c r="AG55" i="273"/>
  <c r="AF55" i="273"/>
  <c r="L55" i="273"/>
  <c r="C52" i="262" s="1"/>
  <c r="B124" i="262" s="1"/>
  <c r="H55" i="273"/>
  <c r="G55" i="273"/>
  <c r="F55" i="273"/>
  <c r="D55" i="273"/>
  <c r="AI54" i="273"/>
  <c r="AG54" i="273" s="1"/>
  <c r="AH54" i="273"/>
  <c r="AF54" i="273"/>
  <c r="L54" i="273"/>
  <c r="C51" i="262" s="1"/>
  <c r="B123" i="262" s="1"/>
  <c r="H54" i="273"/>
  <c r="G54" i="273"/>
  <c r="F54" i="273"/>
  <c r="D54" i="273"/>
  <c r="AI53" i="273"/>
  <c r="AH53" i="273"/>
  <c r="AG53" i="273"/>
  <c r="AF53" i="273"/>
  <c r="L53" i="273"/>
  <c r="C50" i="262" s="1"/>
  <c r="B122" i="262" s="1"/>
  <c r="H53" i="273"/>
  <c r="G53" i="273"/>
  <c r="F53" i="273"/>
  <c r="D53" i="273"/>
  <c r="AI52" i="273"/>
  <c r="AG52" i="273" s="1"/>
  <c r="AH52" i="273"/>
  <c r="AF52" i="273"/>
  <c r="L52" i="273"/>
  <c r="C49" i="262" s="1"/>
  <c r="B121" i="262" s="1"/>
  <c r="H52" i="273"/>
  <c r="G52" i="273"/>
  <c r="F52" i="273"/>
  <c r="D52" i="273"/>
  <c r="AI51" i="273"/>
  <c r="AH51" i="273"/>
  <c r="AG51" i="273"/>
  <c r="AF51" i="273"/>
  <c r="L51" i="273"/>
  <c r="C48" i="262" s="1"/>
  <c r="B120" i="262" s="1"/>
  <c r="H51" i="273"/>
  <c r="G51" i="273"/>
  <c r="F51" i="273"/>
  <c r="D51" i="273"/>
  <c r="AI50" i="273"/>
  <c r="AG50" i="273" s="1"/>
  <c r="AH50" i="273"/>
  <c r="AF50" i="273"/>
  <c r="L50" i="273"/>
  <c r="C47" i="262" s="1"/>
  <c r="B119" i="262" s="1"/>
  <c r="H50" i="273"/>
  <c r="G50" i="273"/>
  <c r="F50" i="273"/>
  <c r="D50" i="273"/>
  <c r="AI49" i="273"/>
  <c r="AH49" i="273"/>
  <c r="AG49" i="273"/>
  <c r="AF49" i="273"/>
  <c r="L49" i="273"/>
  <c r="C46" i="262" s="1"/>
  <c r="B118" i="262" s="1"/>
  <c r="H49" i="273"/>
  <c r="G49" i="273"/>
  <c r="F49" i="273"/>
  <c r="D49" i="273"/>
  <c r="AI48" i="273"/>
  <c r="AG48" i="273" s="1"/>
  <c r="AH48" i="273"/>
  <c r="AF48" i="273"/>
  <c r="L48" i="273"/>
  <c r="C45" i="262" s="1"/>
  <c r="B117" i="262" s="1"/>
  <c r="H48" i="273"/>
  <c r="G48" i="273"/>
  <c r="F48" i="273"/>
  <c r="D48" i="273"/>
  <c r="AI47" i="273"/>
  <c r="AG47" i="273" s="1"/>
  <c r="AH47" i="273"/>
  <c r="AF47" i="273"/>
  <c r="L47" i="273"/>
  <c r="C44" i="262" s="1"/>
  <c r="B116" i="262" s="1"/>
  <c r="H47" i="273"/>
  <c r="G47" i="273"/>
  <c r="F47" i="273"/>
  <c r="D47" i="273"/>
  <c r="AI46" i="273"/>
  <c r="AG46" i="273" s="1"/>
  <c r="AH46" i="273"/>
  <c r="AF46" i="273"/>
  <c r="L46" i="273"/>
  <c r="C43" i="262" s="1"/>
  <c r="B115" i="262" s="1"/>
  <c r="H46" i="273"/>
  <c r="G46" i="273"/>
  <c r="F46" i="273"/>
  <c r="D46" i="273"/>
  <c r="AI45" i="273"/>
  <c r="AH45" i="273"/>
  <c r="AG45" i="273"/>
  <c r="AF45" i="273"/>
  <c r="L45" i="273"/>
  <c r="C42" i="262" s="1"/>
  <c r="B114" i="262" s="1"/>
  <c r="H45" i="273"/>
  <c r="G45" i="273"/>
  <c r="F45" i="273"/>
  <c r="D45" i="273"/>
  <c r="AI44" i="273"/>
  <c r="AG44" i="273" s="1"/>
  <c r="AH44" i="273"/>
  <c r="AF44" i="273"/>
  <c r="L44" i="273"/>
  <c r="C41" i="262" s="1"/>
  <c r="B113" i="262" s="1"/>
  <c r="H44" i="273"/>
  <c r="G44" i="273"/>
  <c r="F44" i="273"/>
  <c r="D44" i="273"/>
  <c r="AI43" i="273"/>
  <c r="AH43" i="273"/>
  <c r="AG43" i="273"/>
  <c r="AF43" i="273"/>
  <c r="L43" i="273"/>
  <c r="C40" i="262" s="1"/>
  <c r="B112" i="262" s="1"/>
  <c r="H43" i="273"/>
  <c r="G43" i="273"/>
  <c r="F43" i="273"/>
  <c r="D43" i="273"/>
  <c r="AI42" i="273"/>
  <c r="AG42" i="273" s="1"/>
  <c r="AH42" i="273"/>
  <c r="AF42" i="273"/>
  <c r="L42" i="273"/>
  <c r="C39" i="262" s="1"/>
  <c r="B111" i="262" s="1"/>
  <c r="H42" i="273"/>
  <c r="G42" i="273"/>
  <c r="F42" i="273"/>
  <c r="D42" i="273"/>
  <c r="AI41" i="273"/>
  <c r="AH41" i="273"/>
  <c r="AG41" i="273"/>
  <c r="AF41" i="273"/>
  <c r="L41" i="273"/>
  <c r="AL41" i="273" s="1"/>
  <c r="H41" i="273"/>
  <c r="G41" i="273"/>
  <c r="F41" i="273"/>
  <c r="D41" i="273"/>
  <c r="AI40" i="273"/>
  <c r="AG40" i="273" s="1"/>
  <c r="AH40" i="273"/>
  <c r="AF40" i="273"/>
  <c r="L40" i="273"/>
  <c r="C37" i="262" s="1"/>
  <c r="B109" i="262" s="1"/>
  <c r="H40" i="273"/>
  <c r="G40" i="273"/>
  <c r="F40" i="273"/>
  <c r="D40" i="273"/>
  <c r="AI39" i="273"/>
  <c r="AH39" i="273"/>
  <c r="AG39" i="273"/>
  <c r="AF39" i="273"/>
  <c r="L39" i="273"/>
  <c r="AL39" i="273" s="1"/>
  <c r="H39" i="273"/>
  <c r="G39" i="273"/>
  <c r="F39" i="273"/>
  <c r="D39" i="273"/>
  <c r="AI38" i="273"/>
  <c r="AG38" i="273" s="1"/>
  <c r="AH38" i="273"/>
  <c r="AF38" i="273"/>
  <c r="L38" i="273"/>
  <c r="C35" i="262" s="1"/>
  <c r="B107" i="262" s="1"/>
  <c r="H38" i="273"/>
  <c r="G38" i="273"/>
  <c r="F38" i="273"/>
  <c r="D38" i="273"/>
  <c r="AI37" i="273"/>
  <c r="AH37" i="273"/>
  <c r="AG37" i="273"/>
  <c r="AF37" i="273"/>
  <c r="L37" i="273"/>
  <c r="AL37" i="273" s="1"/>
  <c r="H37" i="273"/>
  <c r="G37" i="273"/>
  <c r="F37" i="273"/>
  <c r="D37" i="273"/>
  <c r="AI36" i="273"/>
  <c r="AG36" i="273" s="1"/>
  <c r="AH36" i="273"/>
  <c r="AF36" i="273"/>
  <c r="L36" i="273"/>
  <c r="C33" i="262" s="1"/>
  <c r="B105" i="262" s="1"/>
  <c r="H36" i="273"/>
  <c r="G36" i="273"/>
  <c r="F36" i="273"/>
  <c r="D36" i="273"/>
  <c r="AI35" i="273"/>
  <c r="AG35" i="273" s="1"/>
  <c r="AH35" i="273"/>
  <c r="AF35" i="273"/>
  <c r="L35" i="273"/>
  <c r="AL35" i="273" s="1"/>
  <c r="H35" i="273"/>
  <c r="G35" i="273"/>
  <c r="F35" i="273"/>
  <c r="D35" i="273"/>
  <c r="AI34" i="273"/>
  <c r="AG34" i="273" s="1"/>
  <c r="AH34" i="273"/>
  <c r="AF34" i="273"/>
  <c r="L34" i="273"/>
  <c r="C31" i="262" s="1"/>
  <c r="B103" i="262" s="1"/>
  <c r="H34" i="273"/>
  <c r="G34" i="273"/>
  <c r="F34" i="273"/>
  <c r="D34" i="273"/>
  <c r="AI33" i="273"/>
  <c r="AG33" i="273" s="1"/>
  <c r="AH33" i="273"/>
  <c r="AF33" i="273"/>
  <c r="L33" i="273"/>
  <c r="AL33" i="273" s="1"/>
  <c r="H33" i="273"/>
  <c r="G33" i="273"/>
  <c r="F33" i="273"/>
  <c r="D33" i="273"/>
  <c r="AI32" i="273"/>
  <c r="AG32" i="273" s="1"/>
  <c r="AH32" i="273"/>
  <c r="AF32" i="273"/>
  <c r="L32" i="273"/>
  <c r="C29" i="262" s="1"/>
  <c r="B101" i="262" s="1"/>
  <c r="H32" i="273"/>
  <c r="G32" i="273"/>
  <c r="F32" i="273"/>
  <c r="D32" i="273"/>
  <c r="AI31" i="273"/>
  <c r="AH31" i="273"/>
  <c r="AG31" i="273"/>
  <c r="AF31" i="273"/>
  <c r="L31" i="273"/>
  <c r="AL31" i="273" s="1"/>
  <c r="H31" i="273"/>
  <c r="G31" i="273"/>
  <c r="F31" i="273"/>
  <c r="D31" i="273"/>
  <c r="AI30" i="273"/>
  <c r="AG30" i="273" s="1"/>
  <c r="AH30" i="273"/>
  <c r="AF30" i="273"/>
  <c r="L30" i="273"/>
  <c r="C27" i="262" s="1"/>
  <c r="B99" i="262" s="1"/>
  <c r="H30" i="273"/>
  <c r="G30" i="273"/>
  <c r="F30" i="273"/>
  <c r="D30" i="273"/>
  <c r="AI29" i="273"/>
  <c r="AG29" i="273" s="1"/>
  <c r="AH29" i="273"/>
  <c r="AF29" i="273"/>
  <c r="L29" i="273"/>
  <c r="AL29" i="273" s="1"/>
  <c r="H29" i="273"/>
  <c r="G29" i="273"/>
  <c r="F29" i="273"/>
  <c r="D29" i="273"/>
  <c r="AI28" i="273"/>
  <c r="AG28" i="273" s="1"/>
  <c r="AH28" i="273"/>
  <c r="AF28" i="273"/>
  <c r="L28" i="273"/>
  <c r="C25" i="262" s="1"/>
  <c r="B97" i="262" s="1"/>
  <c r="H28" i="273"/>
  <c r="G28" i="273"/>
  <c r="F28" i="273"/>
  <c r="D28" i="273"/>
  <c r="AI27" i="273"/>
  <c r="AH27" i="273"/>
  <c r="AG27" i="273"/>
  <c r="AF27" i="273"/>
  <c r="L27" i="273"/>
  <c r="AL27" i="273" s="1"/>
  <c r="H27" i="273"/>
  <c r="G27" i="273"/>
  <c r="F27" i="273"/>
  <c r="D27" i="273"/>
  <c r="AI26" i="273"/>
  <c r="AG26" i="273" s="1"/>
  <c r="AH26" i="273"/>
  <c r="AF26" i="273"/>
  <c r="L26" i="273"/>
  <c r="C23" i="262" s="1"/>
  <c r="B95" i="262" s="1"/>
  <c r="H26" i="273"/>
  <c r="G26" i="273"/>
  <c r="F26" i="273"/>
  <c r="D26" i="273"/>
  <c r="AI25" i="273"/>
  <c r="AG25" i="273" s="1"/>
  <c r="AH25" i="273"/>
  <c r="AF25" i="273"/>
  <c r="L25" i="273"/>
  <c r="AL25" i="273" s="1"/>
  <c r="H25" i="273"/>
  <c r="G25" i="273"/>
  <c r="F25" i="273"/>
  <c r="D25" i="273"/>
  <c r="AI24" i="273"/>
  <c r="AG24" i="273" s="1"/>
  <c r="AH24" i="273"/>
  <c r="AF24" i="273"/>
  <c r="L24" i="273"/>
  <c r="C21" i="262" s="1"/>
  <c r="B93" i="262" s="1"/>
  <c r="H24" i="273"/>
  <c r="G24" i="273"/>
  <c r="F24" i="273"/>
  <c r="D24" i="273"/>
  <c r="AI23" i="273"/>
  <c r="AH23" i="273"/>
  <c r="AG23" i="273"/>
  <c r="AF23" i="273"/>
  <c r="L23" i="273"/>
  <c r="AL23" i="273" s="1"/>
  <c r="H23" i="273"/>
  <c r="G23" i="273"/>
  <c r="F23" i="273"/>
  <c r="D23" i="273"/>
  <c r="AI22" i="273"/>
  <c r="AG22" i="273" s="1"/>
  <c r="AH22" i="273"/>
  <c r="AF22" i="273"/>
  <c r="L22" i="273"/>
  <c r="C19" i="262" s="1"/>
  <c r="B91" i="262" s="1"/>
  <c r="H22" i="273"/>
  <c r="G22" i="273"/>
  <c r="F22" i="273"/>
  <c r="D22" i="273"/>
  <c r="AI21" i="273"/>
  <c r="AH21" i="273"/>
  <c r="AG21" i="273"/>
  <c r="AF21" i="273"/>
  <c r="L21" i="273"/>
  <c r="AL21" i="273" s="1"/>
  <c r="I21" i="273"/>
  <c r="H21" i="273"/>
  <c r="G21" i="273"/>
  <c r="F21" i="273"/>
  <c r="D21" i="273"/>
  <c r="AI20" i="273"/>
  <c r="AG20" i="273" s="1"/>
  <c r="AH20" i="273"/>
  <c r="AF20" i="273"/>
  <c r="L20" i="273"/>
  <c r="AL20" i="273" s="1"/>
  <c r="H20" i="273"/>
  <c r="G20" i="273"/>
  <c r="F20" i="273"/>
  <c r="D20" i="273"/>
  <c r="AI19" i="273"/>
  <c r="AG19" i="273" s="1"/>
  <c r="AH19" i="273"/>
  <c r="AF19" i="273"/>
  <c r="L19" i="273"/>
  <c r="AL19" i="273" s="1"/>
  <c r="H19" i="273"/>
  <c r="G19" i="273"/>
  <c r="F19" i="273"/>
  <c r="D19" i="273"/>
  <c r="AI18" i="273"/>
  <c r="AH18" i="273"/>
  <c r="AG18" i="273"/>
  <c r="AF18" i="273"/>
  <c r="L18" i="273"/>
  <c r="AL18" i="273" s="1"/>
  <c r="H18" i="273"/>
  <c r="G18" i="273"/>
  <c r="F18" i="273"/>
  <c r="D18" i="273"/>
  <c r="AI17" i="273"/>
  <c r="AG17" i="273" s="1"/>
  <c r="AH17" i="273"/>
  <c r="AF17" i="273"/>
  <c r="L17" i="273"/>
  <c r="C14" i="262" s="1"/>
  <c r="B86" i="262" s="1"/>
  <c r="H17" i="273"/>
  <c r="G17" i="273"/>
  <c r="F17" i="273"/>
  <c r="D17" i="273"/>
  <c r="AI16" i="273"/>
  <c r="AG16" i="273" s="1"/>
  <c r="AH16" i="273"/>
  <c r="AF16" i="273"/>
  <c r="L16" i="273"/>
  <c r="AL16" i="273" s="1"/>
  <c r="AI15" i="273"/>
  <c r="AG15" i="273" s="1"/>
  <c r="AH15" i="273"/>
  <c r="AF15" i="273"/>
  <c r="L15" i="273"/>
  <c r="C12" i="262" s="1"/>
  <c r="B84" i="262" s="1"/>
  <c r="AI14" i="273"/>
  <c r="AH14" i="273"/>
  <c r="AG14" i="273"/>
  <c r="AF14" i="273"/>
  <c r="L14" i="273"/>
  <c r="AL14" i="273" s="1"/>
  <c r="D14" i="273"/>
  <c r="F14" i="273" s="1"/>
  <c r="G14" i="273" s="1"/>
  <c r="AI13" i="273"/>
  <c r="AG13" i="273" s="1"/>
  <c r="AH13" i="273"/>
  <c r="AF13" i="273"/>
  <c r="L13" i="273"/>
  <c r="C10" i="262" s="1"/>
  <c r="B82" i="262" s="1"/>
  <c r="F13" i="273"/>
  <c r="G13" i="273" s="1"/>
  <c r="D13" i="273"/>
  <c r="AI12" i="273"/>
  <c r="AG12" i="273" s="1"/>
  <c r="AH12" i="273"/>
  <c r="AF12" i="273"/>
  <c r="L12" i="273"/>
  <c r="C9" i="262" s="1"/>
  <c r="B81" i="262" s="1"/>
  <c r="D12" i="273"/>
  <c r="F12" i="273" s="1"/>
  <c r="G12" i="273" s="1"/>
  <c r="AG11" i="273"/>
  <c r="L11" i="273"/>
  <c r="C8" i="262" s="1"/>
  <c r="B80" i="262" s="1"/>
  <c r="D11" i="273"/>
  <c r="F11" i="273" s="1"/>
  <c r="G11" i="273" s="1"/>
  <c r="H11" i="273" s="1"/>
  <c r="L10" i="273"/>
  <c r="C7" i="262" s="1"/>
  <c r="B79" i="262" s="1"/>
  <c r="J10" i="273"/>
  <c r="J11" i="273" s="1"/>
  <c r="D10" i="273"/>
  <c r="F10" i="273" s="1"/>
  <c r="G10" i="273" s="1"/>
  <c r="L9" i="273"/>
  <c r="C6" i="262" s="1"/>
  <c r="B78" i="262" s="1"/>
  <c r="J9" i="273"/>
  <c r="D9" i="273"/>
  <c r="F9" i="273" s="1"/>
  <c r="G9" i="273" s="1"/>
  <c r="Z7" i="273" a="1"/>
  <c r="V7" i="273" a="1"/>
  <c r="W8" i="273" s="1"/>
  <c r="N4" i="273"/>
  <c r="I3" i="273"/>
  <c r="H5" i="258"/>
  <c r="H4" i="258"/>
  <c r="AA8" i="258" a="1"/>
  <c r="AA9" i="258" s="1"/>
  <c r="H5" i="256"/>
  <c r="H4" i="256"/>
  <c r="Z8" i="256" a="1"/>
  <c r="Z9" i="256" s="1"/>
  <c r="H5" i="253"/>
  <c r="H4" i="253"/>
  <c r="Z8" i="253" a="1"/>
  <c r="Z9" i="253" s="1"/>
  <c r="M9" i="273" l="1"/>
  <c r="O9" i="273" s="1"/>
  <c r="D80" i="273"/>
  <c r="C13" i="262"/>
  <c r="B85" i="262" s="1"/>
  <c r="C72" i="262"/>
  <c r="B144" i="262" s="1"/>
  <c r="S64" i="273"/>
  <c r="T64" i="273" s="1"/>
  <c r="C24" i="262"/>
  <c r="B96" i="262" s="1"/>
  <c r="C68" i="262"/>
  <c r="B140" i="262" s="1"/>
  <c r="C32" i="262"/>
  <c r="B104" i="262" s="1"/>
  <c r="C20" i="262"/>
  <c r="B92" i="262" s="1"/>
  <c r="C36" i="262"/>
  <c r="B108" i="262" s="1"/>
  <c r="C28" i="262"/>
  <c r="B100" i="262" s="1"/>
  <c r="C16" i="262"/>
  <c r="B88" i="262" s="1"/>
  <c r="C69" i="262"/>
  <c r="B141" i="262" s="1"/>
  <c r="C61" i="262"/>
  <c r="B133" i="262" s="1"/>
  <c r="C71" i="262"/>
  <c r="B143" i="262" s="1"/>
  <c r="C15" i="262"/>
  <c r="B87" i="262" s="1"/>
  <c r="C11" i="262"/>
  <c r="B83" i="262" s="1"/>
  <c r="C73" i="262"/>
  <c r="B145" i="262" s="1"/>
  <c r="C17" i="262"/>
  <c r="B89" i="262" s="1"/>
  <c r="C70" i="262"/>
  <c r="B142" i="262" s="1"/>
  <c r="C38" i="262"/>
  <c r="B110" i="262" s="1"/>
  <c r="C34" i="262"/>
  <c r="B106" i="262" s="1"/>
  <c r="C30" i="262"/>
  <c r="B102" i="262" s="1"/>
  <c r="C26" i="262"/>
  <c r="B98" i="262" s="1"/>
  <c r="C22" i="262"/>
  <c r="B94" i="262" s="1"/>
  <c r="C18" i="262"/>
  <c r="B90" i="262" s="1"/>
  <c r="H14" i="273"/>
  <c r="S70" i="273"/>
  <c r="T70" i="273" s="1"/>
  <c r="S63" i="273"/>
  <c r="T63" i="273" s="1"/>
  <c r="S13" i="273"/>
  <c r="T13" i="273" s="1"/>
  <c r="S57" i="273"/>
  <c r="T57" i="273" s="1"/>
  <c r="S67" i="273"/>
  <c r="T67" i="273" s="1"/>
  <c r="S50" i="273"/>
  <c r="T50" i="273" s="1"/>
  <c r="S45" i="273"/>
  <c r="T45" i="273" s="1"/>
  <c r="S53" i="273"/>
  <c r="T53" i="273" s="1"/>
  <c r="S62" i="273"/>
  <c r="T62" i="273" s="1"/>
  <c r="S47" i="273"/>
  <c r="T47" i="273" s="1"/>
  <c r="S59" i="273"/>
  <c r="T59" i="273" s="1"/>
  <c r="S16" i="273"/>
  <c r="T16" i="273" s="1"/>
  <c r="S24" i="273"/>
  <c r="T24" i="273" s="1"/>
  <c r="S14" i="273"/>
  <c r="T14" i="273" s="1"/>
  <c r="S18" i="273"/>
  <c r="T18" i="273" s="1"/>
  <c r="S49" i="273"/>
  <c r="T49" i="273" s="1"/>
  <c r="S12" i="273"/>
  <c r="T12" i="273" s="1"/>
  <c r="S28" i="273"/>
  <c r="T28" i="273" s="1"/>
  <c r="S40" i="273"/>
  <c r="T40" i="273" s="1"/>
  <c r="S17" i="273"/>
  <c r="T17" i="273" s="1"/>
  <c r="S32" i="273"/>
  <c r="T32" i="273" s="1"/>
  <c r="S38" i="273"/>
  <c r="T38" i="273" s="1"/>
  <c r="S43" i="273"/>
  <c r="T43" i="273" s="1"/>
  <c r="S46" i="273"/>
  <c r="T46" i="273" s="1"/>
  <c r="S55" i="273"/>
  <c r="T55" i="273" s="1"/>
  <c r="S61" i="273"/>
  <c r="T61" i="273" s="1"/>
  <c r="S36" i="273"/>
  <c r="T36" i="273" s="1"/>
  <c r="S54" i="273"/>
  <c r="T54" i="273" s="1"/>
  <c r="S15" i="273"/>
  <c r="T15" i="273" s="1"/>
  <c r="AL17" i="273"/>
  <c r="S22" i="273"/>
  <c r="T22" i="273" s="1"/>
  <c r="S26" i="273"/>
  <c r="T26" i="273" s="1"/>
  <c r="S30" i="273"/>
  <c r="T30" i="273" s="1"/>
  <c r="S34" i="273"/>
  <c r="T34" i="273" s="1"/>
  <c r="S42" i="273"/>
  <c r="T42" i="273" s="1"/>
  <c r="S51" i="273"/>
  <c r="T51" i="273" s="1"/>
  <c r="S58" i="273"/>
  <c r="T58" i="273" s="1"/>
  <c r="S66" i="273"/>
  <c r="T66" i="273" s="1"/>
  <c r="S69" i="273"/>
  <c r="T69" i="273" s="1"/>
  <c r="AL12" i="273"/>
  <c r="S21" i="273"/>
  <c r="T21" i="273" s="1"/>
  <c r="S23" i="273"/>
  <c r="T23" i="273" s="1"/>
  <c r="S25" i="273"/>
  <c r="T25" i="273" s="1"/>
  <c r="S27" i="273"/>
  <c r="T27" i="273" s="1"/>
  <c r="S29" i="273"/>
  <c r="T29" i="273" s="1"/>
  <c r="S31" i="273"/>
  <c r="T31" i="273" s="1"/>
  <c r="S33" i="273"/>
  <c r="T33" i="273" s="1"/>
  <c r="S35" i="273"/>
  <c r="T35" i="273" s="1"/>
  <c r="S37" i="273"/>
  <c r="T37" i="273" s="1"/>
  <c r="S39" i="273"/>
  <c r="T39" i="273" s="1"/>
  <c r="S41" i="273"/>
  <c r="T41" i="273" s="1"/>
  <c r="S68" i="273"/>
  <c r="T68" i="273" s="1"/>
  <c r="AL15" i="273"/>
  <c r="S19" i="273"/>
  <c r="T19" i="273" s="1"/>
  <c r="S20" i="273"/>
  <c r="T20" i="273" s="1"/>
  <c r="S44" i="273"/>
  <c r="T44" i="273" s="1"/>
  <c r="S48" i="273"/>
  <c r="T48" i="273" s="1"/>
  <c r="S52" i="273"/>
  <c r="T52" i="273" s="1"/>
  <c r="S56" i="273"/>
  <c r="T56" i="273" s="1"/>
  <c r="S60" i="273"/>
  <c r="T60" i="273" s="1"/>
  <c r="S65" i="273"/>
  <c r="T65" i="273" s="1"/>
  <c r="H13" i="273"/>
  <c r="K4" i="273"/>
  <c r="Z7" i="273"/>
  <c r="AA7" i="273"/>
  <c r="W7" i="273"/>
  <c r="V8" i="273"/>
  <c r="D93" i="273"/>
  <c r="E93" i="273"/>
  <c r="D94" i="273"/>
  <c r="E94" i="273"/>
  <c r="H9" i="273"/>
  <c r="Z8" i="273"/>
  <c r="M10" i="273"/>
  <c r="O10" i="273" s="1"/>
  <c r="J12" i="273"/>
  <c r="V7" i="273"/>
  <c r="AA8" i="273"/>
  <c r="H10" i="273"/>
  <c r="H12" i="273"/>
  <c r="AL43" i="273"/>
  <c r="AL45" i="273"/>
  <c r="AL47" i="273"/>
  <c r="AL49" i="273"/>
  <c r="AL51" i="273"/>
  <c r="AL53" i="273"/>
  <c r="AL55" i="273"/>
  <c r="AL57" i="273"/>
  <c r="AL59" i="273"/>
  <c r="AL61" i="273"/>
  <c r="AL63" i="273"/>
  <c r="AL67" i="273"/>
  <c r="AL69" i="273"/>
  <c r="E81" i="273"/>
  <c r="AL13" i="273"/>
  <c r="AL24" i="273"/>
  <c r="AL36" i="273"/>
  <c r="AL38" i="273"/>
  <c r="AL40" i="273"/>
  <c r="AL42" i="273"/>
  <c r="AL44" i="273"/>
  <c r="AL46" i="273"/>
  <c r="AL48" i="273"/>
  <c r="AL50" i="273"/>
  <c r="AL52" i="273"/>
  <c r="AL54" i="273"/>
  <c r="AL56" i="273"/>
  <c r="AL58" i="273"/>
  <c r="AL60" i="273"/>
  <c r="AL62" i="273"/>
  <c r="AL64" i="273"/>
  <c r="F65" i="273"/>
  <c r="G65" i="273" s="1"/>
  <c r="H65" i="273" s="1"/>
  <c r="AL65" i="273"/>
  <c r="F66" i="273"/>
  <c r="G66" i="273" s="1"/>
  <c r="H66" i="273" s="1"/>
  <c r="AL66" i="273"/>
  <c r="AL68" i="273"/>
  <c r="AL70" i="273"/>
  <c r="D81" i="273"/>
  <c r="AL22" i="273"/>
  <c r="AL26" i="273"/>
  <c r="AL28" i="273"/>
  <c r="AL30" i="273"/>
  <c r="AL32" i="273"/>
  <c r="AL34" i="273"/>
  <c r="AB9" i="258"/>
  <c r="AA8" i="258"/>
  <c r="AB8" i="258"/>
  <c r="AA9" i="256"/>
  <c r="Z8" i="256"/>
  <c r="AA8" i="256"/>
  <c r="AA9" i="253"/>
  <c r="Z8" i="253"/>
  <c r="AA8" i="253"/>
  <c r="J13" i="273" l="1"/>
  <c r="M11" i="273"/>
  <c r="O11" i="273" s="1"/>
  <c r="AE12" i="273"/>
  <c r="J4" i="273"/>
  <c r="X6" i="272" a="1"/>
  <c r="X7" i="272" s="1"/>
  <c r="X7" i="270" a="1"/>
  <c r="X8" i="270" s="1"/>
  <c r="Y7" i="269" a="1"/>
  <c r="Y8" i="269" s="1"/>
  <c r="Z7" i="265" a="1"/>
  <c r="Z8" i="265" s="1"/>
  <c r="Y6" i="264" a="1"/>
  <c r="Y7" i="264" s="1"/>
  <c r="V7" i="265" a="1"/>
  <c r="V8" i="265" s="1"/>
  <c r="U6" i="272" a="1"/>
  <c r="U7" i="272" s="1"/>
  <c r="U7" i="269" a="1"/>
  <c r="U8" i="269" s="1"/>
  <c r="U7" i="270" a="1"/>
  <c r="U8" i="270" s="1"/>
  <c r="U7" i="270"/>
  <c r="V8" i="270" l="1"/>
  <c r="M12" i="273"/>
  <c r="O12" i="273" s="1"/>
  <c r="J14" i="273"/>
  <c r="AE13" i="273"/>
  <c r="Y7" i="272"/>
  <c r="X6" i="272"/>
  <c r="Y6" i="272"/>
  <c r="X7" i="270"/>
  <c r="Y7" i="270"/>
  <c r="Y8" i="270"/>
  <c r="Z8" i="269"/>
  <c r="Y7" i="269"/>
  <c r="Z7" i="269"/>
  <c r="Z7" i="265"/>
  <c r="AA7" i="265"/>
  <c r="AA8" i="265"/>
  <c r="Y6" i="264"/>
  <c r="Z6" i="264"/>
  <c r="Z7" i="264"/>
  <c r="V7" i="265"/>
  <c r="W7" i="265"/>
  <c r="W8" i="265"/>
  <c r="U6" i="272"/>
  <c r="V6" i="272"/>
  <c r="V7" i="272"/>
  <c r="V8" i="269"/>
  <c r="U7" i="269"/>
  <c r="V7" i="269"/>
  <c r="V7" i="270"/>
  <c r="F139" i="272"/>
  <c r="E139" i="272"/>
  <c r="F138" i="272"/>
  <c r="E138" i="272"/>
  <c r="F137" i="272"/>
  <c r="E137" i="272"/>
  <c r="F136" i="272"/>
  <c r="E136" i="272"/>
  <c r="F135" i="272"/>
  <c r="E135" i="272"/>
  <c r="F134" i="272"/>
  <c r="E134" i="272"/>
  <c r="F133" i="272"/>
  <c r="E133" i="272"/>
  <c r="F132" i="272"/>
  <c r="E132" i="272"/>
  <c r="M107" i="272"/>
  <c r="O107" i="272" s="1"/>
  <c r="L107" i="272"/>
  <c r="L106" i="272"/>
  <c r="L105" i="272"/>
  <c r="L104" i="272"/>
  <c r="L103" i="272"/>
  <c r="L102" i="272"/>
  <c r="L101" i="272"/>
  <c r="L100" i="272"/>
  <c r="L99" i="272"/>
  <c r="L98" i="272"/>
  <c r="L97" i="272"/>
  <c r="L96" i="272"/>
  <c r="L95" i="272"/>
  <c r="L94" i="272"/>
  <c r="L93" i="272"/>
  <c r="D93" i="272" a="1"/>
  <c r="D93" i="272" s="1"/>
  <c r="L92" i="272"/>
  <c r="L91" i="272"/>
  <c r="L90" i="272"/>
  <c r="L89" i="272"/>
  <c r="L88" i="272"/>
  <c r="L87" i="272"/>
  <c r="L86" i="272"/>
  <c r="L85" i="272"/>
  <c r="L84" i="272"/>
  <c r="L83" i="272"/>
  <c r="L82" i="272"/>
  <c r="L81" i="272"/>
  <c r="L80" i="272"/>
  <c r="D80" i="272" a="1"/>
  <c r="E80" i="272" s="1"/>
  <c r="L79" i="272"/>
  <c r="L78" i="272"/>
  <c r="L77" i="272"/>
  <c r="L74" i="262" s="1"/>
  <c r="AI76" i="272"/>
  <c r="AG76" i="272" s="1"/>
  <c r="AH76" i="272"/>
  <c r="AF76" i="272"/>
  <c r="L76" i="272"/>
  <c r="AL76" i="272" s="1"/>
  <c r="AI75" i="272"/>
  <c r="AG75" i="272" s="1"/>
  <c r="AH75" i="272"/>
  <c r="AF75" i="272"/>
  <c r="L75" i="272"/>
  <c r="AL75" i="272" s="1"/>
  <c r="AI74" i="272"/>
  <c r="AG74" i="272" s="1"/>
  <c r="AH74" i="272"/>
  <c r="AF74" i="272"/>
  <c r="L74" i="272"/>
  <c r="AL74" i="272" s="1"/>
  <c r="AI73" i="272"/>
  <c r="AG73" i="272" s="1"/>
  <c r="AH73" i="272"/>
  <c r="AF73" i="272"/>
  <c r="L73" i="272"/>
  <c r="AL73" i="272" s="1"/>
  <c r="AI72" i="272"/>
  <c r="AG72" i="272" s="1"/>
  <c r="AH72" i="272"/>
  <c r="AF72" i="272"/>
  <c r="L72" i="272"/>
  <c r="AL72" i="272" s="1"/>
  <c r="AI71" i="272"/>
  <c r="AG71" i="272" s="1"/>
  <c r="AH71" i="272"/>
  <c r="AF71" i="272"/>
  <c r="L71" i="272"/>
  <c r="L68" i="262" s="1"/>
  <c r="K140" i="262" s="1"/>
  <c r="AI70" i="272"/>
  <c r="AG70" i="272" s="1"/>
  <c r="AH70" i="272"/>
  <c r="AF70" i="272"/>
  <c r="L70" i="272"/>
  <c r="AL70" i="272" s="1"/>
  <c r="AI69" i="272"/>
  <c r="AG69" i="272" s="1"/>
  <c r="AH69" i="272"/>
  <c r="AF69" i="272"/>
  <c r="L69" i="272"/>
  <c r="L66" i="262" s="1"/>
  <c r="K138" i="262" s="1"/>
  <c r="AI68" i="272"/>
  <c r="AG68" i="272" s="1"/>
  <c r="AH68" i="272"/>
  <c r="AF68" i="272"/>
  <c r="L68" i="272"/>
  <c r="AI67" i="272"/>
  <c r="AH67" i="272"/>
  <c r="AG67" i="272"/>
  <c r="AF67" i="272"/>
  <c r="L67" i="272"/>
  <c r="L64" i="262" s="1"/>
  <c r="K136" i="262" s="1"/>
  <c r="AI66" i="272"/>
  <c r="AG66" i="272" s="1"/>
  <c r="AH66" i="272"/>
  <c r="AF66" i="272"/>
  <c r="L66" i="272"/>
  <c r="L63" i="262" s="1"/>
  <c r="K135" i="262" s="1"/>
  <c r="B66" i="272"/>
  <c r="D66" i="272" s="1"/>
  <c r="AI65" i="272"/>
  <c r="AG65" i="272" s="1"/>
  <c r="AH65" i="272"/>
  <c r="AF65" i="272"/>
  <c r="L65" i="272"/>
  <c r="C65" i="272"/>
  <c r="B65" i="272"/>
  <c r="D65" i="272" s="1"/>
  <c r="AI64" i="272"/>
  <c r="AG64" i="272" s="1"/>
  <c r="AH64" i="272"/>
  <c r="AF64" i="272"/>
  <c r="L64" i="272"/>
  <c r="H64" i="272"/>
  <c r="G64" i="272"/>
  <c r="F64" i="272"/>
  <c r="D64" i="272"/>
  <c r="AI63" i="272"/>
  <c r="AH63" i="272"/>
  <c r="AG63" i="272"/>
  <c r="AF63" i="272"/>
  <c r="L63" i="272"/>
  <c r="AL63" i="272" s="1"/>
  <c r="H63" i="272"/>
  <c r="G63" i="272"/>
  <c r="F63" i="272"/>
  <c r="D63" i="272"/>
  <c r="AI62" i="272"/>
  <c r="AG62" i="272" s="1"/>
  <c r="AH62" i="272"/>
  <c r="AF62" i="272"/>
  <c r="L62" i="272"/>
  <c r="L59" i="262" s="1"/>
  <c r="K131" i="262" s="1"/>
  <c r="H62" i="272"/>
  <c r="G62" i="272"/>
  <c r="F62" i="272"/>
  <c r="D62" i="272"/>
  <c r="AI61" i="272"/>
  <c r="AG61" i="272" s="1"/>
  <c r="AH61" i="272"/>
  <c r="AF61" i="272"/>
  <c r="L61" i="272"/>
  <c r="AL61" i="272" s="1"/>
  <c r="H61" i="272"/>
  <c r="G61" i="272"/>
  <c r="F61" i="272"/>
  <c r="D61" i="272"/>
  <c r="AI60" i="272"/>
  <c r="AH60" i="272"/>
  <c r="AG60" i="272"/>
  <c r="AF60" i="272"/>
  <c r="L60" i="272"/>
  <c r="L57" i="262" s="1"/>
  <c r="K129" i="262" s="1"/>
  <c r="H60" i="272"/>
  <c r="G60" i="272"/>
  <c r="F60" i="272"/>
  <c r="D60" i="272"/>
  <c r="AI59" i="272"/>
  <c r="AG59" i="272" s="1"/>
  <c r="AH59" i="272"/>
  <c r="AF59" i="272"/>
  <c r="L59" i="272"/>
  <c r="AL59" i="272" s="1"/>
  <c r="H59" i="272"/>
  <c r="G59" i="272"/>
  <c r="F59" i="272"/>
  <c r="D59" i="272"/>
  <c r="AI58" i="272"/>
  <c r="AG58" i="272" s="1"/>
  <c r="AH58" i="272"/>
  <c r="AF58" i="272"/>
  <c r="L58" i="272"/>
  <c r="H58" i="272"/>
  <c r="G58" i="272"/>
  <c r="F58" i="272"/>
  <c r="D58" i="272"/>
  <c r="AI57" i="272"/>
  <c r="AG57" i="272" s="1"/>
  <c r="AH57" i="272"/>
  <c r="AF57" i="272"/>
  <c r="L57" i="272"/>
  <c r="AL57" i="272" s="1"/>
  <c r="H57" i="272"/>
  <c r="G57" i="272"/>
  <c r="F57" i="272"/>
  <c r="D57" i="272"/>
  <c r="AI56" i="272"/>
  <c r="AH56" i="272"/>
  <c r="AG56" i="272"/>
  <c r="AF56" i="272"/>
  <c r="L56" i="272"/>
  <c r="L53" i="262" s="1"/>
  <c r="K125" i="262" s="1"/>
  <c r="H56" i="272"/>
  <c r="G56" i="272"/>
  <c r="F56" i="272"/>
  <c r="D56" i="272"/>
  <c r="AI55" i="272"/>
  <c r="AG55" i="272" s="1"/>
  <c r="AH55" i="272"/>
  <c r="AF55" i="272"/>
  <c r="L55" i="272"/>
  <c r="L52" i="262" s="1"/>
  <c r="K124" i="262" s="1"/>
  <c r="H55" i="272"/>
  <c r="G55" i="272"/>
  <c r="F55" i="272"/>
  <c r="D55" i="272"/>
  <c r="AI54" i="272"/>
  <c r="AH54" i="272"/>
  <c r="AG54" i="272"/>
  <c r="AF54" i="272"/>
  <c r="L54" i="272"/>
  <c r="L51" i="262" s="1"/>
  <c r="K123" i="262" s="1"/>
  <c r="H54" i="272"/>
  <c r="G54" i="272"/>
  <c r="F54" i="272"/>
  <c r="D54" i="272"/>
  <c r="AI53" i="272"/>
  <c r="AG53" i="272" s="1"/>
  <c r="AH53" i="272"/>
  <c r="AF53" i="272"/>
  <c r="L53" i="272"/>
  <c r="AL53" i="272" s="1"/>
  <c r="H53" i="272"/>
  <c r="G53" i="272"/>
  <c r="F53" i="272"/>
  <c r="D53" i="272"/>
  <c r="AI52" i="272"/>
  <c r="AG52" i="272" s="1"/>
  <c r="AH52" i="272"/>
  <c r="AF52" i="272"/>
  <c r="L52" i="272"/>
  <c r="L49" i="262" s="1"/>
  <c r="K121" i="262" s="1"/>
  <c r="H52" i="272"/>
  <c r="G52" i="272"/>
  <c r="F52" i="272"/>
  <c r="D52" i="272"/>
  <c r="AI51" i="272"/>
  <c r="AG51" i="272" s="1"/>
  <c r="AH51" i="272"/>
  <c r="AF51" i="272"/>
  <c r="L51" i="272"/>
  <c r="L48" i="262" s="1"/>
  <c r="K120" i="262" s="1"/>
  <c r="H51" i="272"/>
  <c r="G51" i="272"/>
  <c r="F51" i="272"/>
  <c r="D51" i="272"/>
  <c r="AI50" i="272"/>
  <c r="AH50" i="272"/>
  <c r="AG50" i="272"/>
  <c r="AF50" i="272"/>
  <c r="L50" i="272"/>
  <c r="H50" i="272"/>
  <c r="G50" i="272"/>
  <c r="F50" i="272"/>
  <c r="D50" i="272"/>
  <c r="AI49" i="272"/>
  <c r="AG49" i="272" s="1"/>
  <c r="AH49" i="272"/>
  <c r="AF49" i="272"/>
  <c r="L49" i="272"/>
  <c r="AL49" i="272" s="1"/>
  <c r="H49" i="272"/>
  <c r="G49" i="272"/>
  <c r="F49" i="272"/>
  <c r="D49" i="272"/>
  <c r="AI48" i="272"/>
  <c r="AH48" i="272"/>
  <c r="AG48" i="272"/>
  <c r="AF48" i="272"/>
  <c r="L48" i="272"/>
  <c r="H48" i="272"/>
  <c r="G48" i="272"/>
  <c r="F48" i="272"/>
  <c r="D48" i="272"/>
  <c r="AI47" i="272"/>
  <c r="AG47" i="272" s="1"/>
  <c r="AH47" i="272"/>
  <c r="AF47" i="272"/>
  <c r="L47" i="272"/>
  <c r="L44" i="262" s="1"/>
  <c r="K116" i="262" s="1"/>
  <c r="H47" i="272"/>
  <c r="G47" i="272"/>
  <c r="F47" i="272"/>
  <c r="D47" i="272"/>
  <c r="AI46" i="272"/>
  <c r="AG46" i="272" s="1"/>
  <c r="AH46" i="272"/>
  <c r="AF46" i="272"/>
  <c r="L46" i="272"/>
  <c r="L43" i="262" s="1"/>
  <c r="K115" i="262" s="1"/>
  <c r="H46" i="272"/>
  <c r="G46" i="272"/>
  <c r="F46" i="272"/>
  <c r="D46" i="272"/>
  <c r="AI45" i="272"/>
  <c r="AG45" i="272" s="1"/>
  <c r="AH45" i="272"/>
  <c r="AF45" i="272"/>
  <c r="L45" i="272"/>
  <c r="AL45" i="272" s="1"/>
  <c r="H45" i="272"/>
  <c r="G45" i="272"/>
  <c r="F45" i="272"/>
  <c r="D45" i="272"/>
  <c r="AI44" i="272"/>
  <c r="AH44" i="272"/>
  <c r="AG44" i="272"/>
  <c r="AF44" i="272"/>
  <c r="L44" i="272"/>
  <c r="L41" i="262" s="1"/>
  <c r="K113" i="262" s="1"/>
  <c r="H44" i="272"/>
  <c r="G44" i="272"/>
  <c r="F44" i="272"/>
  <c r="D44" i="272"/>
  <c r="AI43" i="272"/>
  <c r="AG43" i="272" s="1"/>
  <c r="AH43" i="272"/>
  <c r="AF43" i="272"/>
  <c r="L43" i="272"/>
  <c r="L40" i="262" s="1"/>
  <c r="K112" i="262" s="1"/>
  <c r="H43" i="272"/>
  <c r="G43" i="272"/>
  <c r="F43" i="272"/>
  <c r="D43" i="272"/>
  <c r="AI42" i="272"/>
  <c r="AH42" i="272"/>
  <c r="AG42" i="272"/>
  <c r="AF42" i="272"/>
  <c r="L42" i="272"/>
  <c r="H42" i="272"/>
  <c r="G42" i="272"/>
  <c r="F42" i="272"/>
  <c r="D42" i="272"/>
  <c r="AI41" i="272"/>
  <c r="AG41" i="272" s="1"/>
  <c r="AH41" i="272"/>
  <c r="AF41" i="272"/>
  <c r="L41" i="272"/>
  <c r="AL41" i="272" s="1"/>
  <c r="H41" i="272"/>
  <c r="G41" i="272"/>
  <c r="F41" i="272"/>
  <c r="D41" i="272"/>
  <c r="AI40" i="272"/>
  <c r="AH40" i="272"/>
  <c r="AG40" i="272"/>
  <c r="AF40" i="272"/>
  <c r="L40" i="272"/>
  <c r="L37" i="262" s="1"/>
  <c r="K109" i="262" s="1"/>
  <c r="H40" i="272"/>
  <c r="G40" i="272"/>
  <c r="F40" i="272"/>
  <c r="D40" i="272"/>
  <c r="AI39" i="272"/>
  <c r="AG39" i="272" s="1"/>
  <c r="AH39" i="272"/>
  <c r="AF39" i="272"/>
  <c r="L39" i="272"/>
  <c r="AL39" i="272" s="1"/>
  <c r="H39" i="272"/>
  <c r="G39" i="272"/>
  <c r="F39" i="272"/>
  <c r="D39" i="272"/>
  <c r="AI38" i="272"/>
  <c r="AH38" i="272"/>
  <c r="AG38" i="272"/>
  <c r="AF38" i="272"/>
  <c r="L38" i="272"/>
  <c r="L35" i="262" s="1"/>
  <c r="K107" i="262" s="1"/>
  <c r="H38" i="272"/>
  <c r="G38" i="272"/>
  <c r="F38" i="272"/>
  <c r="D38" i="272"/>
  <c r="AI37" i="272"/>
  <c r="AG37" i="272" s="1"/>
  <c r="AH37" i="272"/>
  <c r="AF37" i="272"/>
  <c r="L37" i="272"/>
  <c r="AL37" i="272" s="1"/>
  <c r="H37" i="272"/>
  <c r="G37" i="272"/>
  <c r="F37" i="272"/>
  <c r="D37" i="272"/>
  <c r="AI36" i="272"/>
  <c r="AH36" i="272"/>
  <c r="AG36" i="272"/>
  <c r="AF36" i="272"/>
  <c r="L36" i="272"/>
  <c r="L33" i="262" s="1"/>
  <c r="K105" i="262" s="1"/>
  <c r="H36" i="272"/>
  <c r="G36" i="272"/>
  <c r="F36" i="272"/>
  <c r="D36" i="272"/>
  <c r="AI35" i="272"/>
  <c r="AG35" i="272" s="1"/>
  <c r="AH35" i="272"/>
  <c r="AF35" i="272"/>
  <c r="L35" i="272"/>
  <c r="AL35" i="272" s="1"/>
  <c r="H35" i="272"/>
  <c r="G35" i="272"/>
  <c r="F35" i="272"/>
  <c r="D35" i="272"/>
  <c r="AI34" i="272"/>
  <c r="AH34" i="272"/>
  <c r="AG34" i="272"/>
  <c r="AF34" i="272"/>
  <c r="L34" i="272"/>
  <c r="H34" i="272"/>
  <c r="G34" i="272"/>
  <c r="F34" i="272"/>
  <c r="D34" i="272"/>
  <c r="AI33" i="272"/>
  <c r="AG33" i="272" s="1"/>
  <c r="AH33" i="272"/>
  <c r="AF33" i="272"/>
  <c r="L33" i="272"/>
  <c r="L30" i="262" s="1"/>
  <c r="K102" i="262" s="1"/>
  <c r="H33" i="272"/>
  <c r="G33" i="272"/>
  <c r="F33" i="272"/>
  <c r="D33" i="272"/>
  <c r="AI32" i="272"/>
  <c r="AG32" i="272" s="1"/>
  <c r="AH32" i="272"/>
  <c r="AF32" i="272"/>
  <c r="L32" i="272"/>
  <c r="H32" i="272"/>
  <c r="G32" i="272"/>
  <c r="F32" i="272"/>
  <c r="D32" i="272"/>
  <c r="AI31" i="272"/>
  <c r="AG31" i="272" s="1"/>
  <c r="AH31" i="272"/>
  <c r="AF31" i="272"/>
  <c r="L31" i="272"/>
  <c r="AL31" i="272" s="1"/>
  <c r="H31" i="272"/>
  <c r="G31" i="272"/>
  <c r="F31" i="272"/>
  <c r="D31" i="272"/>
  <c r="AI30" i="272"/>
  <c r="AH30" i="272"/>
  <c r="AG30" i="272"/>
  <c r="AF30" i="272"/>
  <c r="L30" i="272"/>
  <c r="L27" i="262" s="1"/>
  <c r="K99" i="262" s="1"/>
  <c r="H30" i="272"/>
  <c r="G30" i="272"/>
  <c r="F30" i="272"/>
  <c r="D30" i="272"/>
  <c r="AI29" i="272"/>
  <c r="AG29" i="272" s="1"/>
  <c r="AH29" i="272"/>
  <c r="AF29" i="272"/>
  <c r="L29" i="272"/>
  <c r="AL29" i="272" s="1"/>
  <c r="H29" i="272"/>
  <c r="G29" i="272"/>
  <c r="F29" i="272"/>
  <c r="D29" i="272"/>
  <c r="AI28" i="272"/>
  <c r="AH28" i="272"/>
  <c r="AG28" i="272"/>
  <c r="AF28" i="272"/>
  <c r="L28" i="272"/>
  <c r="L25" i="262" s="1"/>
  <c r="K97" i="262" s="1"/>
  <c r="H28" i="272"/>
  <c r="G28" i="272"/>
  <c r="F28" i="272"/>
  <c r="D28" i="272"/>
  <c r="AI27" i="272"/>
  <c r="AG27" i="272" s="1"/>
  <c r="AH27" i="272"/>
  <c r="AF27" i="272"/>
  <c r="L27" i="272"/>
  <c r="AL27" i="272" s="1"/>
  <c r="H27" i="272"/>
  <c r="G27" i="272"/>
  <c r="F27" i="272"/>
  <c r="D27" i="272"/>
  <c r="AI26" i="272"/>
  <c r="AG26" i="272" s="1"/>
  <c r="AH26" i="272"/>
  <c r="AF26" i="272"/>
  <c r="L26" i="272"/>
  <c r="H26" i="272"/>
  <c r="G26" i="272"/>
  <c r="F26" i="272"/>
  <c r="D26" i="272"/>
  <c r="AI25" i="272"/>
  <c r="AG25" i="272" s="1"/>
  <c r="AH25" i="272"/>
  <c r="AF25" i="272"/>
  <c r="L25" i="272"/>
  <c r="AL25" i="272" s="1"/>
  <c r="H25" i="272"/>
  <c r="G25" i="272"/>
  <c r="F25" i="272"/>
  <c r="D25" i="272"/>
  <c r="AI24" i="272"/>
  <c r="AH24" i="272"/>
  <c r="AG24" i="272"/>
  <c r="AF24" i="272"/>
  <c r="L24" i="272"/>
  <c r="L21" i="262" s="1"/>
  <c r="K93" i="262" s="1"/>
  <c r="H24" i="272"/>
  <c r="G24" i="272"/>
  <c r="F24" i="272"/>
  <c r="D24" i="272"/>
  <c r="AI23" i="272"/>
  <c r="AG23" i="272" s="1"/>
  <c r="AH23" i="272"/>
  <c r="AF23" i="272"/>
  <c r="L23" i="272"/>
  <c r="L20" i="262" s="1"/>
  <c r="K92" i="262" s="1"/>
  <c r="H23" i="272"/>
  <c r="G23" i="272"/>
  <c r="F23" i="272"/>
  <c r="D23" i="272"/>
  <c r="AI22" i="272"/>
  <c r="AH22" i="272"/>
  <c r="AG22" i="272"/>
  <c r="AF22" i="272"/>
  <c r="L22" i="272"/>
  <c r="L19" i="262" s="1"/>
  <c r="K91" i="262" s="1"/>
  <c r="H22" i="272"/>
  <c r="G22" i="272"/>
  <c r="F22" i="272"/>
  <c r="D22" i="272"/>
  <c r="AI21" i="272"/>
  <c r="AG21" i="272" s="1"/>
  <c r="AH21" i="272"/>
  <c r="AF21" i="272"/>
  <c r="L21" i="272"/>
  <c r="I21" i="272"/>
  <c r="H21" i="272"/>
  <c r="G21" i="272"/>
  <c r="F21" i="272"/>
  <c r="D21" i="272"/>
  <c r="AI20" i="272"/>
  <c r="AG20" i="272" s="1"/>
  <c r="AH20" i="272"/>
  <c r="AF20" i="272"/>
  <c r="L20" i="272"/>
  <c r="AL20" i="272" s="1"/>
  <c r="H20" i="272"/>
  <c r="G20" i="272"/>
  <c r="F20" i="272"/>
  <c r="D20" i="272"/>
  <c r="AI19" i="272"/>
  <c r="AG19" i="272" s="1"/>
  <c r="AH19" i="272"/>
  <c r="AF19" i="272"/>
  <c r="L19" i="272"/>
  <c r="AL19" i="272" s="1"/>
  <c r="H19" i="272"/>
  <c r="G19" i="272"/>
  <c r="F19" i="272"/>
  <c r="D19" i="272"/>
  <c r="AI18" i="272"/>
  <c r="AH18" i="272"/>
  <c r="AG18" i="272"/>
  <c r="AF18" i="272"/>
  <c r="L18" i="272"/>
  <c r="AL18" i="272" s="1"/>
  <c r="H18" i="272"/>
  <c r="G18" i="272"/>
  <c r="F18" i="272"/>
  <c r="D18" i="272"/>
  <c r="AI17" i="272"/>
  <c r="AG17" i="272" s="1"/>
  <c r="AH17" i="272"/>
  <c r="AF17" i="272"/>
  <c r="L17" i="272"/>
  <c r="AL17" i="272" s="1"/>
  <c r="H17" i="272"/>
  <c r="G17" i="272"/>
  <c r="F17" i="272"/>
  <c r="D17" i="272"/>
  <c r="AI16" i="272"/>
  <c r="AH16" i="272"/>
  <c r="AG16" i="272"/>
  <c r="AF16" i="272"/>
  <c r="L16" i="272"/>
  <c r="AL16" i="272" s="1"/>
  <c r="AI15" i="272"/>
  <c r="AG15" i="272" s="1"/>
  <c r="AH15" i="272"/>
  <c r="AF15" i="272"/>
  <c r="L15" i="272"/>
  <c r="L12" i="262" s="1"/>
  <c r="K84" i="262" s="1"/>
  <c r="AI14" i="272"/>
  <c r="AG14" i="272" s="1"/>
  <c r="AH14" i="272"/>
  <c r="AF14" i="272"/>
  <c r="L14" i="272"/>
  <c r="L11" i="262" s="1"/>
  <c r="K83" i="262" s="1"/>
  <c r="AI13" i="272"/>
  <c r="AH13" i="272"/>
  <c r="AG13" i="272"/>
  <c r="AF13" i="272"/>
  <c r="L13" i="272"/>
  <c r="AL13" i="272" s="1"/>
  <c r="D13" i="272"/>
  <c r="F13" i="272" s="1"/>
  <c r="G13" i="272" s="1"/>
  <c r="C13" i="272"/>
  <c r="AI12" i="272"/>
  <c r="AH12" i="272"/>
  <c r="AG12" i="272"/>
  <c r="AF12" i="272"/>
  <c r="L12" i="272"/>
  <c r="L9" i="262" s="1"/>
  <c r="K81" i="262" s="1"/>
  <c r="D12" i="272"/>
  <c r="F12" i="272" s="1"/>
  <c r="G12" i="272" s="1"/>
  <c r="C12" i="272"/>
  <c r="AG11" i="272"/>
  <c r="L11" i="272"/>
  <c r="L8" i="262" s="1"/>
  <c r="K80" i="262" s="1"/>
  <c r="D11" i="272"/>
  <c r="F11" i="272" s="1"/>
  <c r="G11" i="272" s="1"/>
  <c r="C11" i="272"/>
  <c r="L10" i="272"/>
  <c r="L7" i="262" s="1"/>
  <c r="K79" i="262" s="1"/>
  <c r="D10" i="272"/>
  <c r="F10" i="272" s="1"/>
  <c r="G10" i="272" s="1"/>
  <c r="C10" i="272"/>
  <c r="L9" i="272"/>
  <c r="L6" i="262" s="1"/>
  <c r="K78" i="262" s="1"/>
  <c r="J9" i="272"/>
  <c r="J10" i="272" s="1"/>
  <c r="J11" i="272" s="1"/>
  <c r="D9" i="272"/>
  <c r="F9" i="272" s="1"/>
  <c r="G9" i="272" s="1"/>
  <c r="C9" i="272"/>
  <c r="N4" i="272"/>
  <c r="I3" i="272"/>
  <c r="D80" i="272" l="1"/>
  <c r="S64" i="272"/>
  <c r="T64" i="272" s="1"/>
  <c r="J15" i="273"/>
  <c r="AE14" i="273"/>
  <c r="M13" i="273"/>
  <c r="O13" i="273" s="1"/>
  <c r="S26" i="272"/>
  <c r="T26" i="272" s="1"/>
  <c r="S34" i="272"/>
  <c r="T34" i="272" s="1"/>
  <c r="S42" i="272"/>
  <c r="T42" i="272" s="1"/>
  <c r="S50" i="272"/>
  <c r="T50" i="272" s="1"/>
  <c r="S58" i="272"/>
  <c r="T58" i="272" s="1"/>
  <c r="S65" i="272"/>
  <c r="T65" i="272" s="1"/>
  <c r="L32" i="262"/>
  <c r="K104" i="262" s="1"/>
  <c r="L72" i="262"/>
  <c r="K144" i="262" s="1"/>
  <c r="L56" i="262"/>
  <c r="K128" i="262" s="1"/>
  <c r="L24" i="262"/>
  <c r="K96" i="262" s="1"/>
  <c r="S21" i="272"/>
  <c r="T21" i="272" s="1"/>
  <c r="L16" i="262"/>
  <c r="K88" i="262" s="1"/>
  <c r="S68" i="272"/>
  <c r="T68" i="272" s="1"/>
  <c r="S24" i="272"/>
  <c r="T24" i="272" s="1"/>
  <c r="S32" i="272"/>
  <c r="T32" i="272" s="1"/>
  <c r="S40" i="272"/>
  <c r="T40" i="272" s="1"/>
  <c r="S48" i="272"/>
  <c r="T48" i="272" s="1"/>
  <c r="S56" i="272"/>
  <c r="T56" i="272" s="1"/>
  <c r="L45" i="262"/>
  <c r="K117" i="262" s="1"/>
  <c r="L29" i="262"/>
  <c r="K101" i="262" s="1"/>
  <c r="L13" i="262"/>
  <c r="K85" i="262" s="1"/>
  <c r="L60" i="262"/>
  <c r="K132" i="262" s="1"/>
  <c r="L36" i="262"/>
  <c r="K108" i="262" s="1"/>
  <c r="L28" i="262"/>
  <c r="K100" i="262" s="1"/>
  <c r="L73" i="262"/>
  <c r="K145" i="262" s="1"/>
  <c r="L65" i="262"/>
  <c r="K137" i="262" s="1"/>
  <c r="L71" i="262"/>
  <c r="K143" i="262" s="1"/>
  <c r="L67" i="262"/>
  <c r="K139" i="262" s="1"/>
  <c r="L55" i="262"/>
  <c r="K127" i="262" s="1"/>
  <c r="L47" i="262"/>
  <c r="K119" i="262" s="1"/>
  <c r="L39" i="262"/>
  <c r="K111" i="262" s="1"/>
  <c r="L31" i="262"/>
  <c r="K103" i="262" s="1"/>
  <c r="L23" i="262"/>
  <c r="K95" i="262" s="1"/>
  <c r="L15" i="262"/>
  <c r="K87" i="262" s="1"/>
  <c r="L69" i="262"/>
  <c r="K141" i="262" s="1"/>
  <c r="L61" i="262"/>
  <c r="K133" i="262" s="1"/>
  <c r="L17" i="262"/>
  <c r="K89" i="262" s="1"/>
  <c r="L70" i="262"/>
  <c r="K142" i="262" s="1"/>
  <c r="L62" i="262"/>
  <c r="K134" i="262" s="1"/>
  <c r="L58" i="262"/>
  <c r="K130" i="262" s="1"/>
  <c r="L54" i="262"/>
  <c r="K126" i="262" s="1"/>
  <c r="L50" i="262"/>
  <c r="K122" i="262" s="1"/>
  <c r="L46" i="262"/>
  <c r="K118" i="262" s="1"/>
  <c r="L42" i="262"/>
  <c r="K114" i="262" s="1"/>
  <c r="L38" i="262"/>
  <c r="K110" i="262" s="1"/>
  <c r="L34" i="262"/>
  <c r="K106" i="262" s="1"/>
  <c r="L26" i="262"/>
  <c r="K98" i="262" s="1"/>
  <c r="L22" i="262"/>
  <c r="K94" i="262" s="1"/>
  <c r="L18" i="262"/>
  <c r="K90" i="262" s="1"/>
  <c r="L14" i="262"/>
  <c r="K86" i="262" s="1"/>
  <c r="L10" i="262"/>
  <c r="K82" i="262" s="1"/>
  <c r="S20" i="272"/>
  <c r="T20" i="272" s="1"/>
  <c r="S14" i="272"/>
  <c r="T14" i="272" s="1"/>
  <c r="S18" i="272"/>
  <c r="T18" i="272" s="1"/>
  <c r="S19" i="272"/>
  <c r="T19" i="272" s="1"/>
  <c r="S23" i="272"/>
  <c r="T23" i="272" s="1"/>
  <c r="S28" i="272"/>
  <c r="T28" i="272" s="1"/>
  <c r="S36" i="272"/>
  <c r="T36" i="272" s="1"/>
  <c r="S44" i="272"/>
  <c r="T44" i="272" s="1"/>
  <c r="S47" i="272"/>
  <c r="T47" i="272" s="1"/>
  <c r="S52" i="272"/>
  <c r="T52" i="272" s="1"/>
  <c r="S55" i="272"/>
  <c r="T55" i="272" s="1"/>
  <c r="S60" i="272"/>
  <c r="T60" i="272" s="1"/>
  <c r="S67" i="272"/>
  <c r="T67" i="272" s="1"/>
  <c r="S15" i="272"/>
  <c r="T15" i="272" s="1"/>
  <c r="S43" i="272"/>
  <c r="T43" i="272" s="1"/>
  <c r="S51" i="272"/>
  <c r="T51" i="272" s="1"/>
  <c r="S62" i="272"/>
  <c r="T62" i="272" s="1"/>
  <c r="S66" i="272"/>
  <c r="T66" i="272" s="1"/>
  <c r="S70" i="272"/>
  <c r="T70" i="272" s="1"/>
  <c r="S12" i="272"/>
  <c r="T12" i="272" s="1"/>
  <c r="S13" i="272"/>
  <c r="T13" i="272" s="1"/>
  <c r="S16" i="272"/>
  <c r="T16" i="272" s="1"/>
  <c r="S17" i="272"/>
  <c r="T17" i="272" s="1"/>
  <c r="S22" i="272"/>
  <c r="T22" i="272" s="1"/>
  <c r="S30" i="272"/>
  <c r="T30" i="272" s="1"/>
  <c r="S33" i="272"/>
  <c r="T33" i="272" s="1"/>
  <c r="S38" i="272"/>
  <c r="T38" i="272" s="1"/>
  <c r="S46" i="272"/>
  <c r="T46" i="272" s="1"/>
  <c r="S54" i="272"/>
  <c r="T54" i="272" s="1"/>
  <c r="S69" i="272"/>
  <c r="T69" i="272" s="1"/>
  <c r="H11" i="272"/>
  <c r="K4" i="272"/>
  <c r="H12" i="272"/>
  <c r="H10" i="272"/>
  <c r="H9" i="272"/>
  <c r="H13" i="272"/>
  <c r="J12" i="272"/>
  <c r="M10" i="272"/>
  <c r="O10" i="272" s="1"/>
  <c r="AL14" i="272"/>
  <c r="AL21" i="272"/>
  <c r="AL23" i="272"/>
  <c r="AL33" i="272"/>
  <c r="AL43" i="272"/>
  <c r="AL47" i="272"/>
  <c r="AL51" i="272"/>
  <c r="AL55" i="272"/>
  <c r="C66" i="272"/>
  <c r="AL67" i="272"/>
  <c r="AL69" i="272"/>
  <c r="M9" i="272"/>
  <c r="O9" i="272" s="1"/>
  <c r="AL15" i="272"/>
  <c r="S25" i="272"/>
  <c r="T25" i="272" s="1"/>
  <c r="S27" i="272"/>
  <c r="T27" i="272" s="1"/>
  <c r="S29" i="272"/>
  <c r="T29" i="272" s="1"/>
  <c r="S31" i="272"/>
  <c r="T31" i="272" s="1"/>
  <c r="S35" i="272"/>
  <c r="T35" i="272" s="1"/>
  <c r="S37" i="272"/>
  <c r="T37" i="272" s="1"/>
  <c r="S39" i="272"/>
  <c r="T39" i="272" s="1"/>
  <c r="S41" i="272"/>
  <c r="T41" i="272" s="1"/>
  <c r="S45" i="272"/>
  <c r="T45" i="272" s="1"/>
  <c r="S49" i="272"/>
  <c r="T49" i="272" s="1"/>
  <c r="S53" i="272"/>
  <c r="T53" i="272" s="1"/>
  <c r="S57" i="272"/>
  <c r="T57" i="272" s="1"/>
  <c r="S59" i="272"/>
  <c r="T59" i="272" s="1"/>
  <c r="S61" i="272"/>
  <c r="T61" i="272" s="1"/>
  <c r="S63" i="272"/>
  <c r="T63" i="272" s="1"/>
  <c r="E81" i="272"/>
  <c r="D94" i="272"/>
  <c r="AL12" i="272"/>
  <c r="AL22" i="272"/>
  <c r="AL24" i="272"/>
  <c r="AL26" i="272"/>
  <c r="AL28" i="272"/>
  <c r="AL30" i="272"/>
  <c r="AL32" i="272"/>
  <c r="AL34" i="272"/>
  <c r="AL36" i="272"/>
  <c r="AL38" i="272"/>
  <c r="AL40" i="272"/>
  <c r="AL42" i="272"/>
  <c r="AL44" i="272"/>
  <c r="AL46" i="272"/>
  <c r="AL48" i="272"/>
  <c r="AL50" i="272"/>
  <c r="AL52" i="272"/>
  <c r="AL54" i="272"/>
  <c r="AL56" i="272"/>
  <c r="AL58" i="272"/>
  <c r="AL60" i="272"/>
  <c r="AL62" i="272"/>
  <c r="AL64" i="272"/>
  <c r="F65" i="272"/>
  <c r="G65" i="272" s="1"/>
  <c r="H65" i="272" s="1"/>
  <c r="AL65" i="272"/>
  <c r="F66" i="272"/>
  <c r="G66" i="272" s="1"/>
  <c r="AL66" i="272"/>
  <c r="AL68" i="272"/>
  <c r="AL71" i="272"/>
  <c r="D81" i="272"/>
  <c r="E93" i="272"/>
  <c r="E94" i="272"/>
  <c r="F139" i="270"/>
  <c r="E139" i="270"/>
  <c r="F138" i="270"/>
  <c r="E138" i="270"/>
  <c r="F137" i="270"/>
  <c r="E137" i="270"/>
  <c r="F136" i="270"/>
  <c r="E136" i="270"/>
  <c r="F135" i="270"/>
  <c r="E135" i="270"/>
  <c r="F134" i="270"/>
  <c r="E134" i="270"/>
  <c r="F133" i="270"/>
  <c r="E133" i="270"/>
  <c r="F132" i="270"/>
  <c r="E132" i="270"/>
  <c r="M107" i="270"/>
  <c r="O107" i="270" s="1"/>
  <c r="L107" i="270"/>
  <c r="L106" i="270"/>
  <c r="L105" i="270"/>
  <c r="L104" i="270"/>
  <c r="L103" i="270"/>
  <c r="L102" i="270"/>
  <c r="L101" i="270"/>
  <c r="L100" i="270"/>
  <c r="L99" i="270"/>
  <c r="L98" i="270"/>
  <c r="L97" i="270"/>
  <c r="L96" i="270"/>
  <c r="L95" i="270"/>
  <c r="L94" i="270"/>
  <c r="L93" i="270"/>
  <c r="D94" i="270"/>
  <c r="E93" i="270"/>
  <c r="D93" i="270" a="1"/>
  <c r="D93" i="270" s="1"/>
  <c r="L92" i="270"/>
  <c r="L91" i="270"/>
  <c r="L90" i="270"/>
  <c r="L89" i="270"/>
  <c r="L88" i="270"/>
  <c r="L87" i="270"/>
  <c r="L86" i="270"/>
  <c r="L85" i="270"/>
  <c r="L84" i="270"/>
  <c r="L83" i="270"/>
  <c r="L82" i="270"/>
  <c r="L81" i="270"/>
  <c r="L80" i="270"/>
  <c r="D80" i="270" a="1"/>
  <c r="L79" i="270"/>
  <c r="L78" i="270"/>
  <c r="L77" i="270"/>
  <c r="M74" i="262" s="1"/>
  <c r="AI76" i="270"/>
  <c r="AG76" i="270" s="1"/>
  <c r="AH76" i="270"/>
  <c r="AF76" i="270"/>
  <c r="L76" i="270"/>
  <c r="AI75" i="270"/>
  <c r="AG75" i="270" s="1"/>
  <c r="AH75" i="270"/>
  <c r="AF75" i="270"/>
  <c r="L75" i="270"/>
  <c r="AI74" i="270"/>
  <c r="AG74" i="270" s="1"/>
  <c r="AH74" i="270"/>
  <c r="AF74" i="270"/>
  <c r="L74" i="270"/>
  <c r="AI73" i="270"/>
  <c r="AG73" i="270" s="1"/>
  <c r="AH73" i="270"/>
  <c r="AF73" i="270"/>
  <c r="L73" i="270"/>
  <c r="AI72" i="270"/>
  <c r="AG72" i="270" s="1"/>
  <c r="AH72" i="270"/>
  <c r="AF72" i="270"/>
  <c r="L72" i="270"/>
  <c r="AI71" i="270"/>
  <c r="AG71" i="270" s="1"/>
  <c r="AH71" i="270"/>
  <c r="AF71" i="270"/>
  <c r="L71" i="270"/>
  <c r="AI70" i="270"/>
  <c r="AG70" i="270" s="1"/>
  <c r="AH70" i="270"/>
  <c r="AF70" i="270"/>
  <c r="L70" i="270"/>
  <c r="M67" i="262" s="1"/>
  <c r="L139" i="262" s="1"/>
  <c r="AI69" i="270"/>
  <c r="AG69" i="270" s="1"/>
  <c r="AH69" i="270"/>
  <c r="AF69" i="270"/>
  <c r="L69" i="270"/>
  <c r="AI68" i="270"/>
  <c r="AG68" i="270" s="1"/>
  <c r="AH68" i="270"/>
  <c r="AF68" i="270"/>
  <c r="L68" i="270"/>
  <c r="M65" i="262" s="1"/>
  <c r="L137" i="262" s="1"/>
  <c r="AI67" i="270"/>
  <c r="AH67" i="270"/>
  <c r="AG67" i="270"/>
  <c r="AF67" i="270"/>
  <c r="L67" i="270"/>
  <c r="AI66" i="270"/>
  <c r="AG66" i="270" s="1"/>
  <c r="AH66" i="270"/>
  <c r="AF66" i="270"/>
  <c r="L66" i="270"/>
  <c r="M63" i="262" s="1"/>
  <c r="L135" i="262" s="1"/>
  <c r="B66" i="270"/>
  <c r="AI65" i="270"/>
  <c r="AG65" i="270" s="1"/>
  <c r="AH65" i="270"/>
  <c r="AF65" i="270"/>
  <c r="L65" i="270"/>
  <c r="M62" i="262" s="1"/>
  <c r="L134" i="262" s="1"/>
  <c r="C65" i="270"/>
  <c r="C66" i="270" s="1"/>
  <c r="B65" i="270"/>
  <c r="AI64" i="270"/>
  <c r="AG64" i="270" s="1"/>
  <c r="AH64" i="270"/>
  <c r="AF64" i="270"/>
  <c r="L64" i="270"/>
  <c r="H64" i="270"/>
  <c r="G64" i="270"/>
  <c r="F64" i="270"/>
  <c r="D64" i="270"/>
  <c r="AI63" i="270"/>
  <c r="AH63" i="270"/>
  <c r="AG63" i="270"/>
  <c r="AF63" i="270"/>
  <c r="L63" i="270"/>
  <c r="H63" i="270"/>
  <c r="G63" i="270"/>
  <c r="F63" i="270"/>
  <c r="D63" i="270"/>
  <c r="AI62" i="270"/>
  <c r="AG62" i="270" s="1"/>
  <c r="AH62" i="270"/>
  <c r="AF62" i="270"/>
  <c r="L62" i="270"/>
  <c r="M59" i="262" s="1"/>
  <c r="L131" i="262" s="1"/>
  <c r="H62" i="270"/>
  <c r="G62" i="270"/>
  <c r="F62" i="270"/>
  <c r="D62" i="270"/>
  <c r="AI61" i="270"/>
  <c r="AG61" i="270" s="1"/>
  <c r="AH61" i="270"/>
  <c r="AF61" i="270"/>
  <c r="L61" i="270"/>
  <c r="H61" i="270"/>
  <c r="G61" i="270"/>
  <c r="F61" i="270"/>
  <c r="D61" i="270"/>
  <c r="AI60" i="270"/>
  <c r="AG60" i="270" s="1"/>
  <c r="AH60" i="270"/>
  <c r="AF60" i="270"/>
  <c r="L60" i="270"/>
  <c r="M57" i="262" s="1"/>
  <c r="L129" i="262" s="1"/>
  <c r="H60" i="270"/>
  <c r="G60" i="270"/>
  <c r="F60" i="270"/>
  <c r="D60" i="270"/>
  <c r="AI59" i="270"/>
  <c r="AH59" i="270"/>
  <c r="AG59" i="270"/>
  <c r="AF59" i="270"/>
  <c r="L59" i="270"/>
  <c r="H59" i="270"/>
  <c r="G59" i="270"/>
  <c r="F59" i="270"/>
  <c r="D59" i="270"/>
  <c r="AI58" i="270"/>
  <c r="AG58" i="270" s="1"/>
  <c r="AH58" i="270"/>
  <c r="AF58" i="270"/>
  <c r="L58" i="270"/>
  <c r="M55" i="262" s="1"/>
  <c r="L127" i="262" s="1"/>
  <c r="H58" i="270"/>
  <c r="G58" i="270"/>
  <c r="F58" i="270"/>
  <c r="D58" i="270"/>
  <c r="AI57" i="270"/>
  <c r="AH57" i="270"/>
  <c r="AG57" i="270"/>
  <c r="AF57" i="270"/>
  <c r="L57" i="270"/>
  <c r="H57" i="270"/>
  <c r="G57" i="270"/>
  <c r="F57" i="270"/>
  <c r="D57" i="270"/>
  <c r="AI56" i="270"/>
  <c r="AG56" i="270" s="1"/>
  <c r="AH56" i="270"/>
  <c r="AF56" i="270"/>
  <c r="L56" i="270"/>
  <c r="M53" i="262" s="1"/>
  <c r="L125" i="262" s="1"/>
  <c r="H56" i="270"/>
  <c r="G56" i="270"/>
  <c r="F56" i="270"/>
  <c r="D56" i="270"/>
  <c r="AI55" i="270"/>
  <c r="AG55" i="270" s="1"/>
  <c r="AH55" i="270"/>
  <c r="AF55" i="270"/>
  <c r="L55" i="270"/>
  <c r="H55" i="270"/>
  <c r="G55" i="270"/>
  <c r="F55" i="270"/>
  <c r="D55" i="270"/>
  <c r="AI54" i="270"/>
  <c r="AG54" i="270" s="1"/>
  <c r="AH54" i="270"/>
  <c r="AF54" i="270"/>
  <c r="L54" i="270"/>
  <c r="M51" i="262" s="1"/>
  <c r="L123" i="262" s="1"/>
  <c r="H54" i="270"/>
  <c r="G54" i="270"/>
  <c r="F54" i="270"/>
  <c r="D54" i="270"/>
  <c r="AI53" i="270"/>
  <c r="AH53" i="270"/>
  <c r="AG53" i="270"/>
  <c r="AF53" i="270"/>
  <c r="L53" i="270"/>
  <c r="H53" i="270"/>
  <c r="G53" i="270"/>
  <c r="F53" i="270"/>
  <c r="D53" i="270"/>
  <c r="AI52" i="270"/>
  <c r="AG52" i="270" s="1"/>
  <c r="AH52" i="270"/>
  <c r="AF52" i="270"/>
  <c r="L52" i="270"/>
  <c r="M49" i="262" s="1"/>
  <c r="L121" i="262" s="1"/>
  <c r="H52" i="270"/>
  <c r="G52" i="270"/>
  <c r="F52" i="270"/>
  <c r="D52" i="270"/>
  <c r="AI51" i="270"/>
  <c r="AH51" i="270"/>
  <c r="AG51" i="270"/>
  <c r="AF51" i="270"/>
  <c r="L51" i="270"/>
  <c r="H51" i="270"/>
  <c r="G51" i="270"/>
  <c r="F51" i="270"/>
  <c r="D51" i="270"/>
  <c r="AI50" i="270"/>
  <c r="AG50" i="270" s="1"/>
  <c r="AH50" i="270"/>
  <c r="AF50" i="270"/>
  <c r="L50" i="270"/>
  <c r="M47" i="262" s="1"/>
  <c r="L119" i="262" s="1"/>
  <c r="H50" i="270"/>
  <c r="G50" i="270"/>
  <c r="F50" i="270"/>
  <c r="D50" i="270"/>
  <c r="AI49" i="270"/>
  <c r="AG49" i="270" s="1"/>
  <c r="AH49" i="270"/>
  <c r="AF49" i="270"/>
  <c r="L49" i="270"/>
  <c r="H49" i="270"/>
  <c r="G49" i="270"/>
  <c r="F49" i="270"/>
  <c r="D49" i="270"/>
  <c r="AI48" i="270"/>
  <c r="AG48" i="270" s="1"/>
  <c r="AH48" i="270"/>
  <c r="AF48" i="270"/>
  <c r="L48" i="270"/>
  <c r="M45" i="262" s="1"/>
  <c r="L117" i="262" s="1"/>
  <c r="H48" i="270"/>
  <c r="G48" i="270"/>
  <c r="F48" i="270"/>
  <c r="D48" i="270"/>
  <c r="AI47" i="270"/>
  <c r="AH47" i="270"/>
  <c r="AG47" i="270"/>
  <c r="AF47" i="270"/>
  <c r="L47" i="270"/>
  <c r="H47" i="270"/>
  <c r="G47" i="270"/>
  <c r="F47" i="270"/>
  <c r="D47" i="270"/>
  <c r="AI46" i="270"/>
  <c r="AG46" i="270" s="1"/>
  <c r="AH46" i="270"/>
  <c r="AF46" i="270"/>
  <c r="L46" i="270"/>
  <c r="M43" i="262" s="1"/>
  <c r="L115" i="262" s="1"/>
  <c r="H46" i="270"/>
  <c r="G46" i="270"/>
  <c r="F46" i="270"/>
  <c r="D46" i="270"/>
  <c r="AI45" i="270"/>
  <c r="AH45" i="270"/>
  <c r="AG45" i="270"/>
  <c r="AF45" i="270"/>
  <c r="L45" i="270"/>
  <c r="H45" i="270"/>
  <c r="G45" i="270"/>
  <c r="F45" i="270"/>
  <c r="D45" i="270"/>
  <c r="AI44" i="270"/>
  <c r="AG44" i="270" s="1"/>
  <c r="AH44" i="270"/>
  <c r="AF44" i="270"/>
  <c r="L44" i="270"/>
  <c r="M41" i="262" s="1"/>
  <c r="L113" i="262" s="1"/>
  <c r="H44" i="270"/>
  <c r="G44" i="270"/>
  <c r="F44" i="270"/>
  <c r="D44" i="270"/>
  <c r="AI43" i="270"/>
  <c r="AH43" i="270"/>
  <c r="AG43" i="270"/>
  <c r="AF43" i="270"/>
  <c r="L43" i="270"/>
  <c r="H43" i="270"/>
  <c r="G43" i="270"/>
  <c r="F43" i="270"/>
  <c r="D43" i="270"/>
  <c r="AI42" i="270"/>
  <c r="AG42" i="270" s="1"/>
  <c r="AH42" i="270"/>
  <c r="AF42" i="270"/>
  <c r="L42" i="270"/>
  <c r="M39" i="262" s="1"/>
  <c r="L111" i="262" s="1"/>
  <c r="H42" i="270"/>
  <c r="G42" i="270"/>
  <c r="F42" i="270"/>
  <c r="D42" i="270"/>
  <c r="AI41" i="270"/>
  <c r="AH41" i="270"/>
  <c r="AG41" i="270"/>
  <c r="AF41" i="270"/>
  <c r="L41" i="270"/>
  <c r="H41" i="270"/>
  <c r="G41" i="270"/>
  <c r="F41" i="270"/>
  <c r="D41" i="270"/>
  <c r="AI40" i="270"/>
  <c r="AG40" i="270" s="1"/>
  <c r="AH40" i="270"/>
  <c r="AF40" i="270"/>
  <c r="L40" i="270"/>
  <c r="M37" i="262" s="1"/>
  <c r="L109" i="262" s="1"/>
  <c r="H40" i="270"/>
  <c r="G40" i="270"/>
  <c r="F40" i="270"/>
  <c r="D40" i="270"/>
  <c r="AI39" i="270"/>
  <c r="AH39" i="270"/>
  <c r="AG39" i="270"/>
  <c r="AF39" i="270"/>
  <c r="L39" i="270"/>
  <c r="H39" i="270"/>
  <c r="G39" i="270"/>
  <c r="F39" i="270"/>
  <c r="D39" i="270"/>
  <c r="AI38" i="270"/>
  <c r="AG38" i="270" s="1"/>
  <c r="AH38" i="270"/>
  <c r="AF38" i="270"/>
  <c r="L38" i="270"/>
  <c r="M35" i="262" s="1"/>
  <c r="L107" i="262" s="1"/>
  <c r="H38" i="270"/>
  <c r="G38" i="270"/>
  <c r="F38" i="270"/>
  <c r="D38" i="270"/>
  <c r="AI37" i="270"/>
  <c r="AH37" i="270"/>
  <c r="AG37" i="270"/>
  <c r="AF37" i="270"/>
  <c r="L37" i="270"/>
  <c r="H37" i="270"/>
  <c r="G37" i="270"/>
  <c r="F37" i="270"/>
  <c r="D37" i="270"/>
  <c r="AI36" i="270"/>
  <c r="AG36" i="270" s="1"/>
  <c r="AH36" i="270"/>
  <c r="AF36" i="270"/>
  <c r="L36" i="270"/>
  <c r="M33" i="262" s="1"/>
  <c r="L105" i="262" s="1"/>
  <c r="H36" i="270"/>
  <c r="G36" i="270"/>
  <c r="F36" i="270"/>
  <c r="D36" i="270"/>
  <c r="AI35" i="270"/>
  <c r="AG35" i="270" s="1"/>
  <c r="AH35" i="270"/>
  <c r="AF35" i="270"/>
  <c r="L35" i="270"/>
  <c r="H35" i="270"/>
  <c r="G35" i="270"/>
  <c r="F35" i="270"/>
  <c r="D35" i="270"/>
  <c r="AI34" i="270"/>
  <c r="AG34" i="270" s="1"/>
  <c r="AH34" i="270"/>
  <c r="AF34" i="270"/>
  <c r="L34" i="270"/>
  <c r="M31" i="262" s="1"/>
  <c r="L103" i="262" s="1"/>
  <c r="H34" i="270"/>
  <c r="G34" i="270"/>
  <c r="F34" i="270"/>
  <c r="D34" i="270"/>
  <c r="AI33" i="270"/>
  <c r="AH33" i="270"/>
  <c r="AG33" i="270"/>
  <c r="AF33" i="270"/>
  <c r="L33" i="270"/>
  <c r="H33" i="270"/>
  <c r="G33" i="270"/>
  <c r="F33" i="270"/>
  <c r="D33" i="270"/>
  <c r="AI32" i="270"/>
  <c r="AG32" i="270" s="1"/>
  <c r="AH32" i="270"/>
  <c r="AF32" i="270"/>
  <c r="L32" i="270"/>
  <c r="M29" i="262" s="1"/>
  <c r="L101" i="262" s="1"/>
  <c r="H32" i="270"/>
  <c r="G32" i="270"/>
  <c r="F32" i="270"/>
  <c r="D32" i="270"/>
  <c r="AI31" i="270"/>
  <c r="AH31" i="270"/>
  <c r="AG31" i="270"/>
  <c r="AF31" i="270"/>
  <c r="L31" i="270"/>
  <c r="H31" i="270"/>
  <c r="G31" i="270"/>
  <c r="F31" i="270"/>
  <c r="D31" i="270"/>
  <c r="AI30" i="270"/>
  <c r="AG30" i="270" s="1"/>
  <c r="AH30" i="270"/>
  <c r="AF30" i="270"/>
  <c r="L30" i="270"/>
  <c r="M27" i="262" s="1"/>
  <c r="L99" i="262" s="1"/>
  <c r="H30" i="270"/>
  <c r="G30" i="270"/>
  <c r="F30" i="270"/>
  <c r="D30" i="270"/>
  <c r="AI29" i="270"/>
  <c r="AG29" i="270" s="1"/>
  <c r="AH29" i="270"/>
  <c r="AF29" i="270"/>
  <c r="L29" i="270"/>
  <c r="H29" i="270"/>
  <c r="G29" i="270"/>
  <c r="F29" i="270"/>
  <c r="D29" i="270"/>
  <c r="AI28" i="270"/>
  <c r="AG28" i="270" s="1"/>
  <c r="AH28" i="270"/>
  <c r="AF28" i="270"/>
  <c r="L28" i="270"/>
  <c r="M25" i="262" s="1"/>
  <c r="L97" i="262" s="1"/>
  <c r="H28" i="270"/>
  <c r="G28" i="270"/>
  <c r="F28" i="270"/>
  <c r="D28" i="270"/>
  <c r="AI27" i="270"/>
  <c r="AH27" i="270"/>
  <c r="AG27" i="270"/>
  <c r="AF27" i="270"/>
  <c r="L27" i="270"/>
  <c r="H27" i="270"/>
  <c r="G27" i="270"/>
  <c r="F27" i="270"/>
  <c r="D27" i="270"/>
  <c r="AI26" i="270"/>
  <c r="AG26" i="270" s="1"/>
  <c r="AH26" i="270"/>
  <c r="AF26" i="270"/>
  <c r="L26" i="270"/>
  <c r="M23" i="262" s="1"/>
  <c r="L95" i="262" s="1"/>
  <c r="H26" i="270"/>
  <c r="G26" i="270"/>
  <c r="F26" i="270"/>
  <c r="D26" i="270"/>
  <c r="AI25" i="270"/>
  <c r="AH25" i="270"/>
  <c r="AG25" i="270"/>
  <c r="AF25" i="270"/>
  <c r="L25" i="270"/>
  <c r="H25" i="270"/>
  <c r="G25" i="270"/>
  <c r="F25" i="270"/>
  <c r="D25" i="270"/>
  <c r="AI24" i="270"/>
  <c r="AG24" i="270" s="1"/>
  <c r="AH24" i="270"/>
  <c r="AF24" i="270"/>
  <c r="L24" i="270"/>
  <c r="M21" i="262" s="1"/>
  <c r="L93" i="262" s="1"/>
  <c r="H24" i="270"/>
  <c r="G24" i="270"/>
  <c r="F24" i="270"/>
  <c r="D24" i="270"/>
  <c r="AI23" i="270"/>
  <c r="AG23" i="270" s="1"/>
  <c r="AH23" i="270"/>
  <c r="AF23" i="270"/>
  <c r="L23" i="270"/>
  <c r="H23" i="270"/>
  <c r="G23" i="270"/>
  <c r="F23" i="270"/>
  <c r="D23" i="270"/>
  <c r="AI22" i="270"/>
  <c r="AG22" i="270" s="1"/>
  <c r="AH22" i="270"/>
  <c r="AF22" i="270"/>
  <c r="L22" i="270"/>
  <c r="M19" i="262" s="1"/>
  <c r="L91" i="262" s="1"/>
  <c r="H22" i="270"/>
  <c r="G22" i="270"/>
  <c r="F22" i="270"/>
  <c r="D22" i="270"/>
  <c r="AI21" i="270"/>
  <c r="AH21" i="270"/>
  <c r="AG21" i="270"/>
  <c r="AF21" i="270"/>
  <c r="L21" i="270"/>
  <c r="I21" i="270"/>
  <c r="H21" i="270"/>
  <c r="G21" i="270"/>
  <c r="F21" i="270"/>
  <c r="D21" i="270"/>
  <c r="AI20" i="270"/>
  <c r="AG20" i="270" s="1"/>
  <c r="AH20" i="270"/>
  <c r="AF20" i="270"/>
  <c r="L20" i="270"/>
  <c r="H20" i="270"/>
  <c r="G20" i="270"/>
  <c r="F20" i="270"/>
  <c r="D20" i="270"/>
  <c r="AI19" i="270"/>
  <c r="AH19" i="270"/>
  <c r="AG19" i="270"/>
  <c r="AF19" i="270"/>
  <c r="L19" i="270"/>
  <c r="M16" i="262" s="1"/>
  <c r="L88" i="262" s="1"/>
  <c r="H19" i="270"/>
  <c r="G19" i="270"/>
  <c r="F19" i="270"/>
  <c r="D19" i="270"/>
  <c r="AI18" i="270"/>
  <c r="AG18" i="270" s="1"/>
  <c r="AH18" i="270"/>
  <c r="AF18" i="270"/>
  <c r="L18" i="270"/>
  <c r="H18" i="270"/>
  <c r="G18" i="270"/>
  <c r="F18" i="270"/>
  <c r="D18" i="270"/>
  <c r="AI17" i="270"/>
  <c r="AG17" i="270" s="1"/>
  <c r="AH17" i="270"/>
  <c r="AF17" i="270"/>
  <c r="L17" i="270"/>
  <c r="M14" i="262" s="1"/>
  <c r="L86" i="262" s="1"/>
  <c r="H17" i="270"/>
  <c r="G17" i="270"/>
  <c r="F17" i="270"/>
  <c r="D17" i="270"/>
  <c r="AI16" i="270"/>
  <c r="AG16" i="270" s="1"/>
  <c r="AH16" i="270"/>
  <c r="AF16" i="270"/>
  <c r="L16" i="270"/>
  <c r="AI15" i="270"/>
  <c r="AG15" i="270" s="1"/>
  <c r="AH15" i="270"/>
  <c r="AF15" i="270"/>
  <c r="L15" i="270"/>
  <c r="M12" i="262" s="1"/>
  <c r="L84" i="262" s="1"/>
  <c r="AI14" i="270"/>
  <c r="AH14" i="270"/>
  <c r="AG14" i="270"/>
  <c r="AF14" i="270"/>
  <c r="L14" i="270"/>
  <c r="D14" i="270"/>
  <c r="F14" i="270" s="1"/>
  <c r="G14" i="270" s="1"/>
  <c r="C14" i="270"/>
  <c r="AI13" i="270"/>
  <c r="AG13" i="270" s="1"/>
  <c r="AH13" i="270"/>
  <c r="AF13" i="270"/>
  <c r="L13" i="270"/>
  <c r="D13" i="270"/>
  <c r="F13" i="270" s="1"/>
  <c r="G13" i="270" s="1"/>
  <c r="C13" i="270"/>
  <c r="AI12" i="270"/>
  <c r="AG12" i="270" s="1"/>
  <c r="AH12" i="270"/>
  <c r="AF12" i="270"/>
  <c r="L12" i="270"/>
  <c r="M9" i="262" s="1"/>
  <c r="L81" i="262" s="1"/>
  <c r="D12" i="270"/>
  <c r="F12" i="270" s="1"/>
  <c r="G12" i="270" s="1"/>
  <c r="C12" i="270"/>
  <c r="AG11" i="270"/>
  <c r="L11" i="270"/>
  <c r="M8" i="262" s="1"/>
  <c r="L80" i="262" s="1"/>
  <c r="D11" i="270"/>
  <c r="F11" i="270" s="1"/>
  <c r="G11" i="270" s="1"/>
  <c r="C11" i="270"/>
  <c r="L10" i="270"/>
  <c r="M7" i="262" s="1"/>
  <c r="L79" i="262" s="1"/>
  <c r="F10" i="270"/>
  <c r="G10" i="270" s="1"/>
  <c r="D10" i="270"/>
  <c r="C10" i="270"/>
  <c r="L9" i="270"/>
  <c r="M6" i="262" s="1"/>
  <c r="L78" i="262" s="1"/>
  <c r="J9" i="270"/>
  <c r="J10" i="270" s="1"/>
  <c r="D9" i="270"/>
  <c r="F9" i="270" s="1"/>
  <c r="G9" i="270" s="1"/>
  <c r="C9" i="270"/>
  <c r="N4" i="270"/>
  <c r="I3" i="270"/>
  <c r="F139" i="269"/>
  <c r="E139" i="269"/>
  <c r="F138" i="269"/>
  <c r="E138" i="269"/>
  <c r="F137" i="269"/>
  <c r="E137" i="269"/>
  <c r="F136" i="269"/>
  <c r="E136" i="269"/>
  <c r="F135" i="269"/>
  <c r="E135" i="269"/>
  <c r="F134" i="269"/>
  <c r="E134" i="269"/>
  <c r="F133" i="269"/>
  <c r="E133" i="269"/>
  <c r="F132" i="269"/>
  <c r="E132" i="269"/>
  <c r="M107" i="269"/>
  <c r="O107" i="269" s="1"/>
  <c r="L107" i="269"/>
  <c r="L106" i="269"/>
  <c r="L105" i="269"/>
  <c r="L104" i="269"/>
  <c r="L103" i="269"/>
  <c r="L102" i="269"/>
  <c r="L101" i="269"/>
  <c r="L100" i="269"/>
  <c r="L99" i="269"/>
  <c r="L98" i="269"/>
  <c r="L97" i="269"/>
  <c r="L96" i="269"/>
  <c r="L95" i="269"/>
  <c r="L94" i="269"/>
  <c r="L93" i="269"/>
  <c r="D93" i="269" a="1"/>
  <c r="D93" i="269" s="1"/>
  <c r="L92" i="269"/>
  <c r="L91" i="269"/>
  <c r="L90" i="269"/>
  <c r="L89" i="269"/>
  <c r="L88" i="269"/>
  <c r="L87" i="269"/>
  <c r="L86" i="269"/>
  <c r="L85" i="269"/>
  <c r="L84" i="269"/>
  <c r="L83" i="269"/>
  <c r="L82" i="269"/>
  <c r="L81" i="269"/>
  <c r="L80" i="269"/>
  <c r="D80" i="269" a="1"/>
  <c r="E80" i="269" s="1"/>
  <c r="L79" i="269"/>
  <c r="L78" i="269"/>
  <c r="L77" i="269"/>
  <c r="N74" i="262" s="1"/>
  <c r="AI76" i="269"/>
  <c r="AG76" i="269" s="1"/>
  <c r="AH76" i="269"/>
  <c r="AF76" i="269"/>
  <c r="L76" i="269"/>
  <c r="AI75" i="269"/>
  <c r="AG75" i="269" s="1"/>
  <c r="AH75" i="269"/>
  <c r="AF75" i="269"/>
  <c r="L75" i="269"/>
  <c r="AI74" i="269"/>
  <c r="AG74" i="269" s="1"/>
  <c r="AH74" i="269"/>
  <c r="AF74" i="269"/>
  <c r="L74" i="269"/>
  <c r="AI73" i="269"/>
  <c r="AG73" i="269" s="1"/>
  <c r="AH73" i="269"/>
  <c r="AF73" i="269"/>
  <c r="L73" i="269"/>
  <c r="AI72" i="269"/>
  <c r="AG72" i="269" s="1"/>
  <c r="AH72" i="269"/>
  <c r="AF72" i="269"/>
  <c r="L72" i="269"/>
  <c r="AI71" i="269"/>
  <c r="AG71" i="269" s="1"/>
  <c r="AH71" i="269"/>
  <c r="AF71" i="269"/>
  <c r="L71" i="269"/>
  <c r="N68" i="262" s="1"/>
  <c r="M140" i="262" s="1"/>
  <c r="AI70" i="269"/>
  <c r="AG70" i="269" s="1"/>
  <c r="AH70" i="269"/>
  <c r="AF70" i="269"/>
  <c r="L70" i="269"/>
  <c r="AI69" i="269"/>
  <c r="AG69" i="269" s="1"/>
  <c r="AH69" i="269"/>
  <c r="AF69" i="269"/>
  <c r="L69" i="269"/>
  <c r="N66" i="262" s="1"/>
  <c r="M138" i="262" s="1"/>
  <c r="AI68" i="269"/>
  <c r="AG68" i="269" s="1"/>
  <c r="AH68" i="269"/>
  <c r="AF68" i="269"/>
  <c r="L68" i="269"/>
  <c r="AI67" i="269"/>
  <c r="AH67" i="269"/>
  <c r="AG67" i="269"/>
  <c r="AF67" i="269"/>
  <c r="L67" i="269"/>
  <c r="N64" i="262" s="1"/>
  <c r="M136" i="262" s="1"/>
  <c r="AI66" i="269"/>
  <c r="AG66" i="269" s="1"/>
  <c r="AH66" i="269"/>
  <c r="AF66" i="269"/>
  <c r="L66" i="269"/>
  <c r="B66" i="269"/>
  <c r="D66" i="269" s="1"/>
  <c r="AI65" i="269"/>
  <c r="AG65" i="269" s="1"/>
  <c r="AH65" i="269"/>
  <c r="AF65" i="269"/>
  <c r="L65" i="269"/>
  <c r="C65" i="269"/>
  <c r="C66" i="269" s="1"/>
  <c r="B65" i="269"/>
  <c r="D65" i="269" s="1"/>
  <c r="AI64" i="269"/>
  <c r="AG64" i="269" s="1"/>
  <c r="AH64" i="269"/>
  <c r="AF64" i="269"/>
  <c r="L64" i="269"/>
  <c r="H64" i="269"/>
  <c r="G64" i="269"/>
  <c r="F64" i="269"/>
  <c r="D64" i="269"/>
  <c r="AI63" i="269"/>
  <c r="AH63" i="269"/>
  <c r="AG63" i="269"/>
  <c r="AF63" i="269"/>
  <c r="L63" i="269"/>
  <c r="N60" i="262" s="1"/>
  <c r="M132" i="262" s="1"/>
  <c r="H63" i="269"/>
  <c r="G63" i="269"/>
  <c r="F63" i="269"/>
  <c r="D63" i="269"/>
  <c r="AI62" i="269"/>
  <c r="AG62" i="269" s="1"/>
  <c r="AH62" i="269"/>
  <c r="AF62" i="269"/>
  <c r="L62" i="269"/>
  <c r="N59" i="262" s="1"/>
  <c r="M131" i="262" s="1"/>
  <c r="H62" i="269"/>
  <c r="G62" i="269"/>
  <c r="F62" i="269"/>
  <c r="D62" i="269"/>
  <c r="AI61" i="269"/>
  <c r="AG61" i="269" s="1"/>
  <c r="AH61" i="269"/>
  <c r="AF61" i="269"/>
  <c r="L61" i="269"/>
  <c r="N58" i="262" s="1"/>
  <c r="M130" i="262" s="1"/>
  <c r="H61" i="269"/>
  <c r="G61" i="269"/>
  <c r="F61" i="269"/>
  <c r="D61" i="269"/>
  <c r="AI60" i="269"/>
  <c r="AG60" i="269" s="1"/>
  <c r="AH60" i="269"/>
  <c r="AF60" i="269"/>
  <c r="L60" i="269"/>
  <c r="N57" i="262" s="1"/>
  <c r="M129" i="262" s="1"/>
  <c r="H60" i="269"/>
  <c r="G60" i="269"/>
  <c r="F60" i="269"/>
  <c r="D60" i="269"/>
  <c r="AI59" i="269"/>
  <c r="AH59" i="269"/>
  <c r="AG59" i="269"/>
  <c r="AF59" i="269"/>
  <c r="L59" i="269"/>
  <c r="N56" i="262" s="1"/>
  <c r="M128" i="262" s="1"/>
  <c r="H59" i="269"/>
  <c r="G59" i="269"/>
  <c r="F59" i="269"/>
  <c r="D59" i="269"/>
  <c r="AI58" i="269"/>
  <c r="AG58" i="269" s="1"/>
  <c r="AH58" i="269"/>
  <c r="AF58" i="269"/>
  <c r="L58" i="269"/>
  <c r="N55" i="262" s="1"/>
  <c r="M127" i="262" s="1"/>
  <c r="H58" i="269"/>
  <c r="G58" i="269"/>
  <c r="F58" i="269"/>
  <c r="D58" i="269"/>
  <c r="AI57" i="269"/>
  <c r="AH57" i="269"/>
  <c r="AG57" i="269"/>
  <c r="AF57" i="269"/>
  <c r="L57" i="269"/>
  <c r="N54" i="262" s="1"/>
  <c r="M126" i="262" s="1"/>
  <c r="H57" i="269"/>
  <c r="G57" i="269"/>
  <c r="F57" i="269"/>
  <c r="D57" i="269"/>
  <c r="AI56" i="269"/>
  <c r="AG56" i="269" s="1"/>
  <c r="AH56" i="269"/>
  <c r="AF56" i="269"/>
  <c r="L56" i="269"/>
  <c r="N53" i="262" s="1"/>
  <c r="M125" i="262" s="1"/>
  <c r="H56" i="269"/>
  <c r="G56" i="269"/>
  <c r="F56" i="269"/>
  <c r="D56" i="269"/>
  <c r="AI55" i="269"/>
  <c r="AG55" i="269" s="1"/>
  <c r="AH55" i="269"/>
  <c r="AF55" i="269"/>
  <c r="L55" i="269"/>
  <c r="N52" i="262" s="1"/>
  <c r="M124" i="262" s="1"/>
  <c r="H55" i="269"/>
  <c r="G55" i="269"/>
  <c r="F55" i="269"/>
  <c r="D55" i="269"/>
  <c r="AI54" i="269"/>
  <c r="AG54" i="269" s="1"/>
  <c r="AH54" i="269"/>
  <c r="AF54" i="269"/>
  <c r="L54" i="269"/>
  <c r="N51" i="262" s="1"/>
  <c r="M123" i="262" s="1"/>
  <c r="H54" i="269"/>
  <c r="G54" i="269"/>
  <c r="F54" i="269"/>
  <c r="D54" i="269"/>
  <c r="AI53" i="269"/>
  <c r="AH53" i="269"/>
  <c r="AG53" i="269"/>
  <c r="AF53" i="269"/>
  <c r="L53" i="269"/>
  <c r="N50" i="262" s="1"/>
  <c r="M122" i="262" s="1"/>
  <c r="H53" i="269"/>
  <c r="G53" i="269"/>
  <c r="F53" i="269"/>
  <c r="D53" i="269"/>
  <c r="AI52" i="269"/>
  <c r="AG52" i="269" s="1"/>
  <c r="AH52" i="269"/>
  <c r="AF52" i="269"/>
  <c r="L52" i="269"/>
  <c r="N49" i="262" s="1"/>
  <c r="M121" i="262" s="1"/>
  <c r="H52" i="269"/>
  <c r="G52" i="269"/>
  <c r="F52" i="269"/>
  <c r="D52" i="269"/>
  <c r="AI51" i="269"/>
  <c r="AH51" i="269"/>
  <c r="AG51" i="269"/>
  <c r="AF51" i="269"/>
  <c r="L51" i="269"/>
  <c r="N48" i="262" s="1"/>
  <c r="M120" i="262" s="1"/>
  <c r="H51" i="269"/>
  <c r="G51" i="269"/>
  <c r="F51" i="269"/>
  <c r="D51" i="269"/>
  <c r="AI50" i="269"/>
  <c r="AG50" i="269" s="1"/>
  <c r="AH50" i="269"/>
  <c r="AF50" i="269"/>
  <c r="L50" i="269"/>
  <c r="N47" i="262" s="1"/>
  <c r="M119" i="262" s="1"/>
  <c r="H50" i="269"/>
  <c r="G50" i="269"/>
  <c r="F50" i="269"/>
  <c r="D50" i="269"/>
  <c r="AI49" i="269"/>
  <c r="AG49" i="269" s="1"/>
  <c r="AH49" i="269"/>
  <c r="AF49" i="269"/>
  <c r="L49" i="269"/>
  <c r="N46" i="262" s="1"/>
  <c r="M118" i="262" s="1"/>
  <c r="H49" i="269"/>
  <c r="G49" i="269"/>
  <c r="F49" i="269"/>
  <c r="D49" i="269"/>
  <c r="AI48" i="269"/>
  <c r="AG48" i="269" s="1"/>
  <c r="AH48" i="269"/>
  <c r="AF48" i="269"/>
  <c r="L48" i="269"/>
  <c r="N45" i="262" s="1"/>
  <c r="M117" i="262" s="1"/>
  <c r="H48" i="269"/>
  <c r="G48" i="269"/>
  <c r="F48" i="269"/>
  <c r="D48" i="269"/>
  <c r="AI47" i="269"/>
  <c r="AH47" i="269"/>
  <c r="AG47" i="269"/>
  <c r="AF47" i="269"/>
  <c r="L47" i="269"/>
  <c r="N44" i="262" s="1"/>
  <c r="M116" i="262" s="1"/>
  <c r="H47" i="269"/>
  <c r="G47" i="269"/>
  <c r="F47" i="269"/>
  <c r="D47" i="269"/>
  <c r="AI46" i="269"/>
  <c r="AG46" i="269" s="1"/>
  <c r="AH46" i="269"/>
  <c r="AF46" i="269"/>
  <c r="L46" i="269"/>
  <c r="N43" i="262" s="1"/>
  <c r="M115" i="262" s="1"/>
  <c r="H46" i="269"/>
  <c r="G46" i="269"/>
  <c r="F46" i="269"/>
  <c r="D46" i="269"/>
  <c r="AI45" i="269"/>
  <c r="AH45" i="269"/>
  <c r="AG45" i="269"/>
  <c r="AF45" i="269"/>
  <c r="L45" i="269"/>
  <c r="N42" i="262" s="1"/>
  <c r="M114" i="262" s="1"/>
  <c r="H45" i="269"/>
  <c r="G45" i="269"/>
  <c r="F45" i="269"/>
  <c r="D45" i="269"/>
  <c r="AI44" i="269"/>
  <c r="AG44" i="269" s="1"/>
  <c r="AH44" i="269"/>
  <c r="AF44" i="269"/>
  <c r="L44" i="269"/>
  <c r="N41" i="262" s="1"/>
  <c r="M113" i="262" s="1"/>
  <c r="H44" i="269"/>
  <c r="G44" i="269"/>
  <c r="F44" i="269"/>
  <c r="D44" i="269"/>
  <c r="AI43" i="269"/>
  <c r="AG43" i="269" s="1"/>
  <c r="AH43" i="269"/>
  <c r="AF43" i="269"/>
  <c r="L43" i="269"/>
  <c r="N40" i="262" s="1"/>
  <c r="M112" i="262" s="1"/>
  <c r="H43" i="269"/>
  <c r="G43" i="269"/>
  <c r="F43" i="269"/>
  <c r="D43" i="269"/>
  <c r="AI42" i="269"/>
  <c r="AG42" i="269" s="1"/>
  <c r="AH42" i="269"/>
  <c r="AF42" i="269"/>
  <c r="L42" i="269"/>
  <c r="N39" i="262" s="1"/>
  <c r="M111" i="262" s="1"/>
  <c r="H42" i="269"/>
  <c r="G42" i="269"/>
  <c r="F42" i="269"/>
  <c r="D42" i="269"/>
  <c r="AI41" i="269"/>
  <c r="AH41" i="269"/>
  <c r="AG41" i="269"/>
  <c r="AF41" i="269"/>
  <c r="L41" i="269"/>
  <c r="N38" i="262" s="1"/>
  <c r="M110" i="262" s="1"/>
  <c r="H41" i="269"/>
  <c r="G41" i="269"/>
  <c r="F41" i="269"/>
  <c r="D41" i="269"/>
  <c r="AI40" i="269"/>
  <c r="AG40" i="269" s="1"/>
  <c r="AH40" i="269"/>
  <c r="AF40" i="269"/>
  <c r="L40" i="269"/>
  <c r="N37" i="262" s="1"/>
  <c r="M109" i="262" s="1"/>
  <c r="H40" i="269"/>
  <c r="G40" i="269"/>
  <c r="F40" i="269"/>
  <c r="D40" i="269"/>
  <c r="AI39" i="269"/>
  <c r="AH39" i="269"/>
  <c r="AG39" i="269"/>
  <c r="AF39" i="269"/>
  <c r="L39" i="269"/>
  <c r="N36" i="262" s="1"/>
  <c r="M108" i="262" s="1"/>
  <c r="H39" i="269"/>
  <c r="G39" i="269"/>
  <c r="F39" i="269"/>
  <c r="D39" i="269"/>
  <c r="AI38" i="269"/>
  <c r="AG38" i="269" s="1"/>
  <c r="AH38" i="269"/>
  <c r="AF38" i="269"/>
  <c r="L38" i="269"/>
  <c r="N35" i="262" s="1"/>
  <c r="M107" i="262" s="1"/>
  <c r="H38" i="269"/>
  <c r="G38" i="269"/>
  <c r="F38" i="269"/>
  <c r="D38" i="269"/>
  <c r="AI37" i="269"/>
  <c r="AH37" i="269"/>
  <c r="AG37" i="269"/>
  <c r="AF37" i="269"/>
  <c r="L37" i="269"/>
  <c r="N34" i="262" s="1"/>
  <c r="M106" i="262" s="1"/>
  <c r="H37" i="269"/>
  <c r="G37" i="269"/>
  <c r="F37" i="269"/>
  <c r="D37" i="269"/>
  <c r="AI36" i="269"/>
  <c r="AG36" i="269" s="1"/>
  <c r="AH36" i="269"/>
  <c r="AF36" i="269"/>
  <c r="L36" i="269"/>
  <c r="N33" i="262" s="1"/>
  <c r="M105" i="262" s="1"/>
  <c r="H36" i="269"/>
  <c r="G36" i="269"/>
  <c r="F36" i="269"/>
  <c r="D36" i="269"/>
  <c r="AI35" i="269"/>
  <c r="AH35" i="269"/>
  <c r="AG35" i="269"/>
  <c r="AF35" i="269"/>
  <c r="L35" i="269"/>
  <c r="N32" i="262" s="1"/>
  <c r="M104" i="262" s="1"/>
  <c r="H35" i="269"/>
  <c r="G35" i="269"/>
  <c r="F35" i="269"/>
  <c r="D35" i="269"/>
  <c r="AI34" i="269"/>
  <c r="AG34" i="269" s="1"/>
  <c r="AH34" i="269"/>
  <c r="AF34" i="269"/>
  <c r="L34" i="269"/>
  <c r="N31" i="262" s="1"/>
  <c r="M103" i="262" s="1"/>
  <c r="H34" i="269"/>
  <c r="G34" i="269"/>
  <c r="F34" i="269"/>
  <c r="D34" i="269"/>
  <c r="AI33" i="269"/>
  <c r="AH33" i="269"/>
  <c r="AG33" i="269"/>
  <c r="AF33" i="269"/>
  <c r="L33" i="269"/>
  <c r="N30" i="262" s="1"/>
  <c r="M102" i="262" s="1"/>
  <c r="H33" i="269"/>
  <c r="G33" i="269"/>
  <c r="F33" i="269"/>
  <c r="D33" i="269"/>
  <c r="AI32" i="269"/>
  <c r="AG32" i="269" s="1"/>
  <c r="AH32" i="269"/>
  <c r="AF32" i="269"/>
  <c r="L32" i="269"/>
  <c r="N29" i="262" s="1"/>
  <c r="M101" i="262" s="1"/>
  <c r="H32" i="269"/>
  <c r="G32" i="269"/>
  <c r="F32" i="269"/>
  <c r="D32" i="269"/>
  <c r="AI31" i="269"/>
  <c r="AH31" i="269"/>
  <c r="AG31" i="269"/>
  <c r="AF31" i="269"/>
  <c r="L31" i="269"/>
  <c r="N28" i="262" s="1"/>
  <c r="M100" i="262" s="1"/>
  <c r="H31" i="269"/>
  <c r="G31" i="269"/>
  <c r="F31" i="269"/>
  <c r="D31" i="269"/>
  <c r="AI30" i="269"/>
  <c r="AG30" i="269" s="1"/>
  <c r="AH30" i="269"/>
  <c r="AF30" i="269"/>
  <c r="L30" i="269"/>
  <c r="N27" i="262" s="1"/>
  <c r="M99" i="262" s="1"/>
  <c r="H30" i="269"/>
  <c r="G30" i="269"/>
  <c r="F30" i="269"/>
  <c r="D30" i="269"/>
  <c r="AI29" i="269"/>
  <c r="AG29" i="269" s="1"/>
  <c r="AH29" i="269"/>
  <c r="AF29" i="269"/>
  <c r="L29" i="269"/>
  <c r="N26" i="262" s="1"/>
  <c r="M98" i="262" s="1"/>
  <c r="H29" i="269"/>
  <c r="G29" i="269"/>
  <c r="F29" i="269"/>
  <c r="D29" i="269"/>
  <c r="AI28" i="269"/>
  <c r="AG28" i="269" s="1"/>
  <c r="AH28" i="269"/>
  <c r="AF28" i="269"/>
  <c r="L28" i="269"/>
  <c r="N25" i="262" s="1"/>
  <c r="M97" i="262" s="1"/>
  <c r="H28" i="269"/>
  <c r="G28" i="269"/>
  <c r="F28" i="269"/>
  <c r="D28" i="269"/>
  <c r="AI27" i="269"/>
  <c r="AH27" i="269"/>
  <c r="AG27" i="269"/>
  <c r="AF27" i="269"/>
  <c r="L27" i="269"/>
  <c r="N24" i="262" s="1"/>
  <c r="M96" i="262" s="1"/>
  <c r="H27" i="269"/>
  <c r="G27" i="269"/>
  <c r="F27" i="269"/>
  <c r="D27" i="269"/>
  <c r="AI26" i="269"/>
  <c r="AG26" i="269" s="1"/>
  <c r="AH26" i="269"/>
  <c r="AF26" i="269"/>
  <c r="L26" i="269"/>
  <c r="N23" i="262" s="1"/>
  <c r="M95" i="262" s="1"/>
  <c r="H26" i="269"/>
  <c r="G26" i="269"/>
  <c r="F26" i="269"/>
  <c r="D26" i="269"/>
  <c r="AI25" i="269"/>
  <c r="AH25" i="269"/>
  <c r="AG25" i="269"/>
  <c r="AF25" i="269"/>
  <c r="L25" i="269"/>
  <c r="N22" i="262" s="1"/>
  <c r="M94" i="262" s="1"/>
  <c r="H25" i="269"/>
  <c r="G25" i="269"/>
  <c r="F25" i="269"/>
  <c r="D25" i="269"/>
  <c r="AI24" i="269"/>
  <c r="AG24" i="269" s="1"/>
  <c r="AH24" i="269"/>
  <c r="AF24" i="269"/>
  <c r="L24" i="269"/>
  <c r="N21" i="262" s="1"/>
  <c r="M93" i="262" s="1"/>
  <c r="H24" i="269"/>
  <c r="G24" i="269"/>
  <c r="F24" i="269"/>
  <c r="D24" i="269"/>
  <c r="AI23" i="269"/>
  <c r="AG23" i="269" s="1"/>
  <c r="AH23" i="269"/>
  <c r="AF23" i="269"/>
  <c r="L23" i="269"/>
  <c r="N20" i="262" s="1"/>
  <c r="M92" i="262" s="1"/>
  <c r="H23" i="269"/>
  <c r="G23" i="269"/>
  <c r="F23" i="269"/>
  <c r="D23" i="269"/>
  <c r="AI22" i="269"/>
  <c r="AG22" i="269" s="1"/>
  <c r="AH22" i="269"/>
  <c r="AF22" i="269"/>
  <c r="L22" i="269"/>
  <c r="N19" i="262" s="1"/>
  <c r="M91" i="262" s="1"/>
  <c r="H22" i="269"/>
  <c r="G22" i="269"/>
  <c r="F22" i="269"/>
  <c r="D22" i="269"/>
  <c r="AI21" i="269"/>
  <c r="AH21" i="269"/>
  <c r="AG21" i="269"/>
  <c r="AF21" i="269"/>
  <c r="L21" i="269"/>
  <c r="N18" i="262" s="1"/>
  <c r="M90" i="262" s="1"/>
  <c r="I21" i="269"/>
  <c r="H21" i="269"/>
  <c r="G21" i="269"/>
  <c r="F21" i="269"/>
  <c r="D21" i="269"/>
  <c r="AI20" i="269"/>
  <c r="AG20" i="269" s="1"/>
  <c r="AH20" i="269"/>
  <c r="AF20" i="269"/>
  <c r="L20" i="269"/>
  <c r="H20" i="269"/>
  <c r="G20" i="269"/>
  <c r="F20" i="269"/>
  <c r="D20" i="269"/>
  <c r="AI19" i="269"/>
  <c r="AG19" i="269" s="1"/>
  <c r="AH19" i="269"/>
  <c r="AF19" i="269"/>
  <c r="L19" i="269"/>
  <c r="N16" i="262" s="1"/>
  <c r="M88" i="262" s="1"/>
  <c r="H19" i="269"/>
  <c r="G19" i="269"/>
  <c r="F19" i="269"/>
  <c r="D19" i="269"/>
  <c r="AI18" i="269"/>
  <c r="AH18" i="269"/>
  <c r="AG18" i="269"/>
  <c r="AF18" i="269"/>
  <c r="L18" i="269"/>
  <c r="H18" i="269"/>
  <c r="G18" i="269"/>
  <c r="F18" i="269"/>
  <c r="D18" i="269"/>
  <c r="AI17" i="269"/>
  <c r="AG17" i="269" s="1"/>
  <c r="AH17" i="269"/>
  <c r="AF17" i="269"/>
  <c r="L17" i="269"/>
  <c r="N14" i="262" s="1"/>
  <c r="M86" i="262" s="1"/>
  <c r="H17" i="269"/>
  <c r="G17" i="269"/>
  <c r="F17" i="269"/>
  <c r="D17" i="269"/>
  <c r="AI16" i="269"/>
  <c r="AH16" i="269"/>
  <c r="AG16" i="269"/>
  <c r="AF16" i="269"/>
  <c r="L16" i="269"/>
  <c r="AI15" i="269"/>
  <c r="AG15" i="269" s="1"/>
  <c r="AH15" i="269"/>
  <c r="AF15" i="269"/>
  <c r="L15" i="269"/>
  <c r="N12" i="262" s="1"/>
  <c r="M84" i="262" s="1"/>
  <c r="AI14" i="269"/>
  <c r="AH14" i="269"/>
  <c r="AG14" i="269"/>
  <c r="AF14" i="269"/>
  <c r="L14" i="269"/>
  <c r="N11" i="262" s="1"/>
  <c r="M83" i="262" s="1"/>
  <c r="D14" i="269"/>
  <c r="F14" i="269" s="1"/>
  <c r="G14" i="269" s="1"/>
  <c r="C14" i="269"/>
  <c r="AI13" i="269"/>
  <c r="AH13" i="269"/>
  <c r="AG13" i="269"/>
  <c r="AF13" i="269"/>
  <c r="L13" i="269"/>
  <c r="D13" i="269"/>
  <c r="F13" i="269" s="1"/>
  <c r="G13" i="269" s="1"/>
  <c r="C13" i="269"/>
  <c r="AI12" i="269"/>
  <c r="AG12" i="269" s="1"/>
  <c r="AH12" i="269"/>
  <c r="AF12" i="269"/>
  <c r="L12" i="269"/>
  <c r="N9" i="262" s="1"/>
  <c r="M81" i="262" s="1"/>
  <c r="F12" i="269"/>
  <c r="G12" i="269" s="1"/>
  <c r="D12" i="269"/>
  <c r="C12" i="269"/>
  <c r="AG11" i="269"/>
  <c r="L11" i="269"/>
  <c r="N8" i="262" s="1"/>
  <c r="M80" i="262" s="1"/>
  <c r="D11" i="269"/>
  <c r="F11" i="269" s="1"/>
  <c r="G11" i="269" s="1"/>
  <c r="C11" i="269"/>
  <c r="L10" i="269"/>
  <c r="N7" i="262" s="1"/>
  <c r="M79" i="262" s="1"/>
  <c r="D10" i="269"/>
  <c r="F10" i="269" s="1"/>
  <c r="G10" i="269" s="1"/>
  <c r="C10" i="269"/>
  <c r="L9" i="269"/>
  <c r="N6" i="262" s="1"/>
  <c r="M78" i="262" s="1"/>
  <c r="J9" i="269"/>
  <c r="J10" i="269" s="1"/>
  <c r="D9" i="269"/>
  <c r="F9" i="269" s="1"/>
  <c r="G9" i="269" s="1"/>
  <c r="C9" i="269"/>
  <c r="N4" i="269"/>
  <c r="I3" i="269"/>
  <c r="J11" i="269" l="1"/>
  <c r="M9" i="269"/>
  <c r="O9" i="269" s="1"/>
  <c r="M9" i="270"/>
  <c r="O9" i="270" s="1"/>
  <c r="J11" i="270"/>
  <c r="M14" i="273"/>
  <c r="O14" i="273" s="1"/>
  <c r="AE15" i="273"/>
  <c r="J16" i="273"/>
  <c r="AL72" i="269"/>
  <c r="N69" i="262"/>
  <c r="M141" i="262" s="1"/>
  <c r="AL76" i="269"/>
  <c r="N73" i="262"/>
  <c r="M145" i="262" s="1"/>
  <c r="AL13" i="269"/>
  <c r="N10" i="262"/>
  <c r="M82" i="262" s="1"/>
  <c r="AL18" i="269"/>
  <c r="N15" i="262"/>
  <c r="M87" i="262" s="1"/>
  <c r="AL66" i="269"/>
  <c r="N63" i="262"/>
  <c r="M135" i="262" s="1"/>
  <c r="AL73" i="269"/>
  <c r="N70" i="262"/>
  <c r="M142" i="262" s="1"/>
  <c r="AL75" i="269"/>
  <c r="N72" i="262"/>
  <c r="M144" i="262" s="1"/>
  <c r="AL16" i="269"/>
  <c r="N13" i="262"/>
  <c r="M85" i="262" s="1"/>
  <c r="AL70" i="269"/>
  <c r="N67" i="262"/>
  <c r="M139" i="262" s="1"/>
  <c r="AL74" i="269"/>
  <c r="N71" i="262"/>
  <c r="M143" i="262" s="1"/>
  <c r="AL20" i="269"/>
  <c r="N17" i="262"/>
  <c r="M89" i="262" s="1"/>
  <c r="AL64" i="269"/>
  <c r="N61" i="262"/>
  <c r="M133" i="262" s="1"/>
  <c r="AL65" i="269"/>
  <c r="N62" i="262"/>
  <c r="M134" i="262" s="1"/>
  <c r="AL68" i="269"/>
  <c r="N65" i="262"/>
  <c r="M137" i="262" s="1"/>
  <c r="AL23" i="270"/>
  <c r="M20" i="262"/>
  <c r="L92" i="262" s="1"/>
  <c r="AL31" i="270"/>
  <c r="M28" i="262"/>
  <c r="L100" i="262" s="1"/>
  <c r="AL39" i="270"/>
  <c r="M36" i="262"/>
  <c r="L108" i="262" s="1"/>
  <c r="AL47" i="270"/>
  <c r="M44" i="262"/>
  <c r="L116" i="262" s="1"/>
  <c r="AL55" i="270"/>
  <c r="M52" i="262"/>
  <c r="L124" i="262" s="1"/>
  <c r="AL67" i="270"/>
  <c r="M64" i="262"/>
  <c r="L136" i="262" s="1"/>
  <c r="AL72" i="270"/>
  <c r="M69" i="262"/>
  <c r="L141" i="262" s="1"/>
  <c r="AL76" i="270"/>
  <c r="M73" i="262"/>
  <c r="L145" i="262" s="1"/>
  <c r="AL13" i="270"/>
  <c r="M10" i="262"/>
  <c r="L82" i="262" s="1"/>
  <c r="AL18" i="270"/>
  <c r="M15" i="262"/>
  <c r="L87" i="262" s="1"/>
  <c r="AL21" i="270"/>
  <c r="M18" i="262"/>
  <c r="L90" i="262" s="1"/>
  <c r="AL29" i="270"/>
  <c r="M26" i="262"/>
  <c r="L98" i="262" s="1"/>
  <c r="AL37" i="270"/>
  <c r="M34" i="262"/>
  <c r="L106" i="262" s="1"/>
  <c r="AL53" i="270"/>
  <c r="M50" i="262"/>
  <c r="L122" i="262" s="1"/>
  <c r="AL61" i="270"/>
  <c r="M58" i="262"/>
  <c r="L130" i="262" s="1"/>
  <c r="AL25" i="270"/>
  <c r="M22" i="262"/>
  <c r="L94" i="262" s="1"/>
  <c r="AL33" i="270"/>
  <c r="M30" i="262"/>
  <c r="L102" i="262" s="1"/>
  <c r="AL41" i="270"/>
  <c r="M38" i="262"/>
  <c r="L110" i="262" s="1"/>
  <c r="AL49" i="270"/>
  <c r="M46" i="262"/>
  <c r="L118" i="262" s="1"/>
  <c r="AL57" i="270"/>
  <c r="M54" i="262"/>
  <c r="L126" i="262" s="1"/>
  <c r="AL69" i="270"/>
  <c r="M66" i="262"/>
  <c r="L138" i="262" s="1"/>
  <c r="AL20" i="270"/>
  <c r="M17" i="262"/>
  <c r="L89" i="262" s="1"/>
  <c r="AL63" i="270"/>
  <c r="M60" i="262"/>
  <c r="L132" i="262" s="1"/>
  <c r="AL74" i="270"/>
  <c r="M71" i="262"/>
  <c r="L143" i="262" s="1"/>
  <c r="AL14" i="270"/>
  <c r="M11" i="262"/>
  <c r="L83" i="262" s="1"/>
  <c r="AL45" i="270"/>
  <c r="M42" i="262"/>
  <c r="L114" i="262" s="1"/>
  <c r="S64" i="270"/>
  <c r="T64" i="270" s="1"/>
  <c r="M61" i="262"/>
  <c r="L133" i="262" s="1"/>
  <c r="AL16" i="270"/>
  <c r="M13" i="262"/>
  <c r="L85" i="262" s="1"/>
  <c r="AL27" i="270"/>
  <c r="M24" i="262"/>
  <c r="L96" i="262" s="1"/>
  <c r="AL35" i="270"/>
  <c r="M32" i="262"/>
  <c r="L104" i="262" s="1"/>
  <c r="AL43" i="270"/>
  <c r="M40" i="262"/>
  <c r="L112" i="262" s="1"/>
  <c r="AL51" i="270"/>
  <c r="M48" i="262"/>
  <c r="L120" i="262" s="1"/>
  <c r="AL59" i="270"/>
  <c r="M56" i="262"/>
  <c r="L128" i="262" s="1"/>
  <c r="AL71" i="270"/>
  <c r="M68" i="262"/>
  <c r="L140" i="262" s="1"/>
  <c r="AL73" i="270"/>
  <c r="M70" i="262"/>
  <c r="L142" i="262" s="1"/>
  <c r="AL75" i="270"/>
  <c r="M72" i="262"/>
  <c r="L144" i="262" s="1"/>
  <c r="H66" i="272"/>
  <c r="J4" i="272" s="1"/>
  <c r="M11" i="272"/>
  <c r="O11" i="272" s="1"/>
  <c r="J13" i="272"/>
  <c r="AE12" i="272"/>
  <c r="S12" i="270"/>
  <c r="T12" i="270" s="1"/>
  <c r="S60" i="270"/>
  <c r="T60" i="270" s="1"/>
  <c r="S63" i="270"/>
  <c r="T63" i="270" s="1"/>
  <c r="S19" i="270"/>
  <c r="T19" i="270" s="1"/>
  <c r="S20" i="270"/>
  <c r="T20" i="270" s="1"/>
  <c r="S21" i="270"/>
  <c r="T21" i="270" s="1"/>
  <c r="S48" i="270"/>
  <c r="T48" i="270" s="1"/>
  <c r="S51" i="270"/>
  <c r="T51" i="270" s="1"/>
  <c r="S39" i="270"/>
  <c r="T39" i="270" s="1"/>
  <c r="S14" i="270"/>
  <c r="T14" i="270" s="1"/>
  <c r="S23" i="270"/>
  <c r="T23" i="270" s="1"/>
  <c r="S32" i="270"/>
  <c r="T32" i="270" s="1"/>
  <c r="S35" i="270"/>
  <c r="T35" i="270" s="1"/>
  <c r="S44" i="270"/>
  <c r="T44" i="270" s="1"/>
  <c r="S47" i="270"/>
  <c r="T47" i="270" s="1"/>
  <c r="S28" i="270"/>
  <c r="T28" i="270" s="1"/>
  <c r="S31" i="270"/>
  <c r="T31" i="270" s="1"/>
  <c r="S65" i="270"/>
  <c r="T65" i="270" s="1"/>
  <c r="S68" i="270"/>
  <c r="T68" i="270" s="1"/>
  <c r="H14" i="270"/>
  <c r="S36" i="270"/>
  <c r="T36" i="270" s="1"/>
  <c r="S52" i="270"/>
  <c r="T52" i="270" s="1"/>
  <c r="S55" i="270"/>
  <c r="T55" i="270" s="1"/>
  <c r="S69" i="270"/>
  <c r="T69" i="270" s="1"/>
  <c r="S24" i="270"/>
  <c r="T24" i="270" s="1"/>
  <c r="S27" i="270"/>
  <c r="T27" i="270" s="1"/>
  <c r="S40" i="270"/>
  <c r="T40" i="270" s="1"/>
  <c r="S43" i="270"/>
  <c r="T43" i="270" s="1"/>
  <c r="S56" i="270"/>
  <c r="T56" i="270" s="1"/>
  <c r="S59" i="270"/>
  <c r="T59" i="270" s="1"/>
  <c r="H10" i="270"/>
  <c r="S17" i="270"/>
  <c r="T17" i="270" s="1"/>
  <c r="S22" i="270"/>
  <c r="T22" i="270" s="1"/>
  <c r="S26" i="270"/>
  <c r="T26" i="270" s="1"/>
  <c r="S30" i="270"/>
  <c r="T30" i="270" s="1"/>
  <c r="S34" i="270"/>
  <c r="T34" i="270" s="1"/>
  <c r="S38" i="270"/>
  <c r="T38" i="270" s="1"/>
  <c r="S42" i="270"/>
  <c r="T42" i="270" s="1"/>
  <c r="S46" i="270"/>
  <c r="T46" i="270" s="1"/>
  <c r="S50" i="270"/>
  <c r="T50" i="270" s="1"/>
  <c r="S54" i="270"/>
  <c r="T54" i="270" s="1"/>
  <c r="S58" i="270"/>
  <c r="T58" i="270" s="1"/>
  <c r="S62" i="270"/>
  <c r="T62" i="270" s="1"/>
  <c r="S67" i="270"/>
  <c r="T67" i="270" s="1"/>
  <c r="S15" i="270"/>
  <c r="T15" i="270" s="1"/>
  <c r="AL15" i="270"/>
  <c r="S25" i="270"/>
  <c r="T25" i="270" s="1"/>
  <c r="S29" i="270"/>
  <c r="T29" i="270" s="1"/>
  <c r="S33" i="270"/>
  <c r="T33" i="270" s="1"/>
  <c r="S37" i="270"/>
  <c r="T37" i="270" s="1"/>
  <c r="S41" i="270"/>
  <c r="T41" i="270" s="1"/>
  <c r="S45" i="270"/>
  <c r="T45" i="270" s="1"/>
  <c r="S49" i="270"/>
  <c r="T49" i="270" s="1"/>
  <c r="S53" i="270"/>
  <c r="T53" i="270" s="1"/>
  <c r="S57" i="270"/>
  <c r="T57" i="270" s="1"/>
  <c r="S61" i="270"/>
  <c r="T61" i="270" s="1"/>
  <c r="S66" i="270"/>
  <c r="T66" i="270" s="1"/>
  <c r="S70" i="270"/>
  <c r="T70" i="270" s="1"/>
  <c r="H13" i="270"/>
  <c r="H11" i="270"/>
  <c r="K4" i="270"/>
  <c r="J12" i="270"/>
  <c r="M10" i="270"/>
  <c r="O10" i="270" s="1"/>
  <c r="H12" i="270"/>
  <c r="D66" i="270"/>
  <c r="F66" i="270" s="1"/>
  <c r="G66" i="270" s="1"/>
  <c r="H66" i="270" s="1"/>
  <c r="E80" i="270"/>
  <c r="D81" i="270"/>
  <c r="D80" i="270"/>
  <c r="D65" i="270"/>
  <c r="F65" i="270" s="1"/>
  <c r="G65" i="270" s="1"/>
  <c r="H65" i="270" s="1"/>
  <c r="H9" i="270"/>
  <c r="AL17" i="270"/>
  <c r="AL19" i="270"/>
  <c r="E81" i="270"/>
  <c r="AL12" i="270"/>
  <c r="AL22" i="270"/>
  <c r="AL26" i="270"/>
  <c r="AL32" i="270"/>
  <c r="AL34" i="270"/>
  <c r="AL36" i="270"/>
  <c r="AL42" i="270"/>
  <c r="AL44" i="270"/>
  <c r="AL48" i="270"/>
  <c r="AL50" i="270"/>
  <c r="AL54" i="270"/>
  <c r="AL58" i="270"/>
  <c r="AL62" i="270"/>
  <c r="AL64" i="270"/>
  <c r="AL65" i="270"/>
  <c r="AL66" i="270"/>
  <c r="AL68" i="270"/>
  <c r="AL70" i="270"/>
  <c r="S13" i="270"/>
  <c r="T13" i="270" s="1"/>
  <c r="S16" i="270"/>
  <c r="T16" i="270" s="1"/>
  <c r="S18" i="270"/>
  <c r="T18" i="270" s="1"/>
  <c r="E94" i="270"/>
  <c r="AL24" i="270"/>
  <c r="AL28" i="270"/>
  <c r="AL30" i="270"/>
  <c r="AL38" i="270"/>
  <c r="AL40" i="270"/>
  <c r="AL46" i="270"/>
  <c r="AL52" i="270"/>
  <c r="AL56" i="270"/>
  <c r="AL60" i="270"/>
  <c r="S12" i="269"/>
  <c r="T12" i="269" s="1"/>
  <c r="S15" i="269"/>
  <c r="T15" i="269" s="1"/>
  <c r="S70" i="269"/>
  <c r="T70" i="269" s="1"/>
  <c r="S20" i="269"/>
  <c r="T20" i="269" s="1"/>
  <c r="S21" i="269"/>
  <c r="T21" i="269" s="1"/>
  <c r="S24" i="269"/>
  <c r="T24" i="269" s="1"/>
  <c r="S29" i="269"/>
  <c r="T29" i="269" s="1"/>
  <c r="S32" i="269"/>
  <c r="T32" i="269" s="1"/>
  <c r="S37" i="269"/>
  <c r="T37" i="269" s="1"/>
  <c r="S40" i="269"/>
  <c r="T40" i="269" s="1"/>
  <c r="S45" i="269"/>
  <c r="T45" i="269" s="1"/>
  <c r="S48" i="269"/>
  <c r="T48" i="269" s="1"/>
  <c r="S53" i="269"/>
  <c r="T53" i="269" s="1"/>
  <c r="S56" i="269"/>
  <c r="T56" i="269" s="1"/>
  <c r="S61" i="269"/>
  <c r="T61" i="269" s="1"/>
  <c r="H12" i="269"/>
  <c r="H14" i="269"/>
  <c r="S68" i="269"/>
  <c r="T68" i="269" s="1"/>
  <c r="AL15" i="269"/>
  <c r="S14" i="269"/>
  <c r="T14" i="269" s="1"/>
  <c r="S16" i="269"/>
  <c r="T16" i="269" s="1"/>
  <c r="S19" i="269"/>
  <c r="T19" i="269" s="1"/>
  <c r="S23" i="269"/>
  <c r="T23" i="269" s="1"/>
  <c r="S26" i="269"/>
  <c r="T26" i="269" s="1"/>
  <c r="S31" i="269"/>
  <c r="T31" i="269" s="1"/>
  <c r="S34" i="269"/>
  <c r="T34" i="269" s="1"/>
  <c r="S39" i="269"/>
  <c r="T39" i="269" s="1"/>
  <c r="S42" i="269"/>
  <c r="T42" i="269" s="1"/>
  <c r="S47" i="269"/>
  <c r="T47" i="269" s="1"/>
  <c r="S50" i="269"/>
  <c r="T50" i="269" s="1"/>
  <c r="S55" i="269"/>
  <c r="T55" i="269" s="1"/>
  <c r="S58" i="269"/>
  <c r="T58" i="269" s="1"/>
  <c r="S63" i="269"/>
  <c r="T63" i="269" s="1"/>
  <c r="S64" i="269"/>
  <c r="T64" i="269" s="1"/>
  <c r="S13" i="269"/>
  <c r="T13" i="269" s="1"/>
  <c r="S18" i="269"/>
  <c r="T18" i="269" s="1"/>
  <c r="S25" i="269"/>
  <c r="T25" i="269" s="1"/>
  <c r="S28" i="269"/>
  <c r="T28" i="269" s="1"/>
  <c r="S33" i="269"/>
  <c r="T33" i="269" s="1"/>
  <c r="S36" i="269"/>
  <c r="T36" i="269" s="1"/>
  <c r="S41" i="269"/>
  <c r="T41" i="269" s="1"/>
  <c r="S44" i="269"/>
  <c r="T44" i="269" s="1"/>
  <c r="S49" i="269"/>
  <c r="T49" i="269" s="1"/>
  <c r="S52" i="269"/>
  <c r="T52" i="269" s="1"/>
  <c r="S57" i="269"/>
  <c r="T57" i="269" s="1"/>
  <c r="S60" i="269"/>
  <c r="T60" i="269" s="1"/>
  <c r="S65" i="269"/>
  <c r="T65" i="269" s="1"/>
  <c r="S17" i="269"/>
  <c r="T17" i="269" s="1"/>
  <c r="S22" i="269"/>
  <c r="T22" i="269" s="1"/>
  <c r="S27" i="269"/>
  <c r="T27" i="269" s="1"/>
  <c r="S30" i="269"/>
  <c r="T30" i="269" s="1"/>
  <c r="S35" i="269"/>
  <c r="T35" i="269" s="1"/>
  <c r="S38" i="269"/>
  <c r="T38" i="269" s="1"/>
  <c r="S43" i="269"/>
  <c r="T43" i="269" s="1"/>
  <c r="S46" i="269"/>
  <c r="T46" i="269" s="1"/>
  <c r="S51" i="269"/>
  <c r="T51" i="269" s="1"/>
  <c r="S54" i="269"/>
  <c r="T54" i="269" s="1"/>
  <c r="S59" i="269"/>
  <c r="T59" i="269" s="1"/>
  <c r="S62" i="269"/>
  <c r="T62" i="269" s="1"/>
  <c r="S66" i="269"/>
  <c r="T66" i="269" s="1"/>
  <c r="H10" i="269"/>
  <c r="H9" i="269"/>
  <c r="K4" i="269"/>
  <c r="H11" i="269"/>
  <c r="H13" i="269"/>
  <c r="E94" i="269"/>
  <c r="AL14" i="269"/>
  <c r="AL21" i="269"/>
  <c r="AL23" i="269"/>
  <c r="AL25" i="269"/>
  <c r="AL27" i="269"/>
  <c r="AL29" i="269"/>
  <c r="AL31" i="269"/>
  <c r="AL33" i="269"/>
  <c r="AL35" i="269"/>
  <c r="AL37" i="269"/>
  <c r="AL39" i="269"/>
  <c r="AL41" i="269"/>
  <c r="AL43" i="269"/>
  <c r="AL45" i="269"/>
  <c r="AL47" i="269"/>
  <c r="AL49" i="269"/>
  <c r="AL51" i="269"/>
  <c r="AL53" i="269"/>
  <c r="AL55" i="269"/>
  <c r="AL57" i="269"/>
  <c r="AL59" i="269"/>
  <c r="AL61" i="269"/>
  <c r="AL63" i="269"/>
  <c r="AL67" i="269"/>
  <c r="AL69" i="269"/>
  <c r="D80" i="269"/>
  <c r="AL17" i="269"/>
  <c r="AL19" i="269"/>
  <c r="S67" i="269"/>
  <c r="T67" i="269" s="1"/>
  <c r="S69" i="269"/>
  <c r="T69" i="269" s="1"/>
  <c r="E81" i="269"/>
  <c r="D94" i="269"/>
  <c r="AL12" i="269"/>
  <c r="AL22" i="269"/>
  <c r="AL24" i="269"/>
  <c r="AL26" i="269"/>
  <c r="AL28" i="269"/>
  <c r="AL30" i="269"/>
  <c r="AL32" i="269"/>
  <c r="AL34" i="269"/>
  <c r="AL36" i="269"/>
  <c r="AL38" i="269"/>
  <c r="AL40" i="269"/>
  <c r="AL42" i="269"/>
  <c r="AL44" i="269"/>
  <c r="AL46" i="269"/>
  <c r="AL48" i="269"/>
  <c r="AL50" i="269"/>
  <c r="AL52" i="269"/>
  <c r="AL54" i="269"/>
  <c r="AL56" i="269"/>
  <c r="AL58" i="269"/>
  <c r="AL60" i="269"/>
  <c r="AL62" i="269"/>
  <c r="F65" i="269"/>
  <c r="G65" i="269" s="1"/>
  <c r="H65" i="269" s="1"/>
  <c r="F66" i="269"/>
  <c r="G66" i="269" s="1"/>
  <c r="H66" i="269" s="1"/>
  <c r="AL71" i="269"/>
  <c r="D81" i="269"/>
  <c r="E93" i="269"/>
  <c r="J12" i="269" l="1"/>
  <c r="M10" i="269"/>
  <c r="O10" i="269" s="1"/>
  <c r="J17" i="273"/>
  <c r="AE16" i="273"/>
  <c r="M15" i="273"/>
  <c r="O15" i="273" s="1"/>
  <c r="AE13" i="272"/>
  <c r="J14" i="272"/>
  <c r="M12" i="272"/>
  <c r="O12" i="272" s="1"/>
  <c r="M11" i="270"/>
  <c r="O11" i="270" s="1"/>
  <c r="J13" i="270"/>
  <c r="AE12" i="270"/>
  <c r="J4" i="270"/>
  <c r="J4" i="269"/>
  <c r="J13" i="269" l="1"/>
  <c r="AE12" i="269"/>
  <c r="M11" i="269"/>
  <c r="O11" i="269" s="1"/>
  <c r="M16" i="273"/>
  <c r="O16" i="273" s="1"/>
  <c r="AE17" i="273"/>
  <c r="J18" i="273"/>
  <c r="J15" i="272"/>
  <c r="AE14" i="272"/>
  <c r="M13" i="272"/>
  <c r="O13" i="272" s="1"/>
  <c r="AE13" i="270"/>
  <c r="J14" i="270"/>
  <c r="M12" i="270"/>
  <c r="O12" i="270" s="1"/>
  <c r="AE13" i="269" l="1"/>
  <c r="J14" i="269"/>
  <c r="M12" i="269"/>
  <c r="O12" i="269" s="1"/>
  <c r="AE18" i="273"/>
  <c r="J19" i="273"/>
  <c r="M17" i="273"/>
  <c r="O17" i="273" s="1"/>
  <c r="M14" i="272"/>
  <c r="O14" i="272" s="1"/>
  <c r="J16" i="272"/>
  <c r="AE15" i="272"/>
  <c r="J15" i="270"/>
  <c r="AE14" i="270"/>
  <c r="M13" i="270"/>
  <c r="O13" i="270" s="1"/>
  <c r="J15" i="269" l="1"/>
  <c r="AE14" i="269"/>
  <c r="M13" i="269"/>
  <c r="O13" i="269" s="1"/>
  <c r="M18" i="273"/>
  <c r="O18" i="273" s="1"/>
  <c r="AE19" i="273"/>
  <c r="J20" i="273"/>
  <c r="J17" i="272"/>
  <c r="AE16" i="272"/>
  <c r="M15" i="272"/>
  <c r="O15" i="272" s="1"/>
  <c r="M14" i="270"/>
  <c r="O14" i="270" s="1"/>
  <c r="J16" i="270"/>
  <c r="AE15" i="270"/>
  <c r="J16" i="269" l="1"/>
  <c r="AE15" i="269"/>
  <c r="M14" i="269"/>
  <c r="O14" i="269" s="1"/>
  <c r="AE20" i="273"/>
  <c r="J21" i="273"/>
  <c r="M19" i="273"/>
  <c r="O19" i="273" s="1"/>
  <c r="AE17" i="272"/>
  <c r="M16" i="272"/>
  <c r="O16" i="272" s="1"/>
  <c r="J18" i="272"/>
  <c r="AE16" i="270"/>
  <c r="J17" i="270"/>
  <c r="M15" i="270"/>
  <c r="O15" i="270" s="1"/>
  <c r="M15" i="269" l="1"/>
  <c r="O15" i="269" s="1"/>
  <c r="J17" i="269"/>
  <c r="AE16" i="269"/>
  <c r="J22" i="273"/>
  <c r="AE21" i="273"/>
  <c r="M20" i="273"/>
  <c r="O20" i="273" s="1"/>
  <c r="J19" i="272"/>
  <c r="AE18" i="272"/>
  <c r="M17" i="272"/>
  <c r="O17" i="272" s="1"/>
  <c r="J18" i="270"/>
  <c r="AE17" i="270"/>
  <c r="M16" i="270"/>
  <c r="O16" i="270" s="1"/>
  <c r="M16" i="269" l="1"/>
  <c r="O16" i="269" s="1"/>
  <c r="J18" i="269"/>
  <c r="AE17" i="269"/>
  <c r="M21" i="273"/>
  <c r="O21" i="273" s="1"/>
  <c r="AE22" i="273"/>
  <c r="J23" i="273"/>
  <c r="J20" i="272"/>
  <c r="M18" i="272"/>
  <c r="O18" i="272" s="1"/>
  <c r="AE19" i="272"/>
  <c r="AE18" i="270"/>
  <c r="M17" i="270"/>
  <c r="O17" i="270" s="1"/>
  <c r="J19" i="270"/>
  <c r="J19" i="269" l="1"/>
  <c r="AE18" i="269"/>
  <c r="M17" i="269"/>
  <c r="O17" i="269" s="1"/>
  <c r="J24" i="273"/>
  <c r="AE23" i="273"/>
  <c r="M22" i="273"/>
  <c r="O22" i="273" s="1"/>
  <c r="M19" i="272"/>
  <c r="O19" i="272" s="1"/>
  <c r="AE20" i="272"/>
  <c r="J21" i="272"/>
  <c r="J20" i="270"/>
  <c r="AE19" i="270"/>
  <c r="M18" i="270"/>
  <c r="O18" i="270" s="1"/>
  <c r="J20" i="269" l="1"/>
  <c r="M18" i="269"/>
  <c r="O18" i="269" s="1"/>
  <c r="AE19" i="269"/>
  <c r="M23" i="273"/>
  <c r="O23" i="273" s="1"/>
  <c r="AE24" i="273"/>
  <c r="J25" i="273"/>
  <c r="J22" i="272"/>
  <c r="AE21" i="272"/>
  <c r="M20" i="272"/>
  <c r="O20" i="272" s="1"/>
  <c r="AE20" i="270"/>
  <c r="M19" i="270"/>
  <c r="O19" i="270" s="1"/>
  <c r="J21" i="270"/>
  <c r="AE20" i="269" l="1"/>
  <c r="J21" i="269"/>
  <c r="M19" i="269"/>
  <c r="O19" i="269" s="1"/>
  <c r="J26" i="273"/>
  <c r="AE25" i="273"/>
  <c r="M24" i="273"/>
  <c r="O24" i="273" s="1"/>
  <c r="M21" i="272"/>
  <c r="O21" i="272" s="1"/>
  <c r="J23" i="272"/>
  <c r="AE22" i="272"/>
  <c r="J22" i="270"/>
  <c r="AE21" i="270"/>
  <c r="M20" i="270"/>
  <c r="O20" i="270" s="1"/>
  <c r="J22" i="269" l="1"/>
  <c r="AE21" i="269"/>
  <c r="M20" i="269"/>
  <c r="O20" i="269" s="1"/>
  <c r="M25" i="273"/>
  <c r="O25" i="273" s="1"/>
  <c r="AE26" i="273"/>
  <c r="J27" i="273"/>
  <c r="J24" i="272"/>
  <c r="AE23" i="272"/>
  <c r="M22" i="272"/>
  <c r="O22" i="272" s="1"/>
  <c r="M21" i="270"/>
  <c r="O21" i="270" s="1"/>
  <c r="J23" i="270"/>
  <c r="AE22" i="270"/>
  <c r="M21" i="269" l="1"/>
  <c r="O21" i="269" s="1"/>
  <c r="J23" i="269"/>
  <c r="AE22" i="269"/>
  <c r="J28" i="273"/>
  <c r="AE27" i="273"/>
  <c r="M26" i="273"/>
  <c r="O26" i="273" s="1"/>
  <c r="M23" i="272"/>
  <c r="O23" i="272" s="1"/>
  <c r="J25" i="272"/>
  <c r="AE24" i="272"/>
  <c r="J24" i="270"/>
  <c r="AE23" i="270"/>
  <c r="M22" i="270"/>
  <c r="O22" i="270" s="1"/>
  <c r="J24" i="269" l="1"/>
  <c r="AE23" i="269"/>
  <c r="M22" i="269"/>
  <c r="O22" i="269" s="1"/>
  <c r="M27" i="273"/>
  <c r="O27" i="273" s="1"/>
  <c r="AE28" i="273"/>
  <c r="J29" i="273"/>
  <c r="J26" i="272"/>
  <c r="AE25" i="272"/>
  <c r="M24" i="272"/>
  <c r="O24" i="272" s="1"/>
  <c r="M23" i="270"/>
  <c r="O23" i="270" s="1"/>
  <c r="J25" i="270"/>
  <c r="AE24" i="270"/>
  <c r="M23" i="269" l="1"/>
  <c r="O23" i="269" s="1"/>
  <c r="AE24" i="269"/>
  <c r="J25" i="269"/>
  <c r="J30" i="273"/>
  <c r="AE29" i="273"/>
  <c r="M28" i="273"/>
  <c r="O28" i="273" s="1"/>
  <c r="M25" i="272"/>
  <c r="O25" i="272" s="1"/>
  <c r="J27" i="272"/>
  <c r="AE26" i="272"/>
  <c r="J26" i="270"/>
  <c r="AE25" i="270"/>
  <c r="M24" i="270"/>
  <c r="O24" i="270" s="1"/>
  <c r="J26" i="269" l="1"/>
  <c r="AE25" i="269"/>
  <c r="M24" i="269"/>
  <c r="O24" i="269" s="1"/>
  <c r="M29" i="273"/>
  <c r="O29" i="273" s="1"/>
  <c r="AE30" i="273"/>
  <c r="J31" i="273"/>
  <c r="J28" i="272"/>
  <c r="AE27" i="272"/>
  <c r="M26" i="272"/>
  <c r="O26" i="272" s="1"/>
  <c r="M25" i="270"/>
  <c r="O25" i="270" s="1"/>
  <c r="AE26" i="270"/>
  <c r="J27" i="270"/>
  <c r="M25" i="269" l="1"/>
  <c r="O25" i="269" s="1"/>
  <c r="J27" i="269"/>
  <c r="AE26" i="269"/>
  <c r="J32" i="273"/>
  <c r="AE31" i="273"/>
  <c r="M30" i="273"/>
  <c r="O30" i="273" s="1"/>
  <c r="M27" i="272"/>
  <c r="O27" i="272" s="1"/>
  <c r="J29" i="272"/>
  <c r="AE28" i="272"/>
  <c r="J28" i="270"/>
  <c r="AE27" i="270"/>
  <c r="M26" i="270"/>
  <c r="O26" i="270" s="1"/>
  <c r="J28" i="269" l="1"/>
  <c r="M26" i="269"/>
  <c r="O26" i="269" s="1"/>
  <c r="AE27" i="269"/>
  <c r="M31" i="273"/>
  <c r="O31" i="273" s="1"/>
  <c r="AE32" i="273"/>
  <c r="J33" i="273"/>
  <c r="J30" i="272"/>
  <c r="AE29" i="272"/>
  <c r="M28" i="272"/>
  <c r="O28" i="272" s="1"/>
  <c r="M27" i="270"/>
  <c r="O27" i="270" s="1"/>
  <c r="AE28" i="270"/>
  <c r="J29" i="270"/>
  <c r="M27" i="269" l="1"/>
  <c r="O27" i="269" s="1"/>
  <c r="J29" i="269"/>
  <c r="AE28" i="269"/>
  <c r="J34" i="273"/>
  <c r="AE33" i="273"/>
  <c r="M32" i="273"/>
  <c r="O32" i="273" s="1"/>
  <c r="M29" i="272"/>
  <c r="O29" i="272" s="1"/>
  <c r="J31" i="272"/>
  <c r="AE30" i="272"/>
  <c r="J30" i="270"/>
  <c r="AE29" i="270"/>
  <c r="M28" i="270"/>
  <c r="O28" i="270" s="1"/>
  <c r="J30" i="269" l="1"/>
  <c r="AE29" i="269"/>
  <c r="M28" i="269"/>
  <c r="O28" i="269" s="1"/>
  <c r="M33" i="273"/>
  <c r="O33" i="273" s="1"/>
  <c r="AE34" i="273"/>
  <c r="J35" i="273"/>
  <c r="J32" i="272"/>
  <c r="AE31" i="272"/>
  <c r="M30" i="272"/>
  <c r="O30" i="272" s="1"/>
  <c r="M29" i="270"/>
  <c r="O29" i="270" s="1"/>
  <c r="AE30" i="270"/>
  <c r="J31" i="270"/>
  <c r="M29" i="269" l="1"/>
  <c r="O29" i="269" s="1"/>
  <c r="J31" i="269"/>
  <c r="AE30" i="269"/>
  <c r="J36" i="273"/>
  <c r="AE35" i="273"/>
  <c r="M34" i="273"/>
  <c r="O34" i="273" s="1"/>
  <c r="M31" i="272"/>
  <c r="O31" i="272" s="1"/>
  <c r="J33" i="272"/>
  <c r="AE32" i="272"/>
  <c r="J32" i="270"/>
  <c r="AE31" i="270"/>
  <c r="M30" i="270"/>
  <c r="O30" i="270" s="1"/>
  <c r="M30" i="269" l="1"/>
  <c r="O30" i="269" s="1"/>
  <c r="J32" i="269"/>
  <c r="AE31" i="269"/>
  <c r="M35" i="273"/>
  <c r="O35" i="273" s="1"/>
  <c r="AE36" i="273"/>
  <c r="J37" i="273"/>
  <c r="J34" i="272"/>
  <c r="AE33" i="272"/>
  <c r="M32" i="272"/>
  <c r="O32" i="272" s="1"/>
  <c r="M31" i="270"/>
  <c r="O31" i="270" s="1"/>
  <c r="J33" i="270"/>
  <c r="AE32" i="270"/>
  <c r="M31" i="269" l="1"/>
  <c r="O31" i="269" s="1"/>
  <c r="J33" i="269"/>
  <c r="AE32" i="269"/>
  <c r="J38" i="273"/>
  <c r="AE37" i="273"/>
  <c r="M36" i="273"/>
  <c r="O36" i="273" s="1"/>
  <c r="M33" i="272"/>
  <c r="O33" i="272" s="1"/>
  <c r="J35" i="272"/>
  <c r="AE34" i="272"/>
  <c r="J34" i="270"/>
  <c r="AE33" i="270"/>
  <c r="M32" i="270"/>
  <c r="O32" i="270" s="1"/>
  <c r="M32" i="269" l="1"/>
  <c r="O32" i="269" s="1"/>
  <c r="J34" i="269"/>
  <c r="AE33" i="269"/>
  <c r="M37" i="273"/>
  <c r="O37" i="273" s="1"/>
  <c r="AE38" i="273"/>
  <c r="J39" i="273"/>
  <c r="J36" i="272"/>
  <c r="AE35" i="272"/>
  <c r="M34" i="272"/>
  <c r="O34" i="272" s="1"/>
  <c r="M33" i="270"/>
  <c r="O33" i="270" s="1"/>
  <c r="J35" i="270"/>
  <c r="AE34" i="270"/>
  <c r="M33" i="269" l="1"/>
  <c r="O33" i="269" s="1"/>
  <c r="AE34" i="269"/>
  <c r="J35" i="269"/>
  <c r="J40" i="273"/>
  <c r="AE39" i="273"/>
  <c r="M38" i="273"/>
  <c r="O38" i="273" s="1"/>
  <c r="M35" i="272"/>
  <c r="O35" i="272" s="1"/>
  <c r="J37" i="272"/>
  <c r="AE36" i="272"/>
  <c r="J36" i="270"/>
  <c r="AE35" i="270"/>
  <c r="M34" i="270"/>
  <c r="O34" i="270" s="1"/>
  <c r="J36" i="269" l="1"/>
  <c r="AE35" i="269"/>
  <c r="M34" i="269"/>
  <c r="O34" i="269" s="1"/>
  <c r="M39" i="273"/>
  <c r="O39" i="273" s="1"/>
  <c r="AE40" i="273"/>
  <c r="J41" i="273"/>
  <c r="J38" i="272"/>
  <c r="AE37" i="272"/>
  <c r="M36" i="272"/>
  <c r="O36" i="272" s="1"/>
  <c r="M35" i="270"/>
  <c r="O35" i="270" s="1"/>
  <c r="AE36" i="270"/>
  <c r="J37" i="270"/>
  <c r="M35" i="269" l="1"/>
  <c r="O35" i="269" s="1"/>
  <c r="J37" i="269"/>
  <c r="AE36" i="269"/>
  <c r="J42" i="273"/>
  <c r="AE41" i="273"/>
  <c r="M40" i="273"/>
  <c r="O40" i="273" s="1"/>
  <c r="M37" i="272"/>
  <c r="O37" i="272" s="1"/>
  <c r="J39" i="272"/>
  <c r="AE38" i="272"/>
  <c r="J38" i="270"/>
  <c r="AE37" i="270"/>
  <c r="M36" i="270"/>
  <c r="O36" i="270" s="1"/>
  <c r="J38" i="269" l="1"/>
  <c r="M36" i="269"/>
  <c r="O36" i="269" s="1"/>
  <c r="AE37" i="269"/>
  <c r="M41" i="273"/>
  <c r="O41" i="273" s="1"/>
  <c r="J43" i="273"/>
  <c r="AE42" i="273"/>
  <c r="J40" i="272"/>
  <c r="AE39" i="272"/>
  <c r="M38" i="272"/>
  <c r="O38" i="272" s="1"/>
  <c r="M37" i="270"/>
  <c r="O37" i="270" s="1"/>
  <c r="AE38" i="270"/>
  <c r="J39" i="270"/>
  <c r="M37" i="269" l="1"/>
  <c r="O37" i="269" s="1"/>
  <c r="J39" i="269"/>
  <c r="AE38" i="269"/>
  <c r="J44" i="273"/>
  <c r="AE43" i="273"/>
  <c r="M42" i="273"/>
  <c r="O42" i="273" s="1"/>
  <c r="M39" i="272"/>
  <c r="O39" i="272" s="1"/>
  <c r="J41" i="272"/>
  <c r="AE40" i="272"/>
  <c r="J40" i="270"/>
  <c r="AE39" i="270"/>
  <c r="M38" i="270"/>
  <c r="O38" i="270" s="1"/>
  <c r="M38" i="269" l="1"/>
  <c r="O38" i="269" s="1"/>
  <c r="J40" i="269"/>
  <c r="AE39" i="269"/>
  <c r="M43" i="273"/>
  <c r="O43" i="273" s="1"/>
  <c r="J45" i="273"/>
  <c r="AE44" i="273"/>
  <c r="J42" i="272"/>
  <c r="AE41" i="272"/>
  <c r="M40" i="272"/>
  <c r="O40" i="272" s="1"/>
  <c r="M39" i="270"/>
  <c r="O39" i="270" s="1"/>
  <c r="J41" i="270"/>
  <c r="AE40" i="270"/>
  <c r="AE40" i="269" l="1"/>
  <c r="M39" i="269"/>
  <c r="O39" i="269" s="1"/>
  <c r="J41" i="269"/>
  <c r="J46" i="273"/>
  <c r="AE45" i="273"/>
  <c r="M44" i="273"/>
  <c r="O44" i="273" s="1"/>
  <c r="M41" i="272"/>
  <c r="O41" i="272" s="1"/>
  <c r="J43" i="272"/>
  <c r="AE42" i="272"/>
  <c r="J42" i="270"/>
  <c r="AE41" i="270"/>
  <c r="M40" i="270"/>
  <c r="O40" i="270" s="1"/>
  <c r="J42" i="269" l="1"/>
  <c r="AE41" i="269"/>
  <c r="M40" i="269"/>
  <c r="O40" i="269" s="1"/>
  <c r="M45" i="273"/>
  <c r="O45" i="273" s="1"/>
  <c r="J47" i="273"/>
  <c r="AE46" i="273"/>
  <c r="J44" i="272"/>
  <c r="AE43" i="272"/>
  <c r="M42" i="272"/>
  <c r="O42" i="272" s="1"/>
  <c r="M41" i="270"/>
  <c r="O41" i="270" s="1"/>
  <c r="AE42" i="270"/>
  <c r="J43" i="270"/>
  <c r="M41" i="269" l="1"/>
  <c r="O41" i="269" s="1"/>
  <c r="J43" i="269"/>
  <c r="AE42" i="269"/>
  <c r="J48" i="273"/>
  <c r="AE47" i="273"/>
  <c r="M46" i="273"/>
  <c r="O46" i="273" s="1"/>
  <c r="M43" i="272"/>
  <c r="O43" i="272" s="1"/>
  <c r="J45" i="272"/>
  <c r="AE44" i="272"/>
  <c r="J44" i="270"/>
  <c r="AE43" i="270"/>
  <c r="M42" i="270"/>
  <c r="O42" i="270" s="1"/>
  <c r="M42" i="269" l="1"/>
  <c r="O42" i="269" s="1"/>
  <c r="J44" i="269"/>
  <c r="AE43" i="269"/>
  <c r="M47" i="273"/>
  <c r="O47" i="273" s="1"/>
  <c r="J49" i="273"/>
  <c r="AE48" i="273"/>
  <c r="J46" i="272"/>
  <c r="AE45" i="272"/>
  <c r="M44" i="272"/>
  <c r="O44" i="272" s="1"/>
  <c r="M43" i="270"/>
  <c r="O43" i="270" s="1"/>
  <c r="AE44" i="270"/>
  <c r="J45" i="270"/>
  <c r="J45" i="269" l="1"/>
  <c r="M43" i="269"/>
  <c r="O43" i="269" s="1"/>
  <c r="AE44" i="269"/>
  <c r="J50" i="273"/>
  <c r="AE49" i="273"/>
  <c r="M48" i="273"/>
  <c r="O48" i="273" s="1"/>
  <c r="M45" i="272"/>
  <c r="O45" i="272" s="1"/>
  <c r="J47" i="272"/>
  <c r="AE46" i="272"/>
  <c r="J46" i="270"/>
  <c r="AE45" i="270"/>
  <c r="M44" i="270"/>
  <c r="O44" i="270" s="1"/>
  <c r="J46" i="269" l="1"/>
  <c r="AE45" i="269"/>
  <c r="M44" i="269"/>
  <c r="O44" i="269" s="1"/>
  <c r="M49" i="273"/>
  <c r="O49" i="273" s="1"/>
  <c r="J51" i="273"/>
  <c r="AE50" i="273"/>
  <c r="J48" i="272"/>
  <c r="AE47" i="272"/>
  <c r="M46" i="272"/>
  <c r="O46" i="272" s="1"/>
  <c r="M45" i="270"/>
  <c r="O45" i="270" s="1"/>
  <c r="J47" i="270"/>
  <c r="AE46" i="270"/>
  <c r="M45" i="269" l="1"/>
  <c r="O45" i="269" s="1"/>
  <c r="J47" i="269"/>
  <c r="AE46" i="269"/>
  <c r="J52" i="273"/>
  <c r="AE51" i="273"/>
  <c r="M50" i="273"/>
  <c r="O50" i="273" s="1"/>
  <c r="M47" i="272"/>
  <c r="O47" i="272" s="1"/>
  <c r="J49" i="272"/>
  <c r="AE48" i="272"/>
  <c r="J48" i="270"/>
  <c r="AE47" i="270"/>
  <c r="M46" i="270"/>
  <c r="O46" i="270" s="1"/>
  <c r="AE47" i="269" l="1"/>
  <c r="J48" i="269"/>
  <c r="M46" i="269"/>
  <c r="O46" i="269" s="1"/>
  <c r="M51" i="273"/>
  <c r="O51" i="273" s="1"/>
  <c r="J53" i="273"/>
  <c r="AE52" i="273"/>
  <c r="J50" i="272"/>
  <c r="AE49" i="272"/>
  <c r="M48" i="272"/>
  <c r="O48" i="272" s="1"/>
  <c r="M47" i="270"/>
  <c r="O47" i="270" s="1"/>
  <c r="J49" i="270"/>
  <c r="AE48" i="270"/>
  <c r="AE48" i="269" l="1"/>
  <c r="M47" i="269"/>
  <c r="O47" i="269" s="1"/>
  <c r="J49" i="269"/>
  <c r="J54" i="273"/>
  <c r="AE53" i="273"/>
  <c r="M52" i="273"/>
  <c r="O52" i="273" s="1"/>
  <c r="M49" i="272"/>
  <c r="O49" i="272" s="1"/>
  <c r="J51" i="272"/>
  <c r="AE50" i="272"/>
  <c r="J50" i="270"/>
  <c r="AE49" i="270"/>
  <c r="M48" i="270"/>
  <c r="O48" i="270" s="1"/>
  <c r="J50" i="269" l="1"/>
  <c r="M48" i="269"/>
  <c r="O48" i="269" s="1"/>
  <c r="AE49" i="269"/>
  <c r="M53" i="273"/>
  <c r="O53" i="273" s="1"/>
  <c r="J55" i="273"/>
  <c r="AE54" i="273"/>
  <c r="J52" i="272"/>
  <c r="AE51" i="272"/>
  <c r="M50" i="272"/>
  <c r="O50" i="272" s="1"/>
  <c r="M49" i="270"/>
  <c r="O49" i="270" s="1"/>
  <c r="AE50" i="270"/>
  <c r="J51" i="270"/>
  <c r="J51" i="269" l="1"/>
  <c r="M49" i="269"/>
  <c r="O49" i="269" s="1"/>
  <c r="AE50" i="269"/>
  <c r="J56" i="273"/>
  <c r="AE55" i="273"/>
  <c r="M54" i="273"/>
  <c r="O54" i="273" s="1"/>
  <c r="M51" i="272"/>
  <c r="O51" i="272" s="1"/>
  <c r="J53" i="272"/>
  <c r="AE52" i="272"/>
  <c r="J52" i="270"/>
  <c r="AE51" i="270"/>
  <c r="M50" i="270"/>
  <c r="O50" i="270" s="1"/>
  <c r="J52" i="269" l="1"/>
  <c r="AE51" i="269"/>
  <c r="M50" i="269"/>
  <c r="O50" i="269" s="1"/>
  <c r="M55" i="273"/>
  <c r="O55" i="273" s="1"/>
  <c r="J57" i="273"/>
  <c r="AE56" i="273"/>
  <c r="J54" i="272"/>
  <c r="AE53" i="272"/>
  <c r="M52" i="272"/>
  <c r="O52" i="272" s="1"/>
  <c r="M51" i="270"/>
  <c r="O51" i="270" s="1"/>
  <c r="AE52" i="270"/>
  <c r="J53" i="270"/>
  <c r="M51" i="269" l="1"/>
  <c r="O51" i="269" s="1"/>
  <c r="AE52" i="269"/>
  <c r="J53" i="269"/>
  <c r="J58" i="273"/>
  <c r="AE57" i="273"/>
  <c r="M56" i="273"/>
  <c r="O56" i="273" s="1"/>
  <c r="M53" i="272"/>
  <c r="O53" i="272" s="1"/>
  <c r="J55" i="272"/>
  <c r="AE54" i="272"/>
  <c r="J54" i="270"/>
  <c r="AE53" i="270"/>
  <c r="M52" i="270"/>
  <c r="O52" i="270" s="1"/>
  <c r="M52" i="269" l="1"/>
  <c r="O52" i="269" s="1"/>
  <c r="J54" i="269"/>
  <c r="AE53" i="269"/>
  <c r="M57" i="273"/>
  <c r="O57" i="273" s="1"/>
  <c r="J59" i="273"/>
  <c r="AE58" i="273"/>
  <c r="J56" i="272"/>
  <c r="AE55" i="272"/>
  <c r="M54" i="272"/>
  <c r="O54" i="272" s="1"/>
  <c r="M53" i="270"/>
  <c r="O53" i="270" s="1"/>
  <c r="J55" i="270"/>
  <c r="AE54" i="270"/>
  <c r="M53" i="269" l="1"/>
  <c r="O53" i="269" s="1"/>
  <c r="AE54" i="269"/>
  <c r="J55" i="269"/>
  <c r="J60" i="273"/>
  <c r="AE59" i="273"/>
  <c r="M58" i="273"/>
  <c r="O58" i="273" s="1"/>
  <c r="M55" i="272"/>
  <c r="O55" i="272" s="1"/>
  <c r="J57" i="272"/>
  <c r="AE56" i="272"/>
  <c r="J56" i="270"/>
  <c r="AE55" i="270"/>
  <c r="M54" i="270"/>
  <c r="O54" i="270" s="1"/>
  <c r="J56" i="269" l="1"/>
  <c r="AE55" i="269"/>
  <c r="M54" i="269"/>
  <c r="O54" i="269" s="1"/>
  <c r="M59" i="273"/>
  <c r="O59" i="273" s="1"/>
  <c r="J61" i="273"/>
  <c r="AE60" i="273"/>
  <c r="J58" i="272"/>
  <c r="AE57" i="272"/>
  <c r="M56" i="272"/>
  <c r="O56" i="272" s="1"/>
  <c r="M55" i="270"/>
  <c r="O55" i="270" s="1"/>
  <c r="J57" i="270"/>
  <c r="AE56" i="270"/>
  <c r="M55" i="269" l="1"/>
  <c r="O55" i="269" s="1"/>
  <c r="AE56" i="269"/>
  <c r="J57" i="269"/>
  <c r="J62" i="273"/>
  <c r="AE61" i="273"/>
  <c r="M60" i="273"/>
  <c r="O60" i="273" s="1"/>
  <c r="M57" i="272"/>
  <c r="O57" i="272" s="1"/>
  <c r="J59" i="272"/>
  <c r="AE58" i="272"/>
  <c r="J58" i="270"/>
  <c r="AE57" i="270"/>
  <c r="M56" i="270"/>
  <c r="O56" i="270" s="1"/>
  <c r="AE57" i="269" l="1"/>
  <c r="J58" i="269"/>
  <c r="M56" i="269"/>
  <c r="O56" i="269" s="1"/>
  <c r="M61" i="273"/>
  <c r="O61" i="273" s="1"/>
  <c r="J63" i="273"/>
  <c r="AE62" i="273"/>
  <c r="J60" i="272"/>
  <c r="AE59" i="272"/>
  <c r="M58" i="272"/>
  <c r="O58" i="272" s="1"/>
  <c r="M57" i="270"/>
  <c r="O57" i="270" s="1"/>
  <c r="AE58" i="270"/>
  <c r="J59" i="270"/>
  <c r="M57" i="269" l="1"/>
  <c r="O57" i="269" s="1"/>
  <c r="J59" i="269"/>
  <c r="AE58" i="269"/>
  <c r="J64" i="273"/>
  <c r="AE63" i="273"/>
  <c r="M62" i="273"/>
  <c r="O62" i="273" s="1"/>
  <c r="M59" i="272"/>
  <c r="O59" i="272" s="1"/>
  <c r="J61" i="272"/>
  <c r="AE60" i="272"/>
  <c r="J60" i="270"/>
  <c r="AE59" i="270"/>
  <c r="M58" i="270"/>
  <c r="O58" i="270" s="1"/>
  <c r="J60" i="269" l="1"/>
  <c r="AE59" i="269"/>
  <c r="M58" i="269"/>
  <c r="O58" i="269" s="1"/>
  <c r="J65" i="273"/>
  <c r="M63" i="273"/>
  <c r="O63" i="273" s="1"/>
  <c r="AE64" i="273"/>
  <c r="J62" i="272"/>
  <c r="AE61" i="272"/>
  <c r="M60" i="272"/>
  <c r="O60" i="272" s="1"/>
  <c r="M59" i="270"/>
  <c r="O59" i="270" s="1"/>
  <c r="AE60" i="270"/>
  <c r="J61" i="270"/>
  <c r="M59" i="269" l="1"/>
  <c r="O59" i="269" s="1"/>
  <c r="J61" i="269"/>
  <c r="AE60" i="269"/>
  <c r="J66" i="273"/>
  <c r="AE65" i="273"/>
  <c r="M64" i="273"/>
  <c r="O64" i="273" s="1"/>
  <c r="M61" i="272"/>
  <c r="O61" i="272" s="1"/>
  <c r="J63" i="272"/>
  <c r="AE62" i="272"/>
  <c r="J62" i="270"/>
  <c r="AE61" i="270"/>
  <c r="M60" i="270"/>
  <c r="O60" i="270" s="1"/>
  <c r="J62" i="269" l="1"/>
  <c r="M60" i="269"/>
  <c r="O60" i="269" s="1"/>
  <c r="AE61" i="269"/>
  <c r="AE66" i="273"/>
  <c r="J67" i="273"/>
  <c r="M65" i="273"/>
  <c r="O65" i="273" s="1"/>
  <c r="J64" i="272"/>
  <c r="AE63" i="272"/>
  <c r="M62" i="272"/>
  <c r="O62" i="272" s="1"/>
  <c r="M61" i="270"/>
  <c r="O61" i="270" s="1"/>
  <c r="J63" i="270"/>
  <c r="AE62" i="270"/>
  <c r="M61" i="269" l="1"/>
  <c r="O61" i="269" s="1"/>
  <c r="J63" i="269"/>
  <c r="AE62" i="269"/>
  <c r="J68" i="273"/>
  <c r="AE67" i="273"/>
  <c r="M66" i="273"/>
  <c r="O66" i="273" s="1"/>
  <c r="J65" i="272"/>
  <c r="M63" i="272"/>
  <c r="O63" i="272" s="1"/>
  <c r="AE64" i="272"/>
  <c r="J64" i="270"/>
  <c r="AE63" i="270"/>
  <c r="M62" i="270"/>
  <c r="O62" i="270" s="1"/>
  <c r="J64" i="269" l="1"/>
  <c r="AE63" i="269"/>
  <c r="M62" i="269"/>
  <c r="O62" i="269" s="1"/>
  <c r="M67" i="273"/>
  <c r="O67" i="273" s="1"/>
  <c r="J69" i="273"/>
  <c r="AE68" i="273"/>
  <c r="J66" i="272"/>
  <c r="AE65" i="272"/>
  <c r="M64" i="272"/>
  <c r="O64" i="272" s="1"/>
  <c r="J65" i="270"/>
  <c r="M63" i="270"/>
  <c r="O63" i="270" s="1"/>
  <c r="AE64" i="270"/>
  <c r="J65" i="269" l="1"/>
  <c r="M63" i="269"/>
  <c r="O63" i="269" s="1"/>
  <c r="AE64" i="269"/>
  <c r="J70" i="273"/>
  <c r="AE69" i="273"/>
  <c r="M68" i="273"/>
  <c r="O68" i="273" s="1"/>
  <c r="J67" i="272"/>
  <c r="AE66" i="272"/>
  <c r="M65" i="272"/>
  <c r="O65" i="272" s="1"/>
  <c r="J66" i="270"/>
  <c r="AE65" i="270"/>
  <c r="M64" i="270"/>
  <c r="O64" i="270" s="1"/>
  <c r="M64" i="269" l="1"/>
  <c r="O64" i="269" s="1"/>
  <c r="J66" i="269"/>
  <c r="AE65" i="269"/>
  <c r="M69" i="273"/>
  <c r="O69" i="273" s="1"/>
  <c r="J71" i="273"/>
  <c r="AE70" i="273"/>
  <c r="J68" i="272"/>
  <c r="AE67" i="272"/>
  <c r="M66" i="272"/>
  <c r="O66" i="272" s="1"/>
  <c r="M65" i="270"/>
  <c r="O65" i="270" s="1"/>
  <c r="J67" i="270"/>
  <c r="AE66" i="270"/>
  <c r="J67" i="269" l="1"/>
  <c r="AE66" i="269"/>
  <c r="M65" i="269"/>
  <c r="O65" i="269" s="1"/>
  <c r="J72" i="273"/>
  <c r="AE71" i="273"/>
  <c r="M70" i="273"/>
  <c r="O70" i="273" s="1"/>
  <c r="M67" i="272"/>
  <c r="O67" i="272" s="1"/>
  <c r="J69" i="272"/>
  <c r="AE68" i="272"/>
  <c r="J68" i="270"/>
  <c r="AE67" i="270"/>
  <c r="M66" i="270"/>
  <c r="O66" i="270" s="1"/>
  <c r="AE67" i="269" l="1"/>
  <c r="J68" i="269"/>
  <c r="M66" i="269"/>
  <c r="O66" i="269" s="1"/>
  <c r="M71" i="273"/>
  <c r="O71" i="273" s="1"/>
  <c r="AE72" i="273"/>
  <c r="J73" i="273"/>
  <c r="J70" i="272"/>
  <c r="AE69" i="272"/>
  <c r="M68" i="272"/>
  <c r="O68" i="272" s="1"/>
  <c r="M67" i="270"/>
  <c r="O67" i="270" s="1"/>
  <c r="AE68" i="270"/>
  <c r="J69" i="270"/>
  <c r="M67" i="269" l="1"/>
  <c r="O67" i="269" s="1"/>
  <c r="J69" i="269"/>
  <c r="AE68" i="269"/>
  <c r="M72" i="273"/>
  <c r="O72" i="273" s="1"/>
  <c r="J74" i="273"/>
  <c r="AE73" i="273"/>
  <c r="M69" i="272"/>
  <c r="O69" i="272" s="1"/>
  <c r="J71" i="272"/>
  <c r="AE70" i="272"/>
  <c r="J70" i="270"/>
  <c r="AE69" i="270"/>
  <c r="M68" i="270"/>
  <c r="O68" i="270" s="1"/>
  <c r="J70" i="269" l="1"/>
  <c r="M68" i="269"/>
  <c r="O68" i="269" s="1"/>
  <c r="AE69" i="269"/>
  <c r="M73" i="273"/>
  <c r="O73" i="273" s="1"/>
  <c r="J75" i="273"/>
  <c r="AE74" i="273"/>
  <c r="J72" i="272"/>
  <c r="AE71" i="272"/>
  <c r="M70" i="272"/>
  <c r="O70" i="272" s="1"/>
  <c r="M69" i="270"/>
  <c r="O69" i="270" s="1"/>
  <c r="AE70" i="270"/>
  <c r="J71" i="270"/>
  <c r="M69" i="269" l="1"/>
  <c r="O69" i="269" s="1"/>
  <c r="AE70" i="269"/>
  <c r="J71" i="269"/>
  <c r="M74" i="273"/>
  <c r="O74" i="273" s="1"/>
  <c r="J76" i="273"/>
  <c r="AE75" i="273"/>
  <c r="M71" i="272"/>
  <c r="O71" i="272" s="1"/>
  <c r="J73" i="272"/>
  <c r="AE72" i="272"/>
  <c r="J72" i="270"/>
  <c r="M70" i="270"/>
  <c r="O70" i="270" s="1"/>
  <c r="AE71" i="270"/>
  <c r="J72" i="269" l="1"/>
  <c r="M70" i="269"/>
  <c r="O70" i="269" s="1"/>
  <c r="AE71" i="269"/>
  <c r="M75" i="273"/>
  <c r="O75" i="273" s="1"/>
  <c r="AE76" i="273"/>
  <c r="J77" i="273"/>
  <c r="M72" i="272"/>
  <c r="O72" i="272" s="1"/>
  <c r="J74" i="272"/>
  <c r="AE73" i="272"/>
  <c r="M71" i="270"/>
  <c r="O71" i="270" s="1"/>
  <c r="J73" i="270"/>
  <c r="AE72" i="270"/>
  <c r="M71" i="269" l="1"/>
  <c r="O71" i="269" s="1"/>
  <c r="J73" i="269"/>
  <c r="AE72" i="269"/>
  <c r="M76" i="273"/>
  <c r="O76" i="273" s="1"/>
  <c r="J78" i="273"/>
  <c r="M73" i="272"/>
  <c r="O73" i="272" s="1"/>
  <c r="J75" i="272"/>
  <c r="AE74" i="272"/>
  <c r="M72" i="270"/>
  <c r="O72" i="270" s="1"/>
  <c r="J74" i="270"/>
  <c r="AE73" i="270"/>
  <c r="J74" i="269" l="1"/>
  <c r="M72" i="269"/>
  <c r="O72" i="269" s="1"/>
  <c r="AE73" i="269"/>
  <c r="M77" i="273"/>
  <c r="O77" i="273" s="1"/>
  <c r="J79" i="273"/>
  <c r="M74" i="272"/>
  <c r="O74" i="272" s="1"/>
  <c r="J76" i="272"/>
  <c r="AE75" i="272"/>
  <c r="M73" i="270"/>
  <c r="O73" i="270" s="1"/>
  <c r="AE74" i="270"/>
  <c r="J75" i="270"/>
  <c r="M73" i="269" l="1"/>
  <c r="O73" i="269" s="1"/>
  <c r="J75" i="269"/>
  <c r="AE74" i="269"/>
  <c r="M78" i="273"/>
  <c r="O78" i="273" s="1"/>
  <c r="J80" i="273"/>
  <c r="M75" i="272"/>
  <c r="O75" i="272" s="1"/>
  <c r="J77" i="272"/>
  <c r="AE76" i="272"/>
  <c r="M74" i="270"/>
  <c r="O74" i="270" s="1"/>
  <c r="J76" i="270"/>
  <c r="AE75" i="270"/>
  <c r="AE75" i="269" l="1"/>
  <c r="M74" i="269"/>
  <c r="O74" i="269" s="1"/>
  <c r="J76" i="269"/>
  <c r="M79" i="273"/>
  <c r="O79" i="273" s="1"/>
  <c r="J81" i="273"/>
  <c r="M76" i="272"/>
  <c r="O76" i="272" s="1"/>
  <c r="J78" i="272"/>
  <c r="M75" i="270"/>
  <c r="O75" i="270" s="1"/>
  <c r="J77" i="270"/>
  <c r="AE76" i="270"/>
  <c r="M75" i="269" l="1"/>
  <c r="O75" i="269" s="1"/>
  <c r="AE76" i="269"/>
  <c r="J77" i="269"/>
  <c r="M80" i="273"/>
  <c r="O80" i="273" s="1"/>
  <c r="J82" i="273"/>
  <c r="M77" i="272"/>
  <c r="O77" i="272" s="1"/>
  <c r="J79" i="272"/>
  <c r="M76" i="270"/>
  <c r="O76" i="270" s="1"/>
  <c r="J78" i="270"/>
  <c r="J78" i="269" l="1"/>
  <c r="M76" i="269"/>
  <c r="O76" i="269" s="1"/>
  <c r="M81" i="273"/>
  <c r="O81" i="273" s="1"/>
  <c r="J83" i="273"/>
  <c r="M78" i="272"/>
  <c r="O78" i="272" s="1"/>
  <c r="J80" i="272"/>
  <c r="M77" i="270"/>
  <c r="O77" i="270" s="1"/>
  <c r="J79" i="270"/>
  <c r="M77" i="269" l="1"/>
  <c r="O77" i="269" s="1"/>
  <c r="J79" i="269"/>
  <c r="M82" i="273"/>
  <c r="O82" i="273" s="1"/>
  <c r="J84" i="273"/>
  <c r="M79" i="272"/>
  <c r="O79" i="272" s="1"/>
  <c r="J81" i="272"/>
  <c r="M78" i="270"/>
  <c r="O78" i="270" s="1"/>
  <c r="J80" i="270"/>
  <c r="M78" i="269" l="1"/>
  <c r="O78" i="269" s="1"/>
  <c r="J80" i="269"/>
  <c r="M83" i="273"/>
  <c r="O83" i="273" s="1"/>
  <c r="J85" i="273"/>
  <c r="M80" i="272"/>
  <c r="O80" i="272" s="1"/>
  <c r="J82" i="272"/>
  <c r="M79" i="270"/>
  <c r="O79" i="270" s="1"/>
  <c r="J81" i="270"/>
  <c r="M79" i="269" l="1"/>
  <c r="O79" i="269" s="1"/>
  <c r="J81" i="269"/>
  <c r="M84" i="273"/>
  <c r="O84" i="273" s="1"/>
  <c r="J86" i="273"/>
  <c r="M81" i="272"/>
  <c r="O81" i="272" s="1"/>
  <c r="J83" i="272"/>
  <c r="J82" i="270"/>
  <c r="M80" i="270"/>
  <c r="O80" i="270" s="1"/>
  <c r="M80" i="269" l="1"/>
  <c r="O80" i="269" s="1"/>
  <c r="J82" i="269"/>
  <c r="M85" i="273"/>
  <c r="O85" i="273" s="1"/>
  <c r="J87" i="273"/>
  <c r="J84" i="272"/>
  <c r="M82" i="272"/>
  <c r="O82" i="272" s="1"/>
  <c r="M81" i="270"/>
  <c r="O81" i="270" s="1"/>
  <c r="J83" i="270"/>
  <c r="J83" i="269" l="1"/>
  <c r="M81" i="269"/>
  <c r="O81" i="269" s="1"/>
  <c r="M86" i="273"/>
  <c r="O86" i="273" s="1"/>
  <c r="J88" i="273"/>
  <c r="M83" i="272"/>
  <c r="O83" i="272" s="1"/>
  <c r="J85" i="272"/>
  <c r="J84" i="270"/>
  <c r="M82" i="270"/>
  <c r="O82" i="270" s="1"/>
  <c r="M82" i="269" l="1"/>
  <c r="O82" i="269" s="1"/>
  <c r="J84" i="269"/>
  <c r="M87" i="273"/>
  <c r="O87" i="273" s="1"/>
  <c r="J89" i="273"/>
  <c r="J86" i="272"/>
  <c r="M84" i="272"/>
  <c r="O84" i="272" s="1"/>
  <c r="M83" i="270"/>
  <c r="O83" i="270" s="1"/>
  <c r="J85" i="270"/>
  <c r="M83" i="269" l="1"/>
  <c r="O83" i="269" s="1"/>
  <c r="J85" i="269"/>
  <c r="M88" i="273"/>
  <c r="O88" i="273" s="1"/>
  <c r="J90" i="273"/>
  <c r="M85" i="272"/>
  <c r="O85" i="272" s="1"/>
  <c r="J87" i="272"/>
  <c r="J86" i="270"/>
  <c r="M84" i="270"/>
  <c r="O84" i="270" s="1"/>
  <c r="J86" i="269" l="1"/>
  <c r="M84" i="269"/>
  <c r="O84" i="269" s="1"/>
  <c r="M89" i="273"/>
  <c r="O89" i="273" s="1"/>
  <c r="J91" i="273"/>
  <c r="J88" i="272"/>
  <c r="M86" i="272"/>
  <c r="O86" i="272" s="1"/>
  <c r="M85" i="270"/>
  <c r="O85" i="270" s="1"/>
  <c r="J87" i="270"/>
  <c r="F65" i="267"/>
  <c r="G65" i="267" s="1"/>
  <c r="H65" i="267" s="1"/>
  <c r="F66" i="267"/>
  <c r="G66" i="267" s="1"/>
  <c r="H66" i="267" s="1"/>
  <c r="F67" i="267"/>
  <c r="G67" i="267" s="1"/>
  <c r="H67" i="267" s="1"/>
  <c r="F68" i="267"/>
  <c r="G68" i="267" s="1"/>
  <c r="H68" i="267" s="1"/>
  <c r="F69" i="267"/>
  <c r="G69" i="267" s="1"/>
  <c r="H69" i="267" s="1"/>
  <c r="F70" i="267"/>
  <c r="G70" i="267" s="1"/>
  <c r="H70" i="267" s="1"/>
  <c r="D65" i="267"/>
  <c r="D66" i="267"/>
  <c r="D67" i="267"/>
  <c r="D68" i="267"/>
  <c r="D69" i="267"/>
  <c r="D70" i="267"/>
  <c r="C17" i="267"/>
  <c r="C18" i="267"/>
  <c r="C19" i="267"/>
  <c r="C20" i="267"/>
  <c r="C21" i="267"/>
  <c r="C22" i="267"/>
  <c r="C23" i="267"/>
  <c r="C24" i="267"/>
  <c r="C25" i="267"/>
  <c r="C26" i="267"/>
  <c r="C27" i="267"/>
  <c r="C28" i="267"/>
  <c r="C29" i="267"/>
  <c r="C30" i="267"/>
  <c r="C31" i="267"/>
  <c r="C32" i="267"/>
  <c r="C33" i="267"/>
  <c r="C34" i="267"/>
  <c r="C35" i="267"/>
  <c r="C36" i="267"/>
  <c r="C37" i="267"/>
  <c r="C38" i="267"/>
  <c r="C39" i="267"/>
  <c r="C40" i="267"/>
  <c r="C41" i="267"/>
  <c r="C42" i="267"/>
  <c r="C43" i="267"/>
  <c r="C44" i="267"/>
  <c r="C45" i="267"/>
  <c r="C46" i="267"/>
  <c r="C47" i="267"/>
  <c r="C48" i="267"/>
  <c r="C49" i="267"/>
  <c r="C50" i="267"/>
  <c r="C51" i="267"/>
  <c r="C52" i="267"/>
  <c r="C53" i="267"/>
  <c r="C54" i="267"/>
  <c r="C55" i="267"/>
  <c r="C56" i="267"/>
  <c r="C57" i="267"/>
  <c r="C58" i="267"/>
  <c r="C59" i="267"/>
  <c r="C60" i="267"/>
  <c r="C61" i="267"/>
  <c r="C62" i="267"/>
  <c r="C63" i="267"/>
  <c r="C64" i="267"/>
  <c r="C65" i="267"/>
  <c r="C66" i="267"/>
  <c r="C67" i="267"/>
  <c r="C68" i="267"/>
  <c r="C69" i="267"/>
  <c r="C70" i="267"/>
  <c r="C10" i="267"/>
  <c r="C11" i="267"/>
  <c r="C12" i="267"/>
  <c r="C13" i="267"/>
  <c r="C14" i="267"/>
  <c r="C15" i="267"/>
  <c r="C16" i="267"/>
  <c r="F139" i="267"/>
  <c r="E139" i="267"/>
  <c r="F138" i="267"/>
  <c r="E138" i="267"/>
  <c r="F137" i="267"/>
  <c r="E137" i="267"/>
  <c r="F136" i="267"/>
  <c r="E136" i="267"/>
  <c r="F135" i="267"/>
  <c r="E135" i="267"/>
  <c r="F134" i="267"/>
  <c r="E134" i="267"/>
  <c r="F133" i="267"/>
  <c r="E133" i="267"/>
  <c r="F132" i="267"/>
  <c r="E132" i="267"/>
  <c r="M107" i="267"/>
  <c r="O107" i="267" s="1"/>
  <c r="L107" i="267"/>
  <c r="L106" i="267"/>
  <c r="L105" i="267"/>
  <c r="L104" i="267"/>
  <c r="L103" i="267"/>
  <c r="L102" i="267"/>
  <c r="L101" i="267"/>
  <c r="L100" i="267"/>
  <c r="L99" i="267"/>
  <c r="L98" i="267"/>
  <c r="L97" i="267"/>
  <c r="L96" i="267"/>
  <c r="L95" i="267"/>
  <c r="L94" i="267"/>
  <c r="L93" i="267"/>
  <c r="L92" i="267"/>
  <c r="L91" i="267"/>
  <c r="L90" i="267"/>
  <c r="L89" i="267"/>
  <c r="L88" i="267"/>
  <c r="L87" i="267"/>
  <c r="L86" i="267"/>
  <c r="L85" i="267"/>
  <c r="L84" i="267"/>
  <c r="L83" i="267"/>
  <c r="L82" i="267"/>
  <c r="L81" i="267"/>
  <c r="L80" i="267"/>
  <c r="L79" i="267"/>
  <c r="L78" i="267"/>
  <c r="L77" i="267"/>
  <c r="AI76" i="267"/>
  <c r="AG76" i="267" s="1"/>
  <c r="AH76" i="267"/>
  <c r="AF76" i="267"/>
  <c r="L76" i="267"/>
  <c r="AL76" i="267" s="1"/>
  <c r="AI75" i="267"/>
  <c r="AG75" i="267" s="1"/>
  <c r="AH75" i="267"/>
  <c r="AF75" i="267"/>
  <c r="L75" i="267"/>
  <c r="AL75" i="267" s="1"/>
  <c r="AI74" i="267"/>
  <c r="AG74" i="267" s="1"/>
  <c r="AH74" i="267"/>
  <c r="AF74" i="267"/>
  <c r="L74" i="267"/>
  <c r="AL74" i="267" s="1"/>
  <c r="AI73" i="267"/>
  <c r="AG73" i="267" s="1"/>
  <c r="AH73" i="267"/>
  <c r="AF73" i="267"/>
  <c r="L73" i="267"/>
  <c r="AL73" i="267" s="1"/>
  <c r="AI72" i="267"/>
  <c r="AG72" i="267" s="1"/>
  <c r="AH72" i="267"/>
  <c r="AF72" i="267"/>
  <c r="L72" i="267"/>
  <c r="AL72" i="267" s="1"/>
  <c r="AI71" i="267"/>
  <c r="AG71" i="267" s="1"/>
  <c r="AH71" i="267"/>
  <c r="AF71" i="267"/>
  <c r="L71" i="267"/>
  <c r="AL71" i="267" s="1"/>
  <c r="AI70" i="267"/>
  <c r="AG70" i="267" s="1"/>
  <c r="AH70" i="267"/>
  <c r="AF70" i="267"/>
  <c r="L70" i="267"/>
  <c r="AI69" i="267"/>
  <c r="AG69" i="267" s="1"/>
  <c r="AH69" i="267"/>
  <c r="AF69" i="267"/>
  <c r="L69" i="267"/>
  <c r="AI68" i="267"/>
  <c r="AG68" i="267" s="1"/>
  <c r="AH68" i="267"/>
  <c r="AF68" i="267"/>
  <c r="L68" i="267"/>
  <c r="AI67" i="267"/>
  <c r="AH67" i="267"/>
  <c r="AG67" i="267"/>
  <c r="AF67" i="267"/>
  <c r="L67" i="267"/>
  <c r="AI66" i="267"/>
  <c r="AG66" i="267" s="1"/>
  <c r="AH66" i="267"/>
  <c r="AF66" i="267"/>
  <c r="L66" i="267"/>
  <c r="AI65" i="267"/>
  <c r="AH65" i="267"/>
  <c r="AG65" i="267"/>
  <c r="AF65" i="267"/>
  <c r="L65" i="267"/>
  <c r="AI64" i="267"/>
  <c r="AG64" i="267" s="1"/>
  <c r="AH64" i="267"/>
  <c r="AF64" i="267"/>
  <c r="L64" i="267"/>
  <c r="D64" i="267"/>
  <c r="F64" i="267" s="1"/>
  <c r="G64" i="267" s="1"/>
  <c r="H64" i="267" s="1"/>
  <c r="AI63" i="267"/>
  <c r="AH63" i="267"/>
  <c r="AG63" i="267"/>
  <c r="AF63" i="267"/>
  <c r="L63" i="267"/>
  <c r="D63" i="267"/>
  <c r="F63" i="267" s="1"/>
  <c r="G63" i="267" s="1"/>
  <c r="AI62" i="267"/>
  <c r="AG62" i="267" s="1"/>
  <c r="AH62" i="267"/>
  <c r="AF62" i="267"/>
  <c r="L62" i="267"/>
  <c r="F62" i="267"/>
  <c r="G62" i="267" s="1"/>
  <c r="D62" i="267"/>
  <c r="AI61" i="267"/>
  <c r="AH61" i="267"/>
  <c r="AG61" i="267"/>
  <c r="AF61" i="267"/>
  <c r="L61" i="267"/>
  <c r="D61" i="267"/>
  <c r="F61" i="267" s="1"/>
  <c r="G61" i="267" s="1"/>
  <c r="H61" i="267" s="1"/>
  <c r="AI60" i="267"/>
  <c r="AG60" i="267" s="1"/>
  <c r="AH60" i="267"/>
  <c r="AF60" i="267"/>
  <c r="L60" i="267"/>
  <c r="F60" i="267"/>
  <c r="G60" i="267" s="1"/>
  <c r="H60" i="267" s="1"/>
  <c r="D60" i="267"/>
  <c r="AI59" i="267"/>
  <c r="AH59" i="267"/>
  <c r="AG59" i="267"/>
  <c r="AF59" i="267"/>
  <c r="L59" i="267"/>
  <c r="D59" i="267"/>
  <c r="F59" i="267" s="1"/>
  <c r="G59" i="267" s="1"/>
  <c r="H59" i="267" s="1"/>
  <c r="AI58" i="267"/>
  <c r="AG58" i="267" s="1"/>
  <c r="AH58" i="267"/>
  <c r="AF58" i="267"/>
  <c r="L58" i="267"/>
  <c r="D58" i="267"/>
  <c r="F58" i="267" s="1"/>
  <c r="G58" i="267" s="1"/>
  <c r="AI57" i="267"/>
  <c r="AH57" i="267"/>
  <c r="AG57" i="267"/>
  <c r="AF57" i="267"/>
  <c r="L57" i="267"/>
  <c r="S57" i="267" s="1"/>
  <c r="T57" i="267" s="1"/>
  <c r="D57" i="267"/>
  <c r="F57" i="267" s="1"/>
  <c r="G57" i="267" s="1"/>
  <c r="H57" i="267" s="1"/>
  <c r="AI56" i="267"/>
  <c r="AG56" i="267" s="1"/>
  <c r="AH56" i="267"/>
  <c r="AF56" i="267"/>
  <c r="L56" i="267"/>
  <c r="F56" i="267"/>
  <c r="G56" i="267" s="1"/>
  <c r="D56" i="267"/>
  <c r="AI55" i="267"/>
  <c r="AG55" i="267" s="1"/>
  <c r="AH55" i="267"/>
  <c r="AF55" i="267"/>
  <c r="L55" i="267"/>
  <c r="D55" i="267"/>
  <c r="F55" i="267" s="1"/>
  <c r="G55" i="267" s="1"/>
  <c r="H55" i="267" s="1"/>
  <c r="AI54" i="267"/>
  <c r="AG54" i="267" s="1"/>
  <c r="AH54" i="267"/>
  <c r="AF54" i="267"/>
  <c r="L54" i="267"/>
  <c r="F54" i="267"/>
  <c r="G54" i="267" s="1"/>
  <c r="D54" i="267"/>
  <c r="AI53" i="267"/>
  <c r="AG53" i="267" s="1"/>
  <c r="AH53" i="267"/>
  <c r="AF53" i="267"/>
  <c r="L53" i="267"/>
  <c r="S53" i="267" s="1"/>
  <c r="T53" i="267" s="1"/>
  <c r="D53" i="267"/>
  <c r="F53" i="267" s="1"/>
  <c r="G53" i="267" s="1"/>
  <c r="H53" i="267" s="1"/>
  <c r="AI52" i="267"/>
  <c r="AG52" i="267" s="1"/>
  <c r="AH52" i="267"/>
  <c r="AF52" i="267"/>
  <c r="L52" i="267"/>
  <c r="F52" i="267"/>
  <c r="G52" i="267" s="1"/>
  <c r="D52" i="267"/>
  <c r="AI51" i="267"/>
  <c r="AG51" i="267" s="1"/>
  <c r="AH51" i="267"/>
  <c r="AF51" i="267"/>
  <c r="L51" i="267"/>
  <c r="S51" i="267" s="1"/>
  <c r="T51" i="267" s="1"/>
  <c r="D51" i="267"/>
  <c r="F51" i="267" s="1"/>
  <c r="G51" i="267" s="1"/>
  <c r="H51" i="267" s="1"/>
  <c r="AI50" i="267"/>
  <c r="AG50" i="267" s="1"/>
  <c r="AH50" i="267"/>
  <c r="AF50" i="267"/>
  <c r="L50" i="267"/>
  <c r="D50" i="267"/>
  <c r="F50" i="267" s="1"/>
  <c r="G50" i="267" s="1"/>
  <c r="H50" i="267" s="1"/>
  <c r="AI49" i="267"/>
  <c r="AH49" i="267"/>
  <c r="AG49" i="267"/>
  <c r="AF49" i="267"/>
  <c r="L49" i="267"/>
  <c r="D49" i="267"/>
  <c r="F49" i="267" s="1"/>
  <c r="G49" i="267" s="1"/>
  <c r="H49" i="267" s="1"/>
  <c r="AI48" i="267"/>
  <c r="AG48" i="267" s="1"/>
  <c r="AH48" i="267"/>
  <c r="AF48" i="267"/>
  <c r="L48" i="267"/>
  <c r="F48" i="267"/>
  <c r="G48" i="267" s="1"/>
  <c r="H48" i="267" s="1"/>
  <c r="D48" i="267"/>
  <c r="AI47" i="267"/>
  <c r="AG47" i="267" s="1"/>
  <c r="AH47" i="267"/>
  <c r="AF47" i="267"/>
  <c r="L47" i="267"/>
  <c r="S47" i="267" s="1"/>
  <c r="T47" i="267" s="1"/>
  <c r="D47" i="267"/>
  <c r="F47" i="267" s="1"/>
  <c r="G47" i="267" s="1"/>
  <c r="AI46" i="267"/>
  <c r="AG46" i="267" s="1"/>
  <c r="AH46" i="267"/>
  <c r="AF46" i="267"/>
  <c r="L46" i="267"/>
  <c r="F46" i="267"/>
  <c r="G46" i="267" s="1"/>
  <c r="D46" i="267"/>
  <c r="AI45" i="267"/>
  <c r="AG45" i="267" s="1"/>
  <c r="AH45" i="267"/>
  <c r="AF45" i="267"/>
  <c r="L45" i="267"/>
  <c r="D45" i="267"/>
  <c r="F45" i="267" s="1"/>
  <c r="G45" i="267" s="1"/>
  <c r="H45" i="267" s="1"/>
  <c r="AI44" i="267"/>
  <c r="AG44" i="267" s="1"/>
  <c r="AH44" i="267"/>
  <c r="AF44" i="267"/>
  <c r="L44" i="267"/>
  <c r="F44" i="267"/>
  <c r="G44" i="267" s="1"/>
  <c r="H44" i="267" s="1"/>
  <c r="D44" i="267"/>
  <c r="AI43" i="267"/>
  <c r="AG43" i="267" s="1"/>
  <c r="AH43" i="267"/>
  <c r="AF43" i="267"/>
  <c r="L43" i="267"/>
  <c r="D43" i="267"/>
  <c r="F43" i="267" s="1"/>
  <c r="G43" i="267" s="1"/>
  <c r="H43" i="267" s="1"/>
  <c r="AI42" i="267"/>
  <c r="AG42" i="267" s="1"/>
  <c r="AH42" i="267"/>
  <c r="AF42" i="267"/>
  <c r="L42" i="267"/>
  <c r="D42" i="267"/>
  <c r="F42" i="267" s="1"/>
  <c r="G42" i="267" s="1"/>
  <c r="AI41" i="267"/>
  <c r="AG41" i="267" s="1"/>
  <c r="AH41" i="267"/>
  <c r="AF41" i="267"/>
  <c r="L41" i="267"/>
  <c r="D41" i="267"/>
  <c r="F41" i="267" s="1"/>
  <c r="G41" i="267" s="1"/>
  <c r="H41" i="267" s="1"/>
  <c r="AI40" i="267"/>
  <c r="AG40" i="267" s="1"/>
  <c r="AH40" i="267"/>
  <c r="AF40" i="267"/>
  <c r="L40" i="267"/>
  <c r="D40" i="267"/>
  <c r="F40" i="267" s="1"/>
  <c r="G40" i="267" s="1"/>
  <c r="H40" i="267" s="1"/>
  <c r="AI39" i="267"/>
  <c r="AH39" i="267"/>
  <c r="AG39" i="267"/>
  <c r="AF39" i="267"/>
  <c r="L39" i="267"/>
  <c r="D39" i="267"/>
  <c r="F39" i="267" s="1"/>
  <c r="G39" i="267" s="1"/>
  <c r="AI38" i="267"/>
  <c r="AG38" i="267" s="1"/>
  <c r="AH38" i="267"/>
  <c r="AF38" i="267"/>
  <c r="L38" i="267"/>
  <c r="D38" i="267"/>
  <c r="F38" i="267" s="1"/>
  <c r="G38" i="267" s="1"/>
  <c r="AI37" i="267"/>
  <c r="AG37" i="267" s="1"/>
  <c r="AH37" i="267"/>
  <c r="AF37" i="267"/>
  <c r="L37" i="267"/>
  <c r="D37" i="267"/>
  <c r="F37" i="267" s="1"/>
  <c r="G37" i="267" s="1"/>
  <c r="H37" i="267" s="1"/>
  <c r="AI36" i="267"/>
  <c r="AG36" i="267" s="1"/>
  <c r="AH36" i="267"/>
  <c r="AF36" i="267"/>
  <c r="L36" i="267"/>
  <c r="F36" i="267"/>
  <c r="G36" i="267" s="1"/>
  <c r="D36" i="267"/>
  <c r="AI35" i="267"/>
  <c r="AG35" i="267" s="1"/>
  <c r="AH35" i="267"/>
  <c r="AF35" i="267"/>
  <c r="L35" i="267"/>
  <c r="D35" i="267"/>
  <c r="F35" i="267" s="1"/>
  <c r="G35" i="267" s="1"/>
  <c r="AI34" i="267"/>
  <c r="AG34" i="267" s="1"/>
  <c r="AH34" i="267"/>
  <c r="AF34" i="267"/>
  <c r="L34" i="267"/>
  <c r="D34" i="267"/>
  <c r="F34" i="267" s="1"/>
  <c r="G34" i="267" s="1"/>
  <c r="AI33" i="267"/>
  <c r="AG33" i="267" s="1"/>
  <c r="AH33" i="267"/>
  <c r="AF33" i="267"/>
  <c r="L33" i="267"/>
  <c r="D33" i="267"/>
  <c r="F33" i="267" s="1"/>
  <c r="G33" i="267" s="1"/>
  <c r="H33" i="267" s="1"/>
  <c r="AI32" i="267"/>
  <c r="AG32" i="267" s="1"/>
  <c r="AH32" i="267"/>
  <c r="AF32" i="267"/>
  <c r="L32" i="267"/>
  <c r="D32" i="267"/>
  <c r="F32" i="267" s="1"/>
  <c r="G32" i="267" s="1"/>
  <c r="H32" i="267" s="1"/>
  <c r="AI31" i="267"/>
  <c r="AG31" i="267" s="1"/>
  <c r="AH31" i="267"/>
  <c r="AF31" i="267"/>
  <c r="L31" i="267"/>
  <c r="D31" i="267"/>
  <c r="F31" i="267" s="1"/>
  <c r="G31" i="267" s="1"/>
  <c r="AI30" i="267"/>
  <c r="AG30" i="267" s="1"/>
  <c r="AH30" i="267"/>
  <c r="AF30" i="267"/>
  <c r="L30" i="267"/>
  <c r="D30" i="267"/>
  <c r="F30" i="267" s="1"/>
  <c r="G30" i="267" s="1"/>
  <c r="AI29" i="267"/>
  <c r="AG29" i="267" s="1"/>
  <c r="AH29" i="267"/>
  <c r="AF29" i="267"/>
  <c r="L29" i="267"/>
  <c r="S29" i="267" s="1"/>
  <c r="T29" i="267" s="1"/>
  <c r="D29" i="267"/>
  <c r="F29" i="267" s="1"/>
  <c r="G29" i="267" s="1"/>
  <c r="H29" i="267" s="1"/>
  <c r="AI28" i="267"/>
  <c r="AG28" i="267" s="1"/>
  <c r="AH28" i="267"/>
  <c r="AF28" i="267"/>
  <c r="L28" i="267"/>
  <c r="D28" i="267"/>
  <c r="F28" i="267" s="1"/>
  <c r="G28" i="267" s="1"/>
  <c r="H28" i="267" s="1"/>
  <c r="AI27" i="267"/>
  <c r="AG27" i="267" s="1"/>
  <c r="AH27" i="267"/>
  <c r="AF27" i="267"/>
  <c r="L27" i="267"/>
  <c r="F27" i="267"/>
  <c r="G27" i="267" s="1"/>
  <c r="H27" i="267" s="1"/>
  <c r="D27" i="267"/>
  <c r="AI26" i="267"/>
  <c r="AH26" i="267"/>
  <c r="AG26" i="267"/>
  <c r="AF26" i="267"/>
  <c r="L26" i="267"/>
  <c r="D26" i="267"/>
  <c r="F26" i="267" s="1"/>
  <c r="G26" i="267" s="1"/>
  <c r="AI25" i="267"/>
  <c r="AG25" i="267" s="1"/>
  <c r="AH25" i="267"/>
  <c r="AF25" i="267"/>
  <c r="L25" i="267"/>
  <c r="AL25" i="267" s="1"/>
  <c r="D25" i="267"/>
  <c r="F25" i="267" s="1"/>
  <c r="G25" i="267" s="1"/>
  <c r="AI24" i="267"/>
  <c r="AG24" i="267" s="1"/>
  <c r="AH24" i="267"/>
  <c r="AF24" i="267"/>
  <c r="L24" i="267"/>
  <c r="D24" i="267"/>
  <c r="F24" i="267" s="1"/>
  <c r="G24" i="267" s="1"/>
  <c r="H24" i="267" s="1"/>
  <c r="AI23" i="267"/>
  <c r="AH23" i="267"/>
  <c r="AG23" i="267"/>
  <c r="AF23" i="267"/>
  <c r="L23" i="267"/>
  <c r="AL23" i="267" s="1"/>
  <c r="F23" i="267"/>
  <c r="G23" i="267" s="1"/>
  <c r="D23" i="267"/>
  <c r="AI22" i="267"/>
  <c r="AH22" i="267"/>
  <c r="AG22" i="267"/>
  <c r="AF22" i="267"/>
  <c r="L22" i="267"/>
  <c r="AL22" i="267" s="1"/>
  <c r="D22" i="267"/>
  <c r="F22" i="267" s="1"/>
  <c r="G22" i="267" s="1"/>
  <c r="AI21" i="267"/>
  <c r="AG21" i="267" s="1"/>
  <c r="AH21" i="267"/>
  <c r="AF21" i="267"/>
  <c r="L21" i="267"/>
  <c r="I21" i="267"/>
  <c r="D21" i="267"/>
  <c r="F21" i="267" s="1"/>
  <c r="G21" i="267" s="1"/>
  <c r="AI20" i="267"/>
  <c r="AG20" i="267" s="1"/>
  <c r="AH20" i="267"/>
  <c r="AF20" i="267"/>
  <c r="L20" i="267"/>
  <c r="AL20" i="267" s="1"/>
  <c r="F20" i="267"/>
  <c r="G20" i="267" s="1"/>
  <c r="H20" i="267" s="1"/>
  <c r="D20" i="267"/>
  <c r="AI19" i="267"/>
  <c r="AG19" i="267" s="1"/>
  <c r="AH19" i="267"/>
  <c r="AF19" i="267"/>
  <c r="L19" i="267"/>
  <c r="AL19" i="267" s="1"/>
  <c r="D19" i="267"/>
  <c r="F19" i="267" s="1"/>
  <c r="G19" i="267" s="1"/>
  <c r="AI18" i="267"/>
  <c r="AH18" i="267"/>
  <c r="AG18" i="267"/>
  <c r="AF18" i="267"/>
  <c r="L18" i="267"/>
  <c r="AL18" i="267" s="1"/>
  <c r="F18" i="267"/>
  <c r="G18" i="267" s="1"/>
  <c r="D18" i="267"/>
  <c r="AI17" i="267"/>
  <c r="AG17" i="267" s="1"/>
  <c r="AH17" i="267"/>
  <c r="AF17" i="267"/>
  <c r="L17" i="267"/>
  <c r="AL17" i="267" s="1"/>
  <c r="D17" i="267"/>
  <c r="F17" i="267" s="1"/>
  <c r="G17" i="267" s="1"/>
  <c r="H17" i="267" s="1"/>
  <c r="AI16" i="267"/>
  <c r="AG16" i="267" s="1"/>
  <c r="AH16" i="267"/>
  <c r="AF16" i="267"/>
  <c r="L16" i="267"/>
  <c r="AL16" i="267" s="1"/>
  <c r="D16" i="267"/>
  <c r="F16" i="267" s="1"/>
  <c r="G16" i="267" s="1"/>
  <c r="AI15" i="267"/>
  <c r="AH15" i="267"/>
  <c r="AG15" i="267"/>
  <c r="AF15" i="267"/>
  <c r="W15" i="267" a="1"/>
  <c r="X15" i="267" s="1"/>
  <c r="L15" i="267"/>
  <c r="AL15" i="267" s="1"/>
  <c r="D15" i="267"/>
  <c r="F15" i="267" s="1"/>
  <c r="G15" i="267" s="1"/>
  <c r="AI14" i="267"/>
  <c r="AH14" i="267"/>
  <c r="AG14" i="267"/>
  <c r="AF14" i="267"/>
  <c r="L14" i="267"/>
  <c r="D14" i="267"/>
  <c r="F14" i="267" s="1"/>
  <c r="G14" i="267" s="1"/>
  <c r="H14" i="267" s="1"/>
  <c r="AI13" i="267"/>
  <c r="AG13" i="267" s="1"/>
  <c r="AH13" i="267"/>
  <c r="AF13" i="267"/>
  <c r="L13" i="267"/>
  <c r="AL13" i="267" s="1"/>
  <c r="D13" i="267"/>
  <c r="F13" i="267" s="1"/>
  <c r="G13" i="267" s="1"/>
  <c r="AI12" i="267"/>
  <c r="AG12" i="267" s="1"/>
  <c r="AH12" i="267"/>
  <c r="AF12" i="267"/>
  <c r="L12" i="267"/>
  <c r="D12" i="267"/>
  <c r="F12" i="267" s="1"/>
  <c r="G12" i="267" s="1"/>
  <c r="AG11" i="267"/>
  <c r="L11" i="267"/>
  <c r="D11" i="267"/>
  <c r="F11" i="267" s="1"/>
  <c r="G11" i="267" s="1"/>
  <c r="L10" i="267"/>
  <c r="D10" i="267"/>
  <c r="F10" i="267" s="1"/>
  <c r="G10" i="267" s="1"/>
  <c r="L9" i="267"/>
  <c r="J9" i="267"/>
  <c r="J10" i="267" s="1"/>
  <c r="D9" i="267"/>
  <c r="F9" i="267" s="1"/>
  <c r="G9" i="267" s="1"/>
  <c r="C9" i="267"/>
  <c r="N4" i="267"/>
  <c r="I3" i="267"/>
  <c r="F15" i="266"/>
  <c r="G15" i="266" s="1"/>
  <c r="H15" i="266" s="1"/>
  <c r="F16" i="266"/>
  <c r="G16" i="266" s="1"/>
  <c r="H16" i="266" s="1"/>
  <c r="D10" i="266"/>
  <c r="D11" i="266"/>
  <c r="F11" i="266" s="1"/>
  <c r="G11" i="266" s="1"/>
  <c r="D12" i="266"/>
  <c r="F12" i="266" s="1"/>
  <c r="G12" i="266" s="1"/>
  <c r="D13" i="266"/>
  <c r="D14" i="266"/>
  <c r="D15" i="266"/>
  <c r="D16" i="266"/>
  <c r="C10" i="266"/>
  <c r="C11" i="266"/>
  <c r="C12" i="266"/>
  <c r="C13" i="266"/>
  <c r="C14" i="266"/>
  <c r="C15" i="266"/>
  <c r="C16" i="266"/>
  <c r="F139" i="266"/>
  <c r="E139" i="266"/>
  <c r="F138" i="266"/>
  <c r="E138" i="266"/>
  <c r="F137" i="266"/>
  <c r="E137" i="266"/>
  <c r="F136" i="266"/>
  <c r="E136" i="266"/>
  <c r="F135" i="266"/>
  <c r="E135" i="266"/>
  <c r="F134" i="266"/>
  <c r="E134" i="266"/>
  <c r="F133" i="266"/>
  <c r="E133" i="266"/>
  <c r="F132" i="266"/>
  <c r="E132" i="266"/>
  <c r="M107" i="266"/>
  <c r="O107" i="266" s="1"/>
  <c r="L107" i="266"/>
  <c r="L106" i="266"/>
  <c r="L105" i="266"/>
  <c r="L104" i="266"/>
  <c r="L103" i="266"/>
  <c r="L102" i="266"/>
  <c r="L101" i="266"/>
  <c r="L100" i="266"/>
  <c r="L99" i="266"/>
  <c r="L98" i="266"/>
  <c r="L97" i="266"/>
  <c r="L96" i="266"/>
  <c r="L95" i="266"/>
  <c r="L94" i="266"/>
  <c r="L93" i="266"/>
  <c r="D93" i="266" a="1"/>
  <c r="L92" i="266"/>
  <c r="L91" i="266"/>
  <c r="L90" i="266"/>
  <c r="L89" i="266"/>
  <c r="L88" i="266"/>
  <c r="L87" i="266"/>
  <c r="L86" i="266"/>
  <c r="L85" i="266"/>
  <c r="L84" i="266"/>
  <c r="L83" i="266"/>
  <c r="L82" i="266"/>
  <c r="L81" i="266"/>
  <c r="L80" i="266"/>
  <c r="D80" i="266" a="1"/>
  <c r="E80" i="266" s="1"/>
  <c r="L79" i="266"/>
  <c r="L78" i="266"/>
  <c r="L77" i="266"/>
  <c r="AI76" i="266"/>
  <c r="AG76" i="266" s="1"/>
  <c r="AH76" i="266"/>
  <c r="AF76" i="266"/>
  <c r="L76" i="266"/>
  <c r="AL76" i="266" s="1"/>
  <c r="AI75" i="266"/>
  <c r="AG75" i="266" s="1"/>
  <c r="AH75" i="266"/>
  <c r="AF75" i="266"/>
  <c r="L75" i="266"/>
  <c r="AL75" i="266" s="1"/>
  <c r="AI74" i="266"/>
  <c r="AG74" i="266" s="1"/>
  <c r="AH74" i="266"/>
  <c r="AF74" i="266"/>
  <c r="L74" i="266"/>
  <c r="AL74" i="266" s="1"/>
  <c r="AI73" i="266"/>
  <c r="AG73" i="266" s="1"/>
  <c r="AH73" i="266"/>
  <c r="AF73" i="266"/>
  <c r="L73" i="266"/>
  <c r="AL73" i="266" s="1"/>
  <c r="AI72" i="266"/>
  <c r="AG72" i="266" s="1"/>
  <c r="AH72" i="266"/>
  <c r="AF72" i="266"/>
  <c r="L72" i="266"/>
  <c r="AL72" i="266" s="1"/>
  <c r="AI71" i="266"/>
  <c r="AG71" i="266" s="1"/>
  <c r="AH71" i="266"/>
  <c r="AF71" i="266"/>
  <c r="L71" i="266"/>
  <c r="AI70" i="266"/>
  <c r="AG70" i="266" s="1"/>
  <c r="AH70" i="266"/>
  <c r="AF70" i="266"/>
  <c r="L70" i="266"/>
  <c r="AL70" i="266" s="1"/>
  <c r="AI69" i="266"/>
  <c r="AH69" i="266"/>
  <c r="AG69" i="266"/>
  <c r="AF69" i="266"/>
  <c r="L69" i="266"/>
  <c r="AI68" i="266"/>
  <c r="AG68" i="266" s="1"/>
  <c r="AH68" i="266"/>
  <c r="AF68" i="266"/>
  <c r="L68" i="266"/>
  <c r="AL68" i="266" s="1"/>
  <c r="AI67" i="266"/>
  <c r="AH67" i="266"/>
  <c r="AG67" i="266"/>
  <c r="AF67" i="266"/>
  <c r="L67" i="266"/>
  <c r="AI66" i="266"/>
  <c r="AG66" i="266" s="1"/>
  <c r="AH66" i="266"/>
  <c r="AF66" i="266"/>
  <c r="L66" i="266"/>
  <c r="AL66" i="266" s="1"/>
  <c r="AI65" i="266"/>
  <c r="AG65" i="266" s="1"/>
  <c r="AH65" i="266"/>
  <c r="AF65" i="266"/>
  <c r="L65" i="266"/>
  <c r="AL65" i="266" s="1"/>
  <c r="AI64" i="266"/>
  <c r="AG64" i="266" s="1"/>
  <c r="AH64" i="266"/>
  <c r="AF64" i="266"/>
  <c r="L64" i="266"/>
  <c r="H64" i="266"/>
  <c r="G64" i="266"/>
  <c r="F64" i="266"/>
  <c r="D64" i="266"/>
  <c r="AI63" i="266"/>
  <c r="AH63" i="266"/>
  <c r="AG63" i="266"/>
  <c r="AF63" i="266"/>
  <c r="L63" i="266"/>
  <c r="H63" i="266"/>
  <c r="G63" i="266"/>
  <c r="F63" i="266"/>
  <c r="D63" i="266"/>
  <c r="AI62" i="266"/>
  <c r="AG62" i="266" s="1"/>
  <c r="AH62" i="266"/>
  <c r="AF62" i="266"/>
  <c r="L62" i="266"/>
  <c r="H62" i="266"/>
  <c r="G62" i="266"/>
  <c r="F62" i="266"/>
  <c r="D62" i="266"/>
  <c r="AI61" i="266"/>
  <c r="AH61" i="266"/>
  <c r="AG61" i="266"/>
  <c r="AF61" i="266"/>
  <c r="L61" i="266"/>
  <c r="H61" i="266"/>
  <c r="G61" i="266"/>
  <c r="F61" i="266"/>
  <c r="D61" i="266"/>
  <c r="AI60" i="266"/>
  <c r="AG60" i="266" s="1"/>
  <c r="AH60" i="266"/>
  <c r="AF60" i="266"/>
  <c r="L60" i="266"/>
  <c r="H60" i="266"/>
  <c r="G60" i="266"/>
  <c r="F60" i="266"/>
  <c r="D60" i="266"/>
  <c r="AI59" i="266"/>
  <c r="AG59" i="266" s="1"/>
  <c r="AH59" i="266"/>
  <c r="AF59" i="266"/>
  <c r="L59" i="266"/>
  <c r="H59" i="266"/>
  <c r="G59" i="266"/>
  <c r="F59" i="266"/>
  <c r="D59" i="266"/>
  <c r="AI58" i="266"/>
  <c r="AG58" i="266" s="1"/>
  <c r="AH58" i="266"/>
  <c r="AF58" i="266"/>
  <c r="L58" i="266"/>
  <c r="H58" i="266"/>
  <c r="G58" i="266"/>
  <c r="F58" i="266"/>
  <c r="D58" i="266"/>
  <c r="AI57" i="266"/>
  <c r="AG57" i="266" s="1"/>
  <c r="AH57" i="266"/>
  <c r="AF57" i="266"/>
  <c r="L57" i="266"/>
  <c r="H57" i="266"/>
  <c r="G57" i="266"/>
  <c r="F57" i="266"/>
  <c r="D57" i="266"/>
  <c r="AI56" i="266"/>
  <c r="AG56" i="266" s="1"/>
  <c r="AH56" i="266"/>
  <c r="AF56" i="266"/>
  <c r="L56" i="266"/>
  <c r="H56" i="266"/>
  <c r="G56" i="266"/>
  <c r="F56" i="266"/>
  <c r="D56" i="266"/>
  <c r="AI55" i="266"/>
  <c r="AH55" i="266"/>
  <c r="AG55" i="266"/>
  <c r="AF55" i="266"/>
  <c r="L55" i="266"/>
  <c r="H55" i="266"/>
  <c r="G55" i="266"/>
  <c r="F55" i="266"/>
  <c r="D55" i="266"/>
  <c r="AI54" i="266"/>
  <c r="AG54" i="266" s="1"/>
  <c r="AH54" i="266"/>
  <c r="AF54" i="266"/>
  <c r="L54" i="266"/>
  <c r="H54" i="266"/>
  <c r="G54" i="266"/>
  <c r="F54" i="266"/>
  <c r="D54" i="266"/>
  <c r="AI53" i="266"/>
  <c r="AH53" i="266"/>
  <c r="AG53" i="266"/>
  <c r="AF53" i="266"/>
  <c r="L53" i="266"/>
  <c r="AL53" i="266" s="1"/>
  <c r="H53" i="266"/>
  <c r="G53" i="266"/>
  <c r="F53" i="266"/>
  <c r="D53" i="266"/>
  <c r="AI52" i="266"/>
  <c r="AG52" i="266" s="1"/>
  <c r="AH52" i="266"/>
  <c r="AF52" i="266"/>
  <c r="L52" i="266"/>
  <c r="H52" i="266"/>
  <c r="G52" i="266"/>
  <c r="F52" i="266"/>
  <c r="D52" i="266"/>
  <c r="AI51" i="266"/>
  <c r="AH51" i="266"/>
  <c r="AG51" i="266"/>
  <c r="AF51" i="266"/>
  <c r="L51" i="266"/>
  <c r="AL51" i="266" s="1"/>
  <c r="H51" i="266"/>
  <c r="G51" i="266"/>
  <c r="F51" i="266"/>
  <c r="D51" i="266"/>
  <c r="AI50" i="266"/>
  <c r="AG50" i="266" s="1"/>
  <c r="AH50" i="266"/>
  <c r="AF50" i="266"/>
  <c r="L50" i="266"/>
  <c r="H50" i="266"/>
  <c r="G50" i="266"/>
  <c r="F50" i="266"/>
  <c r="D50" i="266"/>
  <c r="AI49" i="266"/>
  <c r="AH49" i="266"/>
  <c r="AG49" i="266"/>
  <c r="AF49" i="266"/>
  <c r="L49" i="266"/>
  <c r="AL49" i="266" s="1"/>
  <c r="H49" i="266"/>
  <c r="G49" i="266"/>
  <c r="F49" i="266"/>
  <c r="D49" i="266"/>
  <c r="AI48" i="266"/>
  <c r="AG48" i="266" s="1"/>
  <c r="AH48" i="266"/>
  <c r="AF48" i="266"/>
  <c r="L48" i="266"/>
  <c r="H48" i="266"/>
  <c r="G48" i="266"/>
  <c r="F48" i="266"/>
  <c r="D48" i="266"/>
  <c r="AI47" i="266"/>
  <c r="AH47" i="266"/>
  <c r="AG47" i="266"/>
  <c r="AF47" i="266"/>
  <c r="L47" i="266"/>
  <c r="AL47" i="266" s="1"/>
  <c r="H47" i="266"/>
  <c r="G47" i="266"/>
  <c r="F47" i="266"/>
  <c r="D47" i="266"/>
  <c r="AI46" i="266"/>
  <c r="AG46" i="266" s="1"/>
  <c r="AH46" i="266"/>
  <c r="AF46" i="266"/>
  <c r="L46" i="266"/>
  <c r="H46" i="266"/>
  <c r="G46" i="266"/>
  <c r="F46" i="266"/>
  <c r="D46" i="266"/>
  <c r="AI45" i="266"/>
  <c r="AH45" i="266"/>
  <c r="AG45" i="266"/>
  <c r="AF45" i="266"/>
  <c r="L45" i="266"/>
  <c r="AL45" i="266" s="1"/>
  <c r="H45" i="266"/>
  <c r="G45" i="266"/>
  <c r="F45" i="266"/>
  <c r="D45" i="266"/>
  <c r="AI44" i="266"/>
  <c r="AG44" i="266" s="1"/>
  <c r="AH44" i="266"/>
  <c r="AF44" i="266"/>
  <c r="L44" i="266"/>
  <c r="H44" i="266"/>
  <c r="G44" i="266"/>
  <c r="F44" i="266"/>
  <c r="D44" i="266"/>
  <c r="AI43" i="266"/>
  <c r="AG43" i="266" s="1"/>
  <c r="AH43" i="266"/>
  <c r="AF43" i="266"/>
  <c r="L43" i="266"/>
  <c r="AL43" i="266" s="1"/>
  <c r="H43" i="266"/>
  <c r="G43" i="266"/>
  <c r="F43" i="266"/>
  <c r="D43" i="266"/>
  <c r="AI42" i="266"/>
  <c r="AG42" i="266" s="1"/>
  <c r="AH42" i="266"/>
  <c r="AF42" i="266"/>
  <c r="L42" i="266"/>
  <c r="H42" i="266"/>
  <c r="G42" i="266"/>
  <c r="F42" i="266"/>
  <c r="D42" i="266"/>
  <c r="AI41" i="266"/>
  <c r="AH41" i="266"/>
  <c r="AG41" i="266"/>
  <c r="AF41" i="266"/>
  <c r="L41" i="266"/>
  <c r="AL41" i="266" s="1"/>
  <c r="H41" i="266"/>
  <c r="G41" i="266"/>
  <c r="F41" i="266"/>
  <c r="D41" i="266"/>
  <c r="AI40" i="266"/>
  <c r="AG40" i="266" s="1"/>
  <c r="AH40" i="266"/>
  <c r="AF40" i="266"/>
  <c r="L40" i="266"/>
  <c r="H40" i="266"/>
  <c r="G40" i="266"/>
  <c r="F40" i="266"/>
  <c r="D40" i="266"/>
  <c r="AI39" i="266"/>
  <c r="AH39" i="266"/>
  <c r="AG39" i="266"/>
  <c r="AF39" i="266"/>
  <c r="L39" i="266"/>
  <c r="AL39" i="266" s="1"/>
  <c r="H39" i="266"/>
  <c r="G39" i="266"/>
  <c r="F39" i="266"/>
  <c r="D39" i="266"/>
  <c r="AI38" i="266"/>
  <c r="AG38" i="266" s="1"/>
  <c r="AH38" i="266"/>
  <c r="AF38" i="266"/>
  <c r="L38" i="266"/>
  <c r="H38" i="266"/>
  <c r="G38" i="266"/>
  <c r="F38" i="266"/>
  <c r="D38" i="266"/>
  <c r="AI37" i="266"/>
  <c r="AH37" i="266"/>
  <c r="AG37" i="266"/>
  <c r="AF37" i="266"/>
  <c r="L37" i="266"/>
  <c r="AL37" i="266" s="1"/>
  <c r="H37" i="266"/>
  <c r="G37" i="266"/>
  <c r="F37" i="266"/>
  <c r="D37" i="266"/>
  <c r="AI36" i="266"/>
  <c r="AG36" i="266" s="1"/>
  <c r="AH36" i="266"/>
  <c r="AF36" i="266"/>
  <c r="L36" i="266"/>
  <c r="H36" i="266"/>
  <c r="G36" i="266"/>
  <c r="F36" i="266"/>
  <c r="D36" i="266"/>
  <c r="AI35" i="266"/>
  <c r="AH35" i="266"/>
  <c r="AG35" i="266"/>
  <c r="AF35" i="266"/>
  <c r="L35" i="266"/>
  <c r="AL35" i="266" s="1"/>
  <c r="H35" i="266"/>
  <c r="G35" i="266"/>
  <c r="F35" i="266"/>
  <c r="D35" i="266"/>
  <c r="AI34" i="266"/>
  <c r="AG34" i="266" s="1"/>
  <c r="AH34" i="266"/>
  <c r="AF34" i="266"/>
  <c r="L34" i="266"/>
  <c r="H34" i="266"/>
  <c r="G34" i="266"/>
  <c r="F34" i="266"/>
  <c r="D34" i="266"/>
  <c r="AI33" i="266"/>
  <c r="AG33" i="266" s="1"/>
  <c r="AH33" i="266"/>
  <c r="AF33" i="266"/>
  <c r="L33" i="266"/>
  <c r="AL33" i="266" s="1"/>
  <c r="H33" i="266"/>
  <c r="G33" i="266"/>
  <c r="F33" i="266"/>
  <c r="D33" i="266"/>
  <c r="AI32" i="266"/>
  <c r="AG32" i="266" s="1"/>
  <c r="AH32" i="266"/>
  <c r="AF32" i="266"/>
  <c r="L32" i="266"/>
  <c r="H32" i="266"/>
  <c r="G32" i="266"/>
  <c r="F32" i="266"/>
  <c r="D32" i="266"/>
  <c r="AI31" i="266"/>
  <c r="AH31" i="266"/>
  <c r="AG31" i="266"/>
  <c r="AF31" i="266"/>
  <c r="L31" i="266"/>
  <c r="AL31" i="266" s="1"/>
  <c r="H31" i="266"/>
  <c r="G31" i="266"/>
  <c r="F31" i="266"/>
  <c r="D31" i="266"/>
  <c r="AI30" i="266"/>
  <c r="AG30" i="266" s="1"/>
  <c r="AH30" i="266"/>
  <c r="AF30" i="266"/>
  <c r="L30" i="266"/>
  <c r="H30" i="266"/>
  <c r="G30" i="266"/>
  <c r="F30" i="266"/>
  <c r="D30" i="266"/>
  <c r="AI29" i="266"/>
  <c r="AH29" i="266"/>
  <c r="AG29" i="266"/>
  <c r="AF29" i="266"/>
  <c r="L29" i="266"/>
  <c r="AL29" i="266" s="1"/>
  <c r="H29" i="266"/>
  <c r="G29" i="266"/>
  <c r="F29" i="266"/>
  <c r="D29" i="266"/>
  <c r="AI28" i="266"/>
  <c r="AG28" i="266" s="1"/>
  <c r="AH28" i="266"/>
  <c r="AF28" i="266"/>
  <c r="L28" i="266"/>
  <c r="H28" i="266"/>
  <c r="G28" i="266"/>
  <c r="F28" i="266"/>
  <c r="D28" i="266"/>
  <c r="AI27" i="266"/>
  <c r="AG27" i="266" s="1"/>
  <c r="AH27" i="266"/>
  <c r="AF27" i="266"/>
  <c r="L27" i="266"/>
  <c r="AL27" i="266" s="1"/>
  <c r="H27" i="266"/>
  <c r="G27" i="266"/>
  <c r="F27" i="266"/>
  <c r="D27" i="266"/>
  <c r="AI26" i="266"/>
  <c r="AG26" i="266" s="1"/>
  <c r="AH26" i="266"/>
  <c r="AF26" i="266"/>
  <c r="L26" i="266"/>
  <c r="H26" i="266"/>
  <c r="G26" i="266"/>
  <c r="F26" i="266"/>
  <c r="D26" i="266"/>
  <c r="AI25" i="266"/>
  <c r="AH25" i="266"/>
  <c r="AG25" i="266"/>
  <c r="AF25" i="266"/>
  <c r="L25" i="266"/>
  <c r="AL25" i="266" s="1"/>
  <c r="H25" i="266"/>
  <c r="G25" i="266"/>
  <c r="F25" i="266"/>
  <c r="D25" i="266"/>
  <c r="AI24" i="266"/>
  <c r="AG24" i="266" s="1"/>
  <c r="AH24" i="266"/>
  <c r="AF24" i="266"/>
  <c r="L24" i="266"/>
  <c r="H24" i="266"/>
  <c r="G24" i="266"/>
  <c r="F24" i="266"/>
  <c r="D24" i="266"/>
  <c r="AI23" i="266"/>
  <c r="AH23" i="266"/>
  <c r="AG23" i="266"/>
  <c r="AF23" i="266"/>
  <c r="L23" i="266"/>
  <c r="AL23" i="266" s="1"/>
  <c r="H23" i="266"/>
  <c r="G23" i="266"/>
  <c r="F23" i="266"/>
  <c r="D23" i="266"/>
  <c r="AI22" i="266"/>
  <c r="AG22" i="266" s="1"/>
  <c r="AH22" i="266"/>
  <c r="AF22" i="266"/>
  <c r="L22" i="266"/>
  <c r="H22" i="266"/>
  <c r="G22" i="266"/>
  <c r="F22" i="266"/>
  <c r="D22" i="266"/>
  <c r="AI21" i="266"/>
  <c r="AH21" i="266"/>
  <c r="AG21" i="266"/>
  <c r="AF21" i="266"/>
  <c r="L21" i="266"/>
  <c r="I21" i="266"/>
  <c r="H21" i="266"/>
  <c r="G21" i="266"/>
  <c r="F21" i="266"/>
  <c r="D21" i="266"/>
  <c r="AI20" i="266"/>
  <c r="AH20" i="266"/>
  <c r="AG20" i="266"/>
  <c r="AF20" i="266"/>
  <c r="L20" i="266"/>
  <c r="AL20" i="266" s="1"/>
  <c r="H20" i="266"/>
  <c r="G20" i="266"/>
  <c r="F20" i="266"/>
  <c r="D20" i="266"/>
  <c r="AI19" i="266"/>
  <c r="AG19" i="266" s="1"/>
  <c r="AH19" i="266"/>
  <c r="AF19" i="266"/>
  <c r="L19" i="266"/>
  <c r="H19" i="266"/>
  <c r="G19" i="266"/>
  <c r="F19" i="266"/>
  <c r="D19" i="266"/>
  <c r="AI18" i="266"/>
  <c r="AG18" i="266" s="1"/>
  <c r="AH18" i="266"/>
  <c r="AF18" i="266"/>
  <c r="L18" i="266"/>
  <c r="AL18" i="266" s="1"/>
  <c r="H18" i="266"/>
  <c r="G18" i="266"/>
  <c r="F18" i="266"/>
  <c r="D18" i="266"/>
  <c r="AI17" i="266"/>
  <c r="AG17" i="266" s="1"/>
  <c r="AH17" i="266"/>
  <c r="AF17" i="266"/>
  <c r="L17" i="266"/>
  <c r="AL17" i="266" s="1"/>
  <c r="H17" i="266"/>
  <c r="G17" i="266"/>
  <c r="F17" i="266"/>
  <c r="D17" i="266"/>
  <c r="AI16" i="266"/>
  <c r="AH16" i="266"/>
  <c r="AG16" i="266"/>
  <c r="AF16" i="266"/>
  <c r="L16" i="266"/>
  <c r="AL16" i="266" s="1"/>
  <c r="AI15" i="266"/>
  <c r="AG15" i="266" s="1"/>
  <c r="AH15" i="266"/>
  <c r="AF15" i="266"/>
  <c r="W15" i="266" a="1"/>
  <c r="X16" i="266" s="1"/>
  <c r="L15" i="266"/>
  <c r="AI14" i="266"/>
  <c r="AH14" i="266"/>
  <c r="AG14" i="266"/>
  <c r="AF14" i="266"/>
  <c r="L14" i="266"/>
  <c r="AL14" i="266" s="1"/>
  <c r="F14" i="266"/>
  <c r="G14" i="266" s="1"/>
  <c r="AI13" i="266"/>
  <c r="AH13" i="266"/>
  <c r="AG13" i="266"/>
  <c r="AF13" i="266"/>
  <c r="L13" i="266"/>
  <c r="AL13" i="266" s="1"/>
  <c r="F13" i="266"/>
  <c r="G13" i="266" s="1"/>
  <c r="AI12" i="266"/>
  <c r="AG12" i="266" s="1"/>
  <c r="AH12" i="266"/>
  <c r="AF12" i="266"/>
  <c r="L12" i="266"/>
  <c r="AG11" i="266"/>
  <c r="L11" i="266"/>
  <c r="L10" i="266"/>
  <c r="J10" i="266"/>
  <c r="J11" i="266" s="1"/>
  <c r="J12" i="266" s="1"/>
  <c r="M11" i="266" s="1"/>
  <c r="O11" i="266" s="1"/>
  <c r="F10" i="266"/>
  <c r="G10" i="266" s="1"/>
  <c r="M9" i="266"/>
  <c r="O9" i="266" s="1"/>
  <c r="L9" i="266"/>
  <c r="J9" i="266"/>
  <c r="D9" i="266"/>
  <c r="F9" i="266" s="1"/>
  <c r="G9" i="266" s="1"/>
  <c r="C9" i="266"/>
  <c r="N4" i="266"/>
  <c r="I3" i="266"/>
  <c r="F133" i="265"/>
  <c r="F134" i="265"/>
  <c r="F135" i="265"/>
  <c r="F136" i="265"/>
  <c r="F137" i="265"/>
  <c r="F138" i="265"/>
  <c r="F139" i="265"/>
  <c r="F132" i="265"/>
  <c r="E133" i="265"/>
  <c r="E134" i="265"/>
  <c r="E135" i="265"/>
  <c r="E136" i="265"/>
  <c r="E137" i="265"/>
  <c r="E138" i="265"/>
  <c r="E139" i="265"/>
  <c r="E132" i="265"/>
  <c r="D80" i="266" l="1"/>
  <c r="H21" i="267"/>
  <c r="H25" i="267"/>
  <c r="H54" i="267"/>
  <c r="H56" i="267"/>
  <c r="H36" i="267"/>
  <c r="H52" i="267"/>
  <c r="S54" i="267"/>
  <c r="T54" i="267" s="1"/>
  <c r="H23" i="267"/>
  <c r="S46" i="267"/>
  <c r="T46" i="267" s="1"/>
  <c r="S48" i="267"/>
  <c r="T48" i="267" s="1"/>
  <c r="W15" i="266"/>
  <c r="S32" i="267"/>
  <c r="T32" i="267" s="1"/>
  <c r="S14" i="267"/>
  <c r="T14" i="267" s="1"/>
  <c r="H18" i="267"/>
  <c r="J87" i="269"/>
  <c r="M85" i="269"/>
  <c r="O85" i="269" s="1"/>
  <c r="M90" i="273"/>
  <c r="O90" i="273" s="1"/>
  <c r="J92" i="273"/>
  <c r="M87" i="272"/>
  <c r="O87" i="272" s="1"/>
  <c r="J89" i="272"/>
  <c r="J88" i="270"/>
  <c r="M86" i="270"/>
  <c r="O86" i="270" s="1"/>
  <c r="S44" i="267"/>
  <c r="T44" i="267" s="1"/>
  <c r="S55" i="267"/>
  <c r="T55" i="267" s="1"/>
  <c r="S43" i="267"/>
  <c r="T43" i="267" s="1"/>
  <c r="S36" i="267"/>
  <c r="T36" i="267" s="1"/>
  <c r="S24" i="267"/>
  <c r="T24" i="267" s="1"/>
  <c r="S15" i="267"/>
  <c r="T15" i="267" s="1"/>
  <c r="S16" i="267"/>
  <c r="T16" i="267" s="1"/>
  <c r="S17" i="267"/>
  <c r="T17" i="267" s="1"/>
  <c r="S18" i="267"/>
  <c r="T18" i="267" s="1"/>
  <c r="S39" i="267"/>
  <c r="T39" i="267" s="1"/>
  <c r="S58" i="267"/>
  <c r="T58" i="267" s="1"/>
  <c r="S61" i="267"/>
  <c r="T61" i="267" s="1"/>
  <c r="S65" i="267"/>
  <c r="T65" i="267" s="1"/>
  <c r="S68" i="267"/>
  <c r="T68" i="267" s="1"/>
  <c r="S26" i="267"/>
  <c r="T26" i="267" s="1"/>
  <c r="S33" i="267"/>
  <c r="T33" i="267" s="1"/>
  <c r="S49" i="267"/>
  <c r="T49" i="267" s="1"/>
  <c r="S60" i="267"/>
  <c r="T60" i="267" s="1"/>
  <c r="S63" i="267"/>
  <c r="T63" i="267" s="1"/>
  <c r="S67" i="267"/>
  <c r="T67" i="267" s="1"/>
  <c r="S70" i="267"/>
  <c r="T70" i="267" s="1"/>
  <c r="S45" i="267"/>
  <c r="T45" i="267" s="1"/>
  <c r="S12" i="267"/>
  <c r="T12" i="267" s="1"/>
  <c r="S13" i="267"/>
  <c r="T13" i="267" s="1"/>
  <c r="S19" i="267"/>
  <c r="T19" i="267" s="1"/>
  <c r="S40" i="267"/>
  <c r="T40" i="267" s="1"/>
  <c r="S62" i="267"/>
  <c r="T62" i="267" s="1"/>
  <c r="S64" i="267"/>
  <c r="T64" i="267" s="1"/>
  <c r="S69" i="267"/>
  <c r="T69" i="267" s="1"/>
  <c r="AL14" i="267"/>
  <c r="S21" i="267"/>
  <c r="T21" i="267" s="1"/>
  <c r="S23" i="267"/>
  <c r="T23" i="267" s="1"/>
  <c r="S42" i="267"/>
  <c r="T42" i="267" s="1"/>
  <c r="S50" i="267"/>
  <c r="T50" i="267" s="1"/>
  <c r="S52" i="267"/>
  <c r="T52" i="267" s="1"/>
  <c r="S56" i="267"/>
  <c r="T56" i="267" s="1"/>
  <c r="S59" i="267"/>
  <c r="T59" i="267" s="1"/>
  <c r="S66" i="267"/>
  <c r="T66" i="267" s="1"/>
  <c r="H46" i="267"/>
  <c r="H62" i="267"/>
  <c r="H19" i="267"/>
  <c r="H26" i="267"/>
  <c r="H30" i="267"/>
  <c r="H39" i="267"/>
  <c r="H58" i="267"/>
  <c r="H42" i="267"/>
  <c r="H22" i="267"/>
  <c r="H31" i="267"/>
  <c r="H34" i="267"/>
  <c r="H35" i="267"/>
  <c r="H38" i="267"/>
  <c r="H47" i="267"/>
  <c r="H63" i="267"/>
  <c r="H9" i="267"/>
  <c r="H11" i="267"/>
  <c r="K4" i="267"/>
  <c r="H12" i="267"/>
  <c r="S41" i="267"/>
  <c r="T41" i="267" s="1"/>
  <c r="AL41" i="267"/>
  <c r="H15" i="267"/>
  <c r="AL21" i="267"/>
  <c r="AL32" i="267"/>
  <c r="AL12" i="267"/>
  <c r="S31" i="267"/>
  <c r="T31" i="267" s="1"/>
  <c r="AL31" i="267"/>
  <c r="S35" i="267"/>
  <c r="T35" i="267" s="1"/>
  <c r="AL35" i="267"/>
  <c r="H10" i="267"/>
  <c r="S25" i="267"/>
  <c r="T25" i="267" s="1"/>
  <c r="S27" i="267"/>
  <c r="T27" i="267" s="1"/>
  <c r="AL27" i="267"/>
  <c r="S30" i="267"/>
  <c r="T30" i="267" s="1"/>
  <c r="AL30" i="267"/>
  <c r="S34" i="267"/>
  <c r="T34" i="267" s="1"/>
  <c r="AL34" i="267"/>
  <c r="S37" i="267"/>
  <c r="T37" i="267" s="1"/>
  <c r="AL37" i="267"/>
  <c r="W16" i="267"/>
  <c r="W15" i="267"/>
  <c r="J11" i="267"/>
  <c r="M9" i="267"/>
  <c r="O9" i="267" s="1"/>
  <c r="H13" i="267"/>
  <c r="S20" i="267"/>
  <c r="T20" i="267" s="1"/>
  <c r="S28" i="267"/>
  <c r="T28" i="267" s="1"/>
  <c r="AL28" i="267"/>
  <c r="S38" i="267"/>
  <c r="T38" i="267" s="1"/>
  <c r="AL38" i="267"/>
  <c r="X16" i="267"/>
  <c r="H16" i="267"/>
  <c r="S22" i="267"/>
  <c r="T22" i="267" s="1"/>
  <c r="AL24" i="267"/>
  <c r="AL26" i="267"/>
  <c r="AL29" i="267"/>
  <c r="AL33" i="267"/>
  <c r="AL36" i="267"/>
  <c r="AL39" i="267"/>
  <c r="AL43" i="267"/>
  <c r="AL45" i="267"/>
  <c r="AL47" i="267"/>
  <c r="AL49" i="267"/>
  <c r="AL51" i="267"/>
  <c r="AL53" i="267"/>
  <c r="AL55" i="267"/>
  <c r="AL57" i="267"/>
  <c r="AL59" i="267"/>
  <c r="AL61" i="267"/>
  <c r="AL63" i="267"/>
  <c r="AL65" i="267"/>
  <c r="AL67" i="267"/>
  <c r="AL69" i="267"/>
  <c r="AL40" i="267"/>
  <c r="AL42" i="267"/>
  <c r="AL44" i="267"/>
  <c r="AL46" i="267"/>
  <c r="AL48" i="267"/>
  <c r="AL50" i="267"/>
  <c r="AL52" i="267"/>
  <c r="AL54" i="267"/>
  <c r="AL56" i="267"/>
  <c r="AL58" i="267"/>
  <c r="AL60" i="267"/>
  <c r="AL62" i="267"/>
  <c r="AL64" i="267"/>
  <c r="AL66" i="267"/>
  <c r="AL68" i="267"/>
  <c r="AL70" i="267"/>
  <c r="S63" i="266"/>
  <c r="T63" i="266" s="1"/>
  <c r="S15" i="266"/>
  <c r="T15" i="266" s="1"/>
  <c r="S19" i="266"/>
  <c r="T19" i="266" s="1"/>
  <c r="S57" i="266"/>
  <c r="T57" i="266" s="1"/>
  <c r="AL15" i="266"/>
  <c r="S17" i="266"/>
  <c r="T17" i="266" s="1"/>
  <c r="AL19" i="266"/>
  <c r="S59" i="266"/>
  <c r="T59" i="266" s="1"/>
  <c r="S65" i="266"/>
  <c r="T65" i="266" s="1"/>
  <c r="S12" i="266"/>
  <c r="T12" i="266" s="1"/>
  <c r="S20" i="266"/>
  <c r="T20" i="266" s="1"/>
  <c r="S61" i="266"/>
  <c r="T61" i="266" s="1"/>
  <c r="S64" i="266"/>
  <c r="T64" i="266" s="1"/>
  <c r="S16" i="266"/>
  <c r="T16" i="266" s="1"/>
  <c r="S18" i="266"/>
  <c r="T18" i="266" s="1"/>
  <c r="S55" i="266"/>
  <c r="T55" i="266" s="1"/>
  <c r="H13" i="266"/>
  <c r="H12" i="266"/>
  <c r="H9" i="266"/>
  <c r="D93" i="266"/>
  <c r="D94" i="266"/>
  <c r="E93" i="266"/>
  <c r="K4" i="266"/>
  <c r="H10" i="266"/>
  <c r="H14" i="266"/>
  <c r="S21" i="266"/>
  <c r="T21" i="266" s="1"/>
  <c r="AL21" i="266"/>
  <c r="S23" i="266"/>
  <c r="T23" i="266" s="1"/>
  <c r="S25" i="266"/>
  <c r="T25" i="266" s="1"/>
  <c r="S27" i="266"/>
  <c r="T27" i="266" s="1"/>
  <c r="S29" i="266"/>
  <c r="T29" i="266" s="1"/>
  <c r="S31" i="266"/>
  <c r="T31" i="266" s="1"/>
  <c r="S33" i="266"/>
  <c r="T33" i="266" s="1"/>
  <c r="S35" i="266"/>
  <c r="T35" i="266" s="1"/>
  <c r="S37" i="266"/>
  <c r="T37" i="266" s="1"/>
  <c r="S39" i="266"/>
  <c r="T39" i="266" s="1"/>
  <c r="S41" i="266"/>
  <c r="T41" i="266" s="1"/>
  <c r="S43" i="266"/>
  <c r="T43" i="266" s="1"/>
  <c r="S45" i="266"/>
  <c r="T45" i="266" s="1"/>
  <c r="S47" i="266"/>
  <c r="T47" i="266" s="1"/>
  <c r="S49" i="266"/>
  <c r="T49" i="266" s="1"/>
  <c r="S51" i="266"/>
  <c r="T51" i="266" s="1"/>
  <c r="S53" i="266"/>
  <c r="T53" i="266" s="1"/>
  <c r="AL55" i="266"/>
  <c r="AL57" i="266"/>
  <c r="AL59" i="266"/>
  <c r="AL61" i="266"/>
  <c r="AL63" i="266"/>
  <c r="X15" i="266"/>
  <c r="W16" i="266"/>
  <c r="S66" i="266"/>
  <c r="T66" i="266" s="1"/>
  <c r="S67" i="266"/>
  <c r="T67" i="266" s="1"/>
  <c r="S68" i="266"/>
  <c r="T68" i="266" s="1"/>
  <c r="S69" i="266"/>
  <c r="T69" i="266" s="1"/>
  <c r="S70" i="266"/>
  <c r="T70" i="266" s="1"/>
  <c r="AL71" i="266"/>
  <c r="H11" i="266"/>
  <c r="M10" i="266"/>
  <c r="O10" i="266" s="1"/>
  <c r="J13" i="266"/>
  <c r="AE12" i="266"/>
  <c r="S13" i="266"/>
  <c r="T13" i="266" s="1"/>
  <c r="S14" i="266"/>
  <c r="T14" i="266" s="1"/>
  <c r="S22" i="266"/>
  <c r="T22" i="266" s="1"/>
  <c r="S24" i="266"/>
  <c r="T24" i="266" s="1"/>
  <c r="S26" i="266"/>
  <c r="T26" i="266" s="1"/>
  <c r="S28" i="266"/>
  <c r="T28" i="266" s="1"/>
  <c r="S30" i="266"/>
  <c r="T30" i="266" s="1"/>
  <c r="S32" i="266"/>
  <c r="T32" i="266" s="1"/>
  <c r="S34" i="266"/>
  <c r="T34" i="266" s="1"/>
  <c r="S36" i="266"/>
  <c r="T36" i="266" s="1"/>
  <c r="S38" i="266"/>
  <c r="T38" i="266" s="1"/>
  <c r="S40" i="266"/>
  <c r="T40" i="266" s="1"/>
  <c r="S42" i="266"/>
  <c r="T42" i="266" s="1"/>
  <c r="S44" i="266"/>
  <c r="T44" i="266" s="1"/>
  <c r="S46" i="266"/>
  <c r="T46" i="266" s="1"/>
  <c r="S48" i="266"/>
  <c r="T48" i="266" s="1"/>
  <c r="S50" i="266"/>
  <c r="T50" i="266" s="1"/>
  <c r="S52" i="266"/>
  <c r="T52" i="266" s="1"/>
  <c r="S54" i="266"/>
  <c r="T54" i="266" s="1"/>
  <c r="S56" i="266"/>
  <c r="T56" i="266" s="1"/>
  <c r="S58" i="266"/>
  <c r="T58" i="266" s="1"/>
  <c r="S60" i="266"/>
  <c r="T60" i="266" s="1"/>
  <c r="S62" i="266"/>
  <c r="T62" i="266" s="1"/>
  <c r="AL67" i="266"/>
  <c r="AL69" i="266"/>
  <c r="E94" i="266"/>
  <c r="AL12" i="266"/>
  <c r="AL22" i="266"/>
  <c r="AL24" i="266"/>
  <c r="AL26" i="266"/>
  <c r="AL28" i="266"/>
  <c r="AL30" i="266"/>
  <c r="AL32" i="266"/>
  <c r="AL34" i="266"/>
  <c r="AL36" i="266"/>
  <c r="AL38" i="266"/>
  <c r="AL40" i="266"/>
  <c r="AL42" i="266"/>
  <c r="AL44" i="266"/>
  <c r="AL46" i="266"/>
  <c r="AL48" i="266"/>
  <c r="AL50" i="266"/>
  <c r="AL52" i="266"/>
  <c r="AL54" i="266"/>
  <c r="AL56" i="266"/>
  <c r="AL58" i="266"/>
  <c r="AL60" i="266"/>
  <c r="AL62" i="266"/>
  <c r="AL64" i="266"/>
  <c r="D81" i="266"/>
  <c r="E81" i="266"/>
  <c r="C14" i="265"/>
  <c r="D14" i="265"/>
  <c r="F14" i="265" s="1"/>
  <c r="G14" i="265" s="1"/>
  <c r="M86" i="269" l="1"/>
  <c r="O86" i="269" s="1"/>
  <c r="J88" i="269"/>
  <c r="J93" i="273"/>
  <c r="M91" i="273"/>
  <c r="O91" i="273" s="1"/>
  <c r="M88" i="272"/>
  <c r="O88" i="272" s="1"/>
  <c r="J90" i="272"/>
  <c r="M87" i="270"/>
  <c r="O87" i="270" s="1"/>
  <c r="J89" i="270"/>
  <c r="J4" i="267"/>
  <c r="J12" i="267"/>
  <c r="M10" i="267"/>
  <c r="O10" i="267" s="1"/>
  <c r="J4" i="266"/>
  <c r="AE13" i="266"/>
  <c r="J14" i="266"/>
  <c r="M12" i="266"/>
  <c r="O12" i="266" s="1"/>
  <c r="H14" i="265"/>
  <c r="F13" i="265"/>
  <c r="G13" i="265" s="1"/>
  <c r="D13" i="265"/>
  <c r="C13" i="265"/>
  <c r="N4" i="265"/>
  <c r="D12" i="265"/>
  <c r="F12" i="265" s="1"/>
  <c r="G12" i="265" s="1"/>
  <c r="C12" i="265"/>
  <c r="D11" i="265"/>
  <c r="F11" i="265" s="1"/>
  <c r="G11" i="265" s="1"/>
  <c r="H11" i="265" s="1"/>
  <c r="C11" i="265"/>
  <c r="J89" i="269" l="1"/>
  <c r="M87" i="269"/>
  <c r="O87" i="269" s="1"/>
  <c r="J94" i="273"/>
  <c r="M92" i="273"/>
  <c r="O92" i="273" s="1"/>
  <c r="J91" i="272"/>
  <c r="M89" i="272"/>
  <c r="O89" i="272" s="1"/>
  <c r="J90" i="270"/>
  <c r="M88" i="270"/>
  <c r="O88" i="270" s="1"/>
  <c r="AE12" i="267"/>
  <c r="M11" i="267"/>
  <c r="O11" i="267" s="1"/>
  <c r="J13" i="267"/>
  <c r="J15" i="266"/>
  <c r="AE14" i="266"/>
  <c r="M13" i="266"/>
  <c r="O13" i="266" s="1"/>
  <c r="H13" i="265"/>
  <c r="H12" i="265"/>
  <c r="M107" i="265"/>
  <c r="O107" i="265" s="1"/>
  <c r="L107" i="265"/>
  <c r="L106" i="265"/>
  <c r="L105" i="265"/>
  <c r="L104" i="265"/>
  <c r="L103" i="265"/>
  <c r="L102" i="265"/>
  <c r="L101" i="265"/>
  <c r="L100" i="265"/>
  <c r="L99" i="265"/>
  <c r="L98" i="265"/>
  <c r="L97" i="265"/>
  <c r="L96" i="265"/>
  <c r="L95" i="265"/>
  <c r="L94" i="265"/>
  <c r="L93" i="265"/>
  <c r="D93" i="265" a="1"/>
  <c r="D93" i="265" s="1"/>
  <c r="L92" i="265"/>
  <c r="L91" i="265"/>
  <c r="L90" i="265"/>
  <c r="L89" i="265"/>
  <c r="L88" i="265"/>
  <c r="L87" i="265"/>
  <c r="L86" i="265"/>
  <c r="L85" i="265"/>
  <c r="L84" i="265"/>
  <c r="L83" i="265"/>
  <c r="L82" i="265"/>
  <c r="L81" i="265"/>
  <c r="L80" i="265"/>
  <c r="D80" i="265" a="1"/>
  <c r="E80" i="265" s="1"/>
  <c r="L79" i="265"/>
  <c r="L78" i="265"/>
  <c r="L77" i="265"/>
  <c r="D74" i="262" s="1"/>
  <c r="AI76" i="265"/>
  <c r="AG76" i="265" s="1"/>
  <c r="AH76" i="265"/>
  <c r="AF76" i="265"/>
  <c r="L76" i="265"/>
  <c r="AI75" i="265"/>
  <c r="AG75" i="265" s="1"/>
  <c r="AH75" i="265"/>
  <c r="AF75" i="265"/>
  <c r="L75" i="265"/>
  <c r="AI74" i="265"/>
  <c r="AG74" i="265" s="1"/>
  <c r="AH74" i="265"/>
  <c r="AF74" i="265"/>
  <c r="L74" i="265"/>
  <c r="AI73" i="265"/>
  <c r="AG73" i="265" s="1"/>
  <c r="AH73" i="265"/>
  <c r="AF73" i="265"/>
  <c r="L73" i="265"/>
  <c r="AI72" i="265"/>
  <c r="AG72" i="265" s="1"/>
  <c r="AH72" i="265"/>
  <c r="AF72" i="265"/>
  <c r="L72" i="265"/>
  <c r="AI71" i="265"/>
  <c r="AG71" i="265" s="1"/>
  <c r="AH71" i="265"/>
  <c r="AF71" i="265"/>
  <c r="L71" i="265"/>
  <c r="AI70" i="265"/>
  <c r="AG70" i="265" s="1"/>
  <c r="AH70" i="265"/>
  <c r="AF70" i="265"/>
  <c r="L70" i="265"/>
  <c r="D67" i="262" s="1"/>
  <c r="C139" i="262" s="1"/>
  <c r="AI69" i="265"/>
  <c r="AG69" i="265" s="1"/>
  <c r="AH69" i="265"/>
  <c r="AF69" i="265"/>
  <c r="L69" i="265"/>
  <c r="D66" i="262" s="1"/>
  <c r="C138" i="262" s="1"/>
  <c r="AI68" i="265"/>
  <c r="AG68" i="265" s="1"/>
  <c r="AH68" i="265"/>
  <c r="AF68" i="265"/>
  <c r="L68" i="265"/>
  <c r="D65" i="262" s="1"/>
  <c r="C137" i="262" s="1"/>
  <c r="AI67" i="265"/>
  <c r="AH67" i="265"/>
  <c r="AG67" i="265"/>
  <c r="AF67" i="265"/>
  <c r="L67" i="265"/>
  <c r="D64" i="262" s="1"/>
  <c r="C136" i="262" s="1"/>
  <c r="AI66" i="265"/>
  <c r="AG66" i="265" s="1"/>
  <c r="AH66" i="265"/>
  <c r="AF66" i="265"/>
  <c r="L66" i="265"/>
  <c r="D63" i="262" s="1"/>
  <c r="C135" i="262" s="1"/>
  <c r="B66" i="265"/>
  <c r="D66" i="265" s="1"/>
  <c r="F66" i="265" s="1"/>
  <c r="AI65" i="265"/>
  <c r="AG65" i="265" s="1"/>
  <c r="AH65" i="265"/>
  <c r="AF65" i="265"/>
  <c r="L65" i="265"/>
  <c r="D62" i="262" s="1"/>
  <c r="C134" i="262" s="1"/>
  <c r="C65" i="265"/>
  <c r="C66" i="265" s="1"/>
  <c r="B65" i="265"/>
  <c r="D65" i="265" s="1"/>
  <c r="F65" i="265" s="1"/>
  <c r="AI64" i="265"/>
  <c r="AG64" i="265" s="1"/>
  <c r="AH64" i="265"/>
  <c r="AF64" i="265"/>
  <c r="L64" i="265"/>
  <c r="H64" i="265"/>
  <c r="G64" i="265"/>
  <c r="F64" i="265"/>
  <c r="D64" i="265"/>
  <c r="AI63" i="265"/>
  <c r="AH63" i="265"/>
  <c r="AG63" i="265"/>
  <c r="AF63" i="265"/>
  <c r="L63" i="265"/>
  <c r="D60" i="262" s="1"/>
  <c r="C132" i="262" s="1"/>
  <c r="H63" i="265"/>
  <c r="G63" i="265"/>
  <c r="F63" i="265"/>
  <c r="D63" i="265"/>
  <c r="AI62" i="265"/>
  <c r="AG62" i="265" s="1"/>
  <c r="AH62" i="265"/>
  <c r="AF62" i="265"/>
  <c r="L62" i="265"/>
  <c r="D59" i="262" s="1"/>
  <c r="C131" i="262" s="1"/>
  <c r="H62" i="265"/>
  <c r="G62" i="265"/>
  <c r="F62" i="265"/>
  <c r="D62" i="265"/>
  <c r="AI61" i="265"/>
  <c r="AH61" i="265"/>
  <c r="AG61" i="265"/>
  <c r="AF61" i="265"/>
  <c r="L61" i="265"/>
  <c r="D58" i="262" s="1"/>
  <c r="C130" i="262" s="1"/>
  <c r="H61" i="265"/>
  <c r="G61" i="265"/>
  <c r="F61" i="265"/>
  <c r="D61" i="265"/>
  <c r="AI60" i="265"/>
  <c r="AG60" i="265" s="1"/>
  <c r="AH60" i="265"/>
  <c r="AF60" i="265"/>
  <c r="L60" i="265"/>
  <c r="D57" i="262" s="1"/>
  <c r="C129" i="262" s="1"/>
  <c r="H60" i="265"/>
  <c r="G60" i="265"/>
  <c r="F60" i="265"/>
  <c r="D60" i="265"/>
  <c r="AI59" i="265"/>
  <c r="AH59" i="265"/>
  <c r="AG59" i="265"/>
  <c r="AF59" i="265"/>
  <c r="L59" i="265"/>
  <c r="D56" i="262" s="1"/>
  <c r="C128" i="262" s="1"/>
  <c r="H59" i="265"/>
  <c r="G59" i="265"/>
  <c r="F59" i="265"/>
  <c r="D59" i="265"/>
  <c r="AI58" i="265"/>
  <c r="AG58" i="265" s="1"/>
  <c r="AH58" i="265"/>
  <c r="AF58" i="265"/>
  <c r="L58" i="265"/>
  <c r="D55" i="262" s="1"/>
  <c r="C127" i="262" s="1"/>
  <c r="H58" i="265"/>
  <c r="G58" i="265"/>
  <c r="F58" i="265"/>
  <c r="D58" i="265"/>
  <c r="AI57" i="265"/>
  <c r="AG57" i="265" s="1"/>
  <c r="AH57" i="265"/>
  <c r="AF57" i="265"/>
  <c r="L57" i="265"/>
  <c r="D54" i="262" s="1"/>
  <c r="C126" i="262" s="1"/>
  <c r="H57" i="265"/>
  <c r="G57" i="265"/>
  <c r="F57" i="265"/>
  <c r="D57" i="265"/>
  <c r="AI56" i="265"/>
  <c r="AG56" i="265" s="1"/>
  <c r="AH56" i="265"/>
  <c r="AF56" i="265"/>
  <c r="L56" i="265"/>
  <c r="D53" i="262" s="1"/>
  <c r="C125" i="262" s="1"/>
  <c r="H56" i="265"/>
  <c r="G56" i="265"/>
  <c r="F56" i="265"/>
  <c r="D56" i="265"/>
  <c r="AI55" i="265"/>
  <c r="AH55" i="265"/>
  <c r="AG55" i="265"/>
  <c r="AF55" i="265"/>
  <c r="L55" i="265"/>
  <c r="D52" i="262" s="1"/>
  <c r="C124" i="262" s="1"/>
  <c r="H55" i="265"/>
  <c r="G55" i="265"/>
  <c r="F55" i="265"/>
  <c r="D55" i="265"/>
  <c r="AI54" i="265"/>
  <c r="AG54" i="265" s="1"/>
  <c r="AH54" i="265"/>
  <c r="AF54" i="265"/>
  <c r="L54" i="265"/>
  <c r="D51" i="262" s="1"/>
  <c r="C123" i="262" s="1"/>
  <c r="H54" i="265"/>
  <c r="G54" i="265"/>
  <c r="F54" i="265"/>
  <c r="D54" i="265"/>
  <c r="AI53" i="265"/>
  <c r="AH53" i="265"/>
  <c r="AG53" i="265"/>
  <c r="AF53" i="265"/>
  <c r="L53" i="265"/>
  <c r="D50" i="262" s="1"/>
  <c r="C122" i="262" s="1"/>
  <c r="H53" i="265"/>
  <c r="G53" i="265"/>
  <c r="F53" i="265"/>
  <c r="D53" i="265"/>
  <c r="AI52" i="265"/>
  <c r="AG52" i="265" s="1"/>
  <c r="AH52" i="265"/>
  <c r="AF52" i="265"/>
  <c r="L52" i="265"/>
  <c r="D49" i="262" s="1"/>
  <c r="C121" i="262" s="1"/>
  <c r="H52" i="265"/>
  <c r="G52" i="265"/>
  <c r="F52" i="265"/>
  <c r="D52" i="265"/>
  <c r="AI51" i="265"/>
  <c r="AH51" i="265"/>
  <c r="AG51" i="265"/>
  <c r="AF51" i="265"/>
  <c r="L51" i="265"/>
  <c r="D48" i="262" s="1"/>
  <c r="C120" i="262" s="1"/>
  <c r="H51" i="265"/>
  <c r="G51" i="265"/>
  <c r="F51" i="265"/>
  <c r="D51" i="265"/>
  <c r="AI50" i="265"/>
  <c r="AG50" i="265" s="1"/>
  <c r="AH50" i="265"/>
  <c r="AF50" i="265"/>
  <c r="L50" i="265"/>
  <c r="D47" i="262" s="1"/>
  <c r="C119" i="262" s="1"/>
  <c r="H50" i="265"/>
  <c r="G50" i="265"/>
  <c r="F50" i="265"/>
  <c r="D50" i="265"/>
  <c r="AI49" i="265"/>
  <c r="AH49" i="265"/>
  <c r="AG49" i="265"/>
  <c r="AF49" i="265"/>
  <c r="L49" i="265"/>
  <c r="D46" i="262" s="1"/>
  <c r="C118" i="262" s="1"/>
  <c r="H49" i="265"/>
  <c r="G49" i="265"/>
  <c r="F49" i="265"/>
  <c r="D49" i="265"/>
  <c r="AI48" i="265"/>
  <c r="AG48" i="265" s="1"/>
  <c r="AH48" i="265"/>
  <c r="AF48" i="265"/>
  <c r="L48" i="265"/>
  <c r="D45" i="262" s="1"/>
  <c r="C117" i="262" s="1"/>
  <c r="H48" i="265"/>
  <c r="G48" i="265"/>
  <c r="F48" i="265"/>
  <c r="D48" i="265"/>
  <c r="AI47" i="265"/>
  <c r="AH47" i="265"/>
  <c r="AG47" i="265"/>
  <c r="AF47" i="265"/>
  <c r="L47" i="265"/>
  <c r="D44" i="262" s="1"/>
  <c r="C116" i="262" s="1"/>
  <c r="H47" i="265"/>
  <c r="G47" i="265"/>
  <c r="F47" i="265"/>
  <c r="D47" i="265"/>
  <c r="AI46" i="265"/>
  <c r="AG46" i="265" s="1"/>
  <c r="AH46" i="265"/>
  <c r="AF46" i="265"/>
  <c r="L46" i="265"/>
  <c r="D43" i="262" s="1"/>
  <c r="C115" i="262" s="1"/>
  <c r="H46" i="265"/>
  <c r="G46" i="265"/>
  <c r="F46" i="265"/>
  <c r="D46" i="265"/>
  <c r="AI45" i="265"/>
  <c r="AG45" i="265" s="1"/>
  <c r="AH45" i="265"/>
  <c r="AF45" i="265"/>
  <c r="L45" i="265"/>
  <c r="D42" i="262" s="1"/>
  <c r="C114" i="262" s="1"/>
  <c r="H45" i="265"/>
  <c r="G45" i="265"/>
  <c r="F45" i="265"/>
  <c r="D45" i="265"/>
  <c r="AI44" i="265"/>
  <c r="AG44" i="265" s="1"/>
  <c r="AH44" i="265"/>
  <c r="AF44" i="265"/>
  <c r="L44" i="265"/>
  <c r="D41" i="262" s="1"/>
  <c r="C113" i="262" s="1"/>
  <c r="H44" i="265"/>
  <c r="G44" i="265"/>
  <c r="F44" i="265"/>
  <c r="D44" i="265"/>
  <c r="AI43" i="265"/>
  <c r="AH43" i="265"/>
  <c r="AG43" i="265"/>
  <c r="AF43" i="265"/>
  <c r="L43" i="265"/>
  <c r="D40" i="262" s="1"/>
  <c r="C112" i="262" s="1"/>
  <c r="H43" i="265"/>
  <c r="G43" i="265"/>
  <c r="F43" i="265"/>
  <c r="D43" i="265"/>
  <c r="AI42" i="265"/>
  <c r="AG42" i="265" s="1"/>
  <c r="AH42" i="265"/>
  <c r="AF42" i="265"/>
  <c r="L42" i="265"/>
  <c r="D39" i="262" s="1"/>
  <c r="C111" i="262" s="1"/>
  <c r="H42" i="265"/>
  <c r="G42" i="265"/>
  <c r="F42" i="265"/>
  <c r="D42" i="265"/>
  <c r="AI41" i="265"/>
  <c r="AH41" i="265"/>
  <c r="AG41" i="265"/>
  <c r="AF41" i="265"/>
  <c r="L41" i="265"/>
  <c r="H41" i="265"/>
  <c r="G41" i="265"/>
  <c r="F41" i="265"/>
  <c r="D41" i="265"/>
  <c r="AI40" i="265"/>
  <c r="AG40" i="265" s="1"/>
  <c r="AH40" i="265"/>
  <c r="AF40" i="265"/>
  <c r="L40" i="265"/>
  <c r="D37" i="262" s="1"/>
  <c r="C109" i="262" s="1"/>
  <c r="H40" i="265"/>
  <c r="G40" i="265"/>
  <c r="F40" i="265"/>
  <c r="D40" i="265"/>
  <c r="AI39" i="265"/>
  <c r="AG39" i="265" s="1"/>
  <c r="AH39" i="265"/>
  <c r="AF39" i="265"/>
  <c r="L39" i="265"/>
  <c r="H39" i="265"/>
  <c r="G39" i="265"/>
  <c r="F39" i="265"/>
  <c r="D39" i="265"/>
  <c r="AI38" i="265"/>
  <c r="AG38" i="265" s="1"/>
  <c r="AH38" i="265"/>
  <c r="AF38" i="265"/>
  <c r="L38" i="265"/>
  <c r="D35" i="262" s="1"/>
  <c r="C107" i="262" s="1"/>
  <c r="H38" i="265"/>
  <c r="G38" i="265"/>
  <c r="F38" i="265"/>
  <c r="D38" i="265"/>
  <c r="AI37" i="265"/>
  <c r="AH37" i="265"/>
  <c r="AG37" i="265"/>
  <c r="AF37" i="265"/>
  <c r="L37" i="265"/>
  <c r="D34" i="262" s="1"/>
  <c r="C106" i="262" s="1"/>
  <c r="H37" i="265"/>
  <c r="G37" i="265"/>
  <c r="F37" i="265"/>
  <c r="D37" i="265"/>
  <c r="AI36" i="265"/>
  <c r="AG36" i="265" s="1"/>
  <c r="AH36" i="265"/>
  <c r="AF36" i="265"/>
  <c r="L36" i="265"/>
  <c r="D33" i="262" s="1"/>
  <c r="C105" i="262" s="1"/>
  <c r="H36" i="265"/>
  <c r="G36" i="265"/>
  <c r="F36" i="265"/>
  <c r="D36" i="265"/>
  <c r="AI35" i="265"/>
  <c r="AH35" i="265"/>
  <c r="AG35" i="265"/>
  <c r="AF35" i="265"/>
  <c r="L35" i="265"/>
  <c r="D32" i="262" s="1"/>
  <c r="C104" i="262" s="1"/>
  <c r="H35" i="265"/>
  <c r="G35" i="265"/>
  <c r="F35" i="265"/>
  <c r="D35" i="265"/>
  <c r="AI34" i="265"/>
  <c r="AG34" i="265" s="1"/>
  <c r="AH34" i="265"/>
  <c r="AF34" i="265"/>
  <c r="L34" i="265"/>
  <c r="D31" i="262" s="1"/>
  <c r="C103" i="262" s="1"/>
  <c r="H34" i="265"/>
  <c r="G34" i="265"/>
  <c r="F34" i="265"/>
  <c r="D34" i="265"/>
  <c r="AI33" i="265"/>
  <c r="AH33" i="265"/>
  <c r="AG33" i="265"/>
  <c r="AF33" i="265"/>
  <c r="L33" i="265"/>
  <c r="H33" i="265"/>
  <c r="G33" i="265"/>
  <c r="F33" i="265"/>
  <c r="D33" i="265"/>
  <c r="AI32" i="265"/>
  <c r="AG32" i="265" s="1"/>
  <c r="AH32" i="265"/>
  <c r="AF32" i="265"/>
  <c r="L32" i="265"/>
  <c r="D29" i="262" s="1"/>
  <c r="C101" i="262" s="1"/>
  <c r="H32" i="265"/>
  <c r="G32" i="265"/>
  <c r="F32" i="265"/>
  <c r="D32" i="265"/>
  <c r="AI31" i="265"/>
  <c r="AH31" i="265"/>
  <c r="AG31" i="265"/>
  <c r="AF31" i="265"/>
  <c r="L31" i="265"/>
  <c r="H31" i="265"/>
  <c r="G31" i="265"/>
  <c r="F31" i="265"/>
  <c r="D31" i="265"/>
  <c r="AI30" i="265"/>
  <c r="AG30" i="265" s="1"/>
  <c r="AH30" i="265"/>
  <c r="AF30" i="265"/>
  <c r="L30" i="265"/>
  <c r="D27" i="262" s="1"/>
  <c r="C99" i="262" s="1"/>
  <c r="H30" i="265"/>
  <c r="G30" i="265"/>
  <c r="F30" i="265"/>
  <c r="D30" i="265"/>
  <c r="AI29" i="265"/>
  <c r="AH29" i="265"/>
  <c r="AG29" i="265"/>
  <c r="AF29" i="265"/>
  <c r="L29" i="265"/>
  <c r="D26" i="262" s="1"/>
  <c r="C98" i="262" s="1"/>
  <c r="H29" i="265"/>
  <c r="G29" i="265"/>
  <c r="F29" i="265"/>
  <c r="D29" i="265"/>
  <c r="AI28" i="265"/>
  <c r="AG28" i="265" s="1"/>
  <c r="AH28" i="265"/>
  <c r="AF28" i="265"/>
  <c r="L28" i="265"/>
  <c r="D25" i="262" s="1"/>
  <c r="C97" i="262" s="1"/>
  <c r="H28" i="265"/>
  <c r="G28" i="265"/>
  <c r="F28" i="265"/>
  <c r="D28" i="265"/>
  <c r="AI27" i="265"/>
  <c r="AH27" i="265"/>
  <c r="AG27" i="265"/>
  <c r="AF27" i="265"/>
  <c r="L27" i="265"/>
  <c r="D24" i="262" s="1"/>
  <c r="C96" i="262" s="1"/>
  <c r="H27" i="265"/>
  <c r="G27" i="265"/>
  <c r="F27" i="265"/>
  <c r="D27" i="265"/>
  <c r="AI26" i="265"/>
  <c r="AG26" i="265" s="1"/>
  <c r="AH26" i="265"/>
  <c r="AF26" i="265"/>
  <c r="L26" i="265"/>
  <c r="H26" i="265"/>
  <c r="G26" i="265"/>
  <c r="F26" i="265"/>
  <c r="D26" i="265"/>
  <c r="AI25" i="265"/>
  <c r="AG25" i="265" s="1"/>
  <c r="AH25" i="265"/>
  <c r="AF25" i="265"/>
  <c r="L25" i="265"/>
  <c r="H25" i="265"/>
  <c r="G25" i="265"/>
  <c r="F25" i="265"/>
  <c r="D25" i="265"/>
  <c r="AI24" i="265"/>
  <c r="AG24" i="265" s="1"/>
  <c r="AH24" i="265"/>
  <c r="AF24" i="265"/>
  <c r="L24" i="265"/>
  <c r="D21" i="262" s="1"/>
  <c r="C93" i="262" s="1"/>
  <c r="H24" i="265"/>
  <c r="G24" i="265"/>
  <c r="F24" i="265"/>
  <c r="D24" i="265"/>
  <c r="AI23" i="265"/>
  <c r="AH23" i="265"/>
  <c r="AG23" i="265"/>
  <c r="AF23" i="265"/>
  <c r="L23" i="265"/>
  <c r="H23" i="265"/>
  <c r="G23" i="265"/>
  <c r="F23" i="265"/>
  <c r="D23" i="265"/>
  <c r="AI22" i="265"/>
  <c r="AG22" i="265" s="1"/>
  <c r="AH22" i="265"/>
  <c r="AF22" i="265"/>
  <c r="L22" i="265"/>
  <c r="D19" i="262" s="1"/>
  <c r="C91" i="262" s="1"/>
  <c r="H22" i="265"/>
  <c r="G22" i="265"/>
  <c r="F22" i="265"/>
  <c r="D22" i="265"/>
  <c r="AI21" i="265"/>
  <c r="AH21" i="265"/>
  <c r="AG21" i="265"/>
  <c r="AF21" i="265"/>
  <c r="L21" i="265"/>
  <c r="D18" i="262" s="1"/>
  <c r="C90" i="262" s="1"/>
  <c r="I21" i="265"/>
  <c r="H21" i="265"/>
  <c r="G21" i="265"/>
  <c r="F21" i="265"/>
  <c r="D21" i="265"/>
  <c r="AI20" i="265"/>
  <c r="AG20" i="265" s="1"/>
  <c r="AH20" i="265"/>
  <c r="AF20" i="265"/>
  <c r="L20" i="265"/>
  <c r="H20" i="265"/>
  <c r="G20" i="265"/>
  <c r="F20" i="265"/>
  <c r="D20" i="265"/>
  <c r="AI19" i="265"/>
  <c r="AG19" i="265" s="1"/>
  <c r="AH19" i="265"/>
  <c r="AF19" i="265"/>
  <c r="L19" i="265"/>
  <c r="H19" i="265"/>
  <c r="G19" i="265"/>
  <c r="F19" i="265"/>
  <c r="D19" i="265"/>
  <c r="AI18" i="265"/>
  <c r="AH18" i="265"/>
  <c r="AG18" i="265"/>
  <c r="AF18" i="265"/>
  <c r="L18" i="265"/>
  <c r="H18" i="265"/>
  <c r="G18" i="265"/>
  <c r="F18" i="265"/>
  <c r="D18" i="265"/>
  <c r="AI17" i="265"/>
  <c r="AH17" i="265"/>
  <c r="AG17" i="265"/>
  <c r="AF17" i="265"/>
  <c r="L17" i="265"/>
  <c r="H17" i="265"/>
  <c r="G17" i="265"/>
  <c r="F17" i="265"/>
  <c r="D17" i="265"/>
  <c r="AI16" i="265"/>
  <c r="AG16" i="265" s="1"/>
  <c r="AH16" i="265"/>
  <c r="AF16" i="265"/>
  <c r="L16" i="265"/>
  <c r="AI15" i="265"/>
  <c r="AG15" i="265" s="1"/>
  <c r="AH15" i="265"/>
  <c r="AF15" i="265"/>
  <c r="L15" i="265"/>
  <c r="D12" i="262" s="1"/>
  <c r="C84" i="262" s="1"/>
  <c r="AI14" i="265"/>
  <c r="AH14" i="265"/>
  <c r="AG14" i="265"/>
  <c r="AF14" i="265"/>
  <c r="L14" i="265"/>
  <c r="D11" i="262" s="1"/>
  <c r="C83" i="262" s="1"/>
  <c r="AI13" i="265"/>
  <c r="AG13" i="265" s="1"/>
  <c r="AH13" i="265"/>
  <c r="AF13" i="265"/>
  <c r="L13" i="265"/>
  <c r="AI12" i="265"/>
  <c r="AG12" i="265" s="1"/>
  <c r="AH12" i="265"/>
  <c r="AF12" i="265"/>
  <c r="L12" i="265"/>
  <c r="D9" i="262" s="1"/>
  <c r="C81" i="262" s="1"/>
  <c r="AG11" i="265"/>
  <c r="L11" i="265"/>
  <c r="D8" i="262" s="1"/>
  <c r="C80" i="262" s="1"/>
  <c r="L10" i="265"/>
  <c r="D7" i="262" s="1"/>
  <c r="C79" i="262" s="1"/>
  <c r="D10" i="265"/>
  <c r="F10" i="265" s="1"/>
  <c r="G10" i="265" s="1"/>
  <c r="C10" i="265"/>
  <c r="L9" i="265"/>
  <c r="D6" i="262" s="1"/>
  <c r="C78" i="262" s="1"/>
  <c r="J9" i="265"/>
  <c r="J10" i="265" s="1"/>
  <c r="D9" i="265"/>
  <c r="F9" i="265" s="1"/>
  <c r="G9" i="265" s="1"/>
  <c r="C9" i="265"/>
  <c r="I3" i="265"/>
  <c r="AP37" i="262"/>
  <c r="AP50" i="262"/>
  <c r="C14" i="264"/>
  <c r="D14" i="264"/>
  <c r="F14" i="264" s="1"/>
  <c r="G14" i="264" s="1"/>
  <c r="D13" i="264"/>
  <c r="F13" i="264" s="1"/>
  <c r="G13" i="264" s="1"/>
  <c r="H13" i="264" s="1"/>
  <c r="C13" i="264"/>
  <c r="C12" i="264"/>
  <c r="D12" i="264"/>
  <c r="F12" i="264" s="1"/>
  <c r="G12" i="264" s="1"/>
  <c r="H12" i="264" s="1"/>
  <c r="D11" i="264"/>
  <c r="F11" i="264" s="1"/>
  <c r="G11" i="264" s="1"/>
  <c r="H11" i="264" s="1"/>
  <c r="C11" i="264"/>
  <c r="I21" i="264"/>
  <c r="D10" i="264"/>
  <c r="F10" i="264" s="1"/>
  <c r="G10" i="264" s="1"/>
  <c r="H10" i="264" s="1"/>
  <c r="C10" i="264"/>
  <c r="M107" i="264"/>
  <c r="O107" i="264" s="1"/>
  <c r="L107" i="264"/>
  <c r="L106" i="264"/>
  <c r="L105" i="264"/>
  <c r="L104" i="264"/>
  <c r="L103" i="264"/>
  <c r="L102" i="264"/>
  <c r="L101" i="264"/>
  <c r="L100" i="264"/>
  <c r="L99" i="264"/>
  <c r="L98" i="264"/>
  <c r="L97" i="264"/>
  <c r="L96" i="264"/>
  <c r="L95" i="264"/>
  <c r="L94" i="264"/>
  <c r="L93" i="264"/>
  <c r="D93" i="264" a="1"/>
  <c r="D93" i="264" s="1"/>
  <c r="L92" i="264"/>
  <c r="L91" i="264"/>
  <c r="L90" i="264"/>
  <c r="L89" i="264"/>
  <c r="L88" i="264"/>
  <c r="L87" i="264"/>
  <c r="L86" i="264"/>
  <c r="L85" i="264"/>
  <c r="L84" i="264"/>
  <c r="L83" i="264"/>
  <c r="L82" i="264"/>
  <c r="L81" i="264"/>
  <c r="L80" i="264"/>
  <c r="D80" i="264" a="1"/>
  <c r="E80" i="264" s="1"/>
  <c r="L79" i="264"/>
  <c r="L78" i="264"/>
  <c r="L77" i="264"/>
  <c r="E74" i="262" s="1"/>
  <c r="AI76" i="264"/>
  <c r="AG76" i="264" s="1"/>
  <c r="AH76" i="264"/>
  <c r="AF76" i="264"/>
  <c r="L76" i="264"/>
  <c r="AL76" i="264" s="1"/>
  <c r="AI75" i="264"/>
  <c r="AG75" i="264" s="1"/>
  <c r="AH75" i="264"/>
  <c r="AF75" i="264"/>
  <c r="L75" i="264"/>
  <c r="AL75" i="264" s="1"/>
  <c r="AI74" i="264"/>
  <c r="AG74" i="264" s="1"/>
  <c r="AH74" i="264"/>
  <c r="AF74" i="264"/>
  <c r="L74" i="264"/>
  <c r="AL74" i="264" s="1"/>
  <c r="AI73" i="264"/>
  <c r="AG73" i="264" s="1"/>
  <c r="AH73" i="264"/>
  <c r="AF73" i="264"/>
  <c r="L73" i="264"/>
  <c r="AL73" i="264" s="1"/>
  <c r="AI72" i="264"/>
  <c r="AG72" i="264" s="1"/>
  <c r="AH72" i="264"/>
  <c r="AF72" i="264"/>
  <c r="L72" i="264"/>
  <c r="AL72" i="264" s="1"/>
  <c r="AI71" i="264"/>
  <c r="AG71" i="264" s="1"/>
  <c r="AH71" i="264"/>
  <c r="AF71" i="264"/>
  <c r="L71" i="264"/>
  <c r="E68" i="262" s="1"/>
  <c r="D140" i="262" s="1"/>
  <c r="AI70" i="264"/>
  <c r="AG70" i="264" s="1"/>
  <c r="AH70" i="264"/>
  <c r="AF70" i="264"/>
  <c r="L70" i="264"/>
  <c r="AL70" i="264" s="1"/>
  <c r="AI69" i="264"/>
  <c r="AH69" i="264"/>
  <c r="AG69" i="264"/>
  <c r="AF69" i="264"/>
  <c r="L69" i="264"/>
  <c r="E66" i="262" s="1"/>
  <c r="D138" i="262" s="1"/>
  <c r="AI68" i="264"/>
  <c r="AG68" i="264" s="1"/>
  <c r="AH68" i="264"/>
  <c r="AF68" i="264"/>
  <c r="L68" i="264"/>
  <c r="AL68" i="264" s="1"/>
  <c r="AI67" i="264"/>
  <c r="AH67" i="264"/>
  <c r="AG67" i="264"/>
  <c r="AF67" i="264"/>
  <c r="L67" i="264"/>
  <c r="E64" i="262" s="1"/>
  <c r="D136" i="262" s="1"/>
  <c r="AI66" i="264"/>
  <c r="AG66" i="264" s="1"/>
  <c r="AH66" i="264"/>
  <c r="AF66" i="264"/>
  <c r="L66" i="264"/>
  <c r="E63" i="262" s="1"/>
  <c r="D135" i="262" s="1"/>
  <c r="B66" i="264"/>
  <c r="D66" i="264" s="1"/>
  <c r="AI65" i="264"/>
  <c r="AG65" i="264" s="1"/>
  <c r="AH65" i="264"/>
  <c r="AF65" i="264"/>
  <c r="L65" i="264"/>
  <c r="E62" i="262" s="1"/>
  <c r="D134" i="262" s="1"/>
  <c r="C65" i="264"/>
  <c r="B65" i="264"/>
  <c r="D65" i="264" s="1"/>
  <c r="AI64" i="264"/>
  <c r="AG64" i="264" s="1"/>
  <c r="AH64" i="264"/>
  <c r="AF64" i="264"/>
  <c r="L64" i="264"/>
  <c r="E61" i="262" s="1"/>
  <c r="D133" i="262" s="1"/>
  <c r="H64" i="264"/>
  <c r="G64" i="264"/>
  <c r="F64" i="264"/>
  <c r="D64" i="264"/>
  <c r="AI63" i="264"/>
  <c r="AH63" i="264"/>
  <c r="AG63" i="264"/>
  <c r="AF63" i="264"/>
  <c r="L63" i="264"/>
  <c r="AL63" i="264" s="1"/>
  <c r="H63" i="264"/>
  <c r="G63" i="264"/>
  <c r="F63" i="264"/>
  <c r="D63" i="264"/>
  <c r="AI62" i="264"/>
  <c r="AG62" i="264" s="1"/>
  <c r="AH62" i="264"/>
  <c r="AF62" i="264"/>
  <c r="L62" i="264"/>
  <c r="E59" i="262" s="1"/>
  <c r="D131" i="262" s="1"/>
  <c r="H62" i="264"/>
  <c r="G62" i="264"/>
  <c r="F62" i="264"/>
  <c r="D62" i="264"/>
  <c r="AI61" i="264"/>
  <c r="AH61" i="264"/>
  <c r="AG61" i="264"/>
  <c r="AF61" i="264"/>
  <c r="L61" i="264"/>
  <c r="AL61" i="264" s="1"/>
  <c r="H61" i="264"/>
  <c r="G61" i="264"/>
  <c r="F61" i="264"/>
  <c r="D61" i="264"/>
  <c r="AI60" i="264"/>
  <c r="AG60" i="264" s="1"/>
  <c r="AH60" i="264"/>
  <c r="AF60" i="264"/>
  <c r="L60" i="264"/>
  <c r="E57" i="262" s="1"/>
  <c r="D129" i="262" s="1"/>
  <c r="H60" i="264"/>
  <c r="G60" i="264"/>
  <c r="F60" i="264"/>
  <c r="D60" i="264"/>
  <c r="AI59" i="264"/>
  <c r="AH59" i="264"/>
  <c r="AG59" i="264"/>
  <c r="AF59" i="264"/>
  <c r="L59" i="264"/>
  <c r="E56" i="262" s="1"/>
  <c r="D128" i="262" s="1"/>
  <c r="H59" i="264"/>
  <c r="G59" i="264"/>
  <c r="F59" i="264"/>
  <c r="D59" i="264"/>
  <c r="AI58" i="264"/>
  <c r="AG58" i="264" s="1"/>
  <c r="AH58" i="264"/>
  <c r="AF58" i="264"/>
  <c r="L58" i="264"/>
  <c r="E55" i="262" s="1"/>
  <c r="D127" i="262" s="1"/>
  <c r="H58" i="264"/>
  <c r="G58" i="264"/>
  <c r="F58" i="264"/>
  <c r="D58" i="264"/>
  <c r="AI57" i="264"/>
  <c r="AH57" i="264"/>
  <c r="AG57" i="264"/>
  <c r="AF57" i="264"/>
  <c r="L57" i="264"/>
  <c r="AL57" i="264" s="1"/>
  <c r="H57" i="264"/>
  <c r="G57" i="264"/>
  <c r="F57" i="264"/>
  <c r="D57" i="264"/>
  <c r="AI56" i="264"/>
  <c r="AG56" i="264" s="1"/>
  <c r="AH56" i="264"/>
  <c r="AF56" i="264"/>
  <c r="L56" i="264"/>
  <c r="E53" i="262" s="1"/>
  <c r="D125" i="262" s="1"/>
  <c r="H56" i="264"/>
  <c r="G56" i="264"/>
  <c r="F56" i="264"/>
  <c r="D56" i="264"/>
  <c r="AI55" i="264"/>
  <c r="AH55" i="264"/>
  <c r="AG55" i="264"/>
  <c r="AF55" i="264"/>
  <c r="L55" i="264"/>
  <c r="E52" i="262" s="1"/>
  <c r="D124" i="262" s="1"/>
  <c r="H55" i="264"/>
  <c r="G55" i="264"/>
  <c r="F55" i="264"/>
  <c r="D55" i="264"/>
  <c r="AI54" i="264"/>
  <c r="AG54" i="264" s="1"/>
  <c r="AH54" i="264"/>
  <c r="AF54" i="264"/>
  <c r="L54" i="264"/>
  <c r="E51" i="262" s="1"/>
  <c r="D123" i="262" s="1"/>
  <c r="H54" i="264"/>
  <c r="G54" i="264"/>
  <c r="F54" i="264"/>
  <c r="D54" i="264"/>
  <c r="AI53" i="264"/>
  <c r="AG53" i="264" s="1"/>
  <c r="AH53" i="264"/>
  <c r="AF53" i="264"/>
  <c r="L53" i="264"/>
  <c r="AL53" i="264" s="1"/>
  <c r="H53" i="264"/>
  <c r="G53" i="264"/>
  <c r="F53" i="264"/>
  <c r="D53" i="264"/>
  <c r="AI52" i="264"/>
  <c r="AG52" i="264" s="1"/>
  <c r="AH52" i="264"/>
  <c r="AF52" i="264"/>
  <c r="L52" i="264"/>
  <c r="E49" i="262" s="1"/>
  <c r="D121" i="262" s="1"/>
  <c r="H52" i="264"/>
  <c r="G52" i="264"/>
  <c r="F52" i="264"/>
  <c r="D52" i="264"/>
  <c r="AI51" i="264"/>
  <c r="AG51" i="264" s="1"/>
  <c r="AH51" i="264"/>
  <c r="AF51" i="264"/>
  <c r="L51" i="264"/>
  <c r="E48" i="262" s="1"/>
  <c r="D120" i="262" s="1"/>
  <c r="H51" i="264"/>
  <c r="G51" i="264"/>
  <c r="F51" i="264"/>
  <c r="D51" i="264"/>
  <c r="AI50" i="264"/>
  <c r="AG50" i="264" s="1"/>
  <c r="AH50" i="264"/>
  <c r="AF50" i="264"/>
  <c r="L50" i="264"/>
  <c r="E47" i="262" s="1"/>
  <c r="D119" i="262" s="1"/>
  <c r="H50" i="264"/>
  <c r="G50" i="264"/>
  <c r="F50" i="264"/>
  <c r="D50" i="264"/>
  <c r="AI49" i="264"/>
  <c r="AG49" i="264" s="1"/>
  <c r="AH49" i="264"/>
  <c r="AF49" i="264"/>
  <c r="L49" i="264"/>
  <c r="AL49" i="264" s="1"/>
  <c r="H49" i="264"/>
  <c r="G49" i="264"/>
  <c r="F49" i="264"/>
  <c r="D49" i="264"/>
  <c r="AI48" i="264"/>
  <c r="AH48" i="264"/>
  <c r="AG48" i="264"/>
  <c r="AF48" i="264"/>
  <c r="L48" i="264"/>
  <c r="E45" i="262" s="1"/>
  <c r="D117" i="262" s="1"/>
  <c r="H48" i="264"/>
  <c r="G48" i="264"/>
  <c r="F48" i="264"/>
  <c r="D48" i="264"/>
  <c r="AI47" i="264"/>
  <c r="AG47" i="264" s="1"/>
  <c r="AH47" i="264"/>
  <c r="AF47" i="264"/>
  <c r="L47" i="264"/>
  <c r="AL47" i="264" s="1"/>
  <c r="H47" i="264"/>
  <c r="G47" i="264"/>
  <c r="F47" i="264"/>
  <c r="D47" i="264"/>
  <c r="AI46" i="264"/>
  <c r="AH46" i="264"/>
  <c r="AG46" i="264"/>
  <c r="AF46" i="264"/>
  <c r="L46" i="264"/>
  <c r="E43" i="262" s="1"/>
  <c r="D115" i="262" s="1"/>
  <c r="H46" i="264"/>
  <c r="G46" i="264"/>
  <c r="F46" i="264"/>
  <c r="D46" i="264"/>
  <c r="AI45" i="264"/>
  <c r="AG45" i="264" s="1"/>
  <c r="AH45" i="264"/>
  <c r="AF45" i="264"/>
  <c r="L45" i="264"/>
  <c r="E42" i="262" s="1"/>
  <c r="D114" i="262" s="1"/>
  <c r="H45" i="264"/>
  <c r="G45" i="264"/>
  <c r="F45" i="264"/>
  <c r="D45" i="264"/>
  <c r="AI44" i="264"/>
  <c r="AH44" i="264"/>
  <c r="AG44" i="264"/>
  <c r="AF44" i="264"/>
  <c r="L44" i="264"/>
  <c r="E41" i="262" s="1"/>
  <c r="D113" i="262" s="1"/>
  <c r="H44" i="264"/>
  <c r="G44" i="264"/>
  <c r="F44" i="264"/>
  <c r="D44" i="264"/>
  <c r="AI43" i="264"/>
  <c r="AG43" i="264" s="1"/>
  <c r="AH43" i="264"/>
  <c r="AF43" i="264"/>
  <c r="L43" i="264"/>
  <c r="E40" i="262" s="1"/>
  <c r="D112" i="262" s="1"/>
  <c r="H43" i="264"/>
  <c r="G43" i="264"/>
  <c r="F43" i="264"/>
  <c r="D43" i="264"/>
  <c r="AI42" i="264"/>
  <c r="AH42" i="264"/>
  <c r="AG42" i="264"/>
  <c r="AF42" i="264"/>
  <c r="L42" i="264"/>
  <c r="E39" i="262" s="1"/>
  <c r="D111" i="262" s="1"/>
  <c r="H42" i="264"/>
  <c r="G42" i="264"/>
  <c r="F42" i="264"/>
  <c r="D42" i="264"/>
  <c r="AI41" i="264"/>
  <c r="AG41" i="264" s="1"/>
  <c r="AH41" i="264"/>
  <c r="AF41" i="264"/>
  <c r="L41" i="264"/>
  <c r="E38" i="262" s="1"/>
  <c r="D110" i="262" s="1"/>
  <c r="H41" i="264"/>
  <c r="G41" i="264"/>
  <c r="F41" i="264"/>
  <c r="D41" i="264"/>
  <c r="AI40" i="264"/>
  <c r="AH40" i="264"/>
  <c r="AG40" i="264"/>
  <c r="AF40" i="264"/>
  <c r="L40" i="264"/>
  <c r="E37" i="262" s="1"/>
  <c r="D109" i="262" s="1"/>
  <c r="H40" i="264"/>
  <c r="G40" i="264"/>
  <c r="F40" i="264"/>
  <c r="D40" i="264"/>
  <c r="AI39" i="264"/>
  <c r="AG39" i="264" s="1"/>
  <c r="AH39" i="264"/>
  <c r="AF39" i="264"/>
  <c r="L39" i="264"/>
  <c r="AL39" i="264" s="1"/>
  <c r="H39" i="264"/>
  <c r="G39" i="264"/>
  <c r="F39" i="264"/>
  <c r="D39" i="264"/>
  <c r="AI38" i="264"/>
  <c r="AH38" i="264"/>
  <c r="AG38" i="264"/>
  <c r="AF38" i="264"/>
  <c r="L38" i="264"/>
  <c r="E35" i="262" s="1"/>
  <c r="D107" i="262" s="1"/>
  <c r="H38" i="264"/>
  <c r="G38" i="264"/>
  <c r="F38" i="264"/>
  <c r="D38" i="264"/>
  <c r="AI37" i="264"/>
  <c r="AG37" i="264" s="1"/>
  <c r="AH37" i="264"/>
  <c r="AF37" i="264"/>
  <c r="L37" i="264"/>
  <c r="AL37" i="264" s="1"/>
  <c r="H37" i="264"/>
  <c r="G37" i="264"/>
  <c r="F37" i="264"/>
  <c r="D37" i="264"/>
  <c r="AI36" i="264"/>
  <c r="AG36" i="264" s="1"/>
  <c r="AH36" i="264"/>
  <c r="AF36" i="264"/>
  <c r="L36" i="264"/>
  <c r="E33" i="262" s="1"/>
  <c r="D105" i="262" s="1"/>
  <c r="H36" i="264"/>
  <c r="G36" i="264"/>
  <c r="F36" i="264"/>
  <c r="D36" i="264"/>
  <c r="AI35" i="264"/>
  <c r="AG35" i="264" s="1"/>
  <c r="AH35" i="264"/>
  <c r="AF35" i="264"/>
  <c r="L35" i="264"/>
  <c r="E32" i="262" s="1"/>
  <c r="D104" i="262" s="1"/>
  <c r="H35" i="264"/>
  <c r="G35" i="264"/>
  <c r="F35" i="264"/>
  <c r="D35" i="264"/>
  <c r="AI34" i="264"/>
  <c r="AH34" i="264"/>
  <c r="AG34" i="264"/>
  <c r="AF34" i="264"/>
  <c r="L34" i="264"/>
  <c r="E31" i="262" s="1"/>
  <c r="D103" i="262" s="1"/>
  <c r="H34" i="264"/>
  <c r="G34" i="264"/>
  <c r="F34" i="264"/>
  <c r="D34" i="264"/>
  <c r="AI33" i="264"/>
  <c r="AG33" i="264" s="1"/>
  <c r="AH33" i="264"/>
  <c r="AF33" i="264"/>
  <c r="L33" i="264"/>
  <c r="AL33" i="264" s="1"/>
  <c r="H33" i="264"/>
  <c r="G33" i="264"/>
  <c r="F33" i="264"/>
  <c r="D33" i="264"/>
  <c r="AI32" i="264"/>
  <c r="AH32" i="264"/>
  <c r="AG32" i="264"/>
  <c r="AF32" i="264"/>
  <c r="L32" i="264"/>
  <c r="E29" i="262" s="1"/>
  <c r="D101" i="262" s="1"/>
  <c r="H32" i="264"/>
  <c r="G32" i="264"/>
  <c r="F32" i="264"/>
  <c r="D32" i="264"/>
  <c r="AI31" i="264"/>
  <c r="AG31" i="264" s="1"/>
  <c r="AH31" i="264"/>
  <c r="AF31" i="264"/>
  <c r="L31" i="264"/>
  <c r="AL31" i="264" s="1"/>
  <c r="H31" i="264"/>
  <c r="G31" i="264"/>
  <c r="F31" i="264"/>
  <c r="D31" i="264"/>
  <c r="AI30" i="264"/>
  <c r="AH30" i="264"/>
  <c r="AG30" i="264"/>
  <c r="AF30" i="264"/>
  <c r="L30" i="264"/>
  <c r="E27" i="262" s="1"/>
  <c r="D99" i="262" s="1"/>
  <c r="H30" i="264"/>
  <c r="G30" i="264"/>
  <c r="F30" i="264"/>
  <c r="D30" i="264"/>
  <c r="AI29" i="264"/>
  <c r="AG29" i="264" s="1"/>
  <c r="AH29" i="264"/>
  <c r="AF29" i="264"/>
  <c r="L29" i="264"/>
  <c r="E26" i="262" s="1"/>
  <c r="D98" i="262" s="1"/>
  <c r="H29" i="264"/>
  <c r="G29" i="264"/>
  <c r="F29" i="264"/>
  <c r="D29" i="264"/>
  <c r="AI28" i="264"/>
  <c r="AH28" i="264"/>
  <c r="AG28" i="264"/>
  <c r="AF28" i="264"/>
  <c r="L28" i="264"/>
  <c r="E25" i="262" s="1"/>
  <c r="D97" i="262" s="1"/>
  <c r="H28" i="264"/>
  <c r="G28" i="264"/>
  <c r="F28" i="264"/>
  <c r="D28" i="264"/>
  <c r="AI27" i="264"/>
  <c r="AG27" i="264" s="1"/>
  <c r="AH27" i="264"/>
  <c r="AF27" i="264"/>
  <c r="L27" i="264"/>
  <c r="AL27" i="264" s="1"/>
  <c r="H27" i="264"/>
  <c r="G27" i="264"/>
  <c r="F27" i="264"/>
  <c r="D27" i="264"/>
  <c r="AI26" i="264"/>
  <c r="AH26" i="264"/>
  <c r="AG26" i="264"/>
  <c r="AF26" i="264"/>
  <c r="L26" i="264"/>
  <c r="E23" i="262" s="1"/>
  <c r="D95" i="262" s="1"/>
  <c r="H26" i="264"/>
  <c r="G26" i="264"/>
  <c r="F26" i="264"/>
  <c r="D26" i="264"/>
  <c r="AI25" i="264"/>
  <c r="AG25" i="264" s="1"/>
  <c r="AH25" i="264"/>
  <c r="AF25" i="264"/>
  <c r="L25" i="264"/>
  <c r="E22" i="262" s="1"/>
  <c r="D94" i="262" s="1"/>
  <c r="H25" i="264"/>
  <c r="G25" i="264"/>
  <c r="F25" i="264"/>
  <c r="D25" i="264"/>
  <c r="AI24" i="264"/>
  <c r="AG24" i="264" s="1"/>
  <c r="AH24" i="264"/>
  <c r="AF24" i="264"/>
  <c r="L24" i="264"/>
  <c r="E21" i="262" s="1"/>
  <c r="D93" i="262" s="1"/>
  <c r="H24" i="264"/>
  <c r="G24" i="264"/>
  <c r="F24" i="264"/>
  <c r="D24" i="264"/>
  <c r="AI23" i="264"/>
  <c r="AG23" i="264" s="1"/>
  <c r="AH23" i="264"/>
  <c r="AF23" i="264"/>
  <c r="L23" i="264"/>
  <c r="AL23" i="264" s="1"/>
  <c r="H23" i="264"/>
  <c r="G23" i="264"/>
  <c r="F23" i="264"/>
  <c r="D23" i="264"/>
  <c r="AI22" i="264"/>
  <c r="AH22" i="264"/>
  <c r="AG22" i="264"/>
  <c r="AF22" i="264"/>
  <c r="L22" i="264"/>
  <c r="E19" i="262" s="1"/>
  <c r="D91" i="262" s="1"/>
  <c r="H22" i="264"/>
  <c r="G22" i="264"/>
  <c r="F22" i="264"/>
  <c r="D22" i="264"/>
  <c r="AI21" i="264"/>
  <c r="AG21" i="264" s="1"/>
  <c r="AH21" i="264"/>
  <c r="AF21" i="264"/>
  <c r="L21" i="264"/>
  <c r="E18" i="262" s="1"/>
  <c r="D90" i="262" s="1"/>
  <c r="H21" i="264"/>
  <c r="G21" i="264"/>
  <c r="F21" i="264"/>
  <c r="D21" i="264"/>
  <c r="AI20" i="264"/>
  <c r="AH20" i="264"/>
  <c r="AG20" i="264"/>
  <c r="AF20" i="264"/>
  <c r="L20" i="264"/>
  <c r="E17" i="262" s="1"/>
  <c r="D89" i="262" s="1"/>
  <c r="H20" i="264"/>
  <c r="G20" i="264"/>
  <c r="F20" i="264"/>
  <c r="D20" i="264"/>
  <c r="AI19" i="264"/>
  <c r="AG19" i="264" s="1"/>
  <c r="AH19" i="264"/>
  <c r="AF19" i="264"/>
  <c r="L19" i="264"/>
  <c r="E16" i="262" s="1"/>
  <c r="D88" i="262" s="1"/>
  <c r="H19" i="264"/>
  <c r="G19" i="264"/>
  <c r="F19" i="264"/>
  <c r="D19" i="264"/>
  <c r="AI18" i="264"/>
  <c r="AG18" i="264" s="1"/>
  <c r="AH18" i="264"/>
  <c r="AF18" i="264"/>
  <c r="L18" i="264"/>
  <c r="E15" i="262" s="1"/>
  <c r="D87" i="262" s="1"/>
  <c r="H18" i="264"/>
  <c r="G18" i="264"/>
  <c r="F18" i="264"/>
  <c r="D18" i="264"/>
  <c r="AI17" i="264"/>
  <c r="AG17" i="264" s="1"/>
  <c r="AH17" i="264"/>
  <c r="AF17" i="264"/>
  <c r="L17" i="264"/>
  <c r="E14" i="262" s="1"/>
  <c r="D86" i="262" s="1"/>
  <c r="H17" i="264"/>
  <c r="G17" i="264"/>
  <c r="F17" i="264"/>
  <c r="D17" i="264"/>
  <c r="AI16" i="264"/>
  <c r="AH16" i="264"/>
  <c r="AG16" i="264"/>
  <c r="AF16" i="264"/>
  <c r="L16" i="264"/>
  <c r="E13" i="262" s="1"/>
  <c r="D85" i="262" s="1"/>
  <c r="AI15" i="264"/>
  <c r="AG15" i="264" s="1"/>
  <c r="AH15" i="264"/>
  <c r="AF15" i="264"/>
  <c r="L15" i="264"/>
  <c r="AL15" i="264" s="1"/>
  <c r="AI14" i="264"/>
  <c r="AH14" i="264"/>
  <c r="AG14" i="264"/>
  <c r="AF14" i="264"/>
  <c r="L14" i="264"/>
  <c r="AL14" i="264" s="1"/>
  <c r="AI13" i="264"/>
  <c r="AH13" i="264"/>
  <c r="AG13" i="264"/>
  <c r="AF13" i="264"/>
  <c r="L13" i="264"/>
  <c r="E10" i="262" s="1"/>
  <c r="D82" i="262" s="1"/>
  <c r="AI12" i="264"/>
  <c r="AG12" i="264" s="1"/>
  <c r="AH12" i="264"/>
  <c r="AF12" i="264"/>
  <c r="L12" i="264"/>
  <c r="AL12" i="264" s="1"/>
  <c r="AG11" i="264"/>
  <c r="L11" i="264"/>
  <c r="E8" i="262" s="1"/>
  <c r="D80" i="262" s="1"/>
  <c r="L10" i="264"/>
  <c r="E7" i="262" s="1"/>
  <c r="D79" i="262" s="1"/>
  <c r="L9" i="264"/>
  <c r="E6" i="262" s="1"/>
  <c r="D78" i="262" s="1"/>
  <c r="J9" i="264"/>
  <c r="J10" i="264" s="1"/>
  <c r="J11" i="264" s="1"/>
  <c r="D9" i="264"/>
  <c r="F9" i="264" s="1"/>
  <c r="G9" i="264" s="1"/>
  <c r="C9" i="264"/>
  <c r="I3" i="264"/>
  <c r="W73" i="262"/>
  <c r="X19" i="262"/>
  <c r="AO58" i="262"/>
  <c r="AO56" i="262"/>
  <c r="AP58" i="262" s="1"/>
  <c r="AO51" i="262"/>
  <c r="AO49" i="262"/>
  <c r="AP51" i="262" s="1"/>
  <c r="AO40" i="262"/>
  <c r="AO34" i="262"/>
  <c r="AP36" i="262" s="1"/>
  <c r="AO23" i="262"/>
  <c r="AO53" i="262"/>
  <c r="AO46" i="262"/>
  <c r="AO42" i="262"/>
  <c r="AO43" i="262" s="1"/>
  <c r="AO30" i="262"/>
  <c r="AO26" i="262"/>
  <c r="AO19" i="262"/>
  <c r="AO16" i="262"/>
  <c r="AO12" i="262"/>
  <c r="AO9" i="262"/>
  <c r="AP57" i="262" l="1"/>
  <c r="D80" i="264"/>
  <c r="M9" i="264"/>
  <c r="O9" i="264" s="1"/>
  <c r="AO10" i="262"/>
  <c r="AP8" i="262" s="1"/>
  <c r="D80" i="265"/>
  <c r="E93" i="265"/>
  <c r="AP44" i="262"/>
  <c r="AP24" i="262"/>
  <c r="D81" i="265"/>
  <c r="AP40" i="262"/>
  <c r="J90" i="269"/>
  <c r="M88" i="269"/>
  <c r="O88" i="269" s="1"/>
  <c r="AP41" i="262"/>
  <c r="AP42" i="262"/>
  <c r="AP43" i="262"/>
  <c r="AP39" i="262"/>
  <c r="AP35" i="262"/>
  <c r="AP31" i="262"/>
  <c r="AP27" i="262"/>
  <c r="AP23" i="262"/>
  <c r="AP7" i="262"/>
  <c r="AP38" i="262"/>
  <c r="AP34" i="262"/>
  <c r="AP10" i="262"/>
  <c r="J95" i="273"/>
  <c r="M93" i="273"/>
  <c r="O93" i="273" s="1"/>
  <c r="E24" i="262"/>
  <c r="D96" i="262" s="1"/>
  <c r="E28" i="262"/>
  <c r="D100" i="262" s="1"/>
  <c r="E36" i="262"/>
  <c r="D108" i="262" s="1"/>
  <c r="E60" i="262"/>
  <c r="D132" i="262" s="1"/>
  <c r="E65" i="262"/>
  <c r="D137" i="262" s="1"/>
  <c r="E44" i="262"/>
  <c r="D116" i="262" s="1"/>
  <c r="E12" i="262"/>
  <c r="D84" i="262" s="1"/>
  <c r="E69" i="262"/>
  <c r="D141" i="262" s="1"/>
  <c r="E73" i="262"/>
  <c r="D145" i="262" s="1"/>
  <c r="E20" i="262"/>
  <c r="D92" i="262" s="1"/>
  <c r="E70" i="262"/>
  <c r="D142" i="262" s="1"/>
  <c r="E58" i="262"/>
  <c r="D130" i="262" s="1"/>
  <c r="E54" i="262"/>
  <c r="D126" i="262" s="1"/>
  <c r="E50" i="262"/>
  <c r="D122" i="262" s="1"/>
  <c r="E46" i="262"/>
  <c r="D118" i="262" s="1"/>
  <c r="E34" i="262"/>
  <c r="D106" i="262" s="1"/>
  <c r="E30" i="262"/>
  <c r="D102" i="262" s="1"/>
  <c r="E72" i="262"/>
  <c r="D144" i="262" s="1"/>
  <c r="E9" i="262"/>
  <c r="D81" i="262" s="1"/>
  <c r="E71" i="262"/>
  <c r="D143" i="262" s="1"/>
  <c r="E67" i="262"/>
  <c r="D139" i="262" s="1"/>
  <c r="E11" i="262"/>
  <c r="D83" i="262" s="1"/>
  <c r="AL18" i="265"/>
  <c r="D15" i="262"/>
  <c r="C87" i="262" s="1"/>
  <c r="AL13" i="265"/>
  <c r="D10" i="262"/>
  <c r="C82" i="262" s="1"/>
  <c r="AL71" i="265"/>
  <c r="D68" i="262"/>
  <c r="C140" i="262" s="1"/>
  <c r="AL25" i="265"/>
  <c r="D22" i="262"/>
  <c r="C94" i="262" s="1"/>
  <c r="AL33" i="265"/>
  <c r="D30" i="262"/>
  <c r="C102" i="262" s="1"/>
  <c r="AL41" i="265"/>
  <c r="D38" i="262"/>
  <c r="C110" i="262" s="1"/>
  <c r="S64" i="265"/>
  <c r="T64" i="265" s="1"/>
  <c r="D61" i="262"/>
  <c r="C133" i="262" s="1"/>
  <c r="AL16" i="265"/>
  <c r="D13" i="262"/>
  <c r="C85" i="262" s="1"/>
  <c r="AL19" i="265"/>
  <c r="D16" i="262"/>
  <c r="C88" i="262" s="1"/>
  <c r="AL73" i="265"/>
  <c r="D70" i="262"/>
  <c r="C142" i="262" s="1"/>
  <c r="AL75" i="265"/>
  <c r="D72" i="262"/>
  <c r="C144" i="262" s="1"/>
  <c r="AL17" i="265"/>
  <c r="D14" i="262"/>
  <c r="C86" i="262" s="1"/>
  <c r="AL20" i="265"/>
  <c r="D17" i="262"/>
  <c r="C89" i="262" s="1"/>
  <c r="AL23" i="265"/>
  <c r="D20" i="262"/>
  <c r="C92" i="262" s="1"/>
  <c r="AL26" i="265"/>
  <c r="D23" i="262"/>
  <c r="C95" i="262" s="1"/>
  <c r="AL31" i="265"/>
  <c r="D28" i="262"/>
  <c r="C100" i="262" s="1"/>
  <c r="AL39" i="265"/>
  <c r="D36" i="262"/>
  <c r="C108" i="262" s="1"/>
  <c r="AL72" i="265"/>
  <c r="D69" i="262"/>
  <c r="C141" i="262" s="1"/>
  <c r="AL74" i="265"/>
  <c r="D71" i="262"/>
  <c r="C143" i="262" s="1"/>
  <c r="AL76" i="265"/>
  <c r="D73" i="262"/>
  <c r="C145" i="262" s="1"/>
  <c r="M90" i="272"/>
  <c r="O90" i="272" s="1"/>
  <c r="J92" i="272"/>
  <c r="J91" i="270"/>
  <c r="M89" i="270"/>
  <c r="O89" i="270" s="1"/>
  <c r="J14" i="267"/>
  <c r="M12" i="267"/>
  <c r="O12" i="267" s="1"/>
  <c r="AE13" i="267"/>
  <c r="M14" i="266"/>
  <c r="O14" i="266" s="1"/>
  <c r="J16" i="266"/>
  <c r="AE15" i="266"/>
  <c r="S55" i="265"/>
  <c r="T55" i="265" s="1"/>
  <c r="S63" i="265"/>
  <c r="T63" i="265" s="1"/>
  <c r="S67" i="265"/>
  <c r="T67" i="265" s="1"/>
  <c r="S14" i="265"/>
  <c r="T14" i="265" s="1"/>
  <c r="S43" i="265"/>
  <c r="T43" i="265" s="1"/>
  <c r="S51" i="265"/>
  <c r="T51" i="265" s="1"/>
  <c r="S58" i="265"/>
  <c r="T58" i="265" s="1"/>
  <c r="S70" i="265"/>
  <c r="T70" i="265" s="1"/>
  <c r="S17" i="265"/>
  <c r="T17" i="265" s="1"/>
  <c r="S18" i="265"/>
  <c r="T18" i="265" s="1"/>
  <c r="S21" i="265"/>
  <c r="T21" i="265" s="1"/>
  <c r="S29" i="265"/>
  <c r="T29" i="265" s="1"/>
  <c r="S37" i="265"/>
  <c r="T37" i="265" s="1"/>
  <c r="S53" i="265"/>
  <c r="T53" i="265" s="1"/>
  <c r="S24" i="265"/>
  <c r="T24" i="265" s="1"/>
  <c r="S30" i="265"/>
  <c r="T30" i="265" s="1"/>
  <c r="S12" i="265"/>
  <c r="T12" i="265" s="1"/>
  <c r="S13" i="265"/>
  <c r="T13" i="265" s="1"/>
  <c r="S16" i="265"/>
  <c r="T16" i="265" s="1"/>
  <c r="AL37" i="265"/>
  <c r="S19" i="265"/>
  <c r="T19" i="265" s="1"/>
  <c r="S22" i="265"/>
  <c r="T22" i="265" s="1"/>
  <c r="S46" i="265"/>
  <c r="T46" i="265" s="1"/>
  <c r="S49" i="265"/>
  <c r="T49" i="265" s="1"/>
  <c r="S52" i="265"/>
  <c r="T52" i="265" s="1"/>
  <c r="S57" i="265"/>
  <c r="T57" i="265" s="1"/>
  <c r="S60" i="265"/>
  <c r="T60" i="265" s="1"/>
  <c r="S69" i="265"/>
  <c r="T69" i="265" s="1"/>
  <c r="AL21" i="265"/>
  <c r="S27" i="265"/>
  <c r="T27" i="265" s="1"/>
  <c r="AL29" i="265"/>
  <c r="S32" i="265"/>
  <c r="T32" i="265" s="1"/>
  <c r="S38" i="265"/>
  <c r="T38" i="265" s="1"/>
  <c r="S47" i="265"/>
  <c r="T47" i="265" s="1"/>
  <c r="S50" i="265"/>
  <c r="T50" i="265" s="1"/>
  <c r="S56" i="265"/>
  <c r="T56" i="265" s="1"/>
  <c r="S61" i="265"/>
  <c r="T61" i="265" s="1"/>
  <c r="S65" i="265"/>
  <c r="T65" i="265" s="1"/>
  <c r="S68" i="265"/>
  <c r="T68" i="265" s="1"/>
  <c r="S35" i="265"/>
  <c r="T35" i="265" s="1"/>
  <c r="S40" i="265"/>
  <c r="T40" i="265" s="1"/>
  <c r="S45" i="265"/>
  <c r="T45" i="265" s="1"/>
  <c r="S48" i="265"/>
  <c r="T48" i="265" s="1"/>
  <c r="S54" i="265"/>
  <c r="T54" i="265" s="1"/>
  <c r="S59" i="265"/>
  <c r="T59" i="265" s="1"/>
  <c r="S62" i="265"/>
  <c r="T62" i="265" s="1"/>
  <c r="S66" i="265"/>
  <c r="T66" i="265" s="1"/>
  <c r="H9" i="265"/>
  <c r="J11" i="265"/>
  <c r="M9" i="265"/>
  <c r="O9" i="265" s="1"/>
  <c r="S15" i="265"/>
  <c r="T15" i="265" s="1"/>
  <c r="AL15" i="265"/>
  <c r="S44" i="265"/>
  <c r="T44" i="265" s="1"/>
  <c r="AL44" i="265"/>
  <c r="AL32" i="265"/>
  <c r="S34" i="265"/>
  <c r="T34" i="265" s="1"/>
  <c r="S42" i="265"/>
  <c r="T42" i="265" s="1"/>
  <c r="S20" i="265"/>
  <c r="T20" i="265" s="1"/>
  <c r="S23" i="265"/>
  <c r="T23" i="265" s="1"/>
  <c r="S28" i="265"/>
  <c r="T28" i="265" s="1"/>
  <c r="AL28" i="265"/>
  <c r="S31" i="265"/>
  <c r="T31" i="265" s="1"/>
  <c r="S36" i="265"/>
  <c r="T36" i="265" s="1"/>
  <c r="AL36" i="265"/>
  <c r="S39" i="265"/>
  <c r="T39" i="265" s="1"/>
  <c r="H10" i="265"/>
  <c r="AL24" i="265"/>
  <c r="AL40" i="265"/>
  <c r="K4" i="265"/>
  <c r="S26" i="265"/>
  <c r="T26" i="265" s="1"/>
  <c r="AL34" i="265"/>
  <c r="AL42" i="265"/>
  <c r="AL12" i="265"/>
  <c r="AL14" i="265"/>
  <c r="AL22" i="265"/>
  <c r="S25" i="265"/>
  <c r="T25" i="265" s="1"/>
  <c r="AL27" i="265"/>
  <c r="AL30" i="265"/>
  <c r="S33" i="265"/>
  <c r="T33" i="265" s="1"/>
  <c r="AL35" i="265"/>
  <c r="AL38" i="265"/>
  <c r="S41" i="265"/>
  <c r="T41" i="265" s="1"/>
  <c r="AL43" i="265"/>
  <c r="AL45" i="265"/>
  <c r="AL47" i="265"/>
  <c r="AL49" i="265"/>
  <c r="AL51" i="265"/>
  <c r="AL53" i="265"/>
  <c r="AL55" i="265"/>
  <c r="AL57" i="265"/>
  <c r="AL59" i="265"/>
  <c r="AL61" i="265"/>
  <c r="AL63" i="265"/>
  <c r="AL67" i="265"/>
  <c r="AL69" i="265"/>
  <c r="E94" i="265"/>
  <c r="G65" i="265"/>
  <c r="H65" i="265" s="1"/>
  <c r="G66" i="265"/>
  <c r="H66" i="265" s="1"/>
  <c r="E81" i="265"/>
  <c r="D94" i="265"/>
  <c r="AL46" i="265"/>
  <c r="AL48" i="265"/>
  <c r="AL50" i="265"/>
  <c r="AL52" i="265"/>
  <c r="AL54" i="265"/>
  <c r="AL56" i="265"/>
  <c r="AL58" i="265"/>
  <c r="AL60" i="265"/>
  <c r="AL62" i="265"/>
  <c r="AL64" i="265"/>
  <c r="AL65" i="265"/>
  <c r="AL66" i="265"/>
  <c r="AL68" i="265"/>
  <c r="AL70" i="265"/>
  <c r="H14" i="264"/>
  <c r="S64" i="264"/>
  <c r="T64" i="264" s="1"/>
  <c r="K4" i="264"/>
  <c r="S24" i="264"/>
  <c r="T24" i="264" s="1"/>
  <c r="S32" i="264"/>
  <c r="T32" i="264" s="1"/>
  <c r="S40" i="264"/>
  <c r="T40" i="264" s="1"/>
  <c r="S21" i="264"/>
  <c r="T21" i="264" s="1"/>
  <c r="S26" i="264"/>
  <c r="T26" i="264" s="1"/>
  <c r="S29" i="264"/>
  <c r="T29" i="264" s="1"/>
  <c r="S34" i="264"/>
  <c r="T34" i="264" s="1"/>
  <c r="S42" i="264"/>
  <c r="T42" i="264" s="1"/>
  <c r="S45" i="264"/>
  <c r="T45" i="264" s="1"/>
  <c r="S50" i="264"/>
  <c r="T50" i="264" s="1"/>
  <c r="S55" i="264"/>
  <c r="T55" i="264" s="1"/>
  <c r="S58" i="264"/>
  <c r="T58" i="264" s="1"/>
  <c r="S67" i="264"/>
  <c r="T67" i="264" s="1"/>
  <c r="S20" i="264"/>
  <c r="T20" i="264" s="1"/>
  <c r="S17" i="264"/>
  <c r="T17" i="264" s="1"/>
  <c r="AL21" i="264"/>
  <c r="S28" i="264"/>
  <c r="T28" i="264" s="1"/>
  <c r="S36" i="264"/>
  <c r="T36" i="264" s="1"/>
  <c r="S44" i="264"/>
  <c r="T44" i="264" s="1"/>
  <c r="S52" i="264"/>
  <c r="T52" i="264" s="1"/>
  <c r="S60" i="264"/>
  <c r="T60" i="264" s="1"/>
  <c r="S68" i="264"/>
  <c r="T68" i="264" s="1"/>
  <c r="S16" i="264"/>
  <c r="T16" i="264" s="1"/>
  <c r="S13" i="264"/>
  <c r="T13" i="264" s="1"/>
  <c r="S14" i="264"/>
  <c r="T14" i="264" s="1"/>
  <c r="S15" i="264"/>
  <c r="T15" i="264" s="1"/>
  <c r="AL17" i="264"/>
  <c r="S19" i="264"/>
  <c r="T19" i="264" s="1"/>
  <c r="AL19" i="264"/>
  <c r="S35" i="264"/>
  <c r="T35" i="264" s="1"/>
  <c r="S43" i="264"/>
  <c r="T43" i="264" s="1"/>
  <c r="S48" i="264"/>
  <c r="T48" i="264" s="1"/>
  <c r="S51" i="264"/>
  <c r="T51" i="264" s="1"/>
  <c r="S56" i="264"/>
  <c r="T56" i="264" s="1"/>
  <c r="S65" i="264"/>
  <c r="T65" i="264" s="1"/>
  <c r="S12" i="264"/>
  <c r="T12" i="264" s="1"/>
  <c r="S18" i="264"/>
  <c r="T18" i="264" s="1"/>
  <c r="S22" i="264"/>
  <c r="T22" i="264" s="1"/>
  <c r="S25" i="264"/>
  <c r="T25" i="264" s="1"/>
  <c r="S30" i="264"/>
  <c r="T30" i="264" s="1"/>
  <c r="S38" i="264"/>
  <c r="T38" i="264" s="1"/>
  <c r="S41" i="264"/>
  <c r="T41" i="264" s="1"/>
  <c r="S46" i="264"/>
  <c r="T46" i="264" s="1"/>
  <c r="S54" i="264"/>
  <c r="T54" i="264" s="1"/>
  <c r="S59" i="264"/>
  <c r="T59" i="264" s="1"/>
  <c r="S62" i="264"/>
  <c r="T62" i="264" s="1"/>
  <c r="S66" i="264"/>
  <c r="T66" i="264" s="1"/>
  <c r="S70" i="264"/>
  <c r="T70" i="264" s="1"/>
  <c r="M10" i="264"/>
  <c r="O10" i="264" s="1"/>
  <c r="J12" i="264"/>
  <c r="H9" i="264"/>
  <c r="AL25" i="264"/>
  <c r="AL29" i="264"/>
  <c r="AL35" i="264"/>
  <c r="AL41" i="264"/>
  <c r="AL43" i="264"/>
  <c r="AL45" i="264"/>
  <c r="AL51" i="264"/>
  <c r="AL55" i="264"/>
  <c r="AL59" i="264"/>
  <c r="C66" i="264"/>
  <c r="AL67" i="264"/>
  <c r="AL69" i="264"/>
  <c r="E94" i="264"/>
  <c r="S23" i="264"/>
  <c r="T23" i="264" s="1"/>
  <c r="S27" i="264"/>
  <c r="T27" i="264" s="1"/>
  <c r="S31" i="264"/>
  <c r="T31" i="264" s="1"/>
  <c r="S33" i="264"/>
  <c r="T33" i="264" s="1"/>
  <c r="S37" i="264"/>
  <c r="T37" i="264" s="1"/>
  <c r="S39" i="264"/>
  <c r="T39" i="264" s="1"/>
  <c r="S47" i="264"/>
  <c r="T47" i="264" s="1"/>
  <c r="S49" i="264"/>
  <c r="T49" i="264" s="1"/>
  <c r="S53" i="264"/>
  <c r="T53" i="264" s="1"/>
  <c r="S57" i="264"/>
  <c r="T57" i="264" s="1"/>
  <c r="S61" i="264"/>
  <c r="T61" i="264" s="1"/>
  <c r="S63" i="264"/>
  <c r="T63" i="264" s="1"/>
  <c r="S69" i="264"/>
  <c r="T69" i="264" s="1"/>
  <c r="E81" i="264"/>
  <c r="D94" i="264"/>
  <c r="AL16" i="264"/>
  <c r="AL18" i="264"/>
  <c r="AL20" i="264"/>
  <c r="AL22" i="264"/>
  <c r="AL24" i="264"/>
  <c r="AL26" i="264"/>
  <c r="AL28" i="264"/>
  <c r="AL30" i="264"/>
  <c r="AL32" i="264"/>
  <c r="AL34" i="264"/>
  <c r="AL36" i="264"/>
  <c r="AL38" i="264"/>
  <c r="AL40" i="264"/>
  <c r="AL42" i="264"/>
  <c r="AL44" i="264"/>
  <c r="AL46" i="264"/>
  <c r="AL48" i="264"/>
  <c r="AL50" i="264"/>
  <c r="AL52" i="264"/>
  <c r="AL54" i="264"/>
  <c r="AL56" i="264"/>
  <c r="AL58" i="264"/>
  <c r="AL60" i="264"/>
  <c r="AL62" i="264"/>
  <c r="AL64" i="264"/>
  <c r="F65" i="264"/>
  <c r="G65" i="264" s="1"/>
  <c r="H65" i="264" s="1"/>
  <c r="AL65" i="264"/>
  <c r="F66" i="264"/>
  <c r="G66" i="264" s="1"/>
  <c r="AL66" i="264"/>
  <c r="AL71" i="264"/>
  <c r="D81" i="264"/>
  <c r="E93" i="264"/>
  <c r="AL13" i="264"/>
  <c r="AO54" i="262"/>
  <c r="AP55" i="262" s="1"/>
  <c r="AO47" i="262"/>
  <c r="AP49" i="262" s="1"/>
  <c r="AO31" i="262"/>
  <c r="AP32" i="262" s="1"/>
  <c r="AO27" i="262"/>
  <c r="AP28" i="262" s="1"/>
  <c r="AO20" i="262"/>
  <c r="AO17" i="262"/>
  <c r="AO13" i="262"/>
  <c r="AP12" i="262" s="1"/>
  <c r="AP26" i="262" l="1"/>
  <c r="AP47" i="262"/>
  <c r="M89" i="269"/>
  <c r="O89" i="269" s="1"/>
  <c r="J91" i="269"/>
  <c r="AP9" i="262"/>
  <c r="AP25" i="262"/>
  <c r="AP21" i="262"/>
  <c r="AP22" i="262"/>
  <c r="AP18" i="262"/>
  <c r="AP19" i="262"/>
  <c r="AP17" i="262"/>
  <c r="AP13" i="262"/>
  <c r="AP15" i="262"/>
  <c r="AP14" i="262"/>
  <c r="AP45" i="262"/>
  <c r="AP46" i="262"/>
  <c r="AP48" i="262"/>
  <c r="AP56" i="262"/>
  <c r="AP54" i="262"/>
  <c r="AP53" i="262"/>
  <c r="AP30" i="262"/>
  <c r="AP33" i="262"/>
  <c r="AP52" i="262"/>
  <c r="AP29" i="262"/>
  <c r="AP11" i="262"/>
  <c r="AP20" i="262"/>
  <c r="AP16" i="262"/>
  <c r="J96" i="273"/>
  <c r="M94" i="273"/>
  <c r="O94" i="273" s="1"/>
  <c r="J93" i="272"/>
  <c r="M91" i="272"/>
  <c r="O91" i="272" s="1"/>
  <c r="M90" i="270"/>
  <c r="O90" i="270" s="1"/>
  <c r="J92" i="270"/>
  <c r="AE14" i="267"/>
  <c r="M13" i="267"/>
  <c r="O13" i="267" s="1"/>
  <c r="J15" i="267"/>
  <c r="J17" i="266"/>
  <c r="AE16" i="266"/>
  <c r="M15" i="266"/>
  <c r="O15" i="266" s="1"/>
  <c r="J12" i="265"/>
  <c r="M10" i="265"/>
  <c r="O10" i="265" s="1"/>
  <c r="J4" i="265"/>
  <c r="J13" i="264"/>
  <c r="M11" i="264"/>
  <c r="O11" i="264" s="1"/>
  <c r="AE12" i="264"/>
  <c r="H66" i="264"/>
  <c r="J4" i="264" s="1"/>
  <c r="W15" i="263" a="1"/>
  <c r="W16" i="263" s="1"/>
  <c r="C14" i="263"/>
  <c r="D14" i="263"/>
  <c r="F14" i="263" s="1"/>
  <c r="G14" i="263" s="1"/>
  <c r="M90" i="269" l="1"/>
  <c r="O90" i="269" s="1"/>
  <c r="J92" i="269"/>
  <c r="J97" i="273"/>
  <c r="M95" i="273"/>
  <c r="O95" i="273" s="1"/>
  <c r="J94" i="272"/>
  <c r="M92" i="272"/>
  <c r="O92" i="272" s="1"/>
  <c r="J93" i="270"/>
  <c r="M91" i="270"/>
  <c r="O91" i="270" s="1"/>
  <c r="AE15" i="267"/>
  <c r="M14" i="267"/>
  <c r="O14" i="267" s="1"/>
  <c r="J16" i="267"/>
  <c r="M16" i="266"/>
  <c r="O16" i="266" s="1"/>
  <c r="AE17" i="266"/>
  <c r="J18" i="266"/>
  <c r="M11" i="265"/>
  <c r="O11" i="265" s="1"/>
  <c r="AE12" i="265"/>
  <c r="J13" i="265"/>
  <c r="AE13" i="264"/>
  <c r="M12" i="264"/>
  <c r="O12" i="264" s="1"/>
  <c r="J14" i="264"/>
  <c r="X16" i="263"/>
  <c r="W15" i="263"/>
  <c r="X15" i="263"/>
  <c r="H14" i="263"/>
  <c r="C13" i="263"/>
  <c r="D13" i="263"/>
  <c r="F13" i="263" s="1"/>
  <c r="G13" i="263" s="1"/>
  <c r="C12" i="263"/>
  <c r="D12" i="263"/>
  <c r="F12" i="263" s="1"/>
  <c r="G12" i="263" s="1"/>
  <c r="D11" i="263"/>
  <c r="F11" i="263" s="1"/>
  <c r="G11" i="263" s="1"/>
  <c r="C11" i="263"/>
  <c r="D10" i="263"/>
  <c r="F10" i="263" s="1"/>
  <c r="G10" i="263" s="1"/>
  <c r="C10" i="263"/>
  <c r="H11" i="263" l="1"/>
  <c r="H13" i="263"/>
  <c r="J93" i="269"/>
  <c r="M91" i="269"/>
  <c r="O91" i="269" s="1"/>
  <c r="J98" i="273"/>
  <c r="M96" i="273"/>
  <c r="O96" i="273" s="1"/>
  <c r="J95" i="272"/>
  <c r="M93" i="272"/>
  <c r="O93" i="272" s="1"/>
  <c r="J94" i="270"/>
  <c r="M92" i="270"/>
  <c r="O92" i="270" s="1"/>
  <c r="M15" i="267"/>
  <c r="O15" i="267" s="1"/>
  <c r="J17" i="267"/>
  <c r="AE16" i="267"/>
  <c r="J19" i="266"/>
  <c r="AE18" i="266"/>
  <c r="M17" i="266"/>
  <c r="O17" i="266" s="1"/>
  <c r="J14" i="265"/>
  <c r="M12" i="265"/>
  <c r="O12" i="265" s="1"/>
  <c r="AE13" i="265"/>
  <c r="J15" i="264"/>
  <c r="AE14" i="264"/>
  <c r="M13" i="264"/>
  <c r="O13" i="264" s="1"/>
  <c r="H12" i="263"/>
  <c r="H10" i="263"/>
  <c r="M107" i="263"/>
  <c r="O107" i="263" s="1"/>
  <c r="L107" i="263"/>
  <c r="L106" i="263"/>
  <c r="L105" i="263"/>
  <c r="L104" i="263"/>
  <c r="L103" i="263"/>
  <c r="L102" i="263"/>
  <c r="L101" i="263"/>
  <c r="L100" i="263"/>
  <c r="L99" i="263"/>
  <c r="L98" i="263"/>
  <c r="L97" i="263"/>
  <c r="L96" i="263"/>
  <c r="L95" i="263"/>
  <c r="L94" i="263"/>
  <c r="L93" i="263"/>
  <c r="D93" i="263" a="1"/>
  <c r="D93" i="263" s="1"/>
  <c r="L92" i="263"/>
  <c r="L91" i="263"/>
  <c r="L90" i="263"/>
  <c r="L89" i="263"/>
  <c r="L88" i="263"/>
  <c r="L87" i="263"/>
  <c r="L86" i="263"/>
  <c r="L85" i="263"/>
  <c r="L84" i="263"/>
  <c r="L83" i="263"/>
  <c r="L82" i="263"/>
  <c r="L81" i="263"/>
  <c r="L80" i="263"/>
  <c r="D80" i="263" a="1"/>
  <c r="E80" i="263" s="1"/>
  <c r="L79" i="263"/>
  <c r="L78" i="263"/>
  <c r="L77" i="263"/>
  <c r="F74" i="262" s="1"/>
  <c r="AI76" i="263"/>
  <c r="AG76" i="263" s="1"/>
  <c r="AH76" i="263"/>
  <c r="AF76" i="263"/>
  <c r="L76" i="263"/>
  <c r="AI75" i="263"/>
  <c r="AG75" i="263" s="1"/>
  <c r="AH75" i="263"/>
  <c r="AF75" i="263"/>
  <c r="L75" i="263"/>
  <c r="AI74" i="263"/>
  <c r="AH74" i="263"/>
  <c r="AG74" i="263"/>
  <c r="AF74" i="263"/>
  <c r="L74" i="263"/>
  <c r="AI73" i="263"/>
  <c r="AG73" i="263" s="1"/>
  <c r="AH73" i="263"/>
  <c r="AF73" i="263"/>
  <c r="L73" i="263"/>
  <c r="AI72" i="263"/>
  <c r="AG72" i="263" s="1"/>
  <c r="AH72" i="263"/>
  <c r="AF72" i="263"/>
  <c r="L72" i="263"/>
  <c r="AI71" i="263"/>
  <c r="AH71" i="263"/>
  <c r="AG71" i="263"/>
  <c r="AF71" i="263"/>
  <c r="L71" i="263"/>
  <c r="AI70" i="263"/>
  <c r="AG70" i="263" s="1"/>
  <c r="AH70" i="263"/>
  <c r="AF70" i="263"/>
  <c r="L70" i="263"/>
  <c r="AI69" i="263"/>
  <c r="AG69" i="263" s="1"/>
  <c r="AH69" i="263"/>
  <c r="AF69" i="263"/>
  <c r="L69" i="263"/>
  <c r="AI68" i="263"/>
  <c r="AG68" i="263" s="1"/>
  <c r="AH68" i="263"/>
  <c r="AF68" i="263"/>
  <c r="L68" i="263"/>
  <c r="AI67" i="263"/>
  <c r="AG67" i="263" s="1"/>
  <c r="AH67" i="263"/>
  <c r="AF67" i="263"/>
  <c r="L67" i="263"/>
  <c r="AI66" i="263"/>
  <c r="AG66" i="263" s="1"/>
  <c r="AH66" i="263"/>
  <c r="AF66" i="263"/>
  <c r="L66" i="263"/>
  <c r="B66" i="263"/>
  <c r="AI65" i="263"/>
  <c r="AG65" i="263" s="1"/>
  <c r="AH65" i="263"/>
  <c r="AF65" i="263"/>
  <c r="L65" i="263"/>
  <c r="C65" i="263"/>
  <c r="C66" i="263" s="1"/>
  <c r="B65" i="263"/>
  <c r="D65" i="263" s="1"/>
  <c r="AI64" i="263"/>
  <c r="AG64" i="263" s="1"/>
  <c r="AH64" i="263"/>
  <c r="AF64" i="263"/>
  <c r="L64" i="263"/>
  <c r="H64" i="263"/>
  <c r="G64" i="263"/>
  <c r="F64" i="263"/>
  <c r="D64" i="263"/>
  <c r="AI63" i="263"/>
  <c r="AG63" i="263" s="1"/>
  <c r="AH63" i="263"/>
  <c r="AF63" i="263"/>
  <c r="L63" i="263"/>
  <c r="H63" i="263"/>
  <c r="G63" i="263"/>
  <c r="F63" i="263"/>
  <c r="D63" i="263"/>
  <c r="AI62" i="263"/>
  <c r="AG62" i="263" s="1"/>
  <c r="AH62" i="263"/>
  <c r="AF62" i="263"/>
  <c r="L62" i="263"/>
  <c r="H62" i="263"/>
  <c r="G62" i="263"/>
  <c r="F62" i="263"/>
  <c r="D62" i="263"/>
  <c r="AI61" i="263"/>
  <c r="AG61" i="263" s="1"/>
  <c r="AH61" i="263"/>
  <c r="AF61" i="263"/>
  <c r="L61" i="263"/>
  <c r="H61" i="263"/>
  <c r="G61" i="263"/>
  <c r="F61" i="263"/>
  <c r="D61" i="263"/>
  <c r="AI60" i="263"/>
  <c r="AG60" i="263" s="1"/>
  <c r="AH60" i="263"/>
  <c r="AF60" i="263"/>
  <c r="L60" i="263"/>
  <c r="H60" i="263"/>
  <c r="G60" i="263"/>
  <c r="F60" i="263"/>
  <c r="D60" i="263"/>
  <c r="AI59" i="263"/>
  <c r="AG59" i="263" s="1"/>
  <c r="AH59" i="263"/>
  <c r="AF59" i="263"/>
  <c r="L59" i="263"/>
  <c r="H59" i="263"/>
  <c r="G59" i="263"/>
  <c r="F59" i="263"/>
  <c r="D59" i="263"/>
  <c r="AI58" i="263"/>
  <c r="AG58" i="263" s="1"/>
  <c r="AH58" i="263"/>
  <c r="AF58" i="263"/>
  <c r="L58" i="263"/>
  <c r="H58" i="263"/>
  <c r="G58" i="263"/>
  <c r="F58" i="263"/>
  <c r="D58" i="263"/>
  <c r="AI57" i="263"/>
  <c r="AG57" i="263" s="1"/>
  <c r="AH57" i="263"/>
  <c r="AF57" i="263"/>
  <c r="L57" i="263"/>
  <c r="H57" i="263"/>
  <c r="G57" i="263"/>
  <c r="F57" i="263"/>
  <c r="D57" i="263"/>
  <c r="AI56" i="263"/>
  <c r="AG56" i="263" s="1"/>
  <c r="AH56" i="263"/>
  <c r="AF56" i="263"/>
  <c r="L56" i="263"/>
  <c r="H56" i="263"/>
  <c r="G56" i="263"/>
  <c r="F56" i="263"/>
  <c r="D56" i="263"/>
  <c r="AI55" i="263"/>
  <c r="AG55" i="263" s="1"/>
  <c r="AH55" i="263"/>
  <c r="AF55" i="263"/>
  <c r="L55" i="263"/>
  <c r="H55" i="263"/>
  <c r="G55" i="263"/>
  <c r="F55" i="263"/>
  <c r="D55" i="263"/>
  <c r="AI54" i="263"/>
  <c r="AG54" i="263" s="1"/>
  <c r="AH54" i="263"/>
  <c r="AF54" i="263"/>
  <c r="L54" i="263"/>
  <c r="H54" i="263"/>
  <c r="G54" i="263"/>
  <c r="F54" i="263"/>
  <c r="D54" i="263"/>
  <c r="AI53" i="263"/>
  <c r="AG53" i="263" s="1"/>
  <c r="AH53" i="263"/>
  <c r="AF53" i="263"/>
  <c r="L53" i="263"/>
  <c r="H53" i="263"/>
  <c r="G53" i="263"/>
  <c r="F53" i="263"/>
  <c r="D53" i="263"/>
  <c r="AI52" i="263"/>
  <c r="AG52" i="263" s="1"/>
  <c r="AH52" i="263"/>
  <c r="AF52" i="263"/>
  <c r="L52" i="263"/>
  <c r="H52" i="263"/>
  <c r="G52" i="263"/>
  <c r="F52" i="263"/>
  <c r="D52" i="263"/>
  <c r="AI51" i="263"/>
  <c r="AG51" i="263" s="1"/>
  <c r="AH51" i="263"/>
  <c r="AF51" i="263"/>
  <c r="L51" i="263"/>
  <c r="H51" i="263"/>
  <c r="G51" i="263"/>
  <c r="F51" i="263"/>
  <c r="D51" i="263"/>
  <c r="AI50" i="263"/>
  <c r="AH50" i="263"/>
  <c r="AG50" i="263"/>
  <c r="AF50" i="263"/>
  <c r="L50" i="263"/>
  <c r="H50" i="263"/>
  <c r="G50" i="263"/>
  <c r="F50" i="263"/>
  <c r="D50" i="263"/>
  <c r="AI49" i="263"/>
  <c r="AH49" i="263"/>
  <c r="AG49" i="263"/>
  <c r="AF49" i="263"/>
  <c r="L49" i="263"/>
  <c r="H49" i="263"/>
  <c r="G49" i="263"/>
  <c r="F49" i="263"/>
  <c r="D49" i="263"/>
  <c r="AI48" i="263"/>
  <c r="AG48" i="263" s="1"/>
  <c r="AH48" i="263"/>
  <c r="AF48" i="263"/>
  <c r="L48" i="263"/>
  <c r="H48" i="263"/>
  <c r="G48" i="263"/>
  <c r="F48" i="263"/>
  <c r="D48" i="263"/>
  <c r="AI47" i="263"/>
  <c r="AG47" i="263" s="1"/>
  <c r="AH47" i="263"/>
  <c r="AF47" i="263"/>
  <c r="L47" i="263"/>
  <c r="H47" i="263"/>
  <c r="G47" i="263"/>
  <c r="F47" i="263"/>
  <c r="D47" i="263"/>
  <c r="AI46" i="263"/>
  <c r="AH46" i="263"/>
  <c r="AG46" i="263"/>
  <c r="AF46" i="263"/>
  <c r="L46" i="263"/>
  <c r="H46" i="263"/>
  <c r="G46" i="263"/>
  <c r="F46" i="263"/>
  <c r="D46" i="263"/>
  <c r="AI45" i="263"/>
  <c r="AG45" i="263" s="1"/>
  <c r="AH45" i="263"/>
  <c r="AF45" i="263"/>
  <c r="L45" i="263"/>
  <c r="H45" i="263"/>
  <c r="G45" i="263"/>
  <c r="F45" i="263"/>
  <c r="D45" i="263"/>
  <c r="AI44" i="263"/>
  <c r="AG44" i="263" s="1"/>
  <c r="AH44" i="263"/>
  <c r="AF44" i="263"/>
  <c r="L44" i="263"/>
  <c r="H44" i="263"/>
  <c r="G44" i="263"/>
  <c r="F44" i="263"/>
  <c r="D44" i="263"/>
  <c r="AI43" i="263"/>
  <c r="AG43" i="263" s="1"/>
  <c r="AH43" i="263"/>
  <c r="AF43" i="263"/>
  <c r="L43" i="263"/>
  <c r="H43" i="263"/>
  <c r="G43" i="263"/>
  <c r="F43" i="263"/>
  <c r="D43" i="263"/>
  <c r="AI42" i="263"/>
  <c r="AG42" i="263" s="1"/>
  <c r="AH42" i="263"/>
  <c r="AF42" i="263"/>
  <c r="L42" i="263"/>
  <c r="H42" i="263"/>
  <c r="G42" i="263"/>
  <c r="F42" i="263"/>
  <c r="D42" i="263"/>
  <c r="AI41" i="263"/>
  <c r="AG41" i="263" s="1"/>
  <c r="AH41" i="263"/>
  <c r="AF41" i="263"/>
  <c r="L41" i="263"/>
  <c r="H41" i="263"/>
  <c r="G41" i="263"/>
  <c r="F41" i="263"/>
  <c r="D41" i="263"/>
  <c r="AI40" i="263"/>
  <c r="AG40" i="263" s="1"/>
  <c r="AH40" i="263"/>
  <c r="AF40" i="263"/>
  <c r="L40" i="263"/>
  <c r="H40" i="263"/>
  <c r="G40" i="263"/>
  <c r="F40" i="263"/>
  <c r="D40" i="263"/>
  <c r="AI39" i="263"/>
  <c r="AG39" i="263" s="1"/>
  <c r="AH39" i="263"/>
  <c r="AF39" i="263"/>
  <c r="L39" i="263"/>
  <c r="H39" i="263"/>
  <c r="G39" i="263"/>
  <c r="F39" i="263"/>
  <c r="D39" i="263"/>
  <c r="AI38" i="263"/>
  <c r="AG38" i="263" s="1"/>
  <c r="AH38" i="263"/>
  <c r="AF38" i="263"/>
  <c r="L38" i="263"/>
  <c r="H38" i="263"/>
  <c r="G38" i="263"/>
  <c r="F38" i="263"/>
  <c r="D38" i="263"/>
  <c r="AI37" i="263"/>
  <c r="AH37" i="263"/>
  <c r="AG37" i="263"/>
  <c r="AF37" i="263"/>
  <c r="L37" i="263"/>
  <c r="H37" i="263"/>
  <c r="G37" i="263"/>
  <c r="F37" i="263"/>
  <c r="D37" i="263"/>
  <c r="AI36" i="263"/>
  <c r="AG36" i="263" s="1"/>
  <c r="AH36" i="263"/>
  <c r="AF36" i="263"/>
  <c r="L36" i="263"/>
  <c r="H36" i="263"/>
  <c r="G36" i="263"/>
  <c r="F36" i="263"/>
  <c r="D36" i="263"/>
  <c r="AI35" i="263"/>
  <c r="AG35" i="263" s="1"/>
  <c r="AH35" i="263"/>
  <c r="AF35" i="263"/>
  <c r="L35" i="263"/>
  <c r="H35" i="263"/>
  <c r="G35" i="263"/>
  <c r="F35" i="263"/>
  <c r="D35" i="263"/>
  <c r="AI34" i="263"/>
  <c r="AH34" i="263"/>
  <c r="AG34" i="263"/>
  <c r="AF34" i="263"/>
  <c r="L34" i="263"/>
  <c r="H34" i="263"/>
  <c r="G34" i="263"/>
  <c r="F34" i="263"/>
  <c r="D34" i="263"/>
  <c r="AI33" i="263"/>
  <c r="AG33" i="263" s="1"/>
  <c r="AH33" i="263"/>
  <c r="AF33" i="263"/>
  <c r="L33" i="263"/>
  <c r="H33" i="263"/>
  <c r="G33" i="263"/>
  <c r="F33" i="263"/>
  <c r="D33" i="263"/>
  <c r="AI32" i="263"/>
  <c r="AG32" i="263" s="1"/>
  <c r="AH32" i="263"/>
  <c r="AF32" i="263"/>
  <c r="L32" i="263"/>
  <c r="H32" i="263"/>
  <c r="G32" i="263"/>
  <c r="F32" i="263"/>
  <c r="D32" i="263"/>
  <c r="AI31" i="263"/>
  <c r="AG31" i="263" s="1"/>
  <c r="AH31" i="263"/>
  <c r="AF31" i="263"/>
  <c r="L31" i="263"/>
  <c r="H31" i="263"/>
  <c r="G31" i="263"/>
  <c r="F31" i="263"/>
  <c r="D31" i="263"/>
  <c r="AI30" i="263"/>
  <c r="AH30" i="263"/>
  <c r="AG30" i="263"/>
  <c r="AF30" i="263"/>
  <c r="L30" i="263"/>
  <c r="H30" i="263"/>
  <c r="G30" i="263"/>
  <c r="F30" i="263"/>
  <c r="D30" i="263"/>
  <c r="AI29" i="263"/>
  <c r="AG29" i="263" s="1"/>
  <c r="AH29" i="263"/>
  <c r="AF29" i="263"/>
  <c r="L29" i="263"/>
  <c r="H29" i="263"/>
  <c r="G29" i="263"/>
  <c r="F29" i="263"/>
  <c r="D29" i="263"/>
  <c r="AI28" i="263"/>
  <c r="AG28" i="263" s="1"/>
  <c r="AH28" i="263"/>
  <c r="AF28" i="263"/>
  <c r="L28" i="263"/>
  <c r="H28" i="263"/>
  <c r="G28" i="263"/>
  <c r="F28" i="263"/>
  <c r="D28" i="263"/>
  <c r="AI27" i="263"/>
  <c r="AG27" i="263" s="1"/>
  <c r="AH27" i="263"/>
  <c r="AF27" i="263"/>
  <c r="L27" i="263"/>
  <c r="H27" i="263"/>
  <c r="G27" i="263"/>
  <c r="F27" i="263"/>
  <c r="D27" i="263"/>
  <c r="AI26" i="263"/>
  <c r="AG26" i="263" s="1"/>
  <c r="AH26" i="263"/>
  <c r="AF26" i="263"/>
  <c r="L26" i="263"/>
  <c r="H26" i="263"/>
  <c r="G26" i="263"/>
  <c r="F26" i="263"/>
  <c r="D26" i="263"/>
  <c r="AI25" i="263"/>
  <c r="AG25" i="263" s="1"/>
  <c r="AH25" i="263"/>
  <c r="AF25" i="263"/>
  <c r="L25" i="263"/>
  <c r="H25" i="263"/>
  <c r="G25" i="263"/>
  <c r="F25" i="263"/>
  <c r="D25" i="263"/>
  <c r="AI24" i="263"/>
  <c r="AG24" i="263" s="1"/>
  <c r="AH24" i="263"/>
  <c r="AF24" i="263"/>
  <c r="L24" i="263"/>
  <c r="H24" i="263"/>
  <c r="G24" i="263"/>
  <c r="F24" i="263"/>
  <c r="D24" i="263"/>
  <c r="AI23" i="263"/>
  <c r="AG23" i="263" s="1"/>
  <c r="AH23" i="263"/>
  <c r="AF23" i="263"/>
  <c r="L23" i="263"/>
  <c r="H23" i="263"/>
  <c r="G23" i="263"/>
  <c r="F23" i="263"/>
  <c r="D23" i="263"/>
  <c r="AI22" i="263"/>
  <c r="AG22" i="263" s="1"/>
  <c r="AH22" i="263"/>
  <c r="AF22" i="263"/>
  <c r="L22" i="263"/>
  <c r="H22" i="263"/>
  <c r="G22" i="263"/>
  <c r="F22" i="263"/>
  <c r="D22" i="263"/>
  <c r="AI21" i="263"/>
  <c r="AG21" i="263" s="1"/>
  <c r="AH21" i="263"/>
  <c r="AF21" i="263"/>
  <c r="L21" i="263"/>
  <c r="H21" i="263"/>
  <c r="G21" i="263"/>
  <c r="F21" i="263"/>
  <c r="D21" i="263"/>
  <c r="AI20" i="263"/>
  <c r="AG20" i="263" s="1"/>
  <c r="AH20" i="263"/>
  <c r="AF20" i="263"/>
  <c r="L20" i="263"/>
  <c r="H20" i="263"/>
  <c r="G20" i="263"/>
  <c r="F20" i="263"/>
  <c r="D20" i="263"/>
  <c r="AI19" i="263"/>
  <c r="AG19" i="263" s="1"/>
  <c r="AH19" i="263"/>
  <c r="AF19" i="263"/>
  <c r="L19" i="263"/>
  <c r="H19" i="263"/>
  <c r="G19" i="263"/>
  <c r="F19" i="263"/>
  <c r="D19" i="263"/>
  <c r="AI18" i="263"/>
  <c r="AH18" i="263"/>
  <c r="AG18" i="263"/>
  <c r="AF18" i="263"/>
  <c r="L18" i="263"/>
  <c r="H18" i="263"/>
  <c r="G18" i="263"/>
  <c r="F18" i="263"/>
  <c r="D18" i="263"/>
  <c r="AI17" i="263"/>
  <c r="AG17" i="263" s="1"/>
  <c r="AH17" i="263"/>
  <c r="AF17" i="263"/>
  <c r="L17" i="263"/>
  <c r="H17" i="263"/>
  <c r="G17" i="263"/>
  <c r="F17" i="263"/>
  <c r="D17" i="263"/>
  <c r="AI16" i="263"/>
  <c r="AG16" i="263" s="1"/>
  <c r="AH16" i="263"/>
  <c r="AF16" i="263"/>
  <c r="L16" i="263"/>
  <c r="AI15" i="263"/>
  <c r="AG15" i="263" s="1"/>
  <c r="AH15" i="263"/>
  <c r="AF15" i="263"/>
  <c r="L15" i="263"/>
  <c r="AI14" i="263"/>
  <c r="AH14" i="263"/>
  <c r="AG14" i="263"/>
  <c r="AF14" i="263"/>
  <c r="L14" i="263"/>
  <c r="AI13" i="263"/>
  <c r="AG13" i="263" s="1"/>
  <c r="AH13" i="263"/>
  <c r="AF13" i="263"/>
  <c r="L13" i="263"/>
  <c r="AI12" i="263"/>
  <c r="AG12" i="263" s="1"/>
  <c r="AH12" i="263"/>
  <c r="AF12" i="263"/>
  <c r="L12" i="263"/>
  <c r="AG11" i="263"/>
  <c r="L11" i="263"/>
  <c r="F8" i="262" s="1"/>
  <c r="E80" i="262" s="1"/>
  <c r="L10" i="263"/>
  <c r="F7" i="262" s="1"/>
  <c r="E79" i="262" s="1"/>
  <c r="L9" i="263"/>
  <c r="F6" i="262" s="1"/>
  <c r="E78" i="262" s="1"/>
  <c r="J9" i="263"/>
  <c r="J10" i="263" s="1"/>
  <c r="D9" i="263"/>
  <c r="F9" i="263" s="1"/>
  <c r="G9" i="263" s="1"/>
  <c r="C9" i="263"/>
  <c r="I3" i="263"/>
  <c r="B7" i="262"/>
  <c r="B8" i="262"/>
  <c r="B9" i="262"/>
  <c r="B10" i="262"/>
  <c r="B11" i="262"/>
  <c r="B12" i="262"/>
  <c r="B13" i="262"/>
  <c r="B14" i="262"/>
  <c r="B15" i="262"/>
  <c r="B16" i="262"/>
  <c r="B17" i="262"/>
  <c r="B18" i="262"/>
  <c r="B19" i="262"/>
  <c r="B20" i="262"/>
  <c r="U20" i="262" s="1"/>
  <c r="B21" i="262"/>
  <c r="U21" i="262" s="1"/>
  <c r="B22" i="262"/>
  <c r="B23" i="262"/>
  <c r="B24" i="262"/>
  <c r="B25" i="262"/>
  <c r="B26" i="262"/>
  <c r="B27" i="262"/>
  <c r="B28" i="262"/>
  <c r="B29" i="262"/>
  <c r="B30" i="262"/>
  <c r="B31" i="262"/>
  <c r="B32" i="262"/>
  <c r="B33" i="262"/>
  <c r="B34" i="262"/>
  <c r="B35" i="262"/>
  <c r="B36" i="262"/>
  <c r="B37" i="262"/>
  <c r="B38" i="262"/>
  <c r="B39" i="262"/>
  <c r="B40" i="262"/>
  <c r="B41" i="262"/>
  <c r="B42" i="262"/>
  <c r="B43" i="262"/>
  <c r="B44" i="262"/>
  <c r="B45" i="262"/>
  <c r="B46" i="262"/>
  <c r="B47" i="262"/>
  <c r="B48" i="262"/>
  <c r="B49" i="262"/>
  <c r="B50" i="262"/>
  <c r="B51" i="262"/>
  <c r="B52" i="262"/>
  <c r="B53" i="262"/>
  <c r="B54" i="262"/>
  <c r="B55" i="262"/>
  <c r="B56" i="262"/>
  <c r="B57" i="262"/>
  <c r="B58" i="262"/>
  <c r="B59" i="262"/>
  <c r="B60" i="262"/>
  <c r="B61" i="262"/>
  <c r="B62" i="262"/>
  <c r="B63" i="262"/>
  <c r="B64" i="262"/>
  <c r="B65" i="262"/>
  <c r="B66" i="262"/>
  <c r="B67" i="262"/>
  <c r="B68" i="262"/>
  <c r="B69" i="262"/>
  <c r="B70" i="262"/>
  <c r="B71" i="262"/>
  <c r="B72" i="262"/>
  <c r="B73" i="262"/>
  <c r="B74" i="262"/>
  <c r="U74" i="262" s="1"/>
  <c r="B6" i="262"/>
  <c r="AL25" i="263" l="1"/>
  <c r="F22" i="262"/>
  <c r="E94" i="262" s="1"/>
  <c r="AL14" i="263"/>
  <c r="F11" i="262"/>
  <c r="E83" i="262" s="1"/>
  <c r="AL27" i="263"/>
  <c r="F24" i="262"/>
  <c r="E96" i="262" s="1"/>
  <c r="AL13" i="263"/>
  <c r="F10" i="262"/>
  <c r="E82" i="262" s="1"/>
  <c r="AL16" i="263"/>
  <c r="F13" i="262"/>
  <c r="E85" i="262" s="1"/>
  <c r="AL61" i="263"/>
  <c r="F58" i="262"/>
  <c r="E130" i="262" s="1"/>
  <c r="AL30" i="263"/>
  <c r="F27" i="262"/>
  <c r="E99" i="262" s="1"/>
  <c r="AL35" i="263"/>
  <c r="F32" i="262"/>
  <c r="E104" i="262" s="1"/>
  <c r="AL42" i="263"/>
  <c r="F39" i="262"/>
  <c r="E111" i="262" s="1"/>
  <c r="AL49" i="263"/>
  <c r="F46" i="262"/>
  <c r="E118" i="262" s="1"/>
  <c r="AL54" i="263"/>
  <c r="F51" i="262"/>
  <c r="E123" i="262" s="1"/>
  <c r="AL71" i="263"/>
  <c r="F68" i="262"/>
  <c r="E140" i="262" s="1"/>
  <c r="AL46" i="263"/>
  <c r="F43" i="262"/>
  <c r="E115" i="262" s="1"/>
  <c r="AL34" i="263"/>
  <c r="F31" i="262"/>
  <c r="E103" i="262" s="1"/>
  <c r="AL41" i="263"/>
  <c r="F38" i="262"/>
  <c r="E110" i="262" s="1"/>
  <c r="F66" i="263"/>
  <c r="AL62" i="263"/>
  <c r="F59" i="262"/>
  <c r="E131" i="262" s="1"/>
  <c r="D66" i="263"/>
  <c r="AL69" i="263"/>
  <c r="F66" i="262"/>
  <c r="E138" i="262" s="1"/>
  <c r="AL72" i="263"/>
  <c r="F69" i="262"/>
  <c r="E141" i="262" s="1"/>
  <c r="AL75" i="263"/>
  <c r="F72" i="262"/>
  <c r="E144" i="262" s="1"/>
  <c r="AL36" i="263"/>
  <c r="F33" i="262"/>
  <c r="E105" i="262" s="1"/>
  <c r="AL43" i="263"/>
  <c r="F40" i="262"/>
  <c r="E112" i="262" s="1"/>
  <c r="AL55" i="263"/>
  <c r="F52" i="262"/>
  <c r="E124" i="262" s="1"/>
  <c r="AL66" i="263"/>
  <c r="F63" i="262"/>
  <c r="E135" i="262" s="1"/>
  <c r="AL32" i="263"/>
  <c r="F29" i="262"/>
  <c r="E101" i="262" s="1"/>
  <c r="AL51" i="263"/>
  <c r="F48" i="262"/>
  <c r="E120" i="262" s="1"/>
  <c r="AL53" i="263"/>
  <c r="F50" i="262"/>
  <c r="E122" i="262" s="1"/>
  <c r="AL29" i="263"/>
  <c r="F26" i="262"/>
  <c r="E98" i="262" s="1"/>
  <c r="AL48" i="263"/>
  <c r="F45" i="262"/>
  <c r="E117" i="262" s="1"/>
  <c r="AL17" i="263"/>
  <c r="F14" i="262"/>
  <c r="E86" i="262" s="1"/>
  <c r="AL22" i="263"/>
  <c r="F19" i="262"/>
  <c r="E91" i="262" s="1"/>
  <c r="AL12" i="263"/>
  <c r="F9" i="262"/>
  <c r="E81" i="262" s="1"/>
  <c r="AL15" i="263"/>
  <c r="F12" i="262"/>
  <c r="E84" i="262" s="1"/>
  <c r="AL24" i="263"/>
  <c r="F21" i="262"/>
  <c r="E93" i="262" s="1"/>
  <c r="AL31" i="263"/>
  <c r="F28" i="262"/>
  <c r="E100" i="262" s="1"/>
  <c r="AL50" i="263"/>
  <c r="F47" i="262"/>
  <c r="E119" i="262" s="1"/>
  <c r="AL37" i="263"/>
  <c r="F34" i="262"/>
  <c r="E106" i="262" s="1"/>
  <c r="AL65" i="263"/>
  <c r="F62" i="262"/>
  <c r="E134" i="262" s="1"/>
  <c r="AL39" i="263"/>
  <c r="F36" i="262"/>
  <c r="E108" i="262" s="1"/>
  <c r="AL45" i="263"/>
  <c r="F42" i="262"/>
  <c r="E114" i="262" s="1"/>
  <c r="AL57" i="263"/>
  <c r="F54" i="262"/>
  <c r="E126" i="262" s="1"/>
  <c r="AL64" i="263"/>
  <c r="F61" i="262"/>
  <c r="E133" i="262" s="1"/>
  <c r="AL23" i="263"/>
  <c r="F20" i="262"/>
  <c r="E92" i="262" s="1"/>
  <c r="AL18" i="263"/>
  <c r="F15" i="262"/>
  <c r="E87" i="262" s="1"/>
  <c r="AL63" i="263"/>
  <c r="F60" i="262"/>
  <c r="E132" i="262" s="1"/>
  <c r="AL74" i="263"/>
  <c r="F71" i="262"/>
  <c r="E143" i="262" s="1"/>
  <c r="AL58" i="263"/>
  <c r="F55" i="262"/>
  <c r="E127" i="262" s="1"/>
  <c r="AL33" i="263"/>
  <c r="F30" i="262"/>
  <c r="E102" i="262" s="1"/>
  <c r="AL38" i="263"/>
  <c r="F35" i="262"/>
  <c r="E107" i="262" s="1"/>
  <c r="J94" i="269"/>
  <c r="M92" i="269"/>
  <c r="O92" i="269" s="1"/>
  <c r="AL44" i="263"/>
  <c r="F41" i="262"/>
  <c r="E113" i="262" s="1"/>
  <c r="AL60" i="263"/>
  <c r="F57" i="262"/>
  <c r="E129" i="262" s="1"/>
  <c r="AL19" i="263"/>
  <c r="F16" i="262"/>
  <c r="E88" i="262" s="1"/>
  <c r="AL26" i="263"/>
  <c r="F23" i="262"/>
  <c r="E95" i="262" s="1"/>
  <c r="AL52" i="263"/>
  <c r="F49" i="262"/>
  <c r="E121" i="262" s="1"/>
  <c r="AL59" i="263"/>
  <c r="F56" i="262"/>
  <c r="E128" i="262" s="1"/>
  <c r="AL70" i="263"/>
  <c r="F67" i="262"/>
  <c r="E139" i="262" s="1"/>
  <c r="AL73" i="263"/>
  <c r="F70" i="262"/>
  <c r="E142" i="262" s="1"/>
  <c r="AL76" i="263"/>
  <c r="F73" i="262"/>
  <c r="E145" i="262" s="1"/>
  <c r="AL56" i="263"/>
  <c r="F53" i="262"/>
  <c r="E125" i="262" s="1"/>
  <c r="AL68" i="263"/>
  <c r="F65" i="262"/>
  <c r="E137" i="262" s="1"/>
  <c r="AL20" i="263"/>
  <c r="F17" i="262"/>
  <c r="E89" i="262" s="1"/>
  <c r="D80" i="263"/>
  <c r="AL21" i="263"/>
  <c r="F18" i="262"/>
  <c r="E90" i="262" s="1"/>
  <c r="AL28" i="263"/>
  <c r="F25" i="262"/>
  <c r="E97" i="262" s="1"/>
  <c r="AL40" i="263"/>
  <c r="F37" i="262"/>
  <c r="E109" i="262" s="1"/>
  <c r="AL47" i="263"/>
  <c r="F44" i="262"/>
  <c r="E116" i="262" s="1"/>
  <c r="AL67" i="263"/>
  <c r="F64" i="262"/>
  <c r="E136" i="262" s="1"/>
  <c r="J99" i="273"/>
  <c r="M97" i="273"/>
  <c r="O97" i="273" s="1"/>
  <c r="J96" i="272"/>
  <c r="M94" i="272"/>
  <c r="O94" i="272" s="1"/>
  <c r="J95" i="270"/>
  <c r="M93" i="270"/>
  <c r="O93" i="270" s="1"/>
  <c r="AE17" i="267"/>
  <c r="J18" i="267"/>
  <c r="M16" i="267"/>
  <c r="O16" i="267" s="1"/>
  <c r="M18" i="266"/>
  <c r="O18" i="266" s="1"/>
  <c r="J20" i="266"/>
  <c r="AE19" i="266"/>
  <c r="U72" i="262"/>
  <c r="AM57" i="262"/>
  <c r="U64" i="262"/>
  <c r="AM49" i="262"/>
  <c r="U56" i="262"/>
  <c r="AM41" i="262"/>
  <c r="U48" i="262"/>
  <c r="AM33" i="262"/>
  <c r="U40" i="262"/>
  <c r="AM25" i="262"/>
  <c r="U36" i="262"/>
  <c r="AM21" i="262"/>
  <c r="U28" i="262"/>
  <c r="AM13" i="262"/>
  <c r="U24" i="262"/>
  <c r="AM9" i="262"/>
  <c r="U73" i="262"/>
  <c r="AM58" i="262"/>
  <c r="U65" i="262"/>
  <c r="AM50" i="262"/>
  <c r="U57" i="262"/>
  <c r="AM42" i="262"/>
  <c r="U53" i="262"/>
  <c r="AM38" i="262"/>
  <c r="U45" i="262"/>
  <c r="AM30" i="262"/>
  <c r="U41" i="262"/>
  <c r="AM26" i="262"/>
  <c r="U37" i="262"/>
  <c r="AM22" i="262"/>
  <c r="U33" i="262"/>
  <c r="AM18" i="262"/>
  <c r="U29" i="262"/>
  <c r="AM14" i="262"/>
  <c r="U25" i="262"/>
  <c r="AM10" i="262"/>
  <c r="U70" i="262"/>
  <c r="AM55" i="262"/>
  <c r="U66" i="262"/>
  <c r="AM51" i="262"/>
  <c r="U62" i="262"/>
  <c r="AM47" i="262"/>
  <c r="U58" i="262"/>
  <c r="AM43" i="262"/>
  <c r="U54" i="262"/>
  <c r="AM39" i="262"/>
  <c r="U50" i="262"/>
  <c r="AM35" i="262"/>
  <c r="U46" i="262"/>
  <c r="AM31" i="262"/>
  <c r="U42" i="262"/>
  <c r="AM27" i="262"/>
  <c r="U38" i="262"/>
  <c r="AM23" i="262"/>
  <c r="U34" i="262"/>
  <c r="AM19" i="262"/>
  <c r="U30" i="262"/>
  <c r="AM15" i="262"/>
  <c r="U26" i="262"/>
  <c r="AM11" i="262"/>
  <c r="U22" i="262"/>
  <c r="AM7" i="262"/>
  <c r="U68" i="262"/>
  <c r="AM53" i="262"/>
  <c r="U60" i="262"/>
  <c r="AM45" i="262"/>
  <c r="U52" i="262"/>
  <c r="AM37" i="262"/>
  <c r="U44" i="262"/>
  <c r="AM29" i="262"/>
  <c r="U32" i="262"/>
  <c r="AM17" i="262"/>
  <c r="U69" i="262"/>
  <c r="AM54" i="262"/>
  <c r="U61" i="262"/>
  <c r="AM46" i="262"/>
  <c r="U49" i="262"/>
  <c r="AM34" i="262"/>
  <c r="U71" i="262"/>
  <c r="AM56" i="262"/>
  <c r="U67" i="262"/>
  <c r="AM52" i="262"/>
  <c r="U63" i="262"/>
  <c r="AM48" i="262"/>
  <c r="U59" i="262"/>
  <c r="AM44" i="262"/>
  <c r="U55" i="262"/>
  <c r="AM40" i="262"/>
  <c r="U51" i="262"/>
  <c r="AM36" i="262"/>
  <c r="U47" i="262"/>
  <c r="AM32" i="262"/>
  <c r="U43" i="262"/>
  <c r="AM28" i="262"/>
  <c r="U39" i="262"/>
  <c r="AM24" i="262"/>
  <c r="U35" i="262"/>
  <c r="AM20" i="262"/>
  <c r="U31" i="262"/>
  <c r="AM16" i="262"/>
  <c r="U27" i="262"/>
  <c r="AM12" i="262"/>
  <c r="U23" i="262"/>
  <c r="AM8" i="262"/>
  <c r="J15" i="265"/>
  <c r="AE14" i="265"/>
  <c r="M13" i="265"/>
  <c r="O13" i="265" s="1"/>
  <c r="J16" i="264"/>
  <c r="AE15" i="264"/>
  <c r="M14" i="264"/>
  <c r="O14" i="264" s="1"/>
  <c r="S26" i="263"/>
  <c r="T26" i="263" s="1"/>
  <c r="S58" i="263"/>
  <c r="T58" i="263" s="1"/>
  <c r="S54" i="263"/>
  <c r="T54" i="263" s="1"/>
  <c r="S62" i="263"/>
  <c r="T62" i="263" s="1"/>
  <c r="S18" i="263"/>
  <c r="T18" i="263" s="1"/>
  <c r="S34" i="263"/>
  <c r="T34" i="263" s="1"/>
  <c r="S70" i="263"/>
  <c r="T70" i="263" s="1"/>
  <c r="S42" i="263"/>
  <c r="T42" i="263" s="1"/>
  <c r="S22" i="263"/>
  <c r="T22" i="263" s="1"/>
  <c r="S30" i="263"/>
  <c r="T30" i="263" s="1"/>
  <c r="S31" i="263"/>
  <c r="T31" i="263" s="1"/>
  <c r="S50" i="263"/>
  <c r="T50" i="263" s="1"/>
  <c r="S12" i="263"/>
  <c r="T12" i="263" s="1"/>
  <c r="S14" i="263"/>
  <c r="T14" i="263" s="1"/>
  <c r="S38" i="263"/>
  <c r="T38" i="263" s="1"/>
  <c r="S46" i="263"/>
  <c r="T46" i="263" s="1"/>
  <c r="S66" i="263"/>
  <c r="T66" i="263" s="1"/>
  <c r="K4" i="263"/>
  <c r="J11" i="263"/>
  <c r="M9" i="263"/>
  <c r="O9" i="263" s="1"/>
  <c r="H9" i="263"/>
  <c r="E94" i="263"/>
  <c r="S21" i="263"/>
  <c r="T21" i="263" s="1"/>
  <c r="S25" i="263"/>
  <c r="T25" i="263" s="1"/>
  <c r="S29" i="263"/>
  <c r="T29" i="263" s="1"/>
  <c r="S33" i="263"/>
  <c r="T33" i="263" s="1"/>
  <c r="S37" i="263"/>
  <c r="T37" i="263" s="1"/>
  <c r="S41" i="263"/>
  <c r="T41" i="263" s="1"/>
  <c r="S45" i="263"/>
  <c r="T45" i="263" s="1"/>
  <c r="S49" i="263"/>
  <c r="T49" i="263" s="1"/>
  <c r="S53" i="263"/>
  <c r="T53" i="263" s="1"/>
  <c r="S57" i="263"/>
  <c r="T57" i="263" s="1"/>
  <c r="S61" i="263"/>
  <c r="T61" i="263" s="1"/>
  <c r="S69" i="263"/>
  <c r="T69" i="263" s="1"/>
  <c r="E81" i="263"/>
  <c r="D94" i="263"/>
  <c r="S13" i="263"/>
  <c r="T13" i="263" s="1"/>
  <c r="S16" i="263"/>
  <c r="T16" i="263" s="1"/>
  <c r="S20" i="263"/>
  <c r="T20" i="263" s="1"/>
  <c r="S24" i="263"/>
  <c r="T24" i="263" s="1"/>
  <c r="S28" i="263"/>
  <c r="T28" i="263" s="1"/>
  <c r="S32" i="263"/>
  <c r="T32" i="263" s="1"/>
  <c r="S36" i="263"/>
  <c r="T36" i="263" s="1"/>
  <c r="S40" i="263"/>
  <c r="T40" i="263" s="1"/>
  <c r="S44" i="263"/>
  <c r="T44" i="263" s="1"/>
  <c r="S48" i="263"/>
  <c r="T48" i="263" s="1"/>
  <c r="S52" i="263"/>
  <c r="T52" i="263" s="1"/>
  <c r="S56" i="263"/>
  <c r="T56" i="263" s="1"/>
  <c r="S60" i="263"/>
  <c r="T60" i="263" s="1"/>
  <c r="S64" i="263"/>
  <c r="T64" i="263" s="1"/>
  <c r="F65" i="263"/>
  <c r="G65" i="263" s="1"/>
  <c r="H65" i="263" s="1"/>
  <c r="G66" i="263"/>
  <c r="H66" i="263" s="1"/>
  <c r="S68" i="263"/>
  <c r="T68" i="263" s="1"/>
  <c r="D81" i="263"/>
  <c r="E93" i="263"/>
  <c r="S17" i="263"/>
  <c r="T17" i="263" s="1"/>
  <c r="S15" i="263"/>
  <c r="T15" i="263" s="1"/>
  <c r="S19" i="263"/>
  <c r="T19" i="263" s="1"/>
  <c r="S23" i="263"/>
  <c r="T23" i="263" s="1"/>
  <c r="S27" i="263"/>
  <c r="T27" i="263" s="1"/>
  <c r="S35" i="263"/>
  <c r="T35" i="263" s="1"/>
  <c r="S39" i="263"/>
  <c r="T39" i="263" s="1"/>
  <c r="S43" i="263"/>
  <c r="T43" i="263" s="1"/>
  <c r="S47" i="263"/>
  <c r="T47" i="263" s="1"/>
  <c r="S51" i="263"/>
  <c r="T51" i="263" s="1"/>
  <c r="S55" i="263"/>
  <c r="T55" i="263" s="1"/>
  <c r="S59" i="263"/>
  <c r="T59" i="263" s="1"/>
  <c r="S63" i="263"/>
  <c r="T63" i="263" s="1"/>
  <c r="S65" i="263"/>
  <c r="T65" i="263" s="1"/>
  <c r="S67" i="263"/>
  <c r="T67" i="263" s="1"/>
  <c r="D93" i="261" a="1"/>
  <c r="D94" i="261" s="1"/>
  <c r="D80" i="261" a="1"/>
  <c r="D81" i="261" s="1"/>
  <c r="C65" i="261"/>
  <c r="C10" i="261"/>
  <c r="C11" i="261"/>
  <c r="C12" i="261"/>
  <c r="C13" i="261"/>
  <c r="C14" i="261"/>
  <c r="C9" i="261"/>
  <c r="D14" i="261"/>
  <c r="F14" i="261" s="1"/>
  <c r="M93" i="269" l="1"/>
  <c r="O93" i="269" s="1"/>
  <c r="J95" i="269"/>
  <c r="J100" i="273"/>
  <c r="M98" i="273"/>
  <c r="O98" i="273" s="1"/>
  <c r="J97" i="272"/>
  <c r="M95" i="272"/>
  <c r="O95" i="272" s="1"/>
  <c r="J96" i="270"/>
  <c r="M94" i="270"/>
  <c r="O94" i="270" s="1"/>
  <c r="J19" i="267"/>
  <c r="M17" i="267"/>
  <c r="O17" i="267" s="1"/>
  <c r="AE18" i="267"/>
  <c r="AE20" i="266"/>
  <c r="J21" i="266"/>
  <c r="M19" i="266"/>
  <c r="O19" i="266" s="1"/>
  <c r="M14" i="265"/>
  <c r="O14" i="265" s="1"/>
  <c r="J16" i="265"/>
  <c r="AE15" i="265"/>
  <c r="J17" i="264"/>
  <c r="AE16" i="264"/>
  <c r="M15" i="264"/>
  <c r="O15" i="264" s="1"/>
  <c r="M10" i="263"/>
  <c r="O10" i="263" s="1"/>
  <c r="J12" i="263"/>
  <c r="J4" i="263"/>
  <c r="E94" i="261"/>
  <c r="D93" i="261"/>
  <c r="E93" i="261"/>
  <c r="E81" i="261"/>
  <c r="D80" i="261"/>
  <c r="E80" i="261"/>
  <c r="C66" i="261"/>
  <c r="J96" i="269" l="1"/>
  <c r="M94" i="269"/>
  <c r="O94" i="269" s="1"/>
  <c r="J101" i="273"/>
  <c r="M99" i="273"/>
  <c r="O99" i="273" s="1"/>
  <c r="J98" i="272"/>
  <c r="M96" i="272"/>
  <c r="O96" i="272" s="1"/>
  <c r="J97" i="270"/>
  <c r="M95" i="270"/>
  <c r="O95" i="270" s="1"/>
  <c r="AE19" i="267"/>
  <c r="M18" i="267"/>
  <c r="O18" i="267" s="1"/>
  <c r="J20" i="267"/>
  <c r="J22" i="266"/>
  <c r="AE21" i="266"/>
  <c r="M20" i="266"/>
  <c r="O20" i="266" s="1"/>
  <c r="M15" i="265"/>
  <c r="O15" i="265" s="1"/>
  <c r="J17" i="265"/>
  <c r="AE16" i="265"/>
  <c r="J18" i="264"/>
  <c r="AE17" i="264"/>
  <c r="M16" i="264"/>
  <c r="O16" i="264" s="1"/>
  <c r="M11" i="263"/>
  <c r="O11" i="263" s="1"/>
  <c r="J13" i="263"/>
  <c r="AE12" i="263"/>
  <c r="D9" i="261"/>
  <c r="D13" i="261"/>
  <c r="F13" i="261" s="1"/>
  <c r="G13" i="261" s="1"/>
  <c r="H13" i="261" s="1"/>
  <c r="D12" i="261"/>
  <c r="F12" i="261" s="1"/>
  <c r="G12" i="261" s="1"/>
  <c r="H12" i="261" s="1"/>
  <c r="D11" i="261"/>
  <c r="F11" i="261" s="1"/>
  <c r="G11" i="261" s="1"/>
  <c r="J97" i="269" l="1"/>
  <c r="M95" i="269"/>
  <c r="O95" i="269" s="1"/>
  <c r="J102" i="273"/>
  <c r="M100" i="273"/>
  <c r="O100" i="273" s="1"/>
  <c r="J99" i="272"/>
  <c r="M97" i="272"/>
  <c r="O97" i="272" s="1"/>
  <c r="J98" i="270"/>
  <c r="M96" i="270"/>
  <c r="O96" i="270" s="1"/>
  <c r="J21" i="267"/>
  <c r="M19" i="267"/>
  <c r="O19" i="267" s="1"/>
  <c r="AE20" i="267"/>
  <c r="M21" i="266"/>
  <c r="O21" i="266" s="1"/>
  <c r="J23" i="266"/>
  <c r="AE22" i="266"/>
  <c r="J18" i="265"/>
  <c r="M16" i="265"/>
  <c r="O16" i="265" s="1"/>
  <c r="AE17" i="265"/>
  <c r="M17" i="264"/>
  <c r="O17" i="264" s="1"/>
  <c r="J19" i="264"/>
  <c r="AE18" i="264"/>
  <c r="J14" i="263"/>
  <c r="M12" i="263"/>
  <c r="O12" i="263" s="1"/>
  <c r="AE13" i="263"/>
  <c r="H11" i="261"/>
  <c r="D10" i="261"/>
  <c r="F10" i="261" s="1"/>
  <c r="G10" i="261" s="1"/>
  <c r="H10" i="261" s="1"/>
  <c r="M107" i="261"/>
  <c r="O107" i="261" s="1"/>
  <c r="L107" i="261"/>
  <c r="L106" i="261"/>
  <c r="L105" i="261"/>
  <c r="L104" i="261"/>
  <c r="L103" i="261"/>
  <c r="L102" i="261"/>
  <c r="L101" i="261"/>
  <c r="L100" i="261"/>
  <c r="L99" i="261"/>
  <c r="L98" i="261"/>
  <c r="L97" i="261"/>
  <c r="L96" i="261"/>
  <c r="L95" i="261"/>
  <c r="L94" i="261"/>
  <c r="L93" i="261"/>
  <c r="L92" i="261"/>
  <c r="L91" i="261"/>
  <c r="L90" i="261"/>
  <c r="L89" i="261"/>
  <c r="L88" i="261"/>
  <c r="L87" i="261"/>
  <c r="L86" i="261"/>
  <c r="L85" i="261"/>
  <c r="L84" i="261"/>
  <c r="L83" i="261"/>
  <c r="L82" i="261"/>
  <c r="L81" i="261"/>
  <c r="L80" i="261"/>
  <c r="L79" i="261"/>
  <c r="L78" i="261"/>
  <c r="L77" i="261"/>
  <c r="G74" i="262" s="1"/>
  <c r="AI76" i="261"/>
  <c r="AG76" i="261" s="1"/>
  <c r="AH76" i="261"/>
  <c r="AF76" i="261"/>
  <c r="L76" i="261"/>
  <c r="AI75" i="261"/>
  <c r="AG75" i="261" s="1"/>
  <c r="AH75" i="261"/>
  <c r="AF75" i="261"/>
  <c r="L75" i="261"/>
  <c r="AI74" i="261"/>
  <c r="AG74" i="261" s="1"/>
  <c r="AH74" i="261"/>
  <c r="AF74" i="261"/>
  <c r="L74" i="261"/>
  <c r="AI73" i="261"/>
  <c r="AH73" i="261"/>
  <c r="AG73" i="261"/>
  <c r="AF73" i="261"/>
  <c r="L73" i="261"/>
  <c r="AI72" i="261"/>
  <c r="AG72" i="261" s="1"/>
  <c r="AH72" i="261"/>
  <c r="AF72" i="261"/>
  <c r="L72" i="261"/>
  <c r="AI71" i="261"/>
  <c r="AG71" i="261" s="1"/>
  <c r="AH71" i="261"/>
  <c r="AF71" i="261"/>
  <c r="L71" i="261"/>
  <c r="AI70" i="261"/>
  <c r="AG70" i="261" s="1"/>
  <c r="AH70" i="261"/>
  <c r="AF70" i="261"/>
  <c r="L70" i="261"/>
  <c r="G67" i="262" s="1"/>
  <c r="F139" i="262" s="1"/>
  <c r="AI69" i="261"/>
  <c r="AG69" i="261" s="1"/>
  <c r="AH69" i="261"/>
  <c r="AF69" i="261"/>
  <c r="L69" i="261"/>
  <c r="G66" i="262" s="1"/>
  <c r="F138" i="262" s="1"/>
  <c r="AI68" i="261"/>
  <c r="AG68" i="261" s="1"/>
  <c r="AH68" i="261"/>
  <c r="AF68" i="261"/>
  <c r="L68" i="261"/>
  <c r="G65" i="262" s="1"/>
  <c r="F137" i="262" s="1"/>
  <c r="AI67" i="261"/>
  <c r="AG67" i="261" s="1"/>
  <c r="AH67" i="261"/>
  <c r="AF67" i="261"/>
  <c r="L67" i="261"/>
  <c r="AI66" i="261"/>
  <c r="AG66" i="261" s="1"/>
  <c r="AH66" i="261"/>
  <c r="AF66" i="261"/>
  <c r="L66" i="261"/>
  <c r="G63" i="262" s="1"/>
  <c r="F135" i="262" s="1"/>
  <c r="AI65" i="261"/>
  <c r="AG65" i="261" s="1"/>
  <c r="AH65" i="261"/>
  <c r="AF65" i="261"/>
  <c r="L65" i="261"/>
  <c r="B65" i="261"/>
  <c r="AI64" i="261"/>
  <c r="AG64" i="261" s="1"/>
  <c r="AH64" i="261"/>
  <c r="AF64" i="261"/>
  <c r="L64" i="261"/>
  <c r="H64" i="261"/>
  <c r="G64" i="261"/>
  <c r="F64" i="261"/>
  <c r="D64" i="261"/>
  <c r="AI63" i="261"/>
  <c r="AH63" i="261"/>
  <c r="AG63" i="261"/>
  <c r="AF63" i="261"/>
  <c r="L63" i="261"/>
  <c r="H63" i="261"/>
  <c r="G63" i="261"/>
  <c r="F63" i="261"/>
  <c r="D63" i="261"/>
  <c r="AI62" i="261"/>
  <c r="AG62" i="261" s="1"/>
  <c r="AH62" i="261"/>
  <c r="AF62" i="261"/>
  <c r="L62" i="261"/>
  <c r="H62" i="261"/>
  <c r="G62" i="261"/>
  <c r="F62" i="261"/>
  <c r="D62" i="261"/>
  <c r="AI61" i="261"/>
  <c r="AG61" i="261" s="1"/>
  <c r="AH61" i="261"/>
  <c r="AF61" i="261"/>
  <c r="L61" i="261"/>
  <c r="H61" i="261"/>
  <c r="G61" i="261"/>
  <c r="F61" i="261"/>
  <c r="D61" i="261"/>
  <c r="AI60" i="261"/>
  <c r="AH60" i="261"/>
  <c r="AG60" i="261"/>
  <c r="AF60" i="261"/>
  <c r="L60" i="261"/>
  <c r="H60" i="261"/>
  <c r="G60" i="261"/>
  <c r="F60" i="261"/>
  <c r="D60" i="261"/>
  <c r="AI59" i="261"/>
  <c r="AH59" i="261"/>
  <c r="AG59" i="261"/>
  <c r="AF59" i="261"/>
  <c r="L59" i="261"/>
  <c r="H59" i="261"/>
  <c r="G59" i="261"/>
  <c r="F59" i="261"/>
  <c r="D59" i="261"/>
  <c r="AI58" i="261"/>
  <c r="AG58" i="261" s="1"/>
  <c r="AH58" i="261"/>
  <c r="AF58" i="261"/>
  <c r="L58" i="261"/>
  <c r="H58" i="261"/>
  <c r="G58" i="261"/>
  <c r="F58" i="261"/>
  <c r="D58" i="261"/>
  <c r="AI57" i="261"/>
  <c r="AG57" i="261" s="1"/>
  <c r="AH57" i="261"/>
  <c r="AF57" i="261"/>
  <c r="L57" i="261"/>
  <c r="H57" i="261"/>
  <c r="G57" i="261"/>
  <c r="F57" i="261"/>
  <c r="D57" i="261"/>
  <c r="AI56" i="261"/>
  <c r="AH56" i="261"/>
  <c r="AG56" i="261"/>
  <c r="AF56" i="261"/>
  <c r="L56" i="261"/>
  <c r="H56" i="261"/>
  <c r="G56" i="261"/>
  <c r="F56" i="261"/>
  <c r="D56" i="261"/>
  <c r="AI55" i="261"/>
  <c r="AG55" i="261" s="1"/>
  <c r="AH55" i="261"/>
  <c r="AF55" i="261"/>
  <c r="L55" i="261"/>
  <c r="H55" i="261"/>
  <c r="G55" i="261"/>
  <c r="F55" i="261"/>
  <c r="D55" i="261"/>
  <c r="AI54" i="261"/>
  <c r="AG54" i="261" s="1"/>
  <c r="AH54" i="261"/>
  <c r="AF54" i="261"/>
  <c r="L54" i="261"/>
  <c r="H54" i="261"/>
  <c r="G54" i="261"/>
  <c r="F54" i="261"/>
  <c r="D54" i="261"/>
  <c r="AI53" i="261"/>
  <c r="AG53" i="261" s="1"/>
  <c r="AH53" i="261"/>
  <c r="AF53" i="261"/>
  <c r="L53" i="261"/>
  <c r="H53" i="261"/>
  <c r="G53" i="261"/>
  <c r="F53" i="261"/>
  <c r="D53" i="261"/>
  <c r="AI52" i="261"/>
  <c r="AH52" i="261"/>
  <c r="AG52" i="261"/>
  <c r="AF52" i="261"/>
  <c r="L52" i="261"/>
  <c r="H52" i="261"/>
  <c r="G52" i="261"/>
  <c r="F52" i="261"/>
  <c r="D52" i="261"/>
  <c r="AI51" i="261"/>
  <c r="AG51" i="261" s="1"/>
  <c r="AH51" i="261"/>
  <c r="AF51" i="261"/>
  <c r="L51" i="261"/>
  <c r="H51" i="261"/>
  <c r="G51" i="261"/>
  <c r="F51" i="261"/>
  <c r="D51" i="261"/>
  <c r="AI50" i="261"/>
  <c r="AG50" i="261" s="1"/>
  <c r="AH50" i="261"/>
  <c r="AF50" i="261"/>
  <c r="L50" i="261"/>
  <c r="H50" i="261"/>
  <c r="G50" i="261"/>
  <c r="F50" i="261"/>
  <c r="D50" i="261"/>
  <c r="AI49" i="261"/>
  <c r="AG49" i="261" s="1"/>
  <c r="AH49" i="261"/>
  <c r="AF49" i="261"/>
  <c r="L49" i="261"/>
  <c r="H49" i="261"/>
  <c r="G49" i="261"/>
  <c r="F49" i="261"/>
  <c r="D49" i="261"/>
  <c r="AI48" i="261"/>
  <c r="AH48" i="261"/>
  <c r="AG48" i="261"/>
  <c r="AF48" i="261"/>
  <c r="L48" i="261"/>
  <c r="H48" i="261"/>
  <c r="G48" i="261"/>
  <c r="F48" i="261"/>
  <c r="D48" i="261"/>
  <c r="AI47" i="261"/>
  <c r="AG47" i="261" s="1"/>
  <c r="AH47" i="261"/>
  <c r="AF47" i="261"/>
  <c r="L47" i="261"/>
  <c r="H47" i="261"/>
  <c r="G47" i="261"/>
  <c r="F47" i="261"/>
  <c r="D47" i="261"/>
  <c r="AI46" i="261"/>
  <c r="AG46" i="261" s="1"/>
  <c r="AH46" i="261"/>
  <c r="AF46" i="261"/>
  <c r="L46" i="261"/>
  <c r="H46" i="261"/>
  <c r="G46" i="261"/>
  <c r="F46" i="261"/>
  <c r="D46" i="261"/>
  <c r="AI45" i="261"/>
  <c r="AG45" i="261" s="1"/>
  <c r="AH45" i="261"/>
  <c r="AF45" i="261"/>
  <c r="L45" i="261"/>
  <c r="H45" i="261"/>
  <c r="G45" i="261"/>
  <c r="F45" i="261"/>
  <c r="D45" i="261"/>
  <c r="AI44" i="261"/>
  <c r="AH44" i="261"/>
  <c r="AG44" i="261"/>
  <c r="AF44" i="261"/>
  <c r="L44" i="261"/>
  <c r="H44" i="261"/>
  <c r="G44" i="261"/>
  <c r="F44" i="261"/>
  <c r="D44" i="261"/>
  <c r="AI43" i="261"/>
  <c r="AH43" i="261"/>
  <c r="AG43" i="261"/>
  <c r="AF43" i="261"/>
  <c r="L43" i="261"/>
  <c r="H43" i="261"/>
  <c r="G43" i="261"/>
  <c r="F43" i="261"/>
  <c r="D43" i="261"/>
  <c r="AI42" i="261"/>
  <c r="AG42" i="261" s="1"/>
  <c r="AH42" i="261"/>
  <c r="AF42" i="261"/>
  <c r="L42" i="261"/>
  <c r="H42" i="261"/>
  <c r="G42" i="261"/>
  <c r="F42" i="261"/>
  <c r="D42" i="261"/>
  <c r="AI41" i="261"/>
  <c r="AG41" i="261" s="1"/>
  <c r="AH41" i="261"/>
  <c r="AF41" i="261"/>
  <c r="L41" i="261"/>
  <c r="H41" i="261"/>
  <c r="G41" i="261"/>
  <c r="F41" i="261"/>
  <c r="D41" i="261"/>
  <c r="AI40" i="261"/>
  <c r="AH40" i="261"/>
  <c r="AG40" i="261"/>
  <c r="AF40" i="261"/>
  <c r="L40" i="261"/>
  <c r="H40" i="261"/>
  <c r="G40" i="261"/>
  <c r="F40" i="261"/>
  <c r="D40" i="261"/>
  <c r="AI39" i="261"/>
  <c r="AH39" i="261"/>
  <c r="AG39" i="261"/>
  <c r="AF39" i="261"/>
  <c r="L39" i="261"/>
  <c r="H39" i="261"/>
  <c r="G39" i="261"/>
  <c r="F39" i="261"/>
  <c r="D39" i="261"/>
  <c r="AI38" i="261"/>
  <c r="AG38" i="261" s="1"/>
  <c r="AH38" i="261"/>
  <c r="AF38" i="261"/>
  <c r="L38" i="261"/>
  <c r="H38" i="261"/>
  <c r="G38" i="261"/>
  <c r="F38" i="261"/>
  <c r="D38" i="261"/>
  <c r="AI37" i="261"/>
  <c r="AG37" i="261" s="1"/>
  <c r="AH37" i="261"/>
  <c r="AF37" i="261"/>
  <c r="L37" i="261"/>
  <c r="H37" i="261"/>
  <c r="G37" i="261"/>
  <c r="F37" i="261"/>
  <c r="D37" i="261"/>
  <c r="AI36" i="261"/>
  <c r="AG36" i="261" s="1"/>
  <c r="AH36" i="261"/>
  <c r="AF36" i="261"/>
  <c r="L36" i="261"/>
  <c r="H36" i="261"/>
  <c r="G36" i="261"/>
  <c r="F36" i="261"/>
  <c r="D36" i="261"/>
  <c r="AI35" i="261"/>
  <c r="AH35" i="261"/>
  <c r="AG35" i="261"/>
  <c r="AF35" i="261"/>
  <c r="L35" i="261"/>
  <c r="H35" i="261"/>
  <c r="G35" i="261"/>
  <c r="F35" i="261"/>
  <c r="D35" i="261"/>
  <c r="AI34" i="261"/>
  <c r="AG34" i="261" s="1"/>
  <c r="AH34" i="261"/>
  <c r="AF34" i="261"/>
  <c r="L34" i="261"/>
  <c r="H34" i="261"/>
  <c r="G34" i="261"/>
  <c r="F34" i="261"/>
  <c r="D34" i="261"/>
  <c r="AI33" i="261"/>
  <c r="AG33" i="261" s="1"/>
  <c r="AH33" i="261"/>
  <c r="AF33" i="261"/>
  <c r="L33" i="261"/>
  <c r="H33" i="261"/>
  <c r="G33" i="261"/>
  <c r="F33" i="261"/>
  <c r="D33" i="261"/>
  <c r="AI32" i="261"/>
  <c r="AG32" i="261" s="1"/>
  <c r="AH32" i="261"/>
  <c r="AF32" i="261"/>
  <c r="L32" i="261"/>
  <c r="H32" i="261"/>
  <c r="G32" i="261"/>
  <c r="F32" i="261"/>
  <c r="D32" i="261"/>
  <c r="AI31" i="261"/>
  <c r="AH31" i="261"/>
  <c r="AG31" i="261"/>
  <c r="AF31" i="261"/>
  <c r="L31" i="261"/>
  <c r="H31" i="261"/>
  <c r="G31" i="261"/>
  <c r="F31" i="261"/>
  <c r="D31" i="261"/>
  <c r="AI30" i="261"/>
  <c r="AG30" i="261" s="1"/>
  <c r="AH30" i="261"/>
  <c r="AF30" i="261"/>
  <c r="L30" i="261"/>
  <c r="H30" i="261"/>
  <c r="G30" i="261"/>
  <c r="F30" i="261"/>
  <c r="D30" i="261"/>
  <c r="AI29" i="261"/>
  <c r="AG29" i="261" s="1"/>
  <c r="AH29" i="261"/>
  <c r="AF29" i="261"/>
  <c r="L29" i="261"/>
  <c r="H29" i="261"/>
  <c r="G29" i="261"/>
  <c r="F29" i="261"/>
  <c r="D29" i="261"/>
  <c r="AI28" i="261"/>
  <c r="AH28" i="261"/>
  <c r="AG28" i="261"/>
  <c r="AF28" i="261"/>
  <c r="L28" i="261"/>
  <c r="H28" i="261"/>
  <c r="G28" i="261"/>
  <c r="F28" i="261"/>
  <c r="D28" i="261"/>
  <c r="AI27" i="261"/>
  <c r="AH27" i="261"/>
  <c r="AG27" i="261"/>
  <c r="AF27" i="261"/>
  <c r="L27" i="261"/>
  <c r="H27" i="261"/>
  <c r="G27" i="261"/>
  <c r="F27" i="261"/>
  <c r="D27" i="261"/>
  <c r="AI26" i="261"/>
  <c r="AG26" i="261" s="1"/>
  <c r="AH26" i="261"/>
  <c r="AF26" i="261"/>
  <c r="L26" i="261"/>
  <c r="H26" i="261"/>
  <c r="G26" i="261"/>
  <c r="F26" i="261"/>
  <c r="D26" i="261"/>
  <c r="AI25" i="261"/>
  <c r="AG25" i="261" s="1"/>
  <c r="AH25" i="261"/>
  <c r="AF25" i="261"/>
  <c r="L25" i="261"/>
  <c r="H25" i="261"/>
  <c r="G25" i="261"/>
  <c r="F25" i="261"/>
  <c r="D25" i="261"/>
  <c r="AI24" i="261"/>
  <c r="AH24" i="261"/>
  <c r="AG24" i="261"/>
  <c r="AF24" i="261"/>
  <c r="L24" i="261"/>
  <c r="H24" i="261"/>
  <c r="G24" i="261"/>
  <c r="F24" i="261"/>
  <c r="D24" i="261"/>
  <c r="AI23" i="261"/>
  <c r="AG23" i="261" s="1"/>
  <c r="AH23" i="261"/>
  <c r="AF23" i="261"/>
  <c r="L23" i="261"/>
  <c r="H23" i="261"/>
  <c r="G23" i="261"/>
  <c r="F23" i="261"/>
  <c r="D23" i="261"/>
  <c r="AI22" i="261"/>
  <c r="AG22" i="261" s="1"/>
  <c r="AH22" i="261"/>
  <c r="AF22" i="261"/>
  <c r="L22" i="261"/>
  <c r="H22" i="261"/>
  <c r="G22" i="261"/>
  <c r="F22" i="261"/>
  <c r="D22" i="261"/>
  <c r="AI21" i="261"/>
  <c r="AG21" i="261" s="1"/>
  <c r="AH21" i="261"/>
  <c r="AF21" i="261"/>
  <c r="L21" i="261"/>
  <c r="H21" i="261"/>
  <c r="G21" i="261"/>
  <c r="F21" i="261"/>
  <c r="D21" i="261"/>
  <c r="AI20" i="261"/>
  <c r="AH20" i="261"/>
  <c r="AG20" i="261"/>
  <c r="AF20" i="261"/>
  <c r="L20" i="261"/>
  <c r="H20" i="261"/>
  <c r="G20" i="261"/>
  <c r="F20" i="261"/>
  <c r="D20" i="261"/>
  <c r="AI19" i="261"/>
  <c r="AG19" i="261" s="1"/>
  <c r="AH19" i="261"/>
  <c r="AF19" i="261"/>
  <c r="L19" i="261"/>
  <c r="H19" i="261"/>
  <c r="G19" i="261"/>
  <c r="F19" i="261"/>
  <c r="D19" i="261"/>
  <c r="AI18" i="261"/>
  <c r="AG18" i="261" s="1"/>
  <c r="AH18" i="261"/>
  <c r="AF18" i="261"/>
  <c r="L18" i="261"/>
  <c r="H18" i="261"/>
  <c r="G18" i="261"/>
  <c r="F18" i="261"/>
  <c r="D18" i="261"/>
  <c r="AI17" i="261"/>
  <c r="AG17" i="261" s="1"/>
  <c r="AH17" i="261"/>
  <c r="AF17" i="261"/>
  <c r="L17" i="261"/>
  <c r="H17" i="261"/>
  <c r="G17" i="261"/>
  <c r="F17" i="261"/>
  <c r="D17" i="261"/>
  <c r="AI16" i="261"/>
  <c r="AH16" i="261"/>
  <c r="AG16" i="261"/>
  <c r="AF16" i="261"/>
  <c r="L16" i="261"/>
  <c r="AI15" i="261"/>
  <c r="AG15" i="261" s="1"/>
  <c r="AH15" i="261"/>
  <c r="AF15" i="261"/>
  <c r="L15" i="261"/>
  <c r="AI14" i="261"/>
  <c r="AG14" i="261" s="1"/>
  <c r="AH14" i="261"/>
  <c r="AF14" i="261"/>
  <c r="L14" i="261"/>
  <c r="G14" i="261"/>
  <c r="H14" i="261" s="1"/>
  <c r="AI13" i="261"/>
  <c r="AG13" i="261" s="1"/>
  <c r="AH13" i="261"/>
  <c r="AF13" i="261"/>
  <c r="L13" i="261"/>
  <c r="AI12" i="261"/>
  <c r="AG12" i="261" s="1"/>
  <c r="AH12" i="261"/>
  <c r="AF12" i="261"/>
  <c r="L12" i="261"/>
  <c r="G9" i="262" s="1"/>
  <c r="F81" i="262" s="1"/>
  <c r="AG11" i="261"/>
  <c r="L11" i="261"/>
  <c r="G8" i="262" s="1"/>
  <c r="F80" i="262" s="1"/>
  <c r="L10" i="261"/>
  <c r="G7" i="262" s="1"/>
  <c r="F79" i="262" s="1"/>
  <c r="L9" i="261"/>
  <c r="G6" i="262" s="1"/>
  <c r="F78" i="262" s="1"/>
  <c r="I3" i="261"/>
  <c r="V8" i="256"/>
  <c r="AK44" i="261" l="1"/>
  <c r="G41" i="262"/>
  <c r="F113" i="262" s="1"/>
  <c r="AK35" i="261"/>
  <c r="G32" i="262"/>
  <c r="F104" i="262" s="1"/>
  <c r="AK40" i="261"/>
  <c r="G37" i="262"/>
  <c r="F109" i="262" s="1"/>
  <c r="AK76" i="261"/>
  <c r="G73" i="262"/>
  <c r="F145" i="262" s="1"/>
  <c r="AK25" i="261"/>
  <c r="G22" i="262"/>
  <c r="F94" i="262" s="1"/>
  <c r="AK27" i="261"/>
  <c r="G24" i="262"/>
  <c r="F96" i="262" s="1"/>
  <c r="AK42" i="261"/>
  <c r="G39" i="262"/>
  <c r="F111" i="262" s="1"/>
  <c r="AK57" i="261"/>
  <c r="G54" i="262"/>
  <c r="F126" i="262" s="1"/>
  <c r="AK59" i="261"/>
  <c r="G56" i="262"/>
  <c r="F128" i="262" s="1"/>
  <c r="AK50" i="261"/>
  <c r="G47" i="262"/>
  <c r="F119" i="262" s="1"/>
  <c r="AK39" i="261"/>
  <c r="G36" i="262"/>
  <c r="F108" i="262" s="1"/>
  <c r="AK26" i="261"/>
  <c r="G23" i="262"/>
  <c r="F95" i="262" s="1"/>
  <c r="AK41" i="261"/>
  <c r="G38" i="262"/>
  <c r="F110" i="262" s="1"/>
  <c r="AK43" i="261"/>
  <c r="G40" i="262"/>
  <c r="F112" i="262" s="1"/>
  <c r="AK58" i="261"/>
  <c r="G55" i="262"/>
  <c r="F127" i="262" s="1"/>
  <c r="AK18" i="261"/>
  <c r="G15" i="262"/>
  <c r="F87" i="262" s="1"/>
  <c r="AK24" i="261"/>
  <c r="G21" i="262"/>
  <c r="F93" i="262" s="1"/>
  <c r="AK60" i="261"/>
  <c r="G57" i="262"/>
  <c r="F129" i="262" s="1"/>
  <c r="AK67" i="261"/>
  <c r="G64" i="262"/>
  <c r="F136" i="262" s="1"/>
  <c r="AK71" i="261"/>
  <c r="G68" i="262"/>
  <c r="F140" i="262" s="1"/>
  <c r="AK14" i="261"/>
  <c r="G11" i="262"/>
  <c r="F83" i="262" s="1"/>
  <c r="AK30" i="261"/>
  <c r="G27" i="262"/>
  <c r="F99" i="262" s="1"/>
  <c r="AK45" i="261"/>
  <c r="G42" i="262"/>
  <c r="F114" i="262" s="1"/>
  <c r="AK47" i="261"/>
  <c r="G44" i="262"/>
  <c r="F116" i="262" s="1"/>
  <c r="AK62" i="261"/>
  <c r="G59" i="262"/>
  <c r="F131" i="262" s="1"/>
  <c r="AK75" i="261"/>
  <c r="G72" i="262"/>
  <c r="F144" i="262" s="1"/>
  <c r="AK32" i="261"/>
  <c r="G29" i="262"/>
  <c r="F101" i="262" s="1"/>
  <c r="AK64" i="261"/>
  <c r="G61" i="262"/>
  <c r="F133" i="262" s="1"/>
  <c r="AK73" i="261"/>
  <c r="G70" i="262"/>
  <c r="F142" i="262" s="1"/>
  <c r="AK31" i="261"/>
  <c r="G28" i="262"/>
  <c r="F100" i="262" s="1"/>
  <c r="AK61" i="261"/>
  <c r="G58" i="262"/>
  <c r="F130" i="262" s="1"/>
  <c r="AK13" i="261"/>
  <c r="G10" i="262"/>
  <c r="F82" i="262" s="1"/>
  <c r="AK54" i="261"/>
  <c r="G51" i="262"/>
  <c r="F123" i="262" s="1"/>
  <c r="AK17" i="261"/>
  <c r="G14" i="262"/>
  <c r="F86" i="262" s="1"/>
  <c r="AK19" i="261"/>
  <c r="G16" i="262"/>
  <c r="F88" i="262" s="1"/>
  <c r="AK34" i="261"/>
  <c r="G31" i="262"/>
  <c r="F103" i="262" s="1"/>
  <c r="AK49" i="261"/>
  <c r="G46" i="262"/>
  <c r="F118" i="262" s="1"/>
  <c r="AK51" i="261"/>
  <c r="G48" i="262"/>
  <c r="F120" i="262" s="1"/>
  <c r="AK65" i="261"/>
  <c r="G62" i="262"/>
  <c r="F134" i="262" s="1"/>
  <c r="AK46" i="261"/>
  <c r="G43" i="262"/>
  <c r="F115" i="262" s="1"/>
  <c r="AK16" i="261"/>
  <c r="G13" i="262"/>
  <c r="F85" i="262" s="1"/>
  <c r="AK48" i="261"/>
  <c r="G45" i="262"/>
  <c r="F117" i="262" s="1"/>
  <c r="AK20" i="261"/>
  <c r="G17" i="262"/>
  <c r="F89" i="262" s="1"/>
  <c r="AK52" i="261"/>
  <c r="G49" i="262"/>
  <c r="F121" i="262" s="1"/>
  <c r="AK22" i="261"/>
  <c r="G19" i="262"/>
  <c r="F91" i="262" s="1"/>
  <c r="AK56" i="261"/>
  <c r="G53" i="262"/>
  <c r="F125" i="262" s="1"/>
  <c r="AK36" i="261"/>
  <c r="G33" i="262"/>
  <c r="F105" i="262" s="1"/>
  <c r="AK72" i="261"/>
  <c r="G69" i="262"/>
  <c r="F141" i="262" s="1"/>
  <c r="AK29" i="261"/>
  <c r="G26" i="262"/>
  <c r="F98" i="262" s="1"/>
  <c r="AK63" i="261"/>
  <c r="G60" i="262"/>
  <c r="F132" i="262" s="1"/>
  <c r="AK33" i="261"/>
  <c r="G30" i="262"/>
  <c r="F102" i="262" s="1"/>
  <c r="AK37" i="261"/>
  <c r="G34" i="262"/>
  <c r="F106" i="262" s="1"/>
  <c r="AK74" i="261"/>
  <c r="G71" i="262"/>
  <c r="F143" i="262" s="1"/>
  <c r="AK28" i="261"/>
  <c r="G25" i="262"/>
  <c r="F97" i="262" s="1"/>
  <c r="AK15" i="261"/>
  <c r="G12" i="262"/>
  <c r="F84" i="262" s="1"/>
  <c r="AK21" i="261"/>
  <c r="G18" i="262"/>
  <c r="F90" i="262" s="1"/>
  <c r="AK23" i="261"/>
  <c r="G20" i="262"/>
  <c r="F92" i="262" s="1"/>
  <c r="AK38" i="261"/>
  <c r="G35" i="262"/>
  <c r="F107" i="262" s="1"/>
  <c r="AK53" i="261"/>
  <c r="G50" i="262"/>
  <c r="F122" i="262" s="1"/>
  <c r="AK55" i="261"/>
  <c r="G52" i="262"/>
  <c r="F124" i="262" s="1"/>
  <c r="J98" i="269"/>
  <c r="M96" i="269"/>
  <c r="O96" i="269" s="1"/>
  <c r="J103" i="273"/>
  <c r="M101" i="273"/>
  <c r="O101" i="273" s="1"/>
  <c r="J100" i="272"/>
  <c r="M98" i="272"/>
  <c r="O98" i="272" s="1"/>
  <c r="J99" i="270"/>
  <c r="M97" i="270"/>
  <c r="O97" i="270" s="1"/>
  <c r="J22" i="267"/>
  <c r="AE21" i="267"/>
  <c r="M20" i="267"/>
  <c r="O20" i="267" s="1"/>
  <c r="J24" i="266"/>
  <c r="AE23" i="266"/>
  <c r="M22" i="266"/>
  <c r="O22" i="266" s="1"/>
  <c r="AE18" i="265"/>
  <c r="J19" i="265"/>
  <c r="M17" i="265"/>
  <c r="O17" i="265" s="1"/>
  <c r="J20" i="264"/>
  <c r="AE19" i="264"/>
  <c r="M18" i="264"/>
  <c r="O18" i="264" s="1"/>
  <c r="J15" i="263"/>
  <c r="AE14" i="263"/>
  <c r="M13" i="263"/>
  <c r="O13" i="263" s="1"/>
  <c r="S70" i="261"/>
  <c r="T70" i="261" s="1"/>
  <c r="S69" i="261"/>
  <c r="T69" i="261" s="1"/>
  <c r="S66" i="261"/>
  <c r="T66" i="261" s="1"/>
  <c r="S68" i="261"/>
  <c r="T68" i="261" s="1"/>
  <c r="S12" i="261"/>
  <c r="T12" i="261" s="1"/>
  <c r="AK12" i="261"/>
  <c r="AK68" i="261"/>
  <c r="AK69" i="261"/>
  <c r="AK70" i="261"/>
  <c r="AK66" i="261"/>
  <c r="S67" i="261"/>
  <c r="T67" i="261" s="1"/>
  <c r="S53" i="261"/>
  <c r="T53" i="261" s="1"/>
  <c r="S61" i="261"/>
  <c r="T61" i="261" s="1"/>
  <c r="S21" i="261"/>
  <c r="T21" i="261" s="1"/>
  <c r="S29" i="261"/>
  <c r="T29" i="261" s="1"/>
  <c r="S37" i="261"/>
  <c r="T37" i="261" s="1"/>
  <c r="S17" i="261"/>
  <c r="T17" i="261" s="1"/>
  <c r="S33" i="261"/>
  <c r="T33" i="261" s="1"/>
  <c r="S49" i="261"/>
  <c r="T49" i="261" s="1"/>
  <c r="S41" i="261"/>
  <c r="T41" i="261" s="1"/>
  <c r="S25" i="261"/>
  <c r="T25" i="261" s="1"/>
  <c r="S45" i="261"/>
  <c r="T45" i="261" s="1"/>
  <c r="S57" i="261"/>
  <c r="T57" i="261" s="1"/>
  <c r="S19" i="261"/>
  <c r="T19" i="261" s="1"/>
  <c r="S59" i="261"/>
  <c r="T59" i="261" s="1"/>
  <c r="S27" i="261"/>
  <c r="T27" i="261" s="1"/>
  <c r="S35" i="261"/>
  <c r="T35" i="261" s="1"/>
  <c r="S43" i="261"/>
  <c r="T43" i="261" s="1"/>
  <c r="S51" i="261"/>
  <c r="T51" i="261" s="1"/>
  <c r="S13" i="261"/>
  <c r="T13" i="261" s="1"/>
  <c r="S15" i="261"/>
  <c r="T15" i="261" s="1"/>
  <c r="S23" i="261"/>
  <c r="T23" i="261" s="1"/>
  <c r="S31" i="261"/>
  <c r="T31" i="261" s="1"/>
  <c r="S39" i="261"/>
  <c r="T39" i="261" s="1"/>
  <c r="S47" i="261"/>
  <c r="T47" i="261" s="1"/>
  <c r="S55" i="261"/>
  <c r="T55" i="261" s="1"/>
  <c r="S63" i="261"/>
  <c r="T63" i="261" s="1"/>
  <c r="S24" i="261"/>
  <c r="T24" i="261" s="1"/>
  <c r="S28" i="261"/>
  <c r="T28" i="261" s="1"/>
  <c r="S32" i="261"/>
  <c r="T32" i="261" s="1"/>
  <c r="S36" i="261"/>
  <c r="T36" i="261" s="1"/>
  <c r="S40" i="261"/>
  <c r="T40" i="261" s="1"/>
  <c r="S44" i="261"/>
  <c r="T44" i="261" s="1"/>
  <c r="S48" i="261"/>
  <c r="T48" i="261" s="1"/>
  <c r="S52" i="261"/>
  <c r="T52" i="261" s="1"/>
  <c r="S56" i="261"/>
  <c r="T56" i="261" s="1"/>
  <c r="S60" i="261"/>
  <c r="T60" i="261" s="1"/>
  <c r="S64" i="261"/>
  <c r="T64" i="261" s="1"/>
  <c r="S16" i="261"/>
  <c r="T16" i="261" s="1"/>
  <c r="S20" i="261"/>
  <c r="T20" i="261" s="1"/>
  <c r="S14" i="261"/>
  <c r="T14" i="261" s="1"/>
  <c r="S18" i="261"/>
  <c r="T18" i="261" s="1"/>
  <c r="S22" i="261"/>
  <c r="T22" i="261" s="1"/>
  <c r="S26" i="261"/>
  <c r="T26" i="261" s="1"/>
  <c r="S30" i="261"/>
  <c r="T30" i="261" s="1"/>
  <c r="S34" i="261"/>
  <c r="T34" i="261" s="1"/>
  <c r="S38" i="261"/>
  <c r="T38" i="261" s="1"/>
  <c r="S42" i="261"/>
  <c r="T42" i="261" s="1"/>
  <c r="S46" i="261"/>
  <c r="T46" i="261" s="1"/>
  <c r="S50" i="261"/>
  <c r="T50" i="261" s="1"/>
  <c r="S54" i="261"/>
  <c r="T54" i="261" s="1"/>
  <c r="S58" i="261"/>
  <c r="T58" i="261" s="1"/>
  <c r="S62" i="261"/>
  <c r="T62" i="261" s="1"/>
  <c r="B66" i="261"/>
  <c r="J9" i="261"/>
  <c r="J10" i="261" s="1"/>
  <c r="F9" i="261"/>
  <c r="G9" i="261" s="1"/>
  <c r="D65" i="261"/>
  <c r="F65" i="261" s="1"/>
  <c r="G65" i="261" s="1"/>
  <c r="H65" i="261" s="1"/>
  <c r="S65" i="261"/>
  <c r="T65" i="261" s="1"/>
  <c r="W8" i="256"/>
  <c r="X8" i="256" s="1"/>
  <c r="U6" i="258"/>
  <c r="X20" i="258" a="1"/>
  <c r="X21" i="258" s="1"/>
  <c r="F14" i="258"/>
  <c r="G14" i="258" s="1"/>
  <c r="H14" i="258" s="1"/>
  <c r="D20" i="258"/>
  <c r="X36" i="256" a="1"/>
  <c r="X37" i="256" s="1"/>
  <c r="F15" i="256"/>
  <c r="G15" i="256" s="1"/>
  <c r="H15" i="256" s="1"/>
  <c r="F16" i="256"/>
  <c r="G16" i="256" s="1"/>
  <c r="H16" i="256" s="1"/>
  <c r="Y29" i="253" a="1"/>
  <c r="Y30" i="253" s="1"/>
  <c r="Z30" i="253"/>
  <c r="V10" i="253" a="1"/>
  <c r="V11" i="253" s="1"/>
  <c r="F17" i="253"/>
  <c r="G17" i="253" s="1"/>
  <c r="H17" i="253" s="1"/>
  <c r="F14" i="253"/>
  <c r="G14" i="253" s="1"/>
  <c r="H14" i="253" s="1"/>
  <c r="AK36" i="273" l="1"/>
  <c r="AK36" i="272"/>
  <c r="AK36" i="269"/>
  <c r="AK36" i="270"/>
  <c r="AK36" i="267"/>
  <c r="AK36" i="266"/>
  <c r="AK36" i="265"/>
  <c r="AK36" i="264"/>
  <c r="AK36" i="263"/>
  <c r="AK27" i="273"/>
  <c r="AK27" i="272"/>
  <c r="AK27" i="270"/>
  <c r="AK27" i="269"/>
  <c r="AK27" i="266"/>
  <c r="AK27" i="267"/>
  <c r="AK27" i="265"/>
  <c r="AK27" i="264"/>
  <c r="AK27" i="263"/>
  <c r="AK21" i="273"/>
  <c r="AK21" i="272"/>
  <c r="AK21" i="270"/>
  <c r="AK21" i="269"/>
  <c r="AK21" i="267"/>
  <c r="AK21" i="266"/>
  <c r="AK21" i="265"/>
  <c r="AK21" i="264"/>
  <c r="AK21" i="263"/>
  <c r="AK72" i="273"/>
  <c r="AK72" i="272"/>
  <c r="AK72" i="269"/>
  <c r="AK72" i="270"/>
  <c r="AK72" i="267"/>
  <c r="AK72" i="266"/>
  <c r="AK72" i="264"/>
  <c r="AK72" i="265"/>
  <c r="AK72" i="263"/>
  <c r="AK46" i="273"/>
  <c r="AK46" i="272"/>
  <c r="AK46" i="269"/>
  <c r="AK46" i="270"/>
  <c r="AK46" i="267"/>
  <c r="AK46" i="266"/>
  <c r="AK46" i="265"/>
  <c r="AK46" i="264"/>
  <c r="AK46" i="263"/>
  <c r="AK13" i="273"/>
  <c r="AK13" i="272"/>
  <c r="AK13" i="270"/>
  <c r="AK13" i="269"/>
  <c r="AK13" i="266"/>
  <c r="AK13" i="267"/>
  <c r="AK13" i="265"/>
  <c r="AK13" i="264"/>
  <c r="AK13" i="263"/>
  <c r="AK47" i="273"/>
  <c r="AK47" i="272"/>
  <c r="AK47" i="269"/>
  <c r="AK47" i="270"/>
  <c r="AK47" i="267"/>
  <c r="AK47" i="266"/>
  <c r="AK47" i="264"/>
  <c r="AK47" i="265"/>
  <c r="AK47" i="263"/>
  <c r="AK18" i="273"/>
  <c r="AK18" i="272"/>
  <c r="AK18" i="270"/>
  <c r="AK18" i="269"/>
  <c r="AK18" i="266"/>
  <c r="AK18" i="267"/>
  <c r="AK18" i="264"/>
  <c r="AK18" i="265"/>
  <c r="AK18" i="263"/>
  <c r="AK57" i="273"/>
  <c r="AK57" i="272"/>
  <c r="AK57" i="269"/>
  <c r="AK57" i="270"/>
  <c r="AK57" i="266"/>
  <c r="AK57" i="267"/>
  <c r="AK57" i="264"/>
  <c r="AK57" i="265"/>
  <c r="AK57" i="263"/>
  <c r="AK61" i="273"/>
  <c r="AK61" i="272"/>
  <c r="AK61" i="270"/>
  <c r="AK61" i="269"/>
  <c r="AK61" i="266"/>
  <c r="AK61" i="267"/>
  <c r="AK61" i="265"/>
  <c r="AK61" i="264"/>
  <c r="AK61" i="263"/>
  <c r="AK31" i="273"/>
  <c r="AK31" i="272"/>
  <c r="AK31" i="270"/>
  <c r="AK31" i="269"/>
  <c r="AK31" i="266"/>
  <c r="AK31" i="267"/>
  <c r="AK31" i="264"/>
  <c r="AK31" i="265"/>
  <c r="AK31" i="263"/>
  <c r="AK25" i="273"/>
  <c r="AK25" i="272"/>
  <c r="AK25" i="270"/>
  <c r="AK25" i="269"/>
  <c r="AK25" i="267"/>
  <c r="AK25" i="266"/>
  <c r="AK25" i="264"/>
  <c r="AK25" i="265"/>
  <c r="AK25" i="263"/>
  <c r="AK68" i="273"/>
  <c r="AK68" i="272"/>
  <c r="AK68" i="270"/>
  <c r="AK68" i="269"/>
  <c r="AK68" i="266"/>
  <c r="AK68" i="267"/>
  <c r="AK68" i="264"/>
  <c r="AK68" i="265"/>
  <c r="AK68" i="263"/>
  <c r="AK12" i="273"/>
  <c r="AK12" i="272"/>
  <c r="AK12" i="269"/>
  <c r="AK12" i="270"/>
  <c r="AK12" i="266"/>
  <c r="AK12" i="267"/>
  <c r="AK12" i="264"/>
  <c r="AK12" i="265"/>
  <c r="AK12" i="263"/>
  <c r="AK55" i="273"/>
  <c r="AK55" i="272"/>
  <c r="AK55" i="270"/>
  <c r="AK55" i="269"/>
  <c r="AK55" i="266"/>
  <c r="AK55" i="267"/>
  <c r="AK55" i="265"/>
  <c r="AK55" i="264"/>
  <c r="AK55" i="263"/>
  <c r="AK37" i="273"/>
  <c r="AK37" i="272"/>
  <c r="AK37" i="270"/>
  <c r="AK37" i="269"/>
  <c r="AK37" i="266"/>
  <c r="AK37" i="267"/>
  <c r="AK37" i="264"/>
  <c r="AK37" i="265"/>
  <c r="AK37" i="263"/>
  <c r="AK52" i="273"/>
  <c r="AK52" i="272"/>
  <c r="AK52" i="269"/>
  <c r="AK52" i="270"/>
  <c r="AK52" i="266"/>
  <c r="AK52" i="267"/>
  <c r="AK52" i="265"/>
  <c r="AK52" i="264"/>
  <c r="AK52" i="263"/>
  <c r="AK34" i="273"/>
  <c r="AK34" i="272"/>
  <c r="AK34" i="270"/>
  <c r="AK34" i="269"/>
  <c r="AK34" i="266"/>
  <c r="AK34" i="267"/>
  <c r="AK34" i="264"/>
  <c r="AK34" i="265"/>
  <c r="AK34" i="263"/>
  <c r="AK64" i="273"/>
  <c r="AK64" i="272"/>
  <c r="AK64" i="270"/>
  <c r="AK64" i="269"/>
  <c r="AK64" i="267"/>
  <c r="AK64" i="266"/>
  <c r="AK64" i="264"/>
  <c r="AK64" i="265"/>
  <c r="AK64" i="263"/>
  <c r="AK71" i="273"/>
  <c r="AK71" i="272"/>
  <c r="AK71" i="270"/>
  <c r="AK71" i="269"/>
  <c r="AK71" i="267"/>
  <c r="AK71" i="266"/>
  <c r="AK71" i="265"/>
  <c r="AK71" i="264"/>
  <c r="AK71" i="263"/>
  <c r="AK26" i="273"/>
  <c r="AK26" i="272"/>
  <c r="AK26" i="269"/>
  <c r="AK26" i="270"/>
  <c r="AK26" i="266"/>
  <c r="AK26" i="267"/>
  <c r="AK26" i="265"/>
  <c r="AK26" i="264"/>
  <c r="AK26" i="263"/>
  <c r="AK76" i="273"/>
  <c r="AK76" i="272"/>
  <c r="AK76" i="270"/>
  <c r="AK76" i="269"/>
  <c r="AK76" i="266"/>
  <c r="AK76" i="267"/>
  <c r="AK76" i="265"/>
  <c r="AK76" i="264"/>
  <c r="AK76" i="263"/>
  <c r="AK45" i="273"/>
  <c r="AK45" i="272"/>
  <c r="AK45" i="270"/>
  <c r="AK45" i="269"/>
  <c r="AK45" i="266"/>
  <c r="AK45" i="267"/>
  <c r="AK45" i="264"/>
  <c r="AK45" i="265"/>
  <c r="AK45" i="263"/>
  <c r="AK28" i="273"/>
  <c r="AK28" i="272"/>
  <c r="AK28" i="269"/>
  <c r="AK28" i="270"/>
  <c r="AK28" i="266"/>
  <c r="AK28" i="267"/>
  <c r="AK28" i="264"/>
  <c r="AK28" i="265"/>
  <c r="AK28" i="263"/>
  <c r="M97" i="269"/>
  <c r="O97" i="269" s="1"/>
  <c r="J99" i="269"/>
  <c r="AK22" i="273"/>
  <c r="AK22" i="272"/>
  <c r="AK22" i="269"/>
  <c r="AK22" i="270"/>
  <c r="AK22" i="266"/>
  <c r="AK22" i="267"/>
  <c r="AK22" i="264"/>
  <c r="AK22" i="265"/>
  <c r="AK22" i="263"/>
  <c r="AK49" i="273"/>
  <c r="AK49" i="272"/>
  <c r="AK49" i="270"/>
  <c r="AK49" i="269"/>
  <c r="AK49" i="267"/>
  <c r="AK49" i="266"/>
  <c r="AK49" i="265"/>
  <c r="AK49" i="264"/>
  <c r="AK49" i="263"/>
  <c r="AK15" i="273"/>
  <c r="AK15" i="272"/>
  <c r="AK15" i="270"/>
  <c r="AK15" i="269"/>
  <c r="AK15" i="267"/>
  <c r="AK15" i="266"/>
  <c r="AK15" i="265"/>
  <c r="AK15" i="264"/>
  <c r="AK15" i="263"/>
  <c r="AK70" i="273"/>
  <c r="AK70" i="272"/>
  <c r="AK70" i="270"/>
  <c r="AK70" i="269"/>
  <c r="AK70" i="267"/>
  <c r="AK70" i="266"/>
  <c r="AK70" i="265"/>
  <c r="AK70" i="264"/>
  <c r="AK70" i="263"/>
  <c r="AK74" i="273"/>
  <c r="AK74" i="272"/>
  <c r="AK74" i="270"/>
  <c r="AK74" i="269"/>
  <c r="AK74" i="267"/>
  <c r="AK74" i="266"/>
  <c r="AK74" i="264"/>
  <c r="AK74" i="265"/>
  <c r="AK74" i="263"/>
  <c r="AK73" i="273"/>
  <c r="AK73" i="272"/>
  <c r="AK73" i="270"/>
  <c r="AK73" i="269"/>
  <c r="AK73" i="266"/>
  <c r="AK73" i="267"/>
  <c r="AK73" i="265"/>
  <c r="AK73" i="264"/>
  <c r="AK73" i="263"/>
  <c r="AK32" i="273"/>
  <c r="AK32" i="272"/>
  <c r="AK32" i="270"/>
  <c r="AK32" i="269"/>
  <c r="AK32" i="267"/>
  <c r="AK32" i="266"/>
  <c r="AK32" i="264"/>
  <c r="AK32" i="265"/>
  <c r="AK32" i="263"/>
  <c r="AK67" i="273"/>
  <c r="AK67" i="272"/>
  <c r="AK67" i="270"/>
  <c r="AK67" i="269"/>
  <c r="AK67" i="267"/>
  <c r="AK67" i="266"/>
  <c r="AK67" i="264"/>
  <c r="AK67" i="265"/>
  <c r="AK67" i="263"/>
  <c r="AK39" i="273"/>
  <c r="AK39" i="272"/>
  <c r="AK39" i="269"/>
  <c r="AK39" i="270"/>
  <c r="AK39" i="266"/>
  <c r="AK39" i="267"/>
  <c r="AK39" i="265"/>
  <c r="AK39" i="264"/>
  <c r="AK39" i="263"/>
  <c r="AK40" i="273"/>
  <c r="AK40" i="272"/>
  <c r="AK40" i="269"/>
  <c r="AK40" i="270"/>
  <c r="AK40" i="266"/>
  <c r="AK40" i="267"/>
  <c r="AK40" i="265"/>
  <c r="AK40" i="264"/>
  <c r="AK40" i="263"/>
  <c r="AK42" i="273"/>
  <c r="AK42" i="272"/>
  <c r="AK42" i="270"/>
  <c r="AK42" i="269"/>
  <c r="AK42" i="266"/>
  <c r="AK42" i="267"/>
  <c r="AK42" i="265"/>
  <c r="AK42" i="264"/>
  <c r="AK42" i="263"/>
  <c r="AK66" i="273"/>
  <c r="AK66" i="272"/>
  <c r="AK66" i="270"/>
  <c r="AK66" i="269"/>
  <c r="AK66" i="267"/>
  <c r="AK66" i="266"/>
  <c r="AK66" i="264"/>
  <c r="AK66" i="265"/>
  <c r="AK66" i="263"/>
  <c r="AK56" i="273"/>
  <c r="AK56" i="272"/>
  <c r="AK56" i="270"/>
  <c r="AK56" i="269"/>
  <c r="AK56" i="267"/>
  <c r="AK56" i="266"/>
  <c r="AK56" i="265"/>
  <c r="AK56" i="264"/>
  <c r="AK56" i="263"/>
  <c r="AK43" i="273"/>
  <c r="AK43" i="272"/>
  <c r="AK43" i="270"/>
  <c r="AK43" i="269"/>
  <c r="AK43" i="266"/>
  <c r="AK43" i="267"/>
  <c r="AK43" i="265"/>
  <c r="AK43" i="264"/>
  <c r="AK43" i="263"/>
  <c r="AK69" i="273"/>
  <c r="AK69" i="272"/>
  <c r="AK69" i="270"/>
  <c r="AK69" i="269"/>
  <c r="AK69" i="267"/>
  <c r="AK69" i="266"/>
  <c r="AK69" i="265"/>
  <c r="AK69" i="264"/>
  <c r="AK69" i="263"/>
  <c r="AK41" i="273"/>
  <c r="AK41" i="272"/>
  <c r="AK41" i="270"/>
  <c r="AK41" i="269"/>
  <c r="AK41" i="267"/>
  <c r="AK41" i="266"/>
  <c r="AK41" i="265"/>
  <c r="AK41" i="264"/>
  <c r="AK41" i="263"/>
  <c r="AK53" i="273"/>
  <c r="AK53" i="272"/>
  <c r="AK53" i="270"/>
  <c r="AK53" i="269"/>
  <c r="AK53" i="266"/>
  <c r="AK53" i="267"/>
  <c r="AK53" i="265"/>
  <c r="AK53" i="264"/>
  <c r="AK53" i="263"/>
  <c r="AK20" i="273"/>
  <c r="AK20" i="272"/>
  <c r="AK20" i="270"/>
  <c r="AK20" i="269"/>
  <c r="AK20" i="266"/>
  <c r="AK20" i="267"/>
  <c r="AK20" i="265"/>
  <c r="AK20" i="264"/>
  <c r="AK20" i="263"/>
  <c r="AK38" i="273"/>
  <c r="AK38" i="272"/>
  <c r="AK38" i="270"/>
  <c r="AK38" i="269"/>
  <c r="AK38" i="266"/>
  <c r="AK38" i="267"/>
  <c r="AK38" i="264"/>
  <c r="AK38" i="265"/>
  <c r="AK38" i="263"/>
  <c r="AK63" i="273"/>
  <c r="AK63" i="272"/>
  <c r="AK63" i="269"/>
  <c r="AK63" i="270"/>
  <c r="AK63" i="266"/>
  <c r="AK63" i="267"/>
  <c r="AK63" i="264"/>
  <c r="AK63" i="265"/>
  <c r="AK63" i="263"/>
  <c r="AK48" i="273"/>
  <c r="AK48" i="272"/>
  <c r="AK48" i="270"/>
  <c r="AK48" i="269"/>
  <c r="AK48" i="266"/>
  <c r="AK48" i="267"/>
  <c r="AK48" i="265"/>
  <c r="AK48" i="264"/>
  <c r="AK48" i="263"/>
  <c r="AK17" i="273"/>
  <c r="AK17" i="272"/>
  <c r="AK17" i="269"/>
  <c r="AK17" i="270"/>
  <c r="AK17" i="266"/>
  <c r="AK17" i="267"/>
  <c r="AK17" i="265"/>
  <c r="AK17" i="264"/>
  <c r="AK17" i="263"/>
  <c r="AK75" i="273"/>
  <c r="AK75" i="272"/>
  <c r="AK75" i="269"/>
  <c r="AK75" i="270"/>
  <c r="AK75" i="266"/>
  <c r="AK75" i="267"/>
  <c r="AK75" i="264"/>
  <c r="AK75" i="265"/>
  <c r="AK75" i="263"/>
  <c r="AK60" i="273"/>
  <c r="AK60" i="272"/>
  <c r="AK60" i="269"/>
  <c r="AK60" i="270"/>
  <c r="AK60" i="266"/>
  <c r="AK60" i="267"/>
  <c r="AK60" i="264"/>
  <c r="AK60" i="265"/>
  <c r="AK60" i="263"/>
  <c r="AK50" i="273"/>
  <c r="AK50" i="272"/>
  <c r="AK50" i="270"/>
  <c r="AK50" i="269"/>
  <c r="AK50" i="267"/>
  <c r="AK50" i="266"/>
  <c r="AK50" i="265"/>
  <c r="AK50" i="264"/>
  <c r="AK50" i="263"/>
  <c r="AK35" i="273"/>
  <c r="AK35" i="272"/>
  <c r="AK35" i="270"/>
  <c r="AK35" i="269"/>
  <c r="AK35" i="267"/>
  <c r="AK35" i="266"/>
  <c r="AK35" i="264"/>
  <c r="AK35" i="265"/>
  <c r="AK35" i="263"/>
  <c r="AK58" i="273"/>
  <c r="AK58" i="272"/>
  <c r="AK58" i="269"/>
  <c r="AK58" i="270"/>
  <c r="AK58" i="266"/>
  <c r="AK58" i="267"/>
  <c r="AK58" i="265"/>
  <c r="AK58" i="264"/>
  <c r="AK58" i="263"/>
  <c r="AK30" i="273"/>
  <c r="AK30" i="272"/>
  <c r="AK30" i="269"/>
  <c r="AK30" i="270"/>
  <c r="AK30" i="267"/>
  <c r="AK30" i="266"/>
  <c r="AK30" i="264"/>
  <c r="AK30" i="265"/>
  <c r="AK30" i="263"/>
  <c r="AK19" i="273"/>
  <c r="AK19" i="272"/>
  <c r="AK19" i="269"/>
  <c r="AK19" i="270"/>
  <c r="AK19" i="266"/>
  <c r="AK19" i="267"/>
  <c r="AK19" i="264"/>
  <c r="AK19" i="265"/>
  <c r="AK19" i="263"/>
  <c r="AK65" i="273"/>
  <c r="AK65" i="272"/>
  <c r="AK65" i="270"/>
  <c r="AK65" i="269"/>
  <c r="AK65" i="266"/>
  <c r="AK65" i="267"/>
  <c r="AK65" i="264"/>
  <c r="AK65" i="265"/>
  <c r="AK65" i="263"/>
  <c r="AK51" i="273"/>
  <c r="AK51" i="272"/>
  <c r="AK51" i="270"/>
  <c r="AK51" i="269"/>
  <c r="AK51" i="266"/>
  <c r="AK51" i="267"/>
  <c r="AK51" i="264"/>
  <c r="AK51" i="265"/>
  <c r="AK51" i="263"/>
  <c r="AK14" i="273"/>
  <c r="AK14" i="272"/>
  <c r="AK14" i="269"/>
  <c r="AK14" i="270"/>
  <c r="AK14" i="267"/>
  <c r="AK14" i="266"/>
  <c r="AK14" i="265"/>
  <c r="AK14" i="264"/>
  <c r="AK14" i="263"/>
  <c r="AK33" i="273"/>
  <c r="AK33" i="272"/>
  <c r="AK33" i="269"/>
  <c r="AK33" i="270"/>
  <c r="AK33" i="267"/>
  <c r="AK33" i="266"/>
  <c r="AK33" i="264"/>
  <c r="AK33" i="265"/>
  <c r="AK33" i="263"/>
  <c r="AK23" i="273"/>
  <c r="AK23" i="272"/>
  <c r="AK23" i="270"/>
  <c r="AK23" i="269"/>
  <c r="AK23" i="267"/>
  <c r="AK23" i="266"/>
  <c r="AK23" i="265"/>
  <c r="AK23" i="264"/>
  <c r="AK23" i="263"/>
  <c r="AK29" i="273"/>
  <c r="AK29" i="272"/>
  <c r="AK29" i="269"/>
  <c r="AK29" i="270"/>
  <c r="AK29" i="266"/>
  <c r="AK29" i="267"/>
  <c r="AK29" i="264"/>
  <c r="AK29" i="265"/>
  <c r="AK29" i="263"/>
  <c r="AK16" i="273"/>
  <c r="AK16" i="272"/>
  <c r="AK16" i="269"/>
  <c r="AK16" i="270"/>
  <c r="AK16" i="266"/>
  <c r="AK16" i="267"/>
  <c r="AK16" i="264"/>
  <c r="AK16" i="265"/>
  <c r="AK16" i="263"/>
  <c r="AK54" i="273"/>
  <c r="AK54" i="272"/>
  <c r="AK54" i="269"/>
  <c r="AK54" i="270"/>
  <c r="AK54" i="266"/>
  <c r="AK54" i="267"/>
  <c r="AK54" i="264"/>
  <c r="AK54" i="265"/>
  <c r="AK54" i="263"/>
  <c r="AK62" i="273"/>
  <c r="AK62" i="272"/>
  <c r="AK62" i="270"/>
  <c r="AK62" i="269"/>
  <c r="AK62" i="267"/>
  <c r="AK62" i="266"/>
  <c r="AK62" i="265"/>
  <c r="AK62" i="264"/>
  <c r="AK62" i="263"/>
  <c r="AK24" i="273"/>
  <c r="AK24" i="272"/>
  <c r="AK24" i="269"/>
  <c r="AK24" i="270"/>
  <c r="AK24" i="267"/>
  <c r="AK24" i="266"/>
  <c r="AK24" i="265"/>
  <c r="AK24" i="264"/>
  <c r="AK24" i="263"/>
  <c r="AK59" i="273"/>
  <c r="AK59" i="272"/>
  <c r="AK59" i="270"/>
  <c r="AK59" i="269"/>
  <c r="AK59" i="266"/>
  <c r="AK59" i="267"/>
  <c r="AK59" i="265"/>
  <c r="AK59" i="264"/>
  <c r="AK59" i="263"/>
  <c r="AK44" i="273"/>
  <c r="AK44" i="272"/>
  <c r="AK44" i="269"/>
  <c r="AK44" i="270"/>
  <c r="AK44" i="266"/>
  <c r="AK44" i="267"/>
  <c r="AK44" i="264"/>
  <c r="AK44" i="265"/>
  <c r="AK44" i="263"/>
  <c r="J104" i="273"/>
  <c r="M102" i="273"/>
  <c r="O102" i="273" s="1"/>
  <c r="J101" i="272"/>
  <c r="M99" i="272"/>
  <c r="O99" i="272" s="1"/>
  <c r="J100" i="270"/>
  <c r="M98" i="270"/>
  <c r="O98" i="270" s="1"/>
  <c r="M21" i="267"/>
  <c r="O21" i="267" s="1"/>
  <c r="J23" i="267"/>
  <c r="AE22" i="267"/>
  <c r="M23" i="266"/>
  <c r="O23" i="266" s="1"/>
  <c r="J25" i="266"/>
  <c r="AE24" i="266"/>
  <c r="J20" i="265"/>
  <c r="M18" i="265"/>
  <c r="O18" i="265" s="1"/>
  <c r="AE19" i="265"/>
  <c r="M19" i="264"/>
  <c r="O19" i="264" s="1"/>
  <c r="J21" i="264"/>
  <c r="AE20" i="264"/>
  <c r="J16" i="263"/>
  <c r="M14" i="263"/>
  <c r="O14" i="263" s="1"/>
  <c r="AE15" i="263"/>
  <c r="H9" i="261"/>
  <c r="K4" i="261"/>
  <c r="M9" i="261"/>
  <c r="O9" i="261" s="1"/>
  <c r="J11" i="261"/>
  <c r="D66" i="261"/>
  <c r="F66" i="261" s="1"/>
  <c r="G66" i="261" s="1"/>
  <c r="H66" i="261" s="1"/>
  <c r="J4" i="261" s="1"/>
  <c r="X20" i="258"/>
  <c r="Y20" i="258"/>
  <c r="Y21" i="258"/>
  <c r="Y37" i="256"/>
  <c r="Y36" i="256"/>
  <c r="X36" i="256"/>
  <c r="Y29" i="253"/>
  <c r="Z29" i="253"/>
  <c r="W11" i="253"/>
  <c r="V10" i="253"/>
  <c r="W10" i="253"/>
  <c r="AC11" i="260"/>
  <c r="J100" i="269" l="1"/>
  <c r="M98" i="269"/>
  <c r="O98" i="269" s="1"/>
  <c r="J105" i="273"/>
  <c r="M103" i="273"/>
  <c r="O103" i="273" s="1"/>
  <c r="J102" i="272"/>
  <c r="M100" i="272"/>
  <c r="O100" i="272" s="1"/>
  <c r="J101" i="270"/>
  <c r="M99" i="270"/>
  <c r="O99" i="270" s="1"/>
  <c r="J24" i="267"/>
  <c r="AE23" i="267"/>
  <c r="M22" i="267"/>
  <c r="O22" i="267" s="1"/>
  <c r="J26" i="266"/>
  <c r="AE25" i="266"/>
  <c r="M24" i="266"/>
  <c r="O24" i="266" s="1"/>
  <c r="J21" i="265"/>
  <c r="M19" i="265"/>
  <c r="O19" i="265" s="1"/>
  <c r="AE20" i="265"/>
  <c r="J22" i="264"/>
  <c r="M21" i="264" s="1"/>
  <c r="AE21" i="264"/>
  <c r="M20" i="264"/>
  <c r="O20" i="264" s="1"/>
  <c r="M15" i="263"/>
  <c r="O15" i="263" s="1"/>
  <c r="J17" i="263"/>
  <c r="AE16" i="263"/>
  <c r="J12" i="261"/>
  <c r="M10" i="261"/>
  <c r="O10" i="261" s="1"/>
  <c r="G14" i="260"/>
  <c r="H14" i="260" s="1"/>
  <c r="R7" i="260"/>
  <c r="AB13" i="260"/>
  <c r="AD13" i="260"/>
  <c r="AE13" i="260"/>
  <c r="AC13" i="260" s="1"/>
  <c r="AB14" i="260"/>
  <c r="AD14" i="260"/>
  <c r="AE14" i="260"/>
  <c r="AC14" i="260" s="1"/>
  <c r="AB15" i="260"/>
  <c r="AD15" i="260"/>
  <c r="AE15" i="260"/>
  <c r="AC15" i="260" s="1"/>
  <c r="AB16" i="260"/>
  <c r="AD16" i="260"/>
  <c r="AE16" i="260"/>
  <c r="AC16" i="260" s="1"/>
  <c r="AB17" i="260"/>
  <c r="AD17" i="260"/>
  <c r="AE17" i="260"/>
  <c r="AC17" i="260" s="1"/>
  <c r="AB18" i="260"/>
  <c r="AD18" i="260"/>
  <c r="AE18" i="260"/>
  <c r="AC18" i="260" s="1"/>
  <c r="AB19" i="260"/>
  <c r="AD19" i="260"/>
  <c r="AE19" i="260"/>
  <c r="AC19" i="260" s="1"/>
  <c r="AB20" i="260"/>
  <c r="AD20" i="260"/>
  <c r="AE20" i="260"/>
  <c r="AC20" i="260" s="1"/>
  <c r="AB21" i="260"/>
  <c r="AD21" i="260"/>
  <c r="AE21" i="260"/>
  <c r="AC21" i="260" s="1"/>
  <c r="AB22" i="260"/>
  <c r="AD22" i="260"/>
  <c r="AE22" i="260"/>
  <c r="AC22" i="260" s="1"/>
  <c r="AB23" i="260"/>
  <c r="AD23" i="260"/>
  <c r="AE23" i="260"/>
  <c r="AC23" i="260" s="1"/>
  <c r="AB24" i="260"/>
  <c r="AD24" i="260"/>
  <c r="AE24" i="260"/>
  <c r="AC24" i="260" s="1"/>
  <c r="AB25" i="260"/>
  <c r="AD25" i="260"/>
  <c r="AE25" i="260"/>
  <c r="AC25" i="260" s="1"/>
  <c r="AB26" i="260"/>
  <c r="AD26" i="260"/>
  <c r="AE26" i="260"/>
  <c r="AC26" i="260" s="1"/>
  <c r="AB27" i="260"/>
  <c r="AD27" i="260"/>
  <c r="AE27" i="260"/>
  <c r="AC27" i="260" s="1"/>
  <c r="AB28" i="260"/>
  <c r="AD28" i="260"/>
  <c r="AE28" i="260"/>
  <c r="AC28" i="260" s="1"/>
  <c r="AB29" i="260"/>
  <c r="AD29" i="260"/>
  <c r="AE29" i="260"/>
  <c r="AC29" i="260" s="1"/>
  <c r="AB30" i="260"/>
  <c r="AD30" i="260"/>
  <c r="AE30" i="260"/>
  <c r="AC30" i="260" s="1"/>
  <c r="AB31" i="260"/>
  <c r="AD31" i="260"/>
  <c r="AE31" i="260"/>
  <c r="AC31" i="260" s="1"/>
  <c r="AB32" i="260"/>
  <c r="AD32" i="260"/>
  <c r="AE32" i="260"/>
  <c r="AC32" i="260" s="1"/>
  <c r="AB33" i="260"/>
  <c r="AD33" i="260"/>
  <c r="AE33" i="260"/>
  <c r="AC33" i="260" s="1"/>
  <c r="AB34" i="260"/>
  <c r="AD34" i="260"/>
  <c r="AE34" i="260"/>
  <c r="AC34" i="260" s="1"/>
  <c r="AB35" i="260"/>
  <c r="AD35" i="260"/>
  <c r="AE35" i="260"/>
  <c r="AC35" i="260" s="1"/>
  <c r="AB36" i="260"/>
  <c r="AD36" i="260"/>
  <c r="AE36" i="260"/>
  <c r="AC36" i="260" s="1"/>
  <c r="AB37" i="260"/>
  <c r="AD37" i="260"/>
  <c r="AE37" i="260"/>
  <c r="AC37" i="260" s="1"/>
  <c r="AB38" i="260"/>
  <c r="AD38" i="260"/>
  <c r="AE38" i="260"/>
  <c r="AC38" i="260" s="1"/>
  <c r="AB39" i="260"/>
  <c r="AD39" i="260"/>
  <c r="AE39" i="260"/>
  <c r="AC39" i="260" s="1"/>
  <c r="AB40" i="260"/>
  <c r="AD40" i="260"/>
  <c r="AE40" i="260"/>
  <c r="AC40" i="260" s="1"/>
  <c r="AB41" i="260"/>
  <c r="AD41" i="260"/>
  <c r="AE41" i="260"/>
  <c r="AC41" i="260" s="1"/>
  <c r="AB42" i="260"/>
  <c r="AD42" i="260"/>
  <c r="AE42" i="260"/>
  <c r="AC42" i="260" s="1"/>
  <c r="AB43" i="260"/>
  <c r="AD43" i="260"/>
  <c r="AE43" i="260"/>
  <c r="AC43" i="260" s="1"/>
  <c r="AB44" i="260"/>
  <c r="AD44" i="260"/>
  <c r="AE44" i="260"/>
  <c r="AC44" i="260" s="1"/>
  <c r="AB45" i="260"/>
  <c r="AD45" i="260"/>
  <c r="AE45" i="260"/>
  <c r="AC45" i="260" s="1"/>
  <c r="AB46" i="260"/>
  <c r="AD46" i="260"/>
  <c r="AE46" i="260"/>
  <c r="AC46" i="260" s="1"/>
  <c r="AB47" i="260"/>
  <c r="AD47" i="260"/>
  <c r="AE47" i="260"/>
  <c r="AC47" i="260" s="1"/>
  <c r="AB48" i="260"/>
  <c r="AD48" i="260"/>
  <c r="AE48" i="260"/>
  <c r="AC48" i="260" s="1"/>
  <c r="AB49" i="260"/>
  <c r="AD49" i="260"/>
  <c r="AE49" i="260"/>
  <c r="AC49" i="260" s="1"/>
  <c r="AB50" i="260"/>
  <c r="AD50" i="260"/>
  <c r="AE50" i="260"/>
  <c r="AC50" i="260" s="1"/>
  <c r="AB51" i="260"/>
  <c r="AD51" i="260"/>
  <c r="AE51" i="260"/>
  <c r="AC51" i="260" s="1"/>
  <c r="AB52" i="260"/>
  <c r="AD52" i="260"/>
  <c r="AE52" i="260"/>
  <c r="AC52" i="260" s="1"/>
  <c r="AB53" i="260"/>
  <c r="AD53" i="260"/>
  <c r="AE53" i="260"/>
  <c r="AC53" i="260" s="1"/>
  <c r="AB54" i="260"/>
  <c r="AD54" i="260"/>
  <c r="AE54" i="260"/>
  <c r="AC54" i="260" s="1"/>
  <c r="AB55" i="260"/>
  <c r="AD55" i="260"/>
  <c r="AE55" i="260"/>
  <c r="AC55" i="260" s="1"/>
  <c r="AB56" i="260"/>
  <c r="AD56" i="260"/>
  <c r="AE56" i="260"/>
  <c r="AC56" i="260" s="1"/>
  <c r="AB57" i="260"/>
  <c r="AD57" i="260"/>
  <c r="AE57" i="260"/>
  <c r="AC57" i="260" s="1"/>
  <c r="AB58" i="260"/>
  <c r="AD58" i="260"/>
  <c r="AE58" i="260"/>
  <c r="AC58" i="260" s="1"/>
  <c r="AB59" i="260"/>
  <c r="AD59" i="260"/>
  <c r="AE59" i="260"/>
  <c r="AC59" i="260" s="1"/>
  <c r="AB60" i="260"/>
  <c r="AD60" i="260"/>
  <c r="AE60" i="260"/>
  <c r="AC60" i="260" s="1"/>
  <c r="AB61" i="260"/>
  <c r="AD61" i="260"/>
  <c r="AE61" i="260"/>
  <c r="AC61" i="260" s="1"/>
  <c r="AB62" i="260"/>
  <c r="AD62" i="260"/>
  <c r="AE62" i="260"/>
  <c r="AC62" i="260" s="1"/>
  <c r="AB63" i="260"/>
  <c r="AD63" i="260"/>
  <c r="AE63" i="260"/>
  <c r="AC63" i="260" s="1"/>
  <c r="AB64" i="260"/>
  <c r="AD64" i="260"/>
  <c r="AE64" i="260"/>
  <c r="AC64" i="260" s="1"/>
  <c r="AB65" i="260"/>
  <c r="AD65" i="260"/>
  <c r="AE65" i="260"/>
  <c r="AC65" i="260" s="1"/>
  <c r="AB66" i="260"/>
  <c r="AD66" i="260"/>
  <c r="AE66" i="260"/>
  <c r="AC66" i="260" s="1"/>
  <c r="AB67" i="260"/>
  <c r="AD67" i="260"/>
  <c r="AE67" i="260"/>
  <c r="AC67" i="260" s="1"/>
  <c r="AB68" i="260"/>
  <c r="AD68" i="260"/>
  <c r="AE68" i="260"/>
  <c r="AC68" i="260" s="1"/>
  <c r="AB69" i="260"/>
  <c r="AD69" i="260"/>
  <c r="AE69" i="260"/>
  <c r="AC69" i="260" s="1"/>
  <c r="AB70" i="260"/>
  <c r="AD70" i="260"/>
  <c r="AE70" i="260"/>
  <c r="AC70" i="260" s="1"/>
  <c r="AB71" i="260"/>
  <c r="AD71" i="260"/>
  <c r="AE71" i="260"/>
  <c r="AC71" i="260" s="1"/>
  <c r="AB72" i="260"/>
  <c r="AD72" i="260"/>
  <c r="AE72" i="260"/>
  <c r="AC72" i="260" s="1"/>
  <c r="AB73" i="260"/>
  <c r="AD73" i="260"/>
  <c r="AE73" i="260"/>
  <c r="AC73" i="260" s="1"/>
  <c r="AB74" i="260"/>
  <c r="AD74" i="260"/>
  <c r="AE74" i="260"/>
  <c r="AC74" i="260" s="1"/>
  <c r="AB75" i="260"/>
  <c r="AD75" i="260"/>
  <c r="AE75" i="260"/>
  <c r="AC75" i="260" s="1"/>
  <c r="AB76" i="260"/>
  <c r="AD76" i="260"/>
  <c r="AE76" i="260"/>
  <c r="AC76" i="260" s="1"/>
  <c r="AE12" i="260"/>
  <c r="AC12" i="260" s="1"/>
  <c r="AD12" i="260"/>
  <c r="AB12" i="260"/>
  <c r="M107" i="260"/>
  <c r="O107" i="260" s="1"/>
  <c r="L107" i="260"/>
  <c r="L106" i="260"/>
  <c r="L105" i="260"/>
  <c r="L104" i="260"/>
  <c r="L103" i="260"/>
  <c r="L102" i="260"/>
  <c r="L101" i="260"/>
  <c r="L100" i="260"/>
  <c r="L99" i="260"/>
  <c r="L98" i="260"/>
  <c r="L97" i="260"/>
  <c r="L96" i="260"/>
  <c r="L95" i="260"/>
  <c r="L94" i="260"/>
  <c r="L93" i="260"/>
  <c r="L92" i="260"/>
  <c r="L91" i="260"/>
  <c r="L90" i="260"/>
  <c r="L89" i="260"/>
  <c r="L88" i="260"/>
  <c r="L87" i="260"/>
  <c r="L86" i="260"/>
  <c r="L85" i="260"/>
  <c r="L84" i="260"/>
  <c r="L83" i="260"/>
  <c r="L82" i="260"/>
  <c r="L81" i="260"/>
  <c r="L80" i="260"/>
  <c r="L79" i="260"/>
  <c r="L78" i="260"/>
  <c r="L77" i="260"/>
  <c r="H74" i="262" s="1"/>
  <c r="L76" i="260"/>
  <c r="L75" i="260"/>
  <c r="L74" i="260"/>
  <c r="L73" i="260"/>
  <c r="L72" i="260"/>
  <c r="L71" i="260"/>
  <c r="L70" i="260"/>
  <c r="L69" i="260"/>
  <c r="L68" i="260"/>
  <c r="L67" i="260"/>
  <c r="L66" i="260"/>
  <c r="L65" i="260"/>
  <c r="L64" i="260"/>
  <c r="H64" i="260"/>
  <c r="G64" i="260"/>
  <c r="F64" i="260"/>
  <c r="D64" i="260"/>
  <c r="L63" i="260"/>
  <c r="H63" i="260"/>
  <c r="G63" i="260"/>
  <c r="F63" i="260"/>
  <c r="D63" i="260"/>
  <c r="L62" i="260"/>
  <c r="H62" i="260"/>
  <c r="G62" i="260"/>
  <c r="F62" i="260"/>
  <c r="D62" i="260"/>
  <c r="L61" i="260"/>
  <c r="H61" i="260"/>
  <c r="G61" i="260"/>
  <c r="F61" i="260"/>
  <c r="D61" i="260"/>
  <c r="L60" i="260"/>
  <c r="H60" i="260"/>
  <c r="G60" i="260"/>
  <c r="F60" i="260"/>
  <c r="D60" i="260"/>
  <c r="L59" i="260"/>
  <c r="H59" i="260"/>
  <c r="G59" i="260"/>
  <c r="F59" i="260"/>
  <c r="D59" i="260"/>
  <c r="L58" i="260"/>
  <c r="H58" i="260"/>
  <c r="G58" i="260"/>
  <c r="F58" i="260"/>
  <c r="D58" i="260"/>
  <c r="L57" i="260"/>
  <c r="H57" i="260"/>
  <c r="G57" i="260"/>
  <c r="F57" i="260"/>
  <c r="D57" i="260"/>
  <c r="L56" i="260"/>
  <c r="H56" i="260"/>
  <c r="G56" i="260"/>
  <c r="F56" i="260"/>
  <c r="D56" i="260"/>
  <c r="L55" i="260"/>
  <c r="H55" i="260"/>
  <c r="G55" i="260"/>
  <c r="F55" i="260"/>
  <c r="D55" i="260"/>
  <c r="L54" i="260"/>
  <c r="H54" i="260"/>
  <c r="G54" i="260"/>
  <c r="F54" i="260"/>
  <c r="D54" i="260"/>
  <c r="L53" i="260"/>
  <c r="H53" i="260"/>
  <c r="G53" i="260"/>
  <c r="F53" i="260"/>
  <c r="D53" i="260"/>
  <c r="L52" i="260"/>
  <c r="H52" i="260"/>
  <c r="G52" i="260"/>
  <c r="F52" i="260"/>
  <c r="D52" i="260"/>
  <c r="L51" i="260"/>
  <c r="H51" i="260"/>
  <c r="G51" i="260"/>
  <c r="F51" i="260"/>
  <c r="D51" i="260"/>
  <c r="L50" i="260"/>
  <c r="H50" i="260"/>
  <c r="G50" i="260"/>
  <c r="F50" i="260"/>
  <c r="D50" i="260"/>
  <c r="L49" i="260"/>
  <c r="H49" i="260"/>
  <c r="G49" i="260"/>
  <c r="F49" i="260"/>
  <c r="D49" i="260"/>
  <c r="L48" i="260"/>
  <c r="H48" i="260"/>
  <c r="G48" i="260"/>
  <c r="F48" i="260"/>
  <c r="D48" i="260"/>
  <c r="L47" i="260"/>
  <c r="H47" i="260"/>
  <c r="G47" i="260"/>
  <c r="F47" i="260"/>
  <c r="D47" i="260"/>
  <c r="L46" i="260"/>
  <c r="H46" i="260"/>
  <c r="G46" i="260"/>
  <c r="F46" i="260"/>
  <c r="D46" i="260"/>
  <c r="L45" i="260"/>
  <c r="H45" i="260"/>
  <c r="G45" i="260"/>
  <c r="F45" i="260"/>
  <c r="D45" i="260"/>
  <c r="L44" i="260"/>
  <c r="H44" i="260"/>
  <c r="G44" i="260"/>
  <c r="F44" i="260"/>
  <c r="D44" i="260"/>
  <c r="L43" i="260"/>
  <c r="H43" i="260"/>
  <c r="G43" i="260"/>
  <c r="F43" i="260"/>
  <c r="D43" i="260"/>
  <c r="L42" i="260"/>
  <c r="H42" i="260"/>
  <c r="G42" i="260"/>
  <c r="F42" i="260"/>
  <c r="D42" i="260"/>
  <c r="L41" i="260"/>
  <c r="H41" i="260"/>
  <c r="G41" i="260"/>
  <c r="F41" i="260"/>
  <c r="D41" i="260"/>
  <c r="L40" i="260"/>
  <c r="H40" i="260"/>
  <c r="G40" i="260"/>
  <c r="F40" i="260"/>
  <c r="D40" i="260"/>
  <c r="L39" i="260"/>
  <c r="H39" i="260"/>
  <c r="G39" i="260"/>
  <c r="F39" i="260"/>
  <c r="D39" i="260"/>
  <c r="L38" i="260"/>
  <c r="H38" i="260"/>
  <c r="G38" i="260"/>
  <c r="F38" i="260"/>
  <c r="D38" i="260"/>
  <c r="L37" i="260"/>
  <c r="H37" i="260"/>
  <c r="G37" i="260"/>
  <c r="F37" i="260"/>
  <c r="D37" i="260"/>
  <c r="L36" i="260"/>
  <c r="H36" i="260"/>
  <c r="G36" i="260"/>
  <c r="F36" i="260"/>
  <c r="D36" i="260"/>
  <c r="L35" i="260"/>
  <c r="H35" i="260"/>
  <c r="G35" i="260"/>
  <c r="F35" i="260"/>
  <c r="D35" i="260"/>
  <c r="L34" i="260"/>
  <c r="H34" i="260"/>
  <c r="G34" i="260"/>
  <c r="F34" i="260"/>
  <c r="D34" i="260"/>
  <c r="L33" i="260"/>
  <c r="H33" i="260"/>
  <c r="G33" i="260"/>
  <c r="F33" i="260"/>
  <c r="D33" i="260"/>
  <c r="L32" i="260"/>
  <c r="H32" i="260"/>
  <c r="G32" i="260"/>
  <c r="F32" i="260"/>
  <c r="D32" i="260"/>
  <c r="L31" i="260"/>
  <c r="H31" i="260"/>
  <c r="G31" i="260"/>
  <c r="F31" i="260"/>
  <c r="D31" i="260"/>
  <c r="L30" i="260"/>
  <c r="H30" i="260"/>
  <c r="G30" i="260"/>
  <c r="F30" i="260"/>
  <c r="D30" i="260"/>
  <c r="L29" i="260"/>
  <c r="H29" i="260"/>
  <c r="G29" i="260"/>
  <c r="F29" i="260"/>
  <c r="D29" i="260"/>
  <c r="L28" i="260"/>
  <c r="H28" i="260"/>
  <c r="G28" i="260"/>
  <c r="F28" i="260"/>
  <c r="D28" i="260"/>
  <c r="L27" i="260"/>
  <c r="H27" i="260"/>
  <c r="G27" i="260"/>
  <c r="F27" i="260"/>
  <c r="D27" i="260"/>
  <c r="L26" i="260"/>
  <c r="H26" i="260"/>
  <c r="G26" i="260"/>
  <c r="F26" i="260"/>
  <c r="D26" i="260"/>
  <c r="L25" i="260"/>
  <c r="H25" i="260"/>
  <c r="G25" i="260"/>
  <c r="F25" i="260"/>
  <c r="D25" i="260"/>
  <c r="L24" i="260"/>
  <c r="H24" i="260"/>
  <c r="G24" i="260"/>
  <c r="F24" i="260"/>
  <c r="D24" i="260"/>
  <c r="L23" i="260"/>
  <c r="H23" i="260"/>
  <c r="G23" i="260"/>
  <c r="F23" i="260"/>
  <c r="D23" i="260"/>
  <c r="L22" i="260"/>
  <c r="H22" i="260"/>
  <c r="G22" i="260"/>
  <c r="F22" i="260"/>
  <c r="D22" i="260"/>
  <c r="L21" i="260"/>
  <c r="H21" i="260"/>
  <c r="G21" i="260"/>
  <c r="F21" i="260"/>
  <c r="D21" i="260"/>
  <c r="L20" i="260"/>
  <c r="H20" i="260"/>
  <c r="G20" i="260"/>
  <c r="F20" i="260"/>
  <c r="D20" i="260"/>
  <c r="L19" i="260"/>
  <c r="H19" i="260"/>
  <c r="G19" i="260"/>
  <c r="F19" i="260"/>
  <c r="D19" i="260"/>
  <c r="L18" i="260"/>
  <c r="H18" i="260"/>
  <c r="G18" i="260"/>
  <c r="F18" i="260"/>
  <c r="D18" i="260"/>
  <c r="L17" i="260"/>
  <c r="H17" i="260"/>
  <c r="G17" i="260"/>
  <c r="F17" i="260"/>
  <c r="D17" i="260"/>
  <c r="L16" i="260"/>
  <c r="L15" i="260"/>
  <c r="L14" i="260"/>
  <c r="L13" i="260"/>
  <c r="L12" i="260"/>
  <c r="L11" i="260"/>
  <c r="H8" i="262" s="1"/>
  <c r="G80" i="262" s="1"/>
  <c r="L10" i="260"/>
  <c r="H7" i="262" s="1"/>
  <c r="G79" i="262" s="1"/>
  <c r="L9" i="260"/>
  <c r="H6" i="262" s="1"/>
  <c r="G78" i="262" s="1"/>
  <c r="C5" i="260"/>
  <c r="B65" i="260" s="1"/>
  <c r="I3" i="260"/>
  <c r="A3" i="260"/>
  <c r="D11" i="260" s="1"/>
  <c r="F11" i="260" s="1"/>
  <c r="G11" i="260" s="1"/>
  <c r="H11" i="260" s="1"/>
  <c r="I3" i="258"/>
  <c r="I3" i="256"/>
  <c r="I3" i="253"/>
  <c r="AF35" i="260" l="1"/>
  <c r="AJ35" i="273"/>
  <c r="AJ35" i="272"/>
  <c r="AJ35" i="270"/>
  <c r="AJ35" i="269"/>
  <c r="AJ35" i="267"/>
  <c r="AJ35" i="266"/>
  <c r="AJ35" i="264"/>
  <c r="AJ35" i="265"/>
  <c r="AJ35" i="263"/>
  <c r="H32" i="262"/>
  <c r="G104" i="262" s="1"/>
  <c r="AJ35" i="261"/>
  <c r="AF51" i="260"/>
  <c r="AJ51" i="273"/>
  <c r="AJ51" i="272"/>
  <c r="AJ51" i="269"/>
  <c r="AJ51" i="270"/>
  <c r="AJ51" i="266"/>
  <c r="AJ51" i="267"/>
  <c r="AJ51" i="264"/>
  <c r="AJ51" i="265"/>
  <c r="AJ51" i="263"/>
  <c r="H48" i="262"/>
  <c r="G120" i="262" s="1"/>
  <c r="AJ51" i="261"/>
  <c r="AF64" i="260"/>
  <c r="AJ64" i="273"/>
  <c r="AJ64" i="272"/>
  <c r="AJ64" i="270"/>
  <c r="AJ64" i="269"/>
  <c r="AJ64" i="267"/>
  <c r="AJ64" i="266"/>
  <c r="AJ64" i="265"/>
  <c r="AJ64" i="264"/>
  <c r="AJ64" i="263"/>
  <c r="H61" i="262"/>
  <c r="G133" i="262" s="1"/>
  <c r="AJ64" i="261"/>
  <c r="AF29" i="260"/>
  <c r="AJ29" i="273"/>
  <c r="AJ29" i="272"/>
  <c r="AJ29" i="270"/>
  <c r="AJ29" i="269"/>
  <c r="AJ29" i="267"/>
  <c r="AJ29" i="266"/>
  <c r="AJ29" i="264"/>
  <c r="AJ29" i="265"/>
  <c r="AJ29" i="263"/>
  <c r="H26" i="262"/>
  <c r="G98" i="262" s="1"/>
  <c r="AJ29" i="261"/>
  <c r="AF45" i="260"/>
  <c r="AJ45" i="273"/>
  <c r="AJ45" i="272"/>
  <c r="AJ45" i="270"/>
  <c r="AJ45" i="269"/>
  <c r="AJ45" i="266"/>
  <c r="AJ45" i="267"/>
  <c r="AJ45" i="264"/>
  <c r="AJ45" i="265"/>
  <c r="AJ45" i="263"/>
  <c r="H42" i="262"/>
  <c r="G114" i="262" s="1"/>
  <c r="AJ45" i="261"/>
  <c r="AF39" i="260"/>
  <c r="AJ39" i="273"/>
  <c r="AJ39" i="272"/>
  <c r="AJ39" i="270"/>
  <c r="AJ39" i="269"/>
  <c r="AJ39" i="267"/>
  <c r="AJ39" i="266"/>
  <c r="AJ39" i="265"/>
  <c r="AJ39" i="264"/>
  <c r="AJ39" i="263"/>
  <c r="H36" i="262"/>
  <c r="G108" i="262" s="1"/>
  <c r="AJ39" i="261"/>
  <c r="AF13" i="260"/>
  <c r="AJ13" i="273"/>
  <c r="AJ13" i="272"/>
  <c r="AJ13" i="270"/>
  <c r="AJ13" i="269"/>
  <c r="AJ13" i="267"/>
  <c r="AJ13" i="266"/>
  <c r="AJ13" i="265"/>
  <c r="AJ13" i="264"/>
  <c r="AJ13" i="263"/>
  <c r="H10" i="262"/>
  <c r="G82" i="262" s="1"/>
  <c r="AJ13" i="261"/>
  <c r="AF25" i="260"/>
  <c r="AJ25" i="273"/>
  <c r="AJ25" i="272"/>
  <c r="AJ25" i="270"/>
  <c r="AJ25" i="269"/>
  <c r="AJ25" i="267"/>
  <c r="AJ25" i="266"/>
  <c r="AJ25" i="264"/>
  <c r="AJ25" i="265"/>
  <c r="AJ25" i="263"/>
  <c r="H22" i="262"/>
  <c r="G94" i="262" s="1"/>
  <c r="AJ25" i="261"/>
  <c r="AF41" i="260"/>
  <c r="AJ41" i="273"/>
  <c r="AJ41" i="272"/>
  <c r="AJ41" i="269"/>
  <c r="AJ41" i="270"/>
  <c r="AJ41" i="266"/>
  <c r="AJ41" i="267"/>
  <c r="AJ41" i="264"/>
  <c r="AJ41" i="265"/>
  <c r="AJ41" i="263"/>
  <c r="H38" i="262"/>
  <c r="G110" i="262" s="1"/>
  <c r="AJ41" i="261"/>
  <c r="AF57" i="260"/>
  <c r="AJ57" i="273"/>
  <c r="AJ57" i="272"/>
  <c r="AJ57" i="269"/>
  <c r="AJ57" i="270"/>
  <c r="AJ57" i="266"/>
  <c r="AJ57" i="267"/>
  <c r="AJ57" i="264"/>
  <c r="AJ57" i="265"/>
  <c r="AJ57" i="263"/>
  <c r="H54" i="262"/>
  <c r="G126" i="262" s="1"/>
  <c r="AJ57" i="261"/>
  <c r="AF14" i="260"/>
  <c r="AJ14" i="273"/>
  <c r="AJ14" i="272"/>
  <c r="AJ14" i="270"/>
  <c r="AJ14" i="269"/>
  <c r="AJ14" i="266"/>
  <c r="AJ14" i="267"/>
  <c r="AJ14" i="265"/>
  <c r="AJ14" i="264"/>
  <c r="AJ14" i="263"/>
  <c r="H11" i="262"/>
  <c r="G83" i="262" s="1"/>
  <c r="AJ14" i="261"/>
  <c r="AF22" i="260"/>
  <c r="AJ22" i="273"/>
  <c r="AJ22" i="272"/>
  <c r="AJ22" i="269"/>
  <c r="AJ22" i="270"/>
  <c r="AJ22" i="266"/>
  <c r="AJ22" i="267"/>
  <c r="AJ22" i="264"/>
  <c r="AJ22" i="265"/>
  <c r="AJ22" i="263"/>
  <c r="H19" i="262"/>
  <c r="G91" i="262" s="1"/>
  <c r="AJ22" i="261"/>
  <c r="AF38" i="260"/>
  <c r="AJ38" i="273"/>
  <c r="AJ38" i="272"/>
  <c r="AJ38" i="269"/>
  <c r="AJ38" i="270"/>
  <c r="AJ38" i="266"/>
  <c r="AJ38" i="267"/>
  <c r="AJ38" i="264"/>
  <c r="AJ38" i="265"/>
  <c r="AJ38" i="263"/>
  <c r="H35" i="262"/>
  <c r="G107" i="262" s="1"/>
  <c r="AJ38" i="261"/>
  <c r="AF54" i="260"/>
  <c r="AJ54" i="273"/>
  <c r="AJ54" i="272"/>
  <c r="AJ54" i="269"/>
  <c r="AJ54" i="270"/>
  <c r="AJ54" i="266"/>
  <c r="AJ54" i="267"/>
  <c r="AJ54" i="264"/>
  <c r="AJ54" i="265"/>
  <c r="AJ54" i="263"/>
  <c r="H51" i="262"/>
  <c r="G123" i="262" s="1"/>
  <c r="AJ54" i="261"/>
  <c r="AF15" i="260"/>
  <c r="AJ15" i="273"/>
  <c r="AJ15" i="272"/>
  <c r="AJ15" i="270"/>
  <c r="AJ15" i="269"/>
  <c r="AJ15" i="267"/>
  <c r="AJ15" i="266"/>
  <c r="AJ15" i="264"/>
  <c r="AJ15" i="265"/>
  <c r="AJ15" i="263"/>
  <c r="H12" i="262"/>
  <c r="G84" i="262" s="1"/>
  <c r="AJ15" i="261"/>
  <c r="AF19" i="260"/>
  <c r="AJ19" i="273"/>
  <c r="AJ19" i="272"/>
  <c r="AJ19" i="270"/>
  <c r="AJ19" i="269"/>
  <c r="AJ19" i="266"/>
  <c r="AJ19" i="267"/>
  <c r="AJ19" i="264"/>
  <c r="AJ19" i="265"/>
  <c r="AJ19" i="263"/>
  <c r="H16" i="262"/>
  <c r="G88" i="262" s="1"/>
  <c r="AJ19" i="261"/>
  <c r="AF55" i="260"/>
  <c r="AJ55" i="273"/>
  <c r="AJ55" i="272"/>
  <c r="AJ55" i="269"/>
  <c r="AJ55" i="270"/>
  <c r="AJ55" i="267"/>
  <c r="AJ55" i="266"/>
  <c r="AJ55" i="265"/>
  <c r="AJ55" i="264"/>
  <c r="AJ55" i="263"/>
  <c r="H52" i="262"/>
  <c r="G124" i="262" s="1"/>
  <c r="AJ55" i="261"/>
  <c r="AF30" i="260"/>
  <c r="AJ30" i="273"/>
  <c r="AJ30" i="272"/>
  <c r="AJ30" i="270"/>
  <c r="AJ30" i="269"/>
  <c r="AJ30" i="266"/>
  <c r="AJ30" i="267"/>
  <c r="AJ30" i="265"/>
  <c r="AJ30" i="264"/>
  <c r="AJ30" i="263"/>
  <c r="H27" i="262"/>
  <c r="G99" i="262" s="1"/>
  <c r="AJ30" i="261"/>
  <c r="AF46" i="260"/>
  <c r="AJ46" i="273"/>
  <c r="AJ46" i="272"/>
  <c r="AJ46" i="270"/>
  <c r="AJ46" i="269"/>
  <c r="AJ46" i="266"/>
  <c r="AJ46" i="267"/>
  <c r="AJ46" i="265"/>
  <c r="AJ46" i="264"/>
  <c r="AJ46" i="263"/>
  <c r="H43" i="262"/>
  <c r="G115" i="262" s="1"/>
  <c r="AJ46" i="261"/>
  <c r="AF62" i="260"/>
  <c r="AJ62" i="273"/>
  <c r="AJ62" i="272"/>
  <c r="AJ62" i="270"/>
  <c r="AJ62" i="269"/>
  <c r="AJ62" i="266"/>
  <c r="AJ62" i="267"/>
  <c r="AJ62" i="264"/>
  <c r="AJ62" i="265"/>
  <c r="AJ62" i="263"/>
  <c r="H59" i="262"/>
  <c r="G131" i="262" s="1"/>
  <c r="AJ62" i="261"/>
  <c r="AF70" i="260"/>
  <c r="AJ70" i="273"/>
  <c r="AJ70" i="272"/>
  <c r="AJ70" i="270"/>
  <c r="AJ70" i="269"/>
  <c r="AJ70" i="266"/>
  <c r="AJ70" i="267"/>
  <c r="AJ70" i="264"/>
  <c r="AJ70" i="265"/>
  <c r="AJ70" i="263"/>
  <c r="H67" i="262"/>
  <c r="G139" i="262" s="1"/>
  <c r="AJ70" i="261"/>
  <c r="AF48" i="260"/>
  <c r="AJ48" i="273"/>
  <c r="AJ48" i="272"/>
  <c r="AJ48" i="269"/>
  <c r="AJ48" i="270"/>
  <c r="AJ48" i="266"/>
  <c r="AJ48" i="267"/>
  <c r="AJ48" i="264"/>
  <c r="AJ48" i="265"/>
  <c r="AJ48" i="263"/>
  <c r="H45" i="262"/>
  <c r="G117" i="262" s="1"/>
  <c r="AJ48" i="261"/>
  <c r="AF65" i="260"/>
  <c r="AJ65" i="273"/>
  <c r="AJ65" i="272"/>
  <c r="AJ65" i="269"/>
  <c r="AJ65" i="270"/>
  <c r="AJ65" i="266"/>
  <c r="AJ65" i="267"/>
  <c r="AJ65" i="264"/>
  <c r="AJ65" i="265"/>
  <c r="AJ65" i="263"/>
  <c r="H62" i="262"/>
  <c r="G134" i="262" s="1"/>
  <c r="AJ65" i="261"/>
  <c r="AF43" i="260"/>
  <c r="AJ43" i="273"/>
  <c r="AJ43" i="272"/>
  <c r="AJ43" i="269"/>
  <c r="AJ43" i="270"/>
  <c r="AJ43" i="266"/>
  <c r="AJ43" i="267"/>
  <c r="AJ43" i="265"/>
  <c r="AJ43" i="264"/>
  <c r="AJ43" i="263"/>
  <c r="H40" i="262"/>
  <c r="G112" i="262" s="1"/>
  <c r="AJ43" i="261"/>
  <c r="AF59" i="260"/>
  <c r="AJ59" i="273"/>
  <c r="AJ59" i="272"/>
  <c r="AJ59" i="270"/>
  <c r="AJ59" i="269"/>
  <c r="AJ59" i="267"/>
  <c r="AJ59" i="266"/>
  <c r="AJ59" i="265"/>
  <c r="AJ59" i="264"/>
  <c r="AJ59" i="263"/>
  <c r="H56" i="262"/>
  <c r="G128" i="262" s="1"/>
  <c r="AJ59" i="261"/>
  <c r="AF71" i="260"/>
  <c r="AJ71" i="273"/>
  <c r="AJ71" i="272"/>
  <c r="AJ71" i="269"/>
  <c r="AJ71" i="270"/>
  <c r="AJ71" i="267"/>
  <c r="AJ71" i="266"/>
  <c r="AJ71" i="264"/>
  <c r="AJ71" i="265"/>
  <c r="AJ71" i="263"/>
  <c r="H68" i="262"/>
  <c r="G140" i="262" s="1"/>
  <c r="AJ71" i="261"/>
  <c r="AF16" i="260"/>
  <c r="AJ16" i="273"/>
  <c r="AJ16" i="272"/>
  <c r="AJ16" i="270"/>
  <c r="AJ16" i="269"/>
  <c r="AJ16" i="266"/>
  <c r="AJ16" i="267"/>
  <c r="AJ16" i="264"/>
  <c r="AJ16" i="265"/>
  <c r="AJ16" i="263"/>
  <c r="H13" i="262"/>
  <c r="G85" i="262" s="1"/>
  <c r="AJ16" i="261"/>
  <c r="AF67" i="260"/>
  <c r="AJ67" i="273"/>
  <c r="AJ67" i="272"/>
  <c r="AJ67" i="270"/>
  <c r="AJ67" i="269"/>
  <c r="AJ67" i="267"/>
  <c r="AJ67" i="266"/>
  <c r="AJ67" i="264"/>
  <c r="AJ67" i="265"/>
  <c r="AJ67" i="263"/>
  <c r="H64" i="262"/>
  <c r="G136" i="262" s="1"/>
  <c r="AJ67" i="261"/>
  <c r="AF36" i="260"/>
  <c r="AJ36" i="273"/>
  <c r="AJ36" i="272"/>
  <c r="AJ36" i="270"/>
  <c r="AJ36" i="269"/>
  <c r="AJ36" i="266"/>
  <c r="AJ36" i="267"/>
  <c r="AJ36" i="264"/>
  <c r="AJ36" i="265"/>
  <c r="AJ36" i="263"/>
  <c r="H33" i="262"/>
  <c r="G105" i="262" s="1"/>
  <c r="AJ36" i="261"/>
  <c r="AF24" i="260"/>
  <c r="AJ24" i="273"/>
  <c r="AJ24" i="272"/>
  <c r="AJ24" i="270"/>
  <c r="AJ24" i="269"/>
  <c r="AJ24" i="267"/>
  <c r="AJ24" i="266"/>
  <c r="AJ24" i="264"/>
  <c r="AJ24" i="265"/>
  <c r="AJ24" i="263"/>
  <c r="H21" i="262"/>
  <c r="G93" i="262" s="1"/>
  <c r="AJ24" i="261"/>
  <c r="AF40" i="260"/>
  <c r="AJ40" i="273"/>
  <c r="AJ40" i="272"/>
  <c r="AJ40" i="270"/>
  <c r="AJ40" i="269"/>
  <c r="AJ40" i="267"/>
  <c r="AJ40" i="266"/>
  <c r="AJ40" i="265"/>
  <c r="AJ40" i="264"/>
  <c r="AJ40" i="263"/>
  <c r="H37" i="262"/>
  <c r="G109" i="262" s="1"/>
  <c r="AJ40" i="261"/>
  <c r="AF56" i="260"/>
  <c r="AJ56" i="273"/>
  <c r="AJ56" i="272"/>
  <c r="AJ56" i="270"/>
  <c r="AJ56" i="269"/>
  <c r="AJ56" i="267"/>
  <c r="AJ56" i="266"/>
  <c r="AJ56" i="265"/>
  <c r="AJ56" i="264"/>
  <c r="AJ56" i="263"/>
  <c r="H53" i="262"/>
  <c r="G125" i="262" s="1"/>
  <c r="AJ56" i="261"/>
  <c r="AF72" i="260"/>
  <c r="AJ72" i="273"/>
  <c r="AJ72" i="272"/>
  <c r="AJ72" i="270"/>
  <c r="AJ72" i="269"/>
  <c r="AJ72" i="267"/>
  <c r="AJ72" i="266"/>
  <c r="AJ72" i="265"/>
  <c r="AJ72" i="264"/>
  <c r="AJ72" i="263"/>
  <c r="H69" i="262"/>
  <c r="G141" i="262" s="1"/>
  <c r="AJ72" i="261"/>
  <c r="AF32" i="260"/>
  <c r="AJ32" i="273"/>
  <c r="AJ32" i="272"/>
  <c r="AJ32" i="270"/>
  <c r="AJ32" i="269"/>
  <c r="AJ32" i="267"/>
  <c r="AJ32" i="266"/>
  <c r="AJ32" i="264"/>
  <c r="AJ32" i="265"/>
  <c r="AJ32" i="263"/>
  <c r="H29" i="262"/>
  <c r="G101" i="262" s="1"/>
  <c r="AJ32" i="261"/>
  <c r="AF26" i="260"/>
  <c r="AJ26" i="273"/>
  <c r="AJ26" i="272"/>
  <c r="AJ26" i="270"/>
  <c r="AJ26" i="269"/>
  <c r="AJ26" i="267"/>
  <c r="AJ26" i="266"/>
  <c r="AJ26" i="264"/>
  <c r="AJ26" i="265"/>
  <c r="AJ26" i="263"/>
  <c r="H23" i="262"/>
  <c r="G95" i="262" s="1"/>
  <c r="AJ26" i="261"/>
  <c r="AF58" i="260"/>
  <c r="AJ58" i="273"/>
  <c r="AJ58" i="272"/>
  <c r="AJ58" i="269"/>
  <c r="AJ58" i="270"/>
  <c r="AJ58" i="267"/>
  <c r="AJ58" i="266"/>
  <c r="AJ58" i="264"/>
  <c r="AJ58" i="265"/>
  <c r="AJ58" i="263"/>
  <c r="H55" i="262"/>
  <c r="G127" i="262" s="1"/>
  <c r="AJ58" i="261"/>
  <c r="AF27" i="260"/>
  <c r="AJ27" i="273"/>
  <c r="AJ27" i="272"/>
  <c r="AJ27" i="269"/>
  <c r="AJ27" i="270"/>
  <c r="AJ27" i="267"/>
  <c r="AJ27" i="266"/>
  <c r="AJ27" i="265"/>
  <c r="AJ27" i="264"/>
  <c r="AJ27" i="263"/>
  <c r="H24" i="262"/>
  <c r="G96" i="262" s="1"/>
  <c r="AJ27" i="261"/>
  <c r="AF21" i="260"/>
  <c r="AJ21" i="273"/>
  <c r="AJ21" i="272"/>
  <c r="AJ21" i="270"/>
  <c r="AJ21" i="269"/>
  <c r="AJ21" i="267"/>
  <c r="AJ21" i="266"/>
  <c r="AJ21" i="265"/>
  <c r="AJ21" i="264"/>
  <c r="AJ21" i="263"/>
  <c r="H18" i="262"/>
  <c r="G90" i="262" s="1"/>
  <c r="AJ21" i="261"/>
  <c r="AF53" i="260"/>
  <c r="AJ53" i="273"/>
  <c r="AJ53" i="272"/>
  <c r="AJ53" i="270"/>
  <c r="AJ53" i="269"/>
  <c r="AJ53" i="267"/>
  <c r="AJ53" i="266"/>
  <c r="AJ53" i="265"/>
  <c r="AJ53" i="264"/>
  <c r="AJ53" i="263"/>
  <c r="H50" i="262"/>
  <c r="G122" i="262" s="1"/>
  <c r="AJ53" i="261"/>
  <c r="AF73" i="260"/>
  <c r="AJ73" i="273"/>
  <c r="AJ73" i="272"/>
  <c r="AJ73" i="270"/>
  <c r="AJ73" i="269"/>
  <c r="AJ73" i="266"/>
  <c r="AJ73" i="267"/>
  <c r="AJ73" i="265"/>
  <c r="AJ73" i="264"/>
  <c r="AJ73" i="263"/>
  <c r="H70" i="262"/>
  <c r="G142" i="262" s="1"/>
  <c r="AJ73" i="261"/>
  <c r="AF66" i="260"/>
  <c r="AJ66" i="273"/>
  <c r="AJ66" i="272"/>
  <c r="AJ66" i="269"/>
  <c r="AJ66" i="270"/>
  <c r="AJ66" i="266"/>
  <c r="AJ66" i="267"/>
  <c r="AJ66" i="265"/>
  <c r="AJ66" i="264"/>
  <c r="AJ66" i="263"/>
  <c r="H63" i="262"/>
  <c r="G135" i="262" s="1"/>
  <c r="AJ66" i="261"/>
  <c r="AF68" i="260"/>
  <c r="AJ68" i="273"/>
  <c r="AJ68" i="272"/>
  <c r="AJ68" i="270"/>
  <c r="AJ68" i="269"/>
  <c r="AJ68" i="266"/>
  <c r="AJ68" i="267"/>
  <c r="AJ68" i="265"/>
  <c r="AJ68" i="264"/>
  <c r="AJ68" i="263"/>
  <c r="H65" i="262"/>
  <c r="G137" i="262" s="1"/>
  <c r="AJ68" i="261"/>
  <c r="AF17" i="260"/>
  <c r="AJ17" i="273"/>
  <c r="AJ17" i="272"/>
  <c r="AJ17" i="270"/>
  <c r="AJ17" i="269"/>
  <c r="AJ17" i="267"/>
  <c r="AJ17" i="266"/>
  <c r="AJ17" i="265"/>
  <c r="AJ17" i="264"/>
  <c r="AJ17" i="263"/>
  <c r="H14" i="262"/>
  <c r="G86" i="262" s="1"/>
  <c r="AJ17" i="261"/>
  <c r="AF49" i="260"/>
  <c r="AJ49" i="273"/>
  <c r="AJ49" i="272"/>
  <c r="AJ49" i="269"/>
  <c r="AJ49" i="270"/>
  <c r="AJ49" i="266"/>
  <c r="AJ49" i="267"/>
  <c r="AJ49" i="265"/>
  <c r="AJ49" i="264"/>
  <c r="AJ49" i="263"/>
  <c r="H46" i="262"/>
  <c r="G118" i="262" s="1"/>
  <c r="AJ49" i="261"/>
  <c r="AF37" i="260"/>
  <c r="AJ37" i="273"/>
  <c r="AJ37" i="272"/>
  <c r="AJ37" i="269"/>
  <c r="AJ37" i="270"/>
  <c r="AJ37" i="266"/>
  <c r="AJ37" i="267"/>
  <c r="AJ37" i="265"/>
  <c r="AJ37" i="264"/>
  <c r="AJ37" i="263"/>
  <c r="H34" i="262"/>
  <c r="G106" i="262" s="1"/>
  <c r="AJ37" i="261"/>
  <c r="AF18" i="260"/>
  <c r="AJ18" i="273"/>
  <c r="AJ18" i="272"/>
  <c r="AJ18" i="270"/>
  <c r="AJ18" i="269"/>
  <c r="AJ18" i="267"/>
  <c r="AJ18" i="266"/>
  <c r="AJ18" i="265"/>
  <c r="AJ18" i="264"/>
  <c r="AJ18" i="263"/>
  <c r="H15" i="262"/>
  <c r="G87" i="262" s="1"/>
  <c r="AJ18" i="261"/>
  <c r="AF34" i="260"/>
  <c r="AJ34" i="273"/>
  <c r="AJ34" i="272"/>
  <c r="AJ34" i="269"/>
  <c r="AJ34" i="270"/>
  <c r="AJ34" i="266"/>
  <c r="AJ34" i="267"/>
  <c r="AJ34" i="265"/>
  <c r="AJ34" i="264"/>
  <c r="AJ34" i="263"/>
  <c r="H31" i="262"/>
  <c r="G103" i="262" s="1"/>
  <c r="AJ34" i="261"/>
  <c r="AF50" i="260"/>
  <c r="AJ50" i="273"/>
  <c r="AJ50" i="272"/>
  <c r="AJ50" i="270"/>
  <c r="AJ50" i="269"/>
  <c r="AJ50" i="266"/>
  <c r="AJ50" i="267"/>
  <c r="AJ50" i="264"/>
  <c r="AJ50" i="265"/>
  <c r="AJ50" i="263"/>
  <c r="H47" i="262"/>
  <c r="G119" i="262" s="1"/>
  <c r="AJ50" i="261"/>
  <c r="AF74" i="260"/>
  <c r="AJ74" i="273"/>
  <c r="AJ74" i="272"/>
  <c r="AJ74" i="270"/>
  <c r="AJ74" i="269"/>
  <c r="AJ74" i="267"/>
  <c r="AJ74" i="266"/>
  <c r="AJ74" i="264"/>
  <c r="AJ74" i="265"/>
  <c r="AJ74" i="263"/>
  <c r="H71" i="262"/>
  <c r="G143" i="262" s="1"/>
  <c r="AJ74" i="261"/>
  <c r="AF61" i="260"/>
  <c r="AJ61" i="273"/>
  <c r="AJ61" i="272"/>
  <c r="AJ61" i="270"/>
  <c r="AJ61" i="269"/>
  <c r="AJ61" i="267"/>
  <c r="AJ61" i="266"/>
  <c r="AJ61" i="264"/>
  <c r="AJ61" i="265"/>
  <c r="AJ61" i="263"/>
  <c r="H58" i="262"/>
  <c r="G130" i="262" s="1"/>
  <c r="AJ61" i="261"/>
  <c r="AF42" i="260"/>
  <c r="AJ42" i="273"/>
  <c r="AJ42" i="272"/>
  <c r="AJ42" i="270"/>
  <c r="AJ42" i="269"/>
  <c r="AJ42" i="266"/>
  <c r="AJ42" i="267"/>
  <c r="AJ42" i="265"/>
  <c r="AJ42" i="264"/>
  <c r="AJ42" i="263"/>
  <c r="H39" i="262"/>
  <c r="G111" i="262" s="1"/>
  <c r="AJ42" i="261"/>
  <c r="AF20" i="260"/>
  <c r="AJ20" i="273"/>
  <c r="AJ20" i="272"/>
  <c r="AJ20" i="270"/>
  <c r="AJ20" i="269"/>
  <c r="AJ20" i="267"/>
  <c r="AJ20" i="266"/>
  <c r="AJ20" i="265"/>
  <c r="AJ20" i="264"/>
  <c r="AJ20" i="263"/>
  <c r="H17" i="262"/>
  <c r="G89" i="262" s="1"/>
  <c r="AJ20" i="261"/>
  <c r="AF33" i="260"/>
  <c r="AJ33" i="273"/>
  <c r="AJ33" i="272"/>
  <c r="AJ33" i="269"/>
  <c r="AJ33" i="270"/>
  <c r="AJ33" i="266"/>
  <c r="AJ33" i="267"/>
  <c r="AJ33" i="265"/>
  <c r="AJ33" i="264"/>
  <c r="AJ33" i="263"/>
  <c r="H30" i="262"/>
  <c r="G102" i="262" s="1"/>
  <c r="AJ33" i="261"/>
  <c r="AF31" i="260"/>
  <c r="AJ31" i="273"/>
  <c r="AJ31" i="272"/>
  <c r="AJ31" i="269"/>
  <c r="AJ31" i="270"/>
  <c r="AJ31" i="266"/>
  <c r="AJ31" i="267"/>
  <c r="AJ31" i="264"/>
  <c r="AJ31" i="265"/>
  <c r="AJ31" i="263"/>
  <c r="H28" i="262"/>
  <c r="G100" i="262" s="1"/>
  <c r="AJ31" i="261"/>
  <c r="AF47" i="260"/>
  <c r="AJ47" i="273"/>
  <c r="AJ47" i="272"/>
  <c r="AJ47" i="270"/>
  <c r="AJ47" i="269"/>
  <c r="AJ47" i="266"/>
  <c r="AJ47" i="267"/>
  <c r="AJ47" i="265"/>
  <c r="AJ47" i="264"/>
  <c r="AJ47" i="263"/>
  <c r="H44" i="262"/>
  <c r="G116" i="262" s="1"/>
  <c r="AJ47" i="261"/>
  <c r="AF63" i="260"/>
  <c r="AJ63" i="273"/>
  <c r="AJ63" i="272"/>
  <c r="AJ63" i="270"/>
  <c r="AJ63" i="269"/>
  <c r="AJ63" i="267"/>
  <c r="AJ63" i="266"/>
  <c r="AJ63" i="264"/>
  <c r="AJ63" i="265"/>
  <c r="AJ63" i="263"/>
  <c r="H60" i="262"/>
  <c r="G132" i="262" s="1"/>
  <c r="AJ63" i="261"/>
  <c r="AF75" i="260"/>
  <c r="AJ75" i="273"/>
  <c r="AJ75" i="272"/>
  <c r="AJ75" i="269"/>
  <c r="AJ75" i="270"/>
  <c r="AJ75" i="267"/>
  <c r="AJ75" i="266"/>
  <c r="AJ75" i="264"/>
  <c r="AJ75" i="265"/>
  <c r="AJ75" i="263"/>
  <c r="H72" i="262"/>
  <c r="G144" i="262" s="1"/>
  <c r="AJ75" i="261"/>
  <c r="AF23" i="260"/>
  <c r="AJ23" i="273"/>
  <c r="AJ23" i="272"/>
  <c r="AJ23" i="269"/>
  <c r="AJ23" i="270"/>
  <c r="AJ23" i="267"/>
  <c r="AJ23" i="266"/>
  <c r="AJ23" i="264"/>
  <c r="AJ23" i="265"/>
  <c r="AJ23" i="263"/>
  <c r="H20" i="262"/>
  <c r="G92" i="262" s="1"/>
  <c r="AJ23" i="261"/>
  <c r="AF52" i="260"/>
  <c r="AJ52" i="273"/>
  <c r="AJ52" i="272"/>
  <c r="AJ52" i="269"/>
  <c r="AJ52" i="270"/>
  <c r="AJ52" i="267"/>
  <c r="AJ52" i="266"/>
  <c r="AJ52" i="264"/>
  <c r="AJ52" i="265"/>
  <c r="AJ52" i="263"/>
  <c r="H49" i="262"/>
  <c r="G121" i="262" s="1"/>
  <c r="AJ52" i="261"/>
  <c r="AF69" i="260"/>
  <c r="AJ69" i="273"/>
  <c r="AJ69" i="272"/>
  <c r="AJ69" i="269"/>
  <c r="AJ69" i="270"/>
  <c r="AJ69" i="267"/>
  <c r="AJ69" i="266"/>
  <c r="AJ69" i="265"/>
  <c r="AJ69" i="264"/>
  <c r="AJ69" i="263"/>
  <c r="H66" i="262"/>
  <c r="G138" i="262" s="1"/>
  <c r="AJ69" i="261"/>
  <c r="AF12" i="260"/>
  <c r="AJ12" i="273"/>
  <c r="AJ12" i="272"/>
  <c r="AJ12" i="269"/>
  <c r="AJ12" i="270"/>
  <c r="AJ12" i="266"/>
  <c r="AJ12" i="267"/>
  <c r="AJ12" i="264"/>
  <c r="AJ12" i="265"/>
  <c r="AJ12" i="263"/>
  <c r="H9" i="262"/>
  <c r="G81" i="262" s="1"/>
  <c r="AJ12" i="261"/>
  <c r="AF28" i="260"/>
  <c r="AJ28" i="273"/>
  <c r="AJ28" i="272"/>
  <c r="AJ28" i="269"/>
  <c r="AJ28" i="270"/>
  <c r="AJ28" i="266"/>
  <c r="AJ28" i="267"/>
  <c r="AJ28" i="264"/>
  <c r="AJ28" i="265"/>
  <c r="AJ28" i="263"/>
  <c r="H25" i="262"/>
  <c r="G97" i="262" s="1"/>
  <c r="AJ28" i="261"/>
  <c r="AF44" i="260"/>
  <c r="AJ44" i="273"/>
  <c r="AJ44" i="272"/>
  <c r="AJ44" i="270"/>
  <c r="AJ44" i="269"/>
  <c r="AJ44" i="267"/>
  <c r="AJ44" i="266"/>
  <c r="AJ44" i="264"/>
  <c r="AJ44" i="265"/>
  <c r="AJ44" i="263"/>
  <c r="H41" i="262"/>
  <c r="G113" i="262" s="1"/>
  <c r="AJ44" i="261"/>
  <c r="AF60" i="260"/>
  <c r="AJ60" i="273"/>
  <c r="AJ60" i="272"/>
  <c r="AJ60" i="270"/>
  <c r="AJ60" i="269"/>
  <c r="AJ60" i="267"/>
  <c r="AJ60" i="266"/>
  <c r="AJ60" i="264"/>
  <c r="AJ60" i="265"/>
  <c r="AJ60" i="263"/>
  <c r="H57" i="262"/>
  <c r="G129" i="262" s="1"/>
  <c r="AJ60" i="261"/>
  <c r="AF76" i="260"/>
  <c r="AJ76" i="273"/>
  <c r="AJ76" i="272"/>
  <c r="AJ76" i="270"/>
  <c r="AJ76" i="269"/>
  <c r="AJ76" i="266"/>
  <c r="AJ76" i="267"/>
  <c r="AJ76" i="264"/>
  <c r="AJ76" i="265"/>
  <c r="AJ76" i="263"/>
  <c r="H73" i="262"/>
  <c r="G145" i="262" s="1"/>
  <c r="AJ76" i="261"/>
  <c r="J101" i="269"/>
  <c r="M99" i="269"/>
  <c r="O99" i="269" s="1"/>
  <c r="J106" i="273"/>
  <c r="M104" i="273"/>
  <c r="O104" i="273" s="1"/>
  <c r="J103" i="272"/>
  <c r="M101" i="272"/>
  <c r="O101" i="272" s="1"/>
  <c r="J102" i="270"/>
  <c r="M100" i="270"/>
  <c r="O100" i="270" s="1"/>
  <c r="M23" i="267"/>
  <c r="O23" i="267" s="1"/>
  <c r="J25" i="267"/>
  <c r="AE24" i="267"/>
  <c r="M25" i="266"/>
  <c r="O25" i="266" s="1"/>
  <c r="J27" i="266"/>
  <c r="AE26" i="266"/>
  <c r="J22" i="265"/>
  <c r="AE21" i="265"/>
  <c r="M20" i="265"/>
  <c r="O20" i="265" s="1"/>
  <c r="O21" i="264"/>
  <c r="J23" i="264"/>
  <c r="AE22" i="264"/>
  <c r="AE17" i="263"/>
  <c r="J18" i="263"/>
  <c r="M16" i="263"/>
  <c r="O16" i="263" s="1"/>
  <c r="D12" i="260"/>
  <c r="F12" i="260" s="1"/>
  <c r="G12" i="260" s="1"/>
  <c r="H12" i="260" s="1"/>
  <c r="D13" i="260"/>
  <c r="F13" i="260" s="1"/>
  <c r="G13" i="260" s="1"/>
  <c r="H13" i="260" s="1"/>
  <c r="J13" i="261"/>
  <c r="M11" i="261"/>
  <c r="O11" i="261" s="1"/>
  <c r="AE12" i="261"/>
  <c r="S40" i="260"/>
  <c r="T40" i="260" s="1"/>
  <c r="S52" i="260"/>
  <c r="T52" i="260" s="1"/>
  <c r="S12" i="260"/>
  <c r="T12" i="260" s="1"/>
  <c r="S36" i="260"/>
  <c r="T36" i="260" s="1"/>
  <c r="S20" i="260"/>
  <c r="T20" i="260" s="1"/>
  <c r="S56" i="260"/>
  <c r="T56" i="260" s="1"/>
  <c r="S24" i="260"/>
  <c r="T24" i="260" s="1"/>
  <c r="S60" i="260"/>
  <c r="T60" i="260" s="1"/>
  <c r="S44" i="260"/>
  <c r="T44" i="260" s="1"/>
  <c r="S28" i="260"/>
  <c r="T28" i="260" s="1"/>
  <c r="S67" i="260"/>
  <c r="T67" i="260" s="1"/>
  <c r="S48" i="260"/>
  <c r="T48" i="260" s="1"/>
  <c r="S32" i="260"/>
  <c r="T32" i="260" s="1"/>
  <c r="S16" i="260"/>
  <c r="T16" i="260" s="1"/>
  <c r="S63" i="260"/>
  <c r="T63" i="260" s="1"/>
  <c r="S55" i="260"/>
  <c r="T55" i="260" s="1"/>
  <c r="S47" i="260"/>
  <c r="T47" i="260" s="1"/>
  <c r="S43" i="260"/>
  <c r="T43" i="260" s="1"/>
  <c r="S35" i="260"/>
  <c r="T35" i="260" s="1"/>
  <c r="S31" i="260"/>
  <c r="T31" i="260" s="1"/>
  <c r="S27" i="260"/>
  <c r="T27" i="260" s="1"/>
  <c r="S23" i="260"/>
  <c r="T23" i="260" s="1"/>
  <c r="S19" i="260"/>
  <c r="T19" i="260" s="1"/>
  <c r="S64" i="260"/>
  <c r="S70" i="260"/>
  <c r="T70" i="260" s="1"/>
  <c r="S66" i="260"/>
  <c r="T66" i="260" s="1"/>
  <c r="S62" i="260"/>
  <c r="T62" i="260" s="1"/>
  <c r="S58" i="260"/>
  <c r="T58" i="260" s="1"/>
  <c r="S54" i="260"/>
  <c r="T54" i="260" s="1"/>
  <c r="S50" i="260"/>
  <c r="T50" i="260" s="1"/>
  <c r="S46" i="260"/>
  <c r="T46" i="260" s="1"/>
  <c r="S42" i="260"/>
  <c r="T42" i="260" s="1"/>
  <c r="S38" i="260"/>
  <c r="T38" i="260" s="1"/>
  <c r="S34" i="260"/>
  <c r="T34" i="260" s="1"/>
  <c r="S30" i="260"/>
  <c r="T30" i="260" s="1"/>
  <c r="S26" i="260"/>
  <c r="T26" i="260" s="1"/>
  <c r="S22" i="260"/>
  <c r="T22" i="260" s="1"/>
  <c r="S18" i="260"/>
  <c r="T18" i="260" s="1"/>
  <c r="S14" i="260"/>
  <c r="T14" i="260" s="1"/>
  <c r="S59" i="260"/>
  <c r="T59" i="260" s="1"/>
  <c r="S51" i="260"/>
  <c r="T51" i="260" s="1"/>
  <c r="S39" i="260"/>
  <c r="T39" i="260" s="1"/>
  <c r="S15" i="260"/>
  <c r="T15" i="260" s="1"/>
  <c r="S68" i="260"/>
  <c r="T68" i="260" s="1"/>
  <c r="S69" i="260"/>
  <c r="T69" i="260" s="1"/>
  <c r="S65" i="260"/>
  <c r="T65" i="260" s="1"/>
  <c r="S61" i="260"/>
  <c r="T61" i="260" s="1"/>
  <c r="S57" i="260"/>
  <c r="T57" i="260" s="1"/>
  <c r="S53" i="260"/>
  <c r="T53" i="260" s="1"/>
  <c r="S49" i="260"/>
  <c r="T49" i="260" s="1"/>
  <c r="S45" i="260"/>
  <c r="T45" i="260" s="1"/>
  <c r="S41" i="260"/>
  <c r="T41" i="260" s="1"/>
  <c r="S37" i="260"/>
  <c r="T37" i="260" s="1"/>
  <c r="S33" i="260"/>
  <c r="T33" i="260" s="1"/>
  <c r="S29" i="260"/>
  <c r="T29" i="260" s="1"/>
  <c r="S25" i="260"/>
  <c r="T25" i="260" s="1"/>
  <c r="S21" i="260"/>
  <c r="T21" i="260" s="1"/>
  <c r="S17" i="260"/>
  <c r="T17" i="260" s="1"/>
  <c r="S13" i="260"/>
  <c r="T13" i="260" s="1"/>
  <c r="T64" i="260"/>
  <c r="D9" i="260"/>
  <c r="F9" i="260" s="1"/>
  <c r="G9" i="260" s="1"/>
  <c r="H9" i="260" s="1"/>
  <c r="J9" i="260"/>
  <c r="J10" i="260" s="1"/>
  <c r="D65" i="260"/>
  <c r="F65" i="260" s="1"/>
  <c r="G65" i="260" s="1"/>
  <c r="H65" i="260" s="1"/>
  <c r="B66" i="260"/>
  <c r="D10" i="260"/>
  <c r="F10" i="260" s="1"/>
  <c r="G10" i="260" s="1"/>
  <c r="H10" i="260" s="1"/>
  <c r="M107" i="258"/>
  <c r="O107" i="258" s="1"/>
  <c r="L107" i="258"/>
  <c r="L106" i="258"/>
  <c r="L105" i="258"/>
  <c r="L104" i="258"/>
  <c r="L103" i="258"/>
  <c r="L102" i="258"/>
  <c r="L101" i="258"/>
  <c r="L100" i="258"/>
  <c r="L99" i="258"/>
  <c r="L98" i="258"/>
  <c r="L97" i="258"/>
  <c r="L96" i="258"/>
  <c r="L95" i="258"/>
  <c r="L94" i="258"/>
  <c r="L93" i="258"/>
  <c r="L92" i="258"/>
  <c r="L91" i="258"/>
  <c r="L90" i="258"/>
  <c r="L89" i="258"/>
  <c r="L88" i="258"/>
  <c r="L87" i="258"/>
  <c r="L86" i="258"/>
  <c r="L85" i="258"/>
  <c r="L84" i="258"/>
  <c r="L83" i="258"/>
  <c r="L82" i="258"/>
  <c r="L81" i="258"/>
  <c r="L80" i="258"/>
  <c r="L79" i="258"/>
  <c r="L78" i="258"/>
  <c r="L77" i="258"/>
  <c r="I74" i="262" s="1"/>
  <c r="L76" i="258"/>
  <c r="I73" i="262" s="1"/>
  <c r="H145" i="262" s="1"/>
  <c r="L75" i="258"/>
  <c r="I72" i="262" s="1"/>
  <c r="H144" i="262" s="1"/>
  <c r="L74" i="258"/>
  <c r="I71" i="262" s="1"/>
  <c r="H143" i="262" s="1"/>
  <c r="L73" i="258"/>
  <c r="I70" i="262" s="1"/>
  <c r="H142" i="262" s="1"/>
  <c r="L72" i="258"/>
  <c r="I69" i="262" s="1"/>
  <c r="H141" i="262" s="1"/>
  <c r="L71" i="258"/>
  <c r="I68" i="262" s="1"/>
  <c r="H140" i="262" s="1"/>
  <c r="L70" i="258"/>
  <c r="I67" i="262" s="1"/>
  <c r="H139" i="262" s="1"/>
  <c r="L69" i="258"/>
  <c r="I66" i="262" s="1"/>
  <c r="H138" i="262" s="1"/>
  <c r="L68" i="258"/>
  <c r="I65" i="262" s="1"/>
  <c r="H137" i="262" s="1"/>
  <c r="L67" i="258"/>
  <c r="I64" i="262" s="1"/>
  <c r="H136" i="262" s="1"/>
  <c r="L66" i="258"/>
  <c r="I63" i="262" s="1"/>
  <c r="H135" i="262" s="1"/>
  <c r="L65" i="258"/>
  <c r="I62" i="262" s="1"/>
  <c r="H134" i="262" s="1"/>
  <c r="L64" i="258"/>
  <c r="I61" i="262" s="1"/>
  <c r="H133" i="262" s="1"/>
  <c r="H64" i="258"/>
  <c r="G64" i="258"/>
  <c r="F64" i="258"/>
  <c r="D64" i="258"/>
  <c r="L63" i="258"/>
  <c r="I60" i="262" s="1"/>
  <c r="H132" i="262" s="1"/>
  <c r="H63" i="258"/>
  <c r="G63" i="258"/>
  <c r="F63" i="258"/>
  <c r="D63" i="258"/>
  <c r="L62" i="258"/>
  <c r="I59" i="262" s="1"/>
  <c r="H131" i="262" s="1"/>
  <c r="H62" i="258"/>
  <c r="G62" i="258"/>
  <c r="F62" i="258"/>
  <c r="D62" i="258"/>
  <c r="L61" i="258"/>
  <c r="I58" i="262" s="1"/>
  <c r="H130" i="262" s="1"/>
  <c r="H61" i="258"/>
  <c r="G61" i="258"/>
  <c r="F61" i="258"/>
  <c r="D61" i="258"/>
  <c r="L60" i="258"/>
  <c r="I57" i="262" s="1"/>
  <c r="H129" i="262" s="1"/>
  <c r="H60" i="258"/>
  <c r="G60" i="258"/>
  <c r="F60" i="258"/>
  <c r="D60" i="258"/>
  <c r="L59" i="258"/>
  <c r="I56" i="262" s="1"/>
  <c r="H128" i="262" s="1"/>
  <c r="H59" i="258"/>
  <c r="G59" i="258"/>
  <c r="F59" i="258"/>
  <c r="D59" i="258"/>
  <c r="L58" i="258"/>
  <c r="I55" i="262" s="1"/>
  <c r="H127" i="262" s="1"/>
  <c r="H58" i="258"/>
  <c r="G58" i="258"/>
  <c r="F58" i="258"/>
  <c r="D58" i="258"/>
  <c r="L57" i="258"/>
  <c r="I54" i="262" s="1"/>
  <c r="H126" i="262" s="1"/>
  <c r="H57" i="258"/>
  <c r="G57" i="258"/>
  <c r="F57" i="258"/>
  <c r="D57" i="258"/>
  <c r="L56" i="258"/>
  <c r="I53" i="262" s="1"/>
  <c r="H125" i="262" s="1"/>
  <c r="H56" i="258"/>
  <c r="G56" i="258"/>
  <c r="F56" i="258"/>
  <c r="D56" i="258"/>
  <c r="L55" i="258"/>
  <c r="I52" i="262" s="1"/>
  <c r="H124" i="262" s="1"/>
  <c r="H55" i="258"/>
  <c r="G55" i="258"/>
  <c r="F55" i="258"/>
  <c r="D55" i="258"/>
  <c r="L54" i="258"/>
  <c r="I51" i="262" s="1"/>
  <c r="H123" i="262" s="1"/>
  <c r="H54" i="258"/>
  <c r="G54" i="258"/>
  <c r="F54" i="258"/>
  <c r="D54" i="258"/>
  <c r="L53" i="258"/>
  <c r="I50" i="262" s="1"/>
  <c r="H122" i="262" s="1"/>
  <c r="H53" i="258"/>
  <c r="G53" i="258"/>
  <c r="F53" i="258"/>
  <c r="D53" i="258"/>
  <c r="L52" i="258"/>
  <c r="I49" i="262" s="1"/>
  <c r="H121" i="262" s="1"/>
  <c r="H52" i="258"/>
  <c r="G52" i="258"/>
  <c r="F52" i="258"/>
  <c r="D52" i="258"/>
  <c r="L51" i="258"/>
  <c r="I48" i="262" s="1"/>
  <c r="H120" i="262" s="1"/>
  <c r="H51" i="258"/>
  <c r="G51" i="258"/>
  <c r="F51" i="258"/>
  <c r="D51" i="258"/>
  <c r="L50" i="258"/>
  <c r="I47" i="262" s="1"/>
  <c r="H119" i="262" s="1"/>
  <c r="H50" i="258"/>
  <c r="G50" i="258"/>
  <c r="F50" i="258"/>
  <c r="D50" i="258"/>
  <c r="L49" i="258"/>
  <c r="I46" i="262" s="1"/>
  <c r="H118" i="262" s="1"/>
  <c r="H49" i="258"/>
  <c r="G49" i="258"/>
  <c r="F49" i="258"/>
  <c r="D49" i="258"/>
  <c r="L48" i="258"/>
  <c r="I45" i="262" s="1"/>
  <c r="H117" i="262" s="1"/>
  <c r="H48" i="258"/>
  <c r="G48" i="258"/>
  <c r="F48" i="258"/>
  <c r="D48" i="258"/>
  <c r="L47" i="258"/>
  <c r="I44" i="262" s="1"/>
  <c r="H116" i="262" s="1"/>
  <c r="H47" i="258"/>
  <c r="G47" i="258"/>
  <c r="F47" i="258"/>
  <c r="D47" i="258"/>
  <c r="L46" i="258"/>
  <c r="I43" i="262" s="1"/>
  <c r="H115" i="262" s="1"/>
  <c r="H46" i="258"/>
  <c r="G46" i="258"/>
  <c r="F46" i="258"/>
  <c r="D46" i="258"/>
  <c r="L45" i="258"/>
  <c r="I42" i="262" s="1"/>
  <c r="H114" i="262" s="1"/>
  <c r="H45" i="258"/>
  <c r="G45" i="258"/>
  <c r="F45" i="258"/>
  <c r="D45" i="258"/>
  <c r="L44" i="258"/>
  <c r="I41" i="262" s="1"/>
  <c r="H113" i="262" s="1"/>
  <c r="H44" i="258"/>
  <c r="G44" i="258"/>
  <c r="F44" i="258"/>
  <c r="D44" i="258"/>
  <c r="L43" i="258"/>
  <c r="I40" i="262" s="1"/>
  <c r="H112" i="262" s="1"/>
  <c r="H43" i="258"/>
  <c r="G43" i="258"/>
  <c r="F43" i="258"/>
  <c r="D43" i="258"/>
  <c r="L42" i="258"/>
  <c r="I39" i="262" s="1"/>
  <c r="H111" i="262" s="1"/>
  <c r="H42" i="258"/>
  <c r="G42" i="258"/>
  <c r="F42" i="258"/>
  <c r="D42" i="258"/>
  <c r="L41" i="258"/>
  <c r="I38" i="262" s="1"/>
  <c r="H110" i="262" s="1"/>
  <c r="H41" i="258"/>
  <c r="G41" i="258"/>
  <c r="F41" i="258"/>
  <c r="D41" i="258"/>
  <c r="L40" i="258"/>
  <c r="I37" i="262" s="1"/>
  <c r="H109" i="262" s="1"/>
  <c r="H40" i="258"/>
  <c r="G40" i="258"/>
  <c r="F40" i="258"/>
  <c r="D40" i="258"/>
  <c r="L39" i="258"/>
  <c r="I36" i="262" s="1"/>
  <c r="H108" i="262" s="1"/>
  <c r="H39" i="258"/>
  <c r="G39" i="258"/>
  <c r="F39" i="258"/>
  <c r="D39" i="258"/>
  <c r="L38" i="258"/>
  <c r="I35" i="262" s="1"/>
  <c r="H107" i="262" s="1"/>
  <c r="H38" i="258"/>
  <c r="G38" i="258"/>
  <c r="F38" i="258"/>
  <c r="D38" i="258"/>
  <c r="L37" i="258"/>
  <c r="I34" i="262" s="1"/>
  <c r="H106" i="262" s="1"/>
  <c r="H37" i="258"/>
  <c r="G37" i="258"/>
  <c r="F37" i="258"/>
  <c r="D37" i="258"/>
  <c r="L36" i="258"/>
  <c r="I33" i="262" s="1"/>
  <c r="H105" i="262" s="1"/>
  <c r="H36" i="258"/>
  <c r="G36" i="258"/>
  <c r="F36" i="258"/>
  <c r="D36" i="258"/>
  <c r="L35" i="258"/>
  <c r="I32" i="262" s="1"/>
  <c r="H104" i="262" s="1"/>
  <c r="H35" i="258"/>
  <c r="G35" i="258"/>
  <c r="F35" i="258"/>
  <c r="D35" i="258"/>
  <c r="L34" i="258"/>
  <c r="I31" i="262" s="1"/>
  <c r="H103" i="262" s="1"/>
  <c r="H34" i="258"/>
  <c r="G34" i="258"/>
  <c r="F34" i="258"/>
  <c r="D34" i="258"/>
  <c r="L33" i="258"/>
  <c r="I30" i="262" s="1"/>
  <c r="H102" i="262" s="1"/>
  <c r="H33" i="258"/>
  <c r="G33" i="258"/>
  <c r="F33" i="258"/>
  <c r="D33" i="258"/>
  <c r="L32" i="258"/>
  <c r="I29" i="262" s="1"/>
  <c r="H101" i="262" s="1"/>
  <c r="H32" i="258"/>
  <c r="G32" i="258"/>
  <c r="F32" i="258"/>
  <c r="D32" i="258"/>
  <c r="L31" i="258"/>
  <c r="I28" i="262" s="1"/>
  <c r="H100" i="262" s="1"/>
  <c r="H31" i="258"/>
  <c r="G31" i="258"/>
  <c r="F31" i="258"/>
  <c r="D31" i="258"/>
  <c r="L30" i="258"/>
  <c r="I27" i="262" s="1"/>
  <c r="H99" i="262" s="1"/>
  <c r="H30" i="258"/>
  <c r="G30" i="258"/>
  <c r="F30" i="258"/>
  <c r="D30" i="258"/>
  <c r="L29" i="258"/>
  <c r="I26" i="262" s="1"/>
  <c r="H98" i="262" s="1"/>
  <c r="H29" i="258"/>
  <c r="G29" i="258"/>
  <c r="F29" i="258"/>
  <c r="D29" i="258"/>
  <c r="L28" i="258"/>
  <c r="I25" i="262" s="1"/>
  <c r="H97" i="262" s="1"/>
  <c r="H28" i="258"/>
  <c r="G28" i="258"/>
  <c r="F28" i="258"/>
  <c r="D28" i="258"/>
  <c r="L27" i="258"/>
  <c r="I24" i="262" s="1"/>
  <c r="H96" i="262" s="1"/>
  <c r="H27" i="258"/>
  <c r="G27" i="258"/>
  <c r="F27" i="258"/>
  <c r="D27" i="258"/>
  <c r="L26" i="258"/>
  <c r="I23" i="262" s="1"/>
  <c r="H95" i="262" s="1"/>
  <c r="H26" i="258"/>
  <c r="G26" i="258"/>
  <c r="F26" i="258"/>
  <c r="D26" i="258"/>
  <c r="L25" i="258"/>
  <c r="I22" i="262" s="1"/>
  <c r="H94" i="262" s="1"/>
  <c r="H25" i="258"/>
  <c r="G25" i="258"/>
  <c r="F25" i="258"/>
  <c r="D25" i="258"/>
  <c r="L24" i="258"/>
  <c r="I21" i="262" s="1"/>
  <c r="H93" i="262" s="1"/>
  <c r="H24" i="258"/>
  <c r="G24" i="258"/>
  <c r="F24" i="258"/>
  <c r="D24" i="258"/>
  <c r="L23" i="258"/>
  <c r="I20" i="262" s="1"/>
  <c r="H92" i="262" s="1"/>
  <c r="H23" i="258"/>
  <c r="G23" i="258"/>
  <c r="F23" i="258"/>
  <c r="D23" i="258"/>
  <c r="L22" i="258"/>
  <c r="I19" i="262" s="1"/>
  <c r="H91" i="262" s="1"/>
  <c r="H22" i="258"/>
  <c r="G22" i="258"/>
  <c r="F22" i="258"/>
  <c r="D22" i="258"/>
  <c r="L21" i="258"/>
  <c r="I18" i="262" s="1"/>
  <c r="H90" i="262" s="1"/>
  <c r="H21" i="258"/>
  <c r="G21" i="258"/>
  <c r="F21" i="258"/>
  <c r="D21" i="258"/>
  <c r="L20" i="258"/>
  <c r="I17" i="262" s="1"/>
  <c r="H89" i="262" s="1"/>
  <c r="H20" i="258"/>
  <c r="G20" i="258"/>
  <c r="F20" i="258"/>
  <c r="L19" i="258"/>
  <c r="I16" i="262" s="1"/>
  <c r="H88" i="262" s="1"/>
  <c r="L18" i="258"/>
  <c r="I15" i="262" s="1"/>
  <c r="H87" i="262" s="1"/>
  <c r="L17" i="258"/>
  <c r="I14" i="262" s="1"/>
  <c r="H86" i="262" s="1"/>
  <c r="L16" i="258"/>
  <c r="I13" i="262" s="1"/>
  <c r="H85" i="262" s="1"/>
  <c r="L15" i="258"/>
  <c r="I12" i="262" s="1"/>
  <c r="H84" i="262" s="1"/>
  <c r="L14" i="258"/>
  <c r="I11" i="262" s="1"/>
  <c r="H83" i="262" s="1"/>
  <c r="L13" i="258"/>
  <c r="I10" i="262" s="1"/>
  <c r="H82" i="262" s="1"/>
  <c r="L12" i="258"/>
  <c r="I9" i="262" s="1"/>
  <c r="H81" i="262" s="1"/>
  <c r="L11" i="258"/>
  <c r="I8" i="262" s="1"/>
  <c r="H80" i="262" s="1"/>
  <c r="L10" i="258"/>
  <c r="I7" i="262" s="1"/>
  <c r="H79" i="262" s="1"/>
  <c r="L9" i="258"/>
  <c r="I6" i="262" s="1"/>
  <c r="H78" i="262" s="1"/>
  <c r="C5" i="258"/>
  <c r="B65" i="258" s="1"/>
  <c r="A3" i="258"/>
  <c r="B66" i="258" s="1"/>
  <c r="M107" i="256"/>
  <c r="O107" i="256" s="1"/>
  <c r="L107" i="256"/>
  <c r="L106" i="256"/>
  <c r="L105" i="256"/>
  <c r="L104" i="256"/>
  <c r="L103" i="256"/>
  <c r="L102" i="256"/>
  <c r="L101" i="256"/>
  <c r="L100" i="256"/>
  <c r="L99" i="256"/>
  <c r="L98" i="256"/>
  <c r="L97" i="256"/>
  <c r="L96" i="256"/>
  <c r="L95" i="256"/>
  <c r="L94" i="256"/>
  <c r="L93" i="256"/>
  <c r="L92" i="256"/>
  <c r="L91" i="256"/>
  <c r="L90" i="256"/>
  <c r="L89" i="256"/>
  <c r="L88" i="256"/>
  <c r="L87" i="256"/>
  <c r="L86" i="256"/>
  <c r="L85" i="256"/>
  <c r="L84" i="256"/>
  <c r="L83" i="256"/>
  <c r="L82" i="256"/>
  <c r="L81" i="256"/>
  <c r="L80" i="256"/>
  <c r="L79" i="256"/>
  <c r="L78" i="256"/>
  <c r="L77" i="256"/>
  <c r="L76" i="256"/>
  <c r="L75" i="256"/>
  <c r="L74" i="256"/>
  <c r="L73" i="256"/>
  <c r="L72" i="256"/>
  <c r="J69" i="262" s="1"/>
  <c r="I141" i="262" s="1"/>
  <c r="L71" i="256"/>
  <c r="J68" i="262" s="1"/>
  <c r="I140" i="262" s="1"/>
  <c r="L70" i="256"/>
  <c r="J67" i="262" s="1"/>
  <c r="I139" i="262" s="1"/>
  <c r="L69" i="256"/>
  <c r="J66" i="262" s="1"/>
  <c r="I138" i="262" s="1"/>
  <c r="L68" i="256"/>
  <c r="J65" i="262" s="1"/>
  <c r="I137" i="262" s="1"/>
  <c r="L67" i="256"/>
  <c r="J64" i="262" s="1"/>
  <c r="I136" i="262" s="1"/>
  <c r="L66" i="256"/>
  <c r="J63" i="262" s="1"/>
  <c r="I135" i="262" s="1"/>
  <c r="L65" i="256"/>
  <c r="J62" i="262" s="1"/>
  <c r="I134" i="262" s="1"/>
  <c r="L64" i="256"/>
  <c r="J61" i="262" s="1"/>
  <c r="I133" i="262" s="1"/>
  <c r="H64" i="256"/>
  <c r="G64" i="256"/>
  <c r="F64" i="256"/>
  <c r="D64" i="256"/>
  <c r="L63" i="256"/>
  <c r="J60" i="262" s="1"/>
  <c r="I132" i="262" s="1"/>
  <c r="H63" i="256"/>
  <c r="G63" i="256"/>
  <c r="F63" i="256"/>
  <c r="D63" i="256"/>
  <c r="L62" i="256"/>
  <c r="J59" i="262" s="1"/>
  <c r="I131" i="262" s="1"/>
  <c r="H62" i="256"/>
  <c r="G62" i="256"/>
  <c r="F62" i="256"/>
  <c r="D62" i="256"/>
  <c r="L61" i="256"/>
  <c r="J58" i="262" s="1"/>
  <c r="I130" i="262" s="1"/>
  <c r="H61" i="256"/>
  <c r="G61" i="256"/>
  <c r="F61" i="256"/>
  <c r="D61" i="256"/>
  <c r="L60" i="256"/>
  <c r="J57" i="262" s="1"/>
  <c r="I129" i="262" s="1"/>
  <c r="H60" i="256"/>
  <c r="G60" i="256"/>
  <c r="F60" i="256"/>
  <c r="D60" i="256"/>
  <c r="L59" i="256"/>
  <c r="J56" i="262" s="1"/>
  <c r="I128" i="262" s="1"/>
  <c r="H59" i="256"/>
  <c r="G59" i="256"/>
  <c r="F59" i="256"/>
  <c r="D59" i="256"/>
  <c r="L58" i="256"/>
  <c r="J55" i="262" s="1"/>
  <c r="I127" i="262" s="1"/>
  <c r="H58" i="256"/>
  <c r="G58" i="256"/>
  <c r="F58" i="256"/>
  <c r="D58" i="256"/>
  <c r="L57" i="256"/>
  <c r="J54" i="262" s="1"/>
  <c r="I126" i="262" s="1"/>
  <c r="H57" i="256"/>
  <c r="G57" i="256"/>
  <c r="F57" i="256"/>
  <c r="D57" i="256"/>
  <c r="L56" i="256"/>
  <c r="J53" i="262" s="1"/>
  <c r="I125" i="262" s="1"/>
  <c r="H56" i="256"/>
  <c r="G56" i="256"/>
  <c r="F56" i="256"/>
  <c r="D56" i="256"/>
  <c r="L55" i="256"/>
  <c r="J52" i="262" s="1"/>
  <c r="I124" i="262" s="1"/>
  <c r="H55" i="256"/>
  <c r="G55" i="256"/>
  <c r="F55" i="256"/>
  <c r="D55" i="256"/>
  <c r="L54" i="256"/>
  <c r="J51" i="262" s="1"/>
  <c r="I123" i="262" s="1"/>
  <c r="H54" i="256"/>
  <c r="G54" i="256"/>
  <c r="F54" i="256"/>
  <c r="D54" i="256"/>
  <c r="L53" i="256"/>
  <c r="J50" i="262" s="1"/>
  <c r="I122" i="262" s="1"/>
  <c r="H53" i="256"/>
  <c r="G53" i="256"/>
  <c r="F53" i="256"/>
  <c r="D53" i="256"/>
  <c r="L52" i="256"/>
  <c r="J49" i="262" s="1"/>
  <c r="I121" i="262" s="1"/>
  <c r="H52" i="256"/>
  <c r="G52" i="256"/>
  <c r="F52" i="256"/>
  <c r="D52" i="256"/>
  <c r="L51" i="256"/>
  <c r="J48" i="262" s="1"/>
  <c r="I120" i="262" s="1"/>
  <c r="H51" i="256"/>
  <c r="G51" i="256"/>
  <c r="F51" i="256"/>
  <c r="D51" i="256"/>
  <c r="L50" i="256"/>
  <c r="J47" i="262" s="1"/>
  <c r="I119" i="262" s="1"/>
  <c r="H50" i="256"/>
  <c r="G50" i="256"/>
  <c r="F50" i="256"/>
  <c r="D50" i="256"/>
  <c r="L49" i="256"/>
  <c r="J46" i="262" s="1"/>
  <c r="I118" i="262" s="1"/>
  <c r="H49" i="256"/>
  <c r="G49" i="256"/>
  <c r="F49" i="256"/>
  <c r="D49" i="256"/>
  <c r="L48" i="256"/>
  <c r="J45" i="262" s="1"/>
  <c r="I117" i="262" s="1"/>
  <c r="H48" i="256"/>
  <c r="G48" i="256"/>
  <c r="F48" i="256"/>
  <c r="D48" i="256"/>
  <c r="L47" i="256"/>
  <c r="J44" i="262" s="1"/>
  <c r="I116" i="262" s="1"/>
  <c r="H47" i="256"/>
  <c r="G47" i="256"/>
  <c r="F47" i="256"/>
  <c r="D47" i="256"/>
  <c r="L46" i="256"/>
  <c r="J43" i="262" s="1"/>
  <c r="I115" i="262" s="1"/>
  <c r="H46" i="256"/>
  <c r="G46" i="256"/>
  <c r="F46" i="256"/>
  <c r="D46" i="256"/>
  <c r="L45" i="256"/>
  <c r="J42" i="262" s="1"/>
  <c r="I114" i="262" s="1"/>
  <c r="H45" i="256"/>
  <c r="G45" i="256"/>
  <c r="F45" i="256"/>
  <c r="D45" i="256"/>
  <c r="L44" i="256"/>
  <c r="J41" i="262" s="1"/>
  <c r="I113" i="262" s="1"/>
  <c r="H44" i="256"/>
  <c r="G44" i="256"/>
  <c r="F44" i="256"/>
  <c r="D44" i="256"/>
  <c r="L43" i="256"/>
  <c r="J40" i="262" s="1"/>
  <c r="I112" i="262" s="1"/>
  <c r="H43" i="256"/>
  <c r="G43" i="256"/>
  <c r="F43" i="256"/>
  <c r="D43" i="256"/>
  <c r="L42" i="256"/>
  <c r="J39" i="262" s="1"/>
  <c r="I111" i="262" s="1"/>
  <c r="H42" i="256"/>
  <c r="G42" i="256"/>
  <c r="F42" i="256"/>
  <c r="D42" i="256"/>
  <c r="L41" i="256"/>
  <c r="J38" i="262" s="1"/>
  <c r="I110" i="262" s="1"/>
  <c r="H41" i="256"/>
  <c r="G41" i="256"/>
  <c r="F41" i="256"/>
  <c r="D41" i="256"/>
  <c r="L40" i="256"/>
  <c r="J37" i="262" s="1"/>
  <c r="I109" i="262" s="1"/>
  <c r="H40" i="256"/>
  <c r="G40" i="256"/>
  <c r="F40" i="256"/>
  <c r="D40" i="256"/>
  <c r="L39" i="256"/>
  <c r="J36" i="262" s="1"/>
  <c r="I108" i="262" s="1"/>
  <c r="H39" i="256"/>
  <c r="G39" i="256"/>
  <c r="F39" i="256"/>
  <c r="D39" i="256"/>
  <c r="L38" i="256"/>
  <c r="J35" i="262" s="1"/>
  <c r="I107" i="262" s="1"/>
  <c r="H38" i="256"/>
  <c r="G38" i="256"/>
  <c r="F38" i="256"/>
  <c r="D38" i="256"/>
  <c r="L37" i="256"/>
  <c r="J34" i="262" s="1"/>
  <c r="I106" i="262" s="1"/>
  <c r="H37" i="256"/>
  <c r="G37" i="256"/>
  <c r="F37" i="256"/>
  <c r="D37" i="256"/>
  <c r="L36" i="256"/>
  <c r="J33" i="262" s="1"/>
  <c r="I105" i="262" s="1"/>
  <c r="H36" i="256"/>
  <c r="G36" i="256"/>
  <c r="F36" i="256"/>
  <c r="D36" i="256"/>
  <c r="L35" i="256"/>
  <c r="J32" i="262" s="1"/>
  <c r="I104" i="262" s="1"/>
  <c r="H35" i="256"/>
  <c r="G35" i="256"/>
  <c r="F35" i="256"/>
  <c r="D35" i="256"/>
  <c r="L34" i="256"/>
  <c r="J31" i="262" s="1"/>
  <c r="I103" i="262" s="1"/>
  <c r="H34" i="256"/>
  <c r="G34" i="256"/>
  <c r="F34" i="256"/>
  <c r="D34" i="256"/>
  <c r="L33" i="256"/>
  <c r="J30" i="262" s="1"/>
  <c r="I102" i="262" s="1"/>
  <c r="H33" i="256"/>
  <c r="G33" i="256"/>
  <c r="F33" i="256"/>
  <c r="D33" i="256"/>
  <c r="L32" i="256"/>
  <c r="J29" i="262" s="1"/>
  <c r="I101" i="262" s="1"/>
  <c r="H32" i="256"/>
  <c r="G32" i="256"/>
  <c r="F32" i="256"/>
  <c r="D32" i="256"/>
  <c r="L31" i="256"/>
  <c r="J28" i="262" s="1"/>
  <c r="I100" i="262" s="1"/>
  <c r="H31" i="256"/>
  <c r="G31" i="256"/>
  <c r="F31" i="256"/>
  <c r="D31" i="256"/>
  <c r="L30" i="256"/>
  <c r="J27" i="262" s="1"/>
  <c r="I99" i="262" s="1"/>
  <c r="H30" i="256"/>
  <c r="G30" i="256"/>
  <c r="F30" i="256"/>
  <c r="D30" i="256"/>
  <c r="L29" i="256"/>
  <c r="J26" i="262" s="1"/>
  <c r="I98" i="262" s="1"/>
  <c r="H29" i="256"/>
  <c r="G29" i="256"/>
  <c r="F29" i="256"/>
  <c r="D29" i="256"/>
  <c r="L28" i="256"/>
  <c r="J25" i="262" s="1"/>
  <c r="I97" i="262" s="1"/>
  <c r="H28" i="256"/>
  <c r="G28" i="256"/>
  <c r="F28" i="256"/>
  <c r="D28" i="256"/>
  <c r="L27" i="256"/>
  <c r="J24" i="262" s="1"/>
  <c r="I96" i="262" s="1"/>
  <c r="H27" i="256"/>
  <c r="G27" i="256"/>
  <c r="F27" i="256"/>
  <c r="D27" i="256"/>
  <c r="L26" i="256"/>
  <c r="J23" i="262" s="1"/>
  <c r="I95" i="262" s="1"/>
  <c r="H26" i="256"/>
  <c r="G26" i="256"/>
  <c r="F26" i="256"/>
  <c r="D26" i="256"/>
  <c r="L25" i="256"/>
  <c r="J22" i="262" s="1"/>
  <c r="I94" i="262" s="1"/>
  <c r="H25" i="256"/>
  <c r="G25" i="256"/>
  <c r="F25" i="256"/>
  <c r="D25" i="256"/>
  <c r="L24" i="256"/>
  <c r="J21" i="262" s="1"/>
  <c r="I93" i="262" s="1"/>
  <c r="H24" i="256"/>
  <c r="G24" i="256"/>
  <c r="F24" i="256"/>
  <c r="D24" i="256"/>
  <c r="L23" i="256"/>
  <c r="J20" i="262" s="1"/>
  <c r="I92" i="262" s="1"/>
  <c r="H23" i="256"/>
  <c r="G23" i="256"/>
  <c r="F23" i="256"/>
  <c r="D23" i="256"/>
  <c r="L22" i="256"/>
  <c r="J19" i="262" s="1"/>
  <c r="I91" i="262" s="1"/>
  <c r="H22" i="256"/>
  <c r="G22" i="256"/>
  <c r="F22" i="256"/>
  <c r="D22" i="256"/>
  <c r="L21" i="256"/>
  <c r="J18" i="262" s="1"/>
  <c r="I90" i="262" s="1"/>
  <c r="H21" i="256"/>
  <c r="G21" i="256"/>
  <c r="F21" i="256"/>
  <c r="D21" i="256"/>
  <c r="L20" i="256"/>
  <c r="J17" i="262" s="1"/>
  <c r="I89" i="262" s="1"/>
  <c r="H20" i="256"/>
  <c r="G20" i="256"/>
  <c r="F20" i="256"/>
  <c r="D20" i="256"/>
  <c r="L19" i="256"/>
  <c r="J16" i="262" s="1"/>
  <c r="I88" i="262" s="1"/>
  <c r="L18" i="256"/>
  <c r="J15" i="262" s="1"/>
  <c r="I87" i="262" s="1"/>
  <c r="L17" i="256"/>
  <c r="J14" i="262" s="1"/>
  <c r="I86" i="262" s="1"/>
  <c r="L16" i="256"/>
  <c r="J13" i="262" s="1"/>
  <c r="I85" i="262" s="1"/>
  <c r="L15" i="256"/>
  <c r="J12" i="262" s="1"/>
  <c r="I84" i="262" s="1"/>
  <c r="L14" i="256"/>
  <c r="J11" i="262" s="1"/>
  <c r="I83" i="262" s="1"/>
  <c r="L13" i="256"/>
  <c r="J10" i="262" s="1"/>
  <c r="I82" i="262" s="1"/>
  <c r="L12" i="256"/>
  <c r="J9" i="262" s="1"/>
  <c r="I81" i="262" s="1"/>
  <c r="L11" i="256"/>
  <c r="J8" i="262" s="1"/>
  <c r="I80" i="262" s="1"/>
  <c r="L10" i="256"/>
  <c r="J7" i="262" s="1"/>
  <c r="I79" i="262" s="1"/>
  <c r="L9" i="256"/>
  <c r="J6" i="262" s="1"/>
  <c r="I78" i="262" s="1"/>
  <c r="C5" i="256"/>
  <c r="B65" i="256" s="1"/>
  <c r="A3" i="256"/>
  <c r="B66" i="256"/>
  <c r="D9" i="256"/>
  <c r="F9" i="256"/>
  <c r="G9" i="256" s="1"/>
  <c r="H9" i="256" s="1"/>
  <c r="J9" i="256"/>
  <c r="J10" i="256"/>
  <c r="D10" i="256"/>
  <c r="F10" i="256" s="1"/>
  <c r="G10" i="256" s="1"/>
  <c r="H10" i="256" s="1"/>
  <c r="J11" i="256"/>
  <c r="J12" i="256" s="1"/>
  <c r="M9" i="256"/>
  <c r="O9" i="256" s="1"/>
  <c r="D66" i="256"/>
  <c r="F66" i="256"/>
  <c r="G66" i="256" s="1"/>
  <c r="H66" i="256" s="1"/>
  <c r="A3" i="253"/>
  <c r="B66" i="253" s="1"/>
  <c r="C5" i="253"/>
  <c r="B65" i="253" s="1"/>
  <c r="L9" i="253"/>
  <c r="K6" i="262" s="1"/>
  <c r="L10" i="253"/>
  <c r="K7" i="262" s="1"/>
  <c r="L11" i="253"/>
  <c r="K8" i="262" s="1"/>
  <c r="L12" i="253"/>
  <c r="K9" i="262" s="1"/>
  <c r="L13" i="253"/>
  <c r="K10" i="262" s="1"/>
  <c r="L14" i="253"/>
  <c r="K11" i="262" s="1"/>
  <c r="L15" i="253"/>
  <c r="K12" i="262" s="1"/>
  <c r="L16" i="253"/>
  <c r="K13" i="262" s="1"/>
  <c r="L17" i="253"/>
  <c r="K14" i="262" s="1"/>
  <c r="L18" i="253"/>
  <c r="K15" i="262" s="1"/>
  <c r="L19" i="253"/>
  <c r="K16" i="262" s="1"/>
  <c r="D20" i="253"/>
  <c r="F20" i="253"/>
  <c r="G20" i="253"/>
  <c r="H20" i="253"/>
  <c r="L20" i="253"/>
  <c r="K17" i="262" s="1"/>
  <c r="D21" i="253"/>
  <c r="F21" i="253"/>
  <c r="G21" i="253"/>
  <c r="H21" i="253"/>
  <c r="L21" i="253"/>
  <c r="K18" i="262" s="1"/>
  <c r="D22" i="253"/>
  <c r="F22" i="253"/>
  <c r="G22" i="253"/>
  <c r="H22" i="253"/>
  <c r="L22" i="253"/>
  <c r="K19" i="262" s="1"/>
  <c r="D23" i="253"/>
  <c r="F23" i="253"/>
  <c r="G23" i="253"/>
  <c r="H23" i="253"/>
  <c r="L23" i="253"/>
  <c r="K20" i="262" s="1"/>
  <c r="D24" i="253"/>
  <c r="F24" i="253"/>
  <c r="G24" i="253"/>
  <c r="H24" i="253"/>
  <c r="L24" i="253"/>
  <c r="K21" i="262" s="1"/>
  <c r="D25" i="253"/>
  <c r="F25" i="253"/>
  <c r="G25" i="253"/>
  <c r="H25" i="253"/>
  <c r="L25" i="253"/>
  <c r="K22" i="262" s="1"/>
  <c r="D26" i="253"/>
  <c r="F26" i="253"/>
  <c r="G26" i="253"/>
  <c r="H26" i="253"/>
  <c r="L26" i="253"/>
  <c r="K23" i="262" s="1"/>
  <c r="D27" i="253"/>
  <c r="F27" i="253"/>
  <c r="G27" i="253"/>
  <c r="H27" i="253"/>
  <c r="L27" i="253"/>
  <c r="K24" i="262" s="1"/>
  <c r="D28" i="253"/>
  <c r="F28" i="253"/>
  <c r="G28" i="253"/>
  <c r="H28" i="253"/>
  <c r="L28" i="253"/>
  <c r="K25" i="262" s="1"/>
  <c r="D29" i="253"/>
  <c r="F29" i="253"/>
  <c r="G29" i="253"/>
  <c r="H29" i="253"/>
  <c r="L29" i="253"/>
  <c r="K26" i="262" s="1"/>
  <c r="D30" i="253"/>
  <c r="F30" i="253"/>
  <c r="G30" i="253"/>
  <c r="H30" i="253"/>
  <c r="L30" i="253"/>
  <c r="K27" i="262" s="1"/>
  <c r="D31" i="253"/>
  <c r="F31" i="253"/>
  <c r="G31" i="253"/>
  <c r="H31" i="253"/>
  <c r="L31" i="253"/>
  <c r="K28" i="262" s="1"/>
  <c r="D32" i="253"/>
  <c r="F32" i="253"/>
  <c r="G32" i="253"/>
  <c r="H32" i="253"/>
  <c r="L32" i="253"/>
  <c r="K29" i="262" s="1"/>
  <c r="D33" i="253"/>
  <c r="F33" i="253"/>
  <c r="G33" i="253"/>
  <c r="H33" i="253"/>
  <c r="L33" i="253"/>
  <c r="K30" i="262" s="1"/>
  <c r="D34" i="253"/>
  <c r="F34" i="253"/>
  <c r="G34" i="253"/>
  <c r="H34" i="253"/>
  <c r="L34" i="253"/>
  <c r="K31" i="262" s="1"/>
  <c r="D35" i="253"/>
  <c r="F35" i="253"/>
  <c r="G35" i="253"/>
  <c r="H35" i="253"/>
  <c r="L35" i="253"/>
  <c r="K32" i="262" s="1"/>
  <c r="D36" i="253"/>
  <c r="F36" i="253"/>
  <c r="G36" i="253"/>
  <c r="H36" i="253"/>
  <c r="L36" i="253"/>
  <c r="K33" i="262" s="1"/>
  <c r="D37" i="253"/>
  <c r="F37" i="253"/>
  <c r="G37" i="253"/>
  <c r="H37" i="253"/>
  <c r="L37" i="253"/>
  <c r="K34" i="262" s="1"/>
  <c r="D38" i="253"/>
  <c r="F38" i="253"/>
  <c r="G38" i="253"/>
  <c r="H38" i="253"/>
  <c r="L38" i="253"/>
  <c r="K35" i="262" s="1"/>
  <c r="D39" i="253"/>
  <c r="F39" i="253"/>
  <c r="G39" i="253"/>
  <c r="H39" i="253"/>
  <c r="L39" i="253"/>
  <c r="K36" i="262" s="1"/>
  <c r="D40" i="253"/>
  <c r="F40" i="253"/>
  <c r="G40" i="253"/>
  <c r="H40" i="253"/>
  <c r="L40" i="253"/>
  <c r="K37" i="262" s="1"/>
  <c r="D41" i="253"/>
  <c r="F41" i="253"/>
  <c r="G41" i="253"/>
  <c r="H41" i="253"/>
  <c r="L41" i="253"/>
  <c r="K38" i="262" s="1"/>
  <c r="D42" i="253"/>
  <c r="F42" i="253"/>
  <c r="G42" i="253"/>
  <c r="H42" i="253"/>
  <c r="L42" i="253"/>
  <c r="K39" i="262" s="1"/>
  <c r="D43" i="253"/>
  <c r="F43" i="253"/>
  <c r="G43" i="253"/>
  <c r="H43" i="253"/>
  <c r="L43" i="253"/>
  <c r="K40" i="262" s="1"/>
  <c r="D44" i="253"/>
  <c r="F44" i="253"/>
  <c r="G44" i="253"/>
  <c r="H44" i="253"/>
  <c r="L44" i="253"/>
  <c r="K41" i="262" s="1"/>
  <c r="D45" i="253"/>
  <c r="F45" i="253"/>
  <c r="G45" i="253"/>
  <c r="H45" i="253"/>
  <c r="L45" i="253"/>
  <c r="K42" i="262" s="1"/>
  <c r="D46" i="253"/>
  <c r="F46" i="253"/>
  <c r="G46" i="253"/>
  <c r="H46" i="253"/>
  <c r="L46" i="253"/>
  <c r="K43" i="262" s="1"/>
  <c r="D47" i="253"/>
  <c r="F47" i="253"/>
  <c r="G47" i="253"/>
  <c r="H47" i="253"/>
  <c r="L47" i="253"/>
  <c r="K44" i="262" s="1"/>
  <c r="D48" i="253"/>
  <c r="F48" i="253"/>
  <c r="G48" i="253"/>
  <c r="H48" i="253"/>
  <c r="L48" i="253"/>
  <c r="K45" i="262" s="1"/>
  <c r="D49" i="253"/>
  <c r="F49" i="253"/>
  <c r="G49" i="253"/>
  <c r="H49" i="253"/>
  <c r="L49" i="253"/>
  <c r="K46" i="262" s="1"/>
  <c r="D50" i="253"/>
  <c r="F50" i="253"/>
  <c r="G50" i="253"/>
  <c r="H50" i="253"/>
  <c r="L50" i="253"/>
  <c r="K47" i="262" s="1"/>
  <c r="D51" i="253"/>
  <c r="F51" i="253"/>
  <c r="G51" i="253"/>
  <c r="H51" i="253"/>
  <c r="L51" i="253"/>
  <c r="K48" i="262" s="1"/>
  <c r="D52" i="253"/>
  <c r="F52" i="253"/>
  <c r="G52" i="253"/>
  <c r="H52" i="253"/>
  <c r="L52" i="253"/>
  <c r="K49" i="262" s="1"/>
  <c r="D53" i="253"/>
  <c r="F53" i="253"/>
  <c r="G53" i="253"/>
  <c r="H53" i="253"/>
  <c r="L53" i="253"/>
  <c r="K50" i="262" s="1"/>
  <c r="D54" i="253"/>
  <c r="F54" i="253"/>
  <c r="G54" i="253"/>
  <c r="H54" i="253"/>
  <c r="L54" i="253"/>
  <c r="K51" i="262" s="1"/>
  <c r="D55" i="253"/>
  <c r="F55" i="253"/>
  <c r="G55" i="253"/>
  <c r="H55" i="253"/>
  <c r="L55" i="253"/>
  <c r="K52" i="262" s="1"/>
  <c r="D56" i="253"/>
  <c r="F56" i="253"/>
  <c r="G56" i="253"/>
  <c r="H56" i="253"/>
  <c r="L56" i="253"/>
  <c r="K53" i="262" s="1"/>
  <c r="D57" i="253"/>
  <c r="F57" i="253"/>
  <c r="G57" i="253"/>
  <c r="H57" i="253"/>
  <c r="L57" i="253"/>
  <c r="K54" i="262" s="1"/>
  <c r="D58" i="253"/>
  <c r="F58" i="253"/>
  <c r="G58" i="253"/>
  <c r="H58" i="253"/>
  <c r="L58" i="253"/>
  <c r="K55" i="262" s="1"/>
  <c r="D59" i="253"/>
  <c r="F59" i="253"/>
  <c r="G59" i="253"/>
  <c r="H59" i="253"/>
  <c r="L59" i="253"/>
  <c r="K56" i="262" s="1"/>
  <c r="D60" i="253"/>
  <c r="F60" i="253"/>
  <c r="G60" i="253"/>
  <c r="H60" i="253"/>
  <c r="L60" i="253"/>
  <c r="K57" i="262" s="1"/>
  <c r="D61" i="253"/>
  <c r="F61" i="253"/>
  <c r="G61" i="253"/>
  <c r="H61" i="253"/>
  <c r="L61" i="253"/>
  <c r="K58" i="262" s="1"/>
  <c r="D62" i="253"/>
  <c r="F62" i="253"/>
  <c r="G62" i="253"/>
  <c r="H62" i="253"/>
  <c r="L62" i="253"/>
  <c r="K59" i="262" s="1"/>
  <c r="D63" i="253"/>
  <c r="F63" i="253"/>
  <c r="G63" i="253"/>
  <c r="H63" i="253"/>
  <c r="L63" i="253"/>
  <c r="K60" i="262" s="1"/>
  <c r="D64" i="253"/>
  <c r="F64" i="253"/>
  <c r="G64" i="253"/>
  <c r="H64" i="253"/>
  <c r="L64" i="253"/>
  <c r="K61" i="262" s="1"/>
  <c r="L65" i="253"/>
  <c r="K62" i="262" s="1"/>
  <c r="L66" i="253"/>
  <c r="K63" i="262" s="1"/>
  <c r="L67" i="253"/>
  <c r="K64" i="262" s="1"/>
  <c r="L68" i="253"/>
  <c r="K65" i="262" s="1"/>
  <c r="L69" i="253"/>
  <c r="K66" i="262" s="1"/>
  <c r="L70" i="253"/>
  <c r="K67" i="262" s="1"/>
  <c r="L71" i="253"/>
  <c r="K68" i="262" s="1"/>
  <c r="L72" i="253"/>
  <c r="K69" i="262" s="1"/>
  <c r="L73" i="253"/>
  <c r="K70" i="262" s="1"/>
  <c r="L74" i="253"/>
  <c r="K71" i="262" s="1"/>
  <c r="L75" i="253"/>
  <c r="L76" i="253"/>
  <c r="L77" i="253"/>
  <c r="L78" i="253"/>
  <c r="L79" i="253"/>
  <c r="L80" i="253"/>
  <c r="L81" i="253"/>
  <c r="L82" i="253"/>
  <c r="L83" i="253"/>
  <c r="L84" i="253"/>
  <c r="L85" i="253"/>
  <c r="L86" i="253"/>
  <c r="L87" i="253"/>
  <c r="L88" i="253"/>
  <c r="L89" i="253"/>
  <c r="L90" i="253"/>
  <c r="L91" i="253"/>
  <c r="L92" i="253"/>
  <c r="L93" i="253"/>
  <c r="L94" i="253"/>
  <c r="L95" i="253"/>
  <c r="L96" i="253"/>
  <c r="L97" i="253"/>
  <c r="L98" i="253"/>
  <c r="L99" i="253"/>
  <c r="L100" i="253"/>
  <c r="L101" i="253"/>
  <c r="L102" i="253"/>
  <c r="L103" i="253"/>
  <c r="L104" i="253"/>
  <c r="L105" i="253"/>
  <c r="L106" i="253"/>
  <c r="L107" i="253"/>
  <c r="M107" i="253"/>
  <c r="O107" i="253" s="1"/>
  <c r="D65" i="256" l="1"/>
  <c r="F65" i="256"/>
  <c r="G65" i="256" s="1"/>
  <c r="H65" i="256" s="1"/>
  <c r="D66" i="253"/>
  <c r="F66" i="253" s="1"/>
  <c r="G66" i="253" s="1"/>
  <c r="H66" i="253" s="1"/>
  <c r="J13" i="256"/>
  <c r="M11" i="256"/>
  <c r="O11" i="256" s="1"/>
  <c r="D65" i="253"/>
  <c r="F65" i="253" s="1"/>
  <c r="G65" i="253" s="1"/>
  <c r="H65" i="253" s="1"/>
  <c r="D9" i="253"/>
  <c r="F9" i="253" s="1"/>
  <c r="G9" i="253" s="1"/>
  <c r="H9" i="253" s="1"/>
  <c r="J4" i="253" s="1"/>
  <c r="M10" i="256"/>
  <c r="O10" i="256" s="1"/>
  <c r="F10" i="258"/>
  <c r="G10" i="258" s="1"/>
  <c r="H10" i="258" s="1"/>
  <c r="D12" i="258"/>
  <c r="D17" i="258"/>
  <c r="F17" i="258" s="1"/>
  <c r="G17" i="258" s="1"/>
  <c r="H17" i="258" s="1"/>
  <c r="D13" i="258"/>
  <c r="F13" i="258" s="1"/>
  <c r="G13" i="258" s="1"/>
  <c r="H13" i="258" s="1"/>
  <c r="D16" i="258"/>
  <c r="F16" i="258" s="1"/>
  <c r="G16" i="258" s="1"/>
  <c r="H16" i="258" s="1"/>
  <c r="D15" i="258"/>
  <c r="F15" i="258" s="1"/>
  <c r="G15" i="258" s="1"/>
  <c r="H15" i="258" s="1"/>
  <c r="D18" i="258"/>
  <c r="F18" i="258" s="1"/>
  <c r="G18" i="258" s="1"/>
  <c r="H18" i="258" s="1"/>
  <c r="D19" i="258"/>
  <c r="F19" i="258" s="1"/>
  <c r="G19" i="258" s="1"/>
  <c r="H19" i="258" s="1"/>
  <c r="D10" i="258"/>
  <c r="D11" i="258"/>
  <c r="F11" i="258" s="1"/>
  <c r="G11" i="258" s="1"/>
  <c r="H11" i="258" s="1"/>
  <c r="D12" i="256"/>
  <c r="F12" i="256" s="1"/>
  <c r="G12" i="256" s="1"/>
  <c r="H12" i="256" s="1"/>
  <c r="D13" i="256"/>
  <c r="F13" i="256" s="1"/>
  <c r="G13" i="256" s="1"/>
  <c r="H13" i="256" s="1"/>
  <c r="D18" i="256"/>
  <c r="F18" i="256" s="1"/>
  <c r="G18" i="256" s="1"/>
  <c r="H18" i="256" s="1"/>
  <c r="D14" i="256"/>
  <c r="F14" i="256" s="1"/>
  <c r="G14" i="256" s="1"/>
  <c r="H14" i="256" s="1"/>
  <c r="D17" i="256"/>
  <c r="F17" i="256" s="1"/>
  <c r="G17" i="256" s="1"/>
  <c r="H17" i="256" s="1"/>
  <c r="D19" i="256"/>
  <c r="F19" i="256" s="1"/>
  <c r="G19" i="256" s="1"/>
  <c r="H19" i="256" s="1"/>
  <c r="D11" i="256"/>
  <c r="F11" i="256" s="1"/>
  <c r="G11" i="256" s="1"/>
  <c r="H11" i="256" s="1"/>
  <c r="D13" i="253"/>
  <c r="F13" i="253" s="1"/>
  <c r="G13" i="253" s="1"/>
  <c r="H13" i="253" s="1"/>
  <c r="D19" i="253"/>
  <c r="F19" i="253" s="1"/>
  <c r="G19" i="253" s="1"/>
  <c r="H19" i="253" s="1"/>
  <c r="D18" i="253"/>
  <c r="F18" i="253" s="1"/>
  <c r="G18" i="253" s="1"/>
  <c r="H18" i="253" s="1"/>
  <c r="D16" i="253"/>
  <c r="F16" i="253" s="1"/>
  <c r="G16" i="253" s="1"/>
  <c r="H16" i="253" s="1"/>
  <c r="D10" i="253"/>
  <c r="F10" i="253" s="1"/>
  <c r="G10" i="253" s="1"/>
  <c r="H10" i="253" s="1"/>
  <c r="D11" i="253"/>
  <c r="F11" i="253" s="1"/>
  <c r="G11" i="253" s="1"/>
  <c r="H11" i="253" s="1"/>
  <c r="D12" i="253"/>
  <c r="F12" i="253" s="1"/>
  <c r="G12" i="253" s="1"/>
  <c r="H12" i="253" s="1"/>
  <c r="D15" i="253"/>
  <c r="F15" i="253" s="1"/>
  <c r="G15" i="253" s="1"/>
  <c r="H15" i="253" s="1"/>
  <c r="M100" i="269"/>
  <c r="O100" i="269" s="1"/>
  <c r="J102" i="269"/>
  <c r="D9" i="258"/>
  <c r="F9" i="258" s="1"/>
  <c r="G9" i="258" s="1"/>
  <c r="H9" i="258" s="1"/>
  <c r="J9" i="253"/>
  <c r="J10" i="253" s="1"/>
  <c r="J107" i="273"/>
  <c r="M106" i="273" s="1"/>
  <c r="O106" i="273" s="1"/>
  <c r="M105" i="273"/>
  <c r="O105" i="273" s="1"/>
  <c r="J70" i="262"/>
  <c r="I142" i="262" s="1"/>
  <c r="J74" i="262"/>
  <c r="J72" i="262"/>
  <c r="I144" i="262" s="1"/>
  <c r="J71" i="262"/>
  <c r="I143" i="262" s="1"/>
  <c r="J73" i="262"/>
  <c r="I145" i="262" s="1"/>
  <c r="J140" i="262"/>
  <c r="N140" i="262" s="1"/>
  <c r="Q68" i="262"/>
  <c r="R68" i="262" s="1"/>
  <c r="J136" i="262"/>
  <c r="N136" i="262" s="1"/>
  <c r="Q64" i="262"/>
  <c r="R64" i="262" s="1"/>
  <c r="J132" i="262"/>
  <c r="N132" i="262" s="1"/>
  <c r="Q60" i="262"/>
  <c r="R60" i="262" s="1"/>
  <c r="J128" i="262"/>
  <c r="N128" i="262" s="1"/>
  <c r="Q56" i="262"/>
  <c r="R56" i="262" s="1"/>
  <c r="J124" i="262"/>
  <c r="N124" i="262" s="1"/>
  <c r="Q52" i="262"/>
  <c r="R52" i="262" s="1"/>
  <c r="J120" i="262"/>
  <c r="N120" i="262" s="1"/>
  <c r="Q48" i="262"/>
  <c r="R48" i="262" s="1"/>
  <c r="J116" i="262"/>
  <c r="N116" i="262" s="1"/>
  <c r="Q44" i="262"/>
  <c r="R44" i="262" s="1"/>
  <c r="J112" i="262"/>
  <c r="N112" i="262" s="1"/>
  <c r="Q40" i="262"/>
  <c r="R40" i="262" s="1"/>
  <c r="J104" i="262"/>
  <c r="N104" i="262" s="1"/>
  <c r="Q32" i="262"/>
  <c r="R32" i="262" s="1"/>
  <c r="J100" i="262"/>
  <c r="N100" i="262" s="1"/>
  <c r="Q28" i="262"/>
  <c r="R28" i="262" s="1"/>
  <c r="J92" i="262"/>
  <c r="N92" i="262" s="1"/>
  <c r="Q20" i="262"/>
  <c r="R20" i="262" s="1"/>
  <c r="J81" i="262"/>
  <c r="N81" i="262" s="1"/>
  <c r="Q9" i="262"/>
  <c r="R9" i="262" s="1"/>
  <c r="J143" i="262"/>
  <c r="J139" i="262"/>
  <c r="N139" i="262" s="1"/>
  <c r="Q67" i="262"/>
  <c r="R67" i="262" s="1"/>
  <c r="J135" i="262"/>
  <c r="N135" i="262" s="1"/>
  <c r="Q63" i="262"/>
  <c r="R63" i="262" s="1"/>
  <c r="J131" i="262"/>
  <c r="N131" i="262" s="1"/>
  <c r="Q59" i="262"/>
  <c r="R59" i="262" s="1"/>
  <c r="J127" i="262"/>
  <c r="N127" i="262" s="1"/>
  <c r="Q55" i="262"/>
  <c r="R55" i="262" s="1"/>
  <c r="J123" i="262"/>
  <c r="N123" i="262" s="1"/>
  <c r="Q51" i="262"/>
  <c r="R51" i="262" s="1"/>
  <c r="J119" i="262"/>
  <c r="N119" i="262" s="1"/>
  <c r="Q47" i="262"/>
  <c r="R47" i="262" s="1"/>
  <c r="J115" i="262"/>
  <c r="N115" i="262" s="1"/>
  <c r="Q43" i="262"/>
  <c r="R43" i="262" s="1"/>
  <c r="J111" i="262"/>
  <c r="N111" i="262" s="1"/>
  <c r="Q39" i="262"/>
  <c r="R39" i="262" s="1"/>
  <c r="J107" i="262"/>
  <c r="N107" i="262" s="1"/>
  <c r="Q35" i="262"/>
  <c r="R35" i="262" s="1"/>
  <c r="J103" i="262"/>
  <c r="N103" i="262" s="1"/>
  <c r="Q31" i="262"/>
  <c r="R31" i="262" s="1"/>
  <c r="J99" i="262"/>
  <c r="N99" i="262" s="1"/>
  <c r="Q27" i="262"/>
  <c r="R27" i="262" s="1"/>
  <c r="J95" i="262"/>
  <c r="N95" i="262" s="1"/>
  <c r="Q23" i="262"/>
  <c r="R23" i="262" s="1"/>
  <c r="J91" i="262"/>
  <c r="N91" i="262" s="1"/>
  <c r="Q19" i="262"/>
  <c r="R19" i="262" s="1"/>
  <c r="J84" i="262"/>
  <c r="N84" i="262" s="1"/>
  <c r="Q12" i="262"/>
  <c r="R12" i="262" s="1"/>
  <c r="J80" i="262"/>
  <c r="N80" i="262" s="1"/>
  <c r="Q8" i="262"/>
  <c r="R8" i="262" s="1"/>
  <c r="K72" i="262"/>
  <c r="J108" i="262"/>
  <c r="N108" i="262" s="1"/>
  <c r="Q36" i="262"/>
  <c r="R36" i="262" s="1"/>
  <c r="J96" i="262"/>
  <c r="N96" i="262" s="1"/>
  <c r="Q24" i="262"/>
  <c r="R24" i="262" s="1"/>
  <c r="J88" i="262"/>
  <c r="N88" i="262" s="1"/>
  <c r="Q16" i="262"/>
  <c r="R16" i="262" s="1"/>
  <c r="J85" i="262"/>
  <c r="N85" i="262" s="1"/>
  <c r="Q13" i="262"/>
  <c r="R13" i="262" s="1"/>
  <c r="K73" i="262"/>
  <c r="J141" i="262"/>
  <c r="N141" i="262" s="1"/>
  <c r="Q69" i="262"/>
  <c r="R69" i="262" s="1"/>
  <c r="J137" i="262"/>
  <c r="N137" i="262" s="1"/>
  <c r="Q65" i="262"/>
  <c r="R65" i="262" s="1"/>
  <c r="J134" i="262"/>
  <c r="N134" i="262" s="1"/>
  <c r="Q62" i="262"/>
  <c r="R62" i="262" s="1"/>
  <c r="J133" i="262"/>
  <c r="N133" i="262" s="1"/>
  <c r="Q61" i="262"/>
  <c r="R61" i="262" s="1"/>
  <c r="J129" i="262"/>
  <c r="N129" i="262" s="1"/>
  <c r="Q57" i="262"/>
  <c r="R57" i="262" s="1"/>
  <c r="J125" i="262"/>
  <c r="N125" i="262" s="1"/>
  <c r="Q53" i="262"/>
  <c r="R53" i="262" s="1"/>
  <c r="J121" i="262"/>
  <c r="N121" i="262" s="1"/>
  <c r="Q49" i="262"/>
  <c r="R49" i="262" s="1"/>
  <c r="J117" i="262"/>
  <c r="N117" i="262" s="1"/>
  <c r="Q45" i="262"/>
  <c r="R45" i="262" s="1"/>
  <c r="J113" i="262"/>
  <c r="N113" i="262" s="1"/>
  <c r="Q41" i="262"/>
  <c r="R41" i="262" s="1"/>
  <c r="J109" i="262"/>
  <c r="N109" i="262" s="1"/>
  <c r="Q37" i="262"/>
  <c r="R37" i="262" s="1"/>
  <c r="J105" i="262"/>
  <c r="N105" i="262" s="1"/>
  <c r="Q33" i="262"/>
  <c r="R33" i="262" s="1"/>
  <c r="J101" i="262"/>
  <c r="N101" i="262" s="1"/>
  <c r="Q29" i="262"/>
  <c r="R29" i="262" s="1"/>
  <c r="J97" i="262"/>
  <c r="N97" i="262" s="1"/>
  <c r="Q25" i="262"/>
  <c r="R25" i="262" s="1"/>
  <c r="J93" i="262"/>
  <c r="N93" i="262" s="1"/>
  <c r="Q21" i="262"/>
  <c r="R21" i="262" s="1"/>
  <c r="J89" i="262"/>
  <c r="N89" i="262" s="1"/>
  <c r="Q17" i="262"/>
  <c r="R17" i="262" s="1"/>
  <c r="J86" i="262"/>
  <c r="N86" i="262" s="1"/>
  <c r="Q14" i="262"/>
  <c r="R14" i="262" s="1"/>
  <c r="J82" i="262"/>
  <c r="N82" i="262" s="1"/>
  <c r="Q10" i="262"/>
  <c r="R10" i="262" s="1"/>
  <c r="J78" i="262"/>
  <c r="N78" i="262" s="1"/>
  <c r="Q6" i="262"/>
  <c r="K74" i="262"/>
  <c r="Q74" i="262" s="1"/>
  <c r="R74" i="262" s="1"/>
  <c r="J142" i="262"/>
  <c r="Q70" i="262"/>
  <c r="R70" i="262" s="1"/>
  <c r="J138" i="262"/>
  <c r="N138" i="262" s="1"/>
  <c r="Q66" i="262"/>
  <c r="R66" i="262" s="1"/>
  <c r="J130" i="262"/>
  <c r="N130" i="262" s="1"/>
  <c r="Q58" i="262"/>
  <c r="R58" i="262" s="1"/>
  <c r="J126" i="262"/>
  <c r="N126" i="262" s="1"/>
  <c r="Q54" i="262"/>
  <c r="R54" i="262" s="1"/>
  <c r="J122" i="262"/>
  <c r="N122" i="262" s="1"/>
  <c r="Q50" i="262"/>
  <c r="R50" i="262" s="1"/>
  <c r="J118" i="262"/>
  <c r="N118" i="262" s="1"/>
  <c r="Q46" i="262"/>
  <c r="R46" i="262" s="1"/>
  <c r="J114" i="262"/>
  <c r="N114" i="262" s="1"/>
  <c r="Q42" i="262"/>
  <c r="R42" i="262" s="1"/>
  <c r="J110" i="262"/>
  <c r="N110" i="262" s="1"/>
  <c r="Q38" i="262"/>
  <c r="R38" i="262" s="1"/>
  <c r="J106" i="262"/>
  <c r="N106" i="262" s="1"/>
  <c r="Q34" i="262"/>
  <c r="R34" i="262" s="1"/>
  <c r="J102" i="262"/>
  <c r="N102" i="262" s="1"/>
  <c r="Q30" i="262"/>
  <c r="R30" i="262" s="1"/>
  <c r="J98" i="262"/>
  <c r="N98" i="262" s="1"/>
  <c r="Q26" i="262"/>
  <c r="R26" i="262" s="1"/>
  <c r="J94" i="262"/>
  <c r="N94" i="262" s="1"/>
  <c r="Q22" i="262"/>
  <c r="R22" i="262" s="1"/>
  <c r="J90" i="262"/>
  <c r="N90" i="262" s="1"/>
  <c r="Q18" i="262"/>
  <c r="R18" i="262" s="1"/>
  <c r="J87" i="262"/>
  <c r="N87" i="262" s="1"/>
  <c r="Q15" i="262"/>
  <c r="R15" i="262" s="1"/>
  <c r="J83" i="262"/>
  <c r="N83" i="262" s="1"/>
  <c r="Q11" i="262"/>
  <c r="R11" i="262" s="1"/>
  <c r="J79" i="262"/>
  <c r="N79" i="262" s="1"/>
  <c r="Q7" i="262"/>
  <c r="J104" i="272"/>
  <c r="M102" i="272"/>
  <c r="O102" i="272" s="1"/>
  <c r="J103" i="270"/>
  <c r="M101" i="270"/>
  <c r="O101" i="270" s="1"/>
  <c r="J26" i="267"/>
  <c r="AE25" i="267"/>
  <c r="M24" i="267"/>
  <c r="O24" i="267" s="1"/>
  <c r="J28" i="266"/>
  <c r="AE27" i="266"/>
  <c r="M26" i="266"/>
  <c r="O26" i="266" s="1"/>
  <c r="M21" i="265"/>
  <c r="O21" i="265" s="1"/>
  <c r="J23" i="265"/>
  <c r="AE22" i="265"/>
  <c r="J24" i="264"/>
  <c r="AE23" i="264"/>
  <c r="M22" i="264"/>
  <c r="O22" i="264" s="1"/>
  <c r="J19" i="263"/>
  <c r="M17" i="263"/>
  <c r="O17" i="263" s="1"/>
  <c r="AE18" i="263"/>
  <c r="J14" i="261"/>
  <c r="AE13" i="261"/>
  <c r="M12" i="261"/>
  <c r="O12" i="261" s="1"/>
  <c r="J4" i="256"/>
  <c r="D66" i="260"/>
  <c r="F66" i="260" s="1"/>
  <c r="G66" i="260" s="1"/>
  <c r="H66" i="260" s="1"/>
  <c r="M9" i="260"/>
  <c r="O9" i="260" s="1"/>
  <c r="J11" i="260"/>
  <c r="J4" i="260"/>
  <c r="D66" i="258"/>
  <c r="F66" i="258" s="1"/>
  <c r="G66" i="258" s="1"/>
  <c r="H66" i="258" s="1"/>
  <c r="F12" i="258"/>
  <c r="G12" i="258" s="1"/>
  <c r="H12" i="258" s="1"/>
  <c r="J9" i="258"/>
  <c r="J10" i="258" s="1"/>
  <c r="D65" i="258"/>
  <c r="F65" i="258" s="1"/>
  <c r="G65" i="258" s="1"/>
  <c r="H65" i="258" s="1"/>
  <c r="Q71" i="262" l="1"/>
  <c r="R71" i="262" s="1"/>
  <c r="M12" i="256"/>
  <c r="O12" i="256" s="1"/>
  <c r="J14" i="256"/>
  <c r="M9" i="253"/>
  <c r="O9" i="253" s="1"/>
  <c r="J11" i="253"/>
  <c r="J103" i="269"/>
  <c r="M101" i="269"/>
  <c r="O101" i="269" s="1"/>
  <c r="N143" i="262"/>
  <c r="N142" i="262"/>
  <c r="T22" i="262"/>
  <c r="S22" i="262"/>
  <c r="S38" i="262"/>
  <c r="T38" i="262"/>
  <c r="T54" i="262"/>
  <c r="S54" i="262"/>
  <c r="T74" i="262"/>
  <c r="S74" i="262"/>
  <c r="S33" i="262"/>
  <c r="T33" i="262"/>
  <c r="S57" i="262"/>
  <c r="T57" i="262"/>
  <c r="S69" i="262"/>
  <c r="T69" i="262"/>
  <c r="S24" i="262"/>
  <c r="T24" i="262"/>
  <c r="T31" i="262"/>
  <c r="S31" i="262"/>
  <c r="T47" i="262"/>
  <c r="S47" i="262"/>
  <c r="T63" i="262"/>
  <c r="S63" i="262"/>
  <c r="T20" i="262"/>
  <c r="S20" i="262"/>
  <c r="S44" i="262"/>
  <c r="T44" i="262"/>
  <c r="S60" i="262"/>
  <c r="T60" i="262"/>
  <c r="T30" i="262"/>
  <c r="S30" i="262"/>
  <c r="T46" i="262"/>
  <c r="S46" i="262"/>
  <c r="T66" i="262"/>
  <c r="S66" i="262"/>
  <c r="S25" i="262"/>
  <c r="T25" i="262"/>
  <c r="S41" i="262"/>
  <c r="T41" i="262"/>
  <c r="T49" i="262"/>
  <c r="S49" i="262"/>
  <c r="T62" i="262"/>
  <c r="S62" i="262"/>
  <c r="J144" i="262"/>
  <c r="N144" i="262" s="1"/>
  <c r="Q72" i="262"/>
  <c r="R72" i="262" s="1"/>
  <c r="S23" i="262"/>
  <c r="T23" i="262"/>
  <c r="T39" i="262"/>
  <c r="S39" i="262"/>
  <c r="S55" i="262"/>
  <c r="T55" i="262"/>
  <c r="S71" i="262"/>
  <c r="T71" i="262"/>
  <c r="S32" i="262"/>
  <c r="T32" i="262"/>
  <c r="T52" i="262"/>
  <c r="S52" i="262"/>
  <c r="S68" i="262"/>
  <c r="T68" i="262"/>
  <c r="T26" i="262"/>
  <c r="S26" i="262"/>
  <c r="T34" i="262"/>
  <c r="S34" i="262"/>
  <c r="T42" i="262"/>
  <c r="S42" i="262"/>
  <c r="T50" i="262"/>
  <c r="S50" i="262"/>
  <c r="T58" i="262"/>
  <c r="S58" i="262"/>
  <c r="T70" i="262"/>
  <c r="S70" i="262"/>
  <c r="S21" i="262"/>
  <c r="T21" i="262"/>
  <c r="S29" i="262"/>
  <c r="T29" i="262"/>
  <c r="S37" i="262"/>
  <c r="T37" i="262"/>
  <c r="S45" i="262"/>
  <c r="T45" i="262"/>
  <c r="S53" i="262"/>
  <c r="T53" i="262"/>
  <c r="S61" i="262"/>
  <c r="T61" i="262"/>
  <c r="S65" i="262"/>
  <c r="T65" i="262"/>
  <c r="J145" i="262"/>
  <c r="N145" i="262" s="1"/>
  <c r="Q73" i="262"/>
  <c r="R73" i="262" s="1"/>
  <c r="S36" i="262"/>
  <c r="T36" i="262"/>
  <c r="S27" i="262"/>
  <c r="T27" i="262"/>
  <c r="S35" i="262"/>
  <c r="T35" i="262"/>
  <c r="T43" i="262"/>
  <c r="S43" i="262"/>
  <c r="S51" i="262"/>
  <c r="T51" i="262"/>
  <c r="T59" i="262"/>
  <c r="S59" i="262"/>
  <c r="S67" i="262"/>
  <c r="T67" i="262"/>
  <c r="S28" i="262"/>
  <c r="T28" i="262"/>
  <c r="S40" i="262"/>
  <c r="T40" i="262"/>
  <c r="S48" i="262"/>
  <c r="T48" i="262"/>
  <c r="T56" i="262"/>
  <c r="S56" i="262"/>
  <c r="S64" i="262"/>
  <c r="T64" i="262"/>
  <c r="J105" i="272"/>
  <c r="M103" i="272"/>
  <c r="O103" i="272" s="1"/>
  <c r="J104" i="270"/>
  <c r="M102" i="270"/>
  <c r="O102" i="270" s="1"/>
  <c r="M25" i="267"/>
  <c r="O25" i="267" s="1"/>
  <c r="J27" i="267"/>
  <c r="AE26" i="267"/>
  <c r="M27" i="266"/>
  <c r="O27" i="266" s="1"/>
  <c r="J29" i="266"/>
  <c r="AE28" i="266"/>
  <c r="J24" i="265"/>
  <c r="AE23" i="265"/>
  <c r="M22" i="265"/>
  <c r="O22" i="265" s="1"/>
  <c r="M23" i="264"/>
  <c r="O23" i="264" s="1"/>
  <c r="J25" i="264"/>
  <c r="AE24" i="264"/>
  <c r="AE19" i="263"/>
  <c r="J20" i="263"/>
  <c r="M18" i="263"/>
  <c r="O18" i="263" s="1"/>
  <c r="AE14" i="261"/>
  <c r="J15" i="261"/>
  <c r="M13" i="261"/>
  <c r="O13" i="261" s="1"/>
  <c r="J4" i="258"/>
  <c r="M10" i="260"/>
  <c r="O10" i="260" s="1"/>
  <c r="J12" i="260"/>
  <c r="AA12" i="260" s="1"/>
  <c r="J11" i="258"/>
  <c r="M9" i="258"/>
  <c r="O9" i="258" s="1"/>
  <c r="J104" i="269" l="1"/>
  <c r="M102" i="269"/>
  <c r="O102" i="269" s="1"/>
  <c r="J12" i="253"/>
  <c r="M10" i="253"/>
  <c r="O10" i="253" s="1"/>
  <c r="J15" i="256"/>
  <c r="M13" i="256"/>
  <c r="O13" i="256" s="1"/>
  <c r="S73" i="262"/>
  <c r="T73" i="262"/>
  <c r="S72" i="262"/>
  <c r="T72" i="262"/>
  <c r="J106" i="272"/>
  <c r="M104" i="272"/>
  <c r="O104" i="272" s="1"/>
  <c r="J105" i="270"/>
  <c r="M103" i="270"/>
  <c r="O103" i="270" s="1"/>
  <c r="J28" i="267"/>
  <c r="AE27" i="267"/>
  <c r="M26" i="267"/>
  <c r="O26" i="267" s="1"/>
  <c r="J30" i="266"/>
  <c r="AE29" i="266"/>
  <c r="M28" i="266"/>
  <c r="O28" i="266" s="1"/>
  <c r="M23" i="265"/>
  <c r="O23" i="265" s="1"/>
  <c r="J25" i="265"/>
  <c r="AE24" i="265"/>
  <c r="J26" i="264"/>
  <c r="AE25" i="264"/>
  <c r="M24" i="264"/>
  <c r="O24" i="264" s="1"/>
  <c r="J21" i="263"/>
  <c r="M19" i="263"/>
  <c r="O19" i="263" s="1"/>
  <c r="AE20" i="263"/>
  <c r="AE15" i="261"/>
  <c r="M14" i="261"/>
  <c r="O14" i="261" s="1"/>
  <c r="J16" i="261"/>
  <c r="M11" i="260"/>
  <c r="O11" i="260" s="1"/>
  <c r="J13" i="260"/>
  <c r="AA13" i="260" s="1"/>
  <c r="M10" i="258"/>
  <c r="O10" i="258" s="1"/>
  <c r="J12" i="258"/>
  <c r="J16" i="256" l="1"/>
  <c r="M14" i="256"/>
  <c r="O14" i="256" s="1"/>
  <c r="M11" i="253"/>
  <c r="O11" i="253" s="1"/>
  <c r="J13" i="253"/>
  <c r="M103" i="269"/>
  <c r="O103" i="269" s="1"/>
  <c r="J105" i="269"/>
  <c r="J107" i="272"/>
  <c r="M106" i="272" s="1"/>
  <c r="O106" i="272" s="1"/>
  <c r="M105" i="272"/>
  <c r="O105" i="272" s="1"/>
  <c r="J106" i="270"/>
  <c r="M104" i="270"/>
  <c r="O104" i="270" s="1"/>
  <c r="M27" i="267"/>
  <c r="O27" i="267" s="1"/>
  <c r="J29" i="267"/>
  <c r="AE28" i="267"/>
  <c r="M29" i="266"/>
  <c r="O29" i="266" s="1"/>
  <c r="J31" i="266"/>
  <c r="AE30" i="266"/>
  <c r="J26" i="265"/>
  <c r="AE25" i="265"/>
  <c r="M24" i="265"/>
  <c r="O24" i="265" s="1"/>
  <c r="M25" i="264"/>
  <c r="O25" i="264" s="1"/>
  <c r="J27" i="264"/>
  <c r="AE26" i="264"/>
  <c r="AE21" i="263"/>
  <c r="J22" i="263"/>
  <c r="M20" i="263"/>
  <c r="O20" i="263" s="1"/>
  <c r="AE16" i="261"/>
  <c r="M15" i="261"/>
  <c r="O15" i="261" s="1"/>
  <c r="J17" i="261"/>
  <c r="M12" i="260"/>
  <c r="O12" i="260" s="1"/>
  <c r="J14" i="260"/>
  <c r="AA14" i="260" s="1"/>
  <c r="M11" i="258"/>
  <c r="O11" i="258" s="1"/>
  <c r="J13" i="258"/>
  <c r="J14" i="253" l="1"/>
  <c r="M12" i="253"/>
  <c r="O12" i="253" s="1"/>
  <c r="J106" i="269"/>
  <c r="M104" i="269"/>
  <c r="O104" i="269" s="1"/>
  <c r="M15" i="256"/>
  <c r="O15" i="256" s="1"/>
  <c r="J17" i="256"/>
  <c r="J107" i="270"/>
  <c r="M106" i="270" s="1"/>
  <c r="O106" i="270" s="1"/>
  <c r="M105" i="270"/>
  <c r="O105" i="270" s="1"/>
  <c r="J30" i="267"/>
  <c r="AE29" i="267"/>
  <c r="M28" i="267"/>
  <c r="O28" i="267" s="1"/>
  <c r="J32" i="266"/>
  <c r="AE31" i="266"/>
  <c r="M30" i="266"/>
  <c r="O30" i="266" s="1"/>
  <c r="M25" i="265"/>
  <c r="O25" i="265" s="1"/>
  <c r="J27" i="265"/>
  <c r="AE26" i="265"/>
  <c r="J28" i="264"/>
  <c r="AE27" i="264"/>
  <c r="M26" i="264"/>
  <c r="O26" i="264" s="1"/>
  <c r="J23" i="263"/>
  <c r="M21" i="263"/>
  <c r="O21" i="263" s="1"/>
  <c r="AE22" i="263"/>
  <c r="AE17" i="261"/>
  <c r="M16" i="261"/>
  <c r="O16" i="261" s="1"/>
  <c r="J18" i="261"/>
  <c r="M13" i="260"/>
  <c r="O13" i="260" s="1"/>
  <c r="J15" i="260"/>
  <c r="AA15" i="260" s="1"/>
  <c r="J14" i="258"/>
  <c r="M12" i="258"/>
  <c r="O12" i="258" s="1"/>
  <c r="M105" i="269" l="1"/>
  <c r="O105" i="269" s="1"/>
  <c r="J107" i="269"/>
  <c r="M106" i="269" s="1"/>
  <c r="O106" i="269" s="1"/>
  <c r="M16" i="256"/>
  <c r="O16" i="256" s="1"/>
  <c r="J18" i="256"/>
  <c r="J15" i="253"/>
  <c r="M13" i="253"/>
  <c r="O13" i="253" s="1"/>
  <c r="M29" i="267"/>
  <c r="O29" i="267" s="1"/>
  <c r="J31" i="267"/>
  <c r="AE30" i="267"/>
  <c r="M31" i="266"/>
  <c r="O31" i="266" s="1"/>
  <c r="J33" i="266"/>
  <c r="AE32" i="266"/>
  <c r="J28" i="265"/>
  <c r="AE27" i="265"/>
  <c r="M26" i="265"/>
  <c r="O26" i="265" s="1"/>
  <c r="M27" i="264"/>
  <c r="O27" i="264" s="1"/>
  <c r="J29" i="264"/>
  <c r="AE28" i="264"/>
  <c r="J24" i="263"/>
  <c r="M22" i="263"/>
  <c r="O22" i="263" s="1"/>
  <c r="AE23" i="263"/>
  <c r="AE18" i="261"/>
  <c r="M17" i="261"/>
  <c r="O17" i="261" s="1"/>
  <c r="J19" i="261"/>
  <c r="M14" i="260"/>
  <c r="O14" i="260" s="1"/>
  <c r="J16" i="260"/>
  <c r="AA16" i="260" s="1"/>
  <c r="M13" i="258"/>
  <c r="O13" i="258" s="1"/>
  <c r="J15" i="258"/>
  <c r="J16" i="253" l="1"/>
  <c r="M14" i="253"/>
  <c r="O14" i="253" s="1"/>
  <c r="M17" i="256"/>
  <c r="O17" i="256" s="1"/>
  <c r="J19" i="256"/>
  <c r="J32" i="267"/>
  <c r="AE31" i="267"/>
  <c r="M30" i="267"/>
  <c r="O30" i="267" s="1"/>
  <c r="J34" i="266"/>
  <c r="AE33" i="266"/>
  <c r="M32" i="266"/>
  <c r="O32" i="266" s="1"/>
  <c r="M27" i="265"/>
  <c r="O27" i="265" s="1"/>
  <c r="J29" i="265"/>
  <c r="AE28" i="265"/>
  <c r="J30" i="264"/>
  <c r="AE29" i="264"/>
  <c r="M28" i="264"/>
  <c r="O28" i="264" s="1"/>
  <c r="J25" i="263"/>
  <c r="M23" i="263"/>
  <c r="O23" i="263" s="1"/>
  <c r="AE24" i="263"/>
  <c r="AE19" i="261"/>
  <c r="M18" i="261"/>
  <c r="O18" i="261" s="1"/>
  <c r="J20" i="261"/>
  <c r="M15" i="260"/>
  <c r="O15" i="260" s="1"/>
  <c r="J17" i="260"/>
  <c r="AA17" i="260" s="1"/>
  <c r="J16" i="258"/>
  <c r="M14" i="258"/>
  <c r="O14" i="258" s="1"/>
  <c r="J20" i="256" l="1"/>
  <c r="M18" i="256"/>
  <c r="O18" i="256" s="1"/>
  <c r="M15" i="253"/>
  <c r="O15" i="253" s="1"/>
  <c r="J17" i="253"/>
  <c r="M31" i="267"/>
  <c r="O31" i="267" s="1"/>
  <c r="J33" i="267"/>
  <c r="AE32" i="267"/>
  <c r="M33" i="266"/>
  <c r="O33" i="266" s="1"/>
  <c r="J35" i="266"/>
  <c r="AE34" i="266"/>
  <c r="J30" i="265"/>
  <c r="AE29" i="265"/>
  <c r="M28" i="265"/>
  <c r="O28" i="265" s="1"/>
  <c r="M29" i="264"/>
  <c r="O29" i="264" s="1"/>
  <c r="J31" i="264"/>
  <c r="AE30" i="264"/>
  <c r="AE25" i="263"/>
  <c r="J26" i="263"/>
  <c r="M24" i="263"/>
  <c r="O24" i="263" s="1"/>
  <c r="AE20" i="261"/>
  <c r="M19" i="261"/>
  <c r="O19" i="261" s="1"/>
  <c r="J21" i="261"/>
  <c r="M16" i="260"/>
  <c r="O16" i="260" s="1"/>
  <c r="J18" i="260"/>
  <c r="AA18" i="260" s="1"/>
  <c r="M15" i="258"/>
  <c r="O15" i="258" s="1"/>
  <c r="J17" i="258"/>
  <c r="J18" i="253" l="1"/>
  <c r="M16" i="253"/>
  <c r="O16" i="253" s="1"/>
  <c r="J21" i="256"/>
  <c r="M19" i="256"/>
  <c r="O19" i="256" s="1"/>
  <c r="J34" i="267"/>
  <c r="AE33" i="267"/>
  <c r="M32" i="267"/>
  <c r="O32" i="267" s="1"/>
  <c r="J36" i="266"/>
  <c r="AE35" i="266"/>
  <c r="M34" i="266"/>
  <c r="O34" i="266" s="1"/>
  <c r="M29" i="265"/>
  <c r="O29" i="265" s="1"/>
  <c r="J31" i="265"/>
  <c r="AE30" i="265"/>
  <c r="J32" i="264"/>
  <c r="AE31" i="264"/>
  <c r="M30" i="264"/>
  <c r="O30" i="264" s="1"/>
  <c r="J27" i="263"/>
  <c r="M25" i="263"/>
  <c r="O25" i="263" s="1"/>
  <c r="AE26" i="263"/>
  <c r="AE21" i="261"/>
  <c r="M20" i="261"/>
  <c r="O20" i="261" s="1"/>
  <c r="J22" i="261"/>
  <c r="M17" i="260"/>
  <c r="O17" i="260" s="1"/>
  <c r="J19" i="260"/>
  <c r="AA19" i="260" s="1"/>
  <c r="J18" i="258"/>
  <c r="M16" i="258"/>
  <c r="O16" i="258" s="1"/>
  <c r="M20" i="256" l="1"/>
  <c r="O20" i="256" s="1"/>
  <c r="J22" i="256"/>
  <c r="M17" i="253"/>
  <c r="O17" i="253" s="1"/>
  <c r="J19" i="253"/>
  <c r="M33" i="267"/>
  <c r="O33" i="267" s="1"/>
  <c r="J35" i="267"/>
  <c r="AE34" i="267"/>
  <c r="M35" i="266"/>
  <c r="O35" i="266" s="1"/>
  <c r="J37" i="266"/>
  <c r="AE36" i="266"/>
  <c r="J32" i="265"/>
  <c r="AE31" i="265"/>
  <c r="M30" i="265"/>
  <c r="O30" i="265" s="1"/>
  <c r="M31" i="264"/>
  <c r="O31" i="264" s="1"/>
  <c r="J33" i="264"/>
  <c r="AE32" i="264"/>
  <c r="J28" i="263"/>
  <c r="M26" i="263"/>
  <c r="O26" i="263" s="1"/>
  <c r="AE27" i="263"/>
  <c r="AE22" i="261"/>
  <c r="M21" i="261"/>
  <c r="O21" i="261" s="1"/>
  <c r="J23" i="261"/>
  <c r="M18" i="260"/>
  <c r="O18" i="260" s="1"/>
  <c r="J20" i="260"/>
  <c r="AA20" i="260" s="1"/>
  <c r="M17" i="258"/>
  <c r="O17" i="258" s="1"/>
  <c r="J19" i="258"/>
  <c r="M18" i="253" l="1"/>
  <c r="O18" i="253" s="1"/>
  <c r="J20" i="253"/>
  <c r="J23" i="256"/>
  <c r="M21" i="256"/>
  <c r="O21" i="256" s="1"/>
  <c r="J36" i="267"/>
  <c r="AE35" i="267"/>
  <c r="M34" i="267"/>
  <c r="O34" i="267" s="1"/>
  <c r="J38" i="266"/>
  <c r="AE37" i="266"/>
  <c r="M36" i="266"/>
  <c r="O36" i="266" s="1"/>
  <c r="M31" i="265"/>
  <c r="O31" i="265" s="1"/>
  <c r="J33" i="265"/>
  <c r="AE32" i="265"/>
  <c r="J34" i="264"/>
  <c r="AE33" i="264"/>
  <c r="M32" i="264"/>
  <c r="O32" i="264" s="1"/>
  <c r="J29" i="263"/>
  <c r="M27" i="263"/>
  <c r="O27" i="263" s="1"/>
  <c r="AE28" i="263"/>
  <c r="AE23" i="261"/>
  <c r="M22" i="261"/>
  <c r="O22" i="261" s="1"/>
  <c r="J24" i="261"/>
  <c r="M19" i="260"/>
  <c r="O19" i="260" s="1"/>
  <c r="J21" i="260"/>
  <c r="AA21" i="260" s="1"/>
  <c r="J20" i="258"/>
  <c r="M18" i="258"/>
  <c r="O18" i="258" s="1"/>
  <c r="M19" i="253" l="1"/>
  <c r="O19" i="253" s="1"/>
  <c r="J21" i="253"/>
  <c r="M22" i="256"/>
  <c r="O22" i="256" s="1"/>
  <c r="J24" i="256"/>
  <c r="M35" i="267"/>
  <c r="O35" i="267" s="1"/>
  <c r="J37" i="267"/>
  <c r="AE36" i="267"/>
  <c r="M37" i="266"/>
  <c r="O37" i="266" s="1"/>
  <c r="J39" i="266"/>
  <c r="AE38" i="266"/>
  <c r="J34" i="265"/>
  <c r="AE33" i="265"/>
  <c r="M32" i="265"/>
  <c r="O32" i="265" s="1"/>
  <c r="M33" i="264"/>
  <c r="O33" i="264" s="1"/>
  <c r="J35" i="264"/>
  <c r="AE34" i="264"/>
  <c r="AE29" i="263"/>
  <c r="J30" i="263"/>
  <c r="M28" i="263"/>
  <c r="O28" i="263" s="1"/>
  <c r="AE24" i="261"/>
  <c r="M23" i="261"/>
  <c r="O23" i="261" s="1"/>
  <c r="J25" i="261"/>
  <c r="M20" i="260"/>
  <c r="O20" i="260" s="1"/>
  <c r="J22" i="260"/>
  <c r="AA22" i="260" s="1"/>
  <c r="M19" i="258"/>
  <c r="O19" i="258" s="1"/>
  <c r="J21" i="258"/>
  <c r="J25" i="256" l="1"/>
  <c r="M23" i="256"/>
  <c r="O23" i="256" s="1"/>
  <c r="J22" i="253"/>
  <c r="M20" i="253"/>
  <c r="O20" i="253" s="1"/>
  <c r="J38" i="267"/>
  <c r="AE37" i="267"/>
  <c r="M36" i="267"/>
  <c r="O36" i="267" s="1"/>
  <c r="J40" i="266"/>
  <c r="AE39" i="266"/>
  <c r="M38" i="266"/>
  <c r="O38" i="266" s="1"/>
  <c r="M33" i="265"/>
  <c r="O33" i="265" s="1"/>
  <c r="J35" i="265"/>
  <c r="AE34" i="265"/>
  <c r="J36" i="264"/>
  <c r="AE35" i="264"/>
  <c r="M34" i="264"/>
  <c r="O34" i="264" s="1"/>
  <c r="J31" i="263"/>
  <c r="M29" i="263"/>
  <c r="O29" i="263" s="1"/>
  <c r="AE30" i="263"/>
  <c r="AE25" i="261"/>
  <c r="M24" i="261"/>
  <c r="O24" i="261" s="1"/>
  <c r="J26" i="261"/>
  <c r="M21" i="260"/>
  <c r="O21" i="260" s="1"/>
  <c r="J23" i="260"/>
  <c r="AA23" i="260" s="1"/>
  <c r="J22" i="258"/>
  <c r="M20" i="258"/>
  <c r="O20" i="258" s="1"/>
  <c r="M21" i="253" l="1"/>
  <c r="O21" i="253" s="1"/>
  <c r="J23" i="253"/>
  <c r="M24" i="256"/>
  <c r="O24" i="256" s="1"/>
  <c r="J26" i="256"/>
  <c r="M37" i="267"/>
  <c r="O37" i="267" s="1"/>
  <c r="J39" i="267"/>
  <c r="AE38" i="267"/>
  <c r="M39" i="266"/>
  <c r="O39" i="266" s="1"/>
  <c r="J41" i="266"/>
  <c r="AE40" i="266"/>
  <c r="J36" i="265"/>
  <c r="AE35" i="265"/>
  <c r="M34" i="265"/>
  <c r="O34" i="265" s="1"/>
  <c r="M35" i="264"/>
  <c r="O35" i="264" s="1"/>
  <c r="J37" i="264"/>
  <c r="AE36" i="264"/>
  <c r="J32" i="263"/>
  <c r="M30" i="263"/>
  <c r="O30" i="263" s="1"/>
  <c r="AE31" i="263"/>
  <c r="AE26" i="261"/>
  <c r="M25" i="261"/>
  <c r="O25" i="261" s="1"/>
  <c r="J27" i="261"/>
  <c r="M22" i="260"/>
  <c r="O22" i="260" s="1"/>
  <c r="J24" i="260"/>
  <c r="AA24" i="260" s="1"/>
  <c r="M21" i="258"/>
  <c r="O21" i="258" s="1"/>
  <c r="J23" i="258"/>
  <c r="J27" i="256" l="1"/>
  <c r="M25" i="256"/>
  <c r="O25" i="256" s="1"/>
  <c r="J24" i="253"/>
  <c r="M22" i="253"/>
  <c r="O22" i="253" s="1"/>
  <c r="J40" i="267"/>
  <c r="AE39" i="267"/>
  <c r="M38" i="267"/>
  <c r="O38" i="267" s="1"/>
  <c r="J42" i="266"/>
  <c r="AE41" i="266"/>
  <c r="M40" i="266"/>
  <c r="O40" i="266" s="1"/>
  <c r="M35" i="265"/>
  <c r="O35" i="265" s="1"/>
  <c r="J37" i="265"/>
  <c r="AE36" i="265"/>
  <c r="J38" i="264"/>
  <c r="AE37" i="264"/>
  <c r="M36" i="264"/>
  <c r="O36" i="264" s="1"/>
  <c r="J33" i="263"/>
  <c r="M31" i="263"/>
  <c r="O31" i="263" s="1"/>
  <c r="AE32" i="263"/>
  <c r="AE27" i="261"/>
  <c r="M26" i="261"/>
  <c r="O26" i="261" s="1"/>
  <c r="J28" i="261"/>
  <c r="M23" i="260"/>
  <c r="O23" i="260" s="1"/>
  <c r="J25" i="260"/>
  <c r="AA25" i="260" s="1"/>
  <c r="J24" i="258"/>
  <c r="M22" i="258"/>
  <c r="O22" i="258" s="1"/>
  <c r="M23" i="253" l="1"/>
  <c r="O23" i="253" s="1"/>
  <c r="J25" i="253"/>
  <c r="J28" i="256"/>
  <c r="M26" i="256"/>
  <c r="O26" i="256" s="1"/>
  <c r="M39" i="267"/>
  <c r="O39" i="267" s="1"/>
  <c r="J41" i="267"/>
  <c r="AE40" i="267"/>
  <c r="M41" i="266"/>
  <c r="O41" i="266" s="1"/>
  <c r="J43" i="266"/>
  <c r="AE42" i="266"/>
  <c r="J38" i="265"/>
  <c r="AE37" i="265"/>
  <c r="M36" i="265"/>
  <c r="O36" i="265" s="1"/>
  <c r="M37" i="264"/>
  <c r="O37" i="264" s="1"/>
  <c r="J39" i="264"/>
  <c r="AE38" i="264"/>
  <c r="AE33" i="263"/>
  <c r="J34" i="263"/>
  <c r="M32" i="263"/>
  <c r="O32" i="263" s="1"/>
  <c r="AE28" i="261"/>
  <c r="M27" i="261"/>
  <c r="O27" i="261" s="1"/>
  <c r="J29" i="261"/>
  <c r="M24" i="260"/>
  <c r="O24" i="260" s="1"/>
  <c r="J26" i="260"/>
  <c r="AA26" i="260" s="1"/>
  <c r="M23" i="258"/>
  <c r="O23" i="258" s="1"/>
  <c r="J25" i="258"/>
  <c r="J29" i="256" l="1"/>
  <c r="M27" i="256"/>
  <c r="O27" i="256" s="1"/>
  <c r="J26" i="253"/>
  <c r="M24" i="253"/>
  <c r="O24" i="253" s="1"/>
  <c r="J42" i="267"/>
  <c r="AE41" i="267"/>
  <c r="M40" i="267"/>
  <c r="O40" i="267" s="1"/>
  <c r="J44" i="266"/>
  <c r="AE43" i="266"/>
  <c r="M42" i="266"/>
  <c r="O42" i="266" s="1"/>
  <c r="M37" i="265"/>
  <c r="O37" i="265" s="1"/>
  <c r="J39" i="265"/>
  <c r="AE38" i="265"/>
  <c r="J40" i="264"/>
  <c r="AE39" i="264"/>
  <c r="M38" i="264"/>
  <c r="O38" i="264" s="1"/>
  <c r="J35" i="263"/>
  <c r="M33" i="263"/>
  <c r="O33" i="263" s="1"/>
  <c r="AE34" i="263"/>
  <c r="AE29" i="261"/>
  <c r="M28" i="261"/>
  <c r="O28" i="261" s="1"/>
  <c r="J30" i="261"/>
  <c r="M25" i="260"/>
  <c r="O25" i="260" s="1"/>
  <c r="J27" i="260"/>
  <c r="AA27" i="260" s="1"/>
  <c r="J26" i="258"/>
  <c r="M24" i="258"/>
  <c r="O24" i="258" s="1"/>
  <c r="J27" i="253" l="1"/>
  <c r="M25" i="253"/>
  <c r="O25" i="253" s="1"/>
  <c r="M28" i="256"/>
  <c r="O28" i="256" s="1"/>
  <c r="J30" i="256"/>
  <c r="M41" i="267"/>
  <c r="O41" i="267" s="1"/>
  <c r="J43" i="267"/>
  <c r="AE42" i="267"/>
  <c r="M43" i="266"/>
  <c r="O43" i="266" s="1"/>
  <c r="J45" i="266"/>
  <c r="AE44" i="266"/>
  <c r="J40" i="265"/>
  <c r="AE39" i="265"/>
  <c r="M38" i="265"/>
  <c r="O38" i="265" s="1"/>
  <c r="M39" i="264"/>
  <c r="O39" i="264" s="1"/>
  <c r="J41" i="264"/>
  <c r="AE40" i="264"/>
  <c r="J36" i="263"/>
  <c r="M34" i="263"/>
  <c r="O34" i="263" s="1"/>
  <c r="AE35" i="263"/>
  <c r="AE30" i="261"/>
  <c r="M29" i="261"/>
  <c r="O29" i="261" s="1"/>
  <c r="J31" i="261"/>
  <c r="M26" i="260"/>
  <c r="O26" i="260" s="1"/>
  <c r="J28" i="260"/>
  <c r="AA28" i="260" s="1"/>
  <c r="M25" i="258"/>
  <c r="O25" i="258" s="1"/>
  <c r="J27" i="258"/>
  <c r="J31" i="256" l="1"/>
  <c r="M29" i="256"/>
  <c r="O29" i="256" s="1"/>
  <c r="M26" i="253"/>
  <c r="O26" i="253" s="1"/>
  <c r="J28" i="253"/>
  <c r="J44" i="267"/>
  <c r="AE43" i="267"/>
  <c r="M42" i="267"/>
  <c r="O42" i="267" s="1"/>
  <c r="J46" i="266"/>
  <c r="AE45" i="266"/>
  <c r="M44" i="266"/>
  <c r="O44" i="266" s="1"/>
  <c r="M39" i="265"/>
  <c r="O39" i="265" s="1"/>
  <c r="J41" i="265"/>
  <c r="AE40" i="265"/>
  <c r="J42" i="264"/>
  <c r="AE41" i="264"/>
  <c r="M40" i="264"/>
  <c r="O40" i="264" s="1"/>
  <c r="J37" i="263"/>
  <c r="M35" i="263"/>
  <c r="O35" i="263" s="1"/>
  <c r="AE36" i="263"/>
  <c r="AE31" i="261"/>
  <c r="M30" i="261"/>
  <c r="O30" i="261" s="1"/>
  <c r="J32" i="261"/>
  <c r="M27" i="260"/>
  <c r="O27" i="260" s="1"/>
  <c r="J29" i="260"/>
  <c r="AA29" i="260" s="1"/>
  <c r="J28" i="258"/>
  <c r="M26" i="258"/>
  <c r="O26" i="258" s="1"/>
  <c r="M27" i="253" l="1"/>
  <c r="O27" i="253" s="1"/>
  <c r="J29" i="253"/>
  <c r="M30" i="256"/>
  <c r="O30" i="256" s="1"/>
  <c r="J32" i="256"/>
  <c r="M43" i="267"/>
  <c r="O43" i="267" s="1"/>
  <c r="J45" i="267"/>
  <c r="AE44" i="267"/>
  <c r="M45" i="266"/>
  <c r="O45" i="266" s="1"/>
  <c r="J47" i="266"/>
  <c r="AE46" i="266"/>
  <c r="J42" i="265"/>
  <c r="AE41" i="265"/>
  <c r="M40" i="265"/>
  <c r="O40" i="265" s="1"/>
  <c r="M41" i="264"/>
  <c r="O41" i="264" s="1"/>
  <c r="J43" i="264"/>
  <c r="AE42" i="264"/>
  <c r="AE37" i="263"/>
  <c r="J38" i="263"/>
  <c r="M36" i="263"/>
  <c r="O36" i="263" s="1"/>
  <c r="AE32" i="261"/>
  <c r="M31" i="261"/>
  <c r="O31" i="261" s="1"/>
  <c r="J33" i="261"/>
  <c r="M28" i="260"/>
  <c r="O28" i="260" s="1"/>
  <c r="J30" i="260"/>
  <c r="AA30" i="260" s="1"/>
  <c r="M27" i="258"/>
  <c r="O27" i="258" s="1"/>
  <c r="J29" i="258"/>
  <c r="J30" i="253" l="1"/>
  <c r="M28" i="253"/>
  <c r="O28" i="253" s="1"/>
  <c r="J33" i="256"/>
  <c r="M31" i="256"/>
  <c r="O31" i="256" s="1"/>
  <c r="J46" i="267"/>
  <c r="AE45" i="267"/>
  <c r="M44" i="267"/>
  <c r="O44" i="267" s="1"/>
  <c r="J48" i="266"/>
  <c r="AE47" i="266"/>
  <c r="M46" i="266"/>
  <c r="O46" i="266" s="1"/>
  <c r="M41" i="265"/>
  <c r="O41" i="265" s="1"/>
  <c r="J43" i="265"/>
  <c r="AE42" i="265"/>
  <c r="J44" i="264"/>
  <c r="AE43" i="264"/>
  <c r="M42" i="264"/>
  <c r="O42" i="264" s="1"/>
  <c r="J39" i="263"/>
  <c r="M37" i="263"/>
  <c r="O37" i="263" s="1"/>
  <c r="AE38" i="263"/>
  <c r="AE33" i="261"/>
  <c r="M32" i="261"/>
  <c r="O32" i="261" s="1"/>
  <c r="J34" i="261"/>
  <c r="M29" i="260"/>
  <c r="O29" i="260" s="1"/>
  <c r="J31" i="260"/>
  <c r="AA31" i="260" s="1"/>
  <c r="M28" i="258"/>
  <c r="O28" i="258" s="1"/>
  <c r="J30" i="258"/>
  <c r="M32" i="256" l="1"/>
  <c r="O32" i="256" s="1"/>
  <c r="J34" i="256"/>
  <c r="M29" i="253"/>
  <c r="O29" i="253" s="1"/>
  <c r="J31" i="253"/>
  <c r="M45" i="267"/>
  <c r="O45" i="267" s="1"/>
  <c r="J47" i="267"/>
  <c r="AE46" i="267"/>
  <c r="M47" i="266"/>
  <c r="O47" i="266" s="1"/>
  <c r="J49" i="266"/>
  <c r="AE48" i="266"/>
  <c r="J44" i="265"/>
  <c r="AE43" i="265"/>
  <c r="M42" i="265"/>
  <c r="O42" i="265" s="1"/>
  <c r="M43" i="264"/>
  <c r="O43" i="264" s="1"/>
  <c r="J45" i="264"/>
  <c r="AE44" i="264"/>
  <c r="J40" i="263"/>
  <c r="M38" i="263"/>
  <c r="O38" i="263" s="1"/>
  <c r="AE39" i="263"/>
  <c r="AE34" i="261"/>
  <c r="M33" i="261"/>
  <c r="O33" i="261" s="1"/>
  <c r="J35" i="261"/>
  <c r="M30" i="260"/>
  <c r="O30" i="260" s="1"/>
  <c r="J32" i="260"/>
  <c r="AA32" i="260" s="1"/>
  <c r="J31" i="258"/>
  <c r="M29" i="258"/>
  <c r="O29" i="258" s="1"/>
  <c r="J32" i="253" l="1"/>
  <c r="M30" i="253"/>
  <c r="O30" i="253" s="1"/>
  <c r="M33" i="256"/>
  <c r="O33" i="256" s="1"/>
  <c r="J35" i="256"/>
  <c r="J48" i="267"/>
  <c r="AE47" i="267"/>
  <c r="M46" i="267"/>
  <c r="O46" i="267" s="1"/>
  <c r="J50" i="266"/>
  <c r="AE49" i="266"/>
  <c r="M48" i="266"/>
  <c r="O48" i="266" s="1"/>
  <c r="M43" i="265"/>
  <c r="O43" i="265" s="1"/>
  <c r="J45" i="265"/>
  <c r="AE44" i="265"/>
  <c r="J46" i="264"/>
  <c r="AE45" i="264"/>
  <c r="M44" i="264"/>
  <c r="O44" i="264" s="1"/>
  <c r="J41" i="263"/>
  <c r="M39" i="263"/>
  <c r="O39" i="263" s="1"/>
  <c r="AE40" i="263"/>
  <c r="AE35" i="261"/>
  <c r="M34" i="261"/>
  <c r="O34" i="261" s="1"/>
  <c r="J36" i="261"/>
  <c r="M31" i="260"/>
  <c r="O31" i="260" s="1"/>
  <c r="J33" i="260"/>
  <c r="AA33" i="260" s="1"/>
  <c r="J32" i="258"/>
  <c r="M30" i="258"/>
  <c r="O30" i="258" s="1"/>
  <c r="J36" i="256" l="1"/>
  <c r="M34" i="256"/>
  <c r="O34" i="256" s="1"/>
  <c r="M31" i="253"/>
  <c r="O31" i="253" s="1"/>
  <c r="J33" i="253"/>
  <c r="M47" i="267"/>
  <c r="O47" i="267" s="1"/>
  <c r="J49" i="267"/>
  <c r="AE48" i="267"/>
  <c r="M49" i="266"/>
  <c r="O49" i="266" s="1"/>
  <c r="J51" i="266"/>
  <c r="AE50" i="266"/>
  <c r="J46" i="265"/>
  <c r="AE45" i="265"/>
  <c r="M44" i="265"/>
  <c r="O44" i="265" s="1"/>
  <c r="M45" i="264"/>
  <c r="O45" i="264" s="1"/>
  <c r="J47" i="264"/>
  <c r="AE46" i="264"/>
  <c r="AE41" i="263"/>
  <c r="J42" i="263"/>
  <c r="M40" i="263"/>
  <c r="O40" i="263" s="1"/>
  <c r="AE36" i="261"/>
  <c r="M35" i="261"/>
  <c r="O35" i="261" s="1"/>
  <c r="J37" i="261"/>
  <c r="M32" i="260"/>
  <c r="O32" i="260" s="1"/>
  <c r="J34" i="260"/>
  <c r="AA34" i="260" s="1"/>
  <c r="M31" i="258"/>
  <c r="O31" i="258" s="1"/>
  <c r="J33" i="258"/>
  <c r="J34" i="253" l="1"/>
  <c r="M32" i="253"/>
  <c r="O32" i="253" s="1"/>
  <c r="M35" i="256"/>
  <c r="O35" i="256" s="1"/>
  <c r="J37" i="256"/>
  <c r="J50" i="267"/>
  <c r="AE49" i="267"/>
  <c r="M48" i="267"/>
  <c r="O48" i="267" s="1"/>
  <c r="J52" i="266"/>
  <c r="AE51" i="266"/>
  <c r="M50" i="266"/>
  <c r="O50" i="266" s="1"/>
  <c r="M45" i="265"/>
  <c r="O45" i="265" s="1"/>
  <c r="J47" i="265"/>
  <c r="AE46" i="265"/>
  <c r="J48" i="264"/>
  <c r="AE47" i="264"/>
  <c r="M46" i="264"/>
  <c r="O46" i="264" s="1"/>
  <c r="J43" i="263"/>
  <c r="M41" i="263"/>
  <c r="O41" i="263" s="1"/>
  <c r="AE42" i="263"/>
  <c r="AE37" i="261"/>
  <c r="M36" i="261"/>
  <c r="O36" i="261" s="1"/>
  <c r="J38" i="261"/>
  <c r="M33" i="260"/>
  <c r="O33" i="260" s="1"/>
  <c r="J35" i="260"/>
  <c r="AA35" i="260" s="1"/>
  <c r="M32" i="258"/>
  <c r="O32" i="258" s="1"/>
  <c r="J34" i="258"/>
  <c r="J38" i="256" l="1"/>
  <c r="M36" i="256"/>
  <c r="O36" i="256" s="1"/>
  <c r="J35" i="253"/>
  <c r="M33" i="253"/>
  <c r="O33" i="253" s="1"/>
  <c r="M49" i="267"/>
  <c r="O49" i="267" s="1"/>
  <c r="J51" i="267"/>
  <c r="AE50" i="267"/>
  <c r="M51" i="266"/>
  <c r="O51" i="266" s="1"/>
  <c r="J53" i="266"/>
  <c r="AE52" i="266"/>
  <c r="J48" i="265"/>
  <c r="AE47" i="265"/>
  <c r="M46" i="265"/>
  <c r="O46" i="265" s="1"/>
  <c r="M47" i="264"/>
  <c r="O47" i="264" s="1"/>
  <c r="J49" i="264"/>
  <c r="AE48" i="264"/>
  <c r="J44" i="263"/>
  <c r="M42" i="263"/>
  <c r="O42" i="263" s="1"/>
  <c r="AE43" i="263"/>
  <c r="AE38" i="261"/>
  <c r="M37" i="261"/>
  <c r="O37" i="261" s="1"/>
  <c r="J39" i="261"/>
  <c r="M34" i="260"/>
  <c r="O34" i="260" s="1"/>
  <c r="J36" i="260"/>
  <c r="AA36" i="260" s="1"/>
  <c r="J35" i="258"/>
  <c r="M33" i="258"/>
  <c r="O33" i="258" s="1"/>
  <c r="J36" i="253" l="1"/>
  <c r="M34" i="253"/>
  <c r="O34" i="253" s="1"/>
  <c r="J39" i="256"/>
  <c r="M37" i="256"/>
  <c r="O37" i="256" s="1"/>
  <c r="J52" i="267"/>
  <c r="AE51" i="267"/>
  <c r="M50" i="267"/>
  <c r="O50" i="267" s="1"/>
  <c r="J54" i="266"/>
  <c r="AE53" i="266"/>
  <c r="M52" i="266"/>
  <c r="O52" i="266" s="1"/>
  <c r="M47" i="265"/>
  <c r="O47" i="265" s="1"/>
  <c r="J49" i="265"/>
  <c r="AE48" i="265"/>
  <c r="J50" i="264"/>
  <c r="AE49" i="264"/>
  <c r="M48" i="264"/>
  <c r="O48" i="264" s="1"/>
  <c r="J45" i="263"/>
  <c r="M43" i="263"/>
  <c r="O43" i="263" s="1"/>
  <c r="AE44" i="263"/>
  <c r="AE39" i="261"/>
  <c r="M38" i="261"/>
  <c r="O38" i="261" s="1"/>
  <c r="J40" i="261"/>
  <c r="M35" i="260"/>
  <c r="O35" i="260" s="1"/>
  <c r="J37" i="260"/>
  <c r="AA37" i="260" s="1"/>
  <c r="M34" i="258"/>
  <c r="O34" i="258" s="1"/>
  <c r="J36" i="258"/>
  <c r="J40" i="256" l="1"/>
  <c r="M38" i="256"/>
  <c r="O38" i="256" s="1"/>
  <c r="M35" i="253"/>
  <c r="O35" i="253" s="1"/>
  <c r="J37" i="253"/>
  <c r="M51" i="267"/>
  <c r="O51" i="267" s="1"/>
  <c r="J53" i="267"/>
  <c r="AE52" i="267"/>
  <c r="M53" i="266"/>
  <c r="O53" i="266" s="1"/>
  <c r="J55" i="266"/>
  <c r="AE54" i="266"/>
  <c r="J50" i="265"/>
  <c r="AE49" i="265"/>
  <c r="M48" i="265"/>
  <c r="O48" i="265" s="1"/>
  <c r="M49" i="264"/>
  <c r="O49" i="264" s="1"/>
  <c r="J51" i="264"/>
  <c r="AE50" i="264"/>
  <c r="AE45" i="263"/>
  <c r="J46" i="263"/>
  <c r="M44" i="263"/>
  <c r="O44" i="263" s="1"/>
  <c r="AE40" i="261"/>
  <c r="M39" i="261"/>
  <c r="O39" i="261" s="1"/>
  <c r="J41" i="261"/>
  <c r="M36" i="260"/>
  <c r="O36" i="260" s="1"/>
  <c r="J38" i="260"/>
  <c r="AA38" i="260" s="1"/>
  <c r="M35" i="258"/>
  <c r="O35" i="258" s="1"/>
  <c r="J37" i="258"/>
  <c r="M36" i="253" l="1"/>
  <c r="O36" i="253" s="1"/>
  <c r="J38" i="253"/>
  <c r="J41" i="256"/>
  <c r="M39" i="256"/>
  <c r="O39" i="256" s="1"/>
  <c r="J54" i="267"/>
  <c r="AE53" i="267"/>
  <c r="M52" i="267"/>
  <c r="O52" i="267" s="1"/>
  <c r="J56" i="266"/>
  <c r="AE55" i="266"/>
  <c r="M54" i="266"/>
  <c r="O54" i="266" s="1"/>
  <c r="M49" i="265"/>
  <c r="O49" i="265" s="1"/>
  <c r="J51" i="265"/>
  <c r="AE50" i="265"/>
  <c r="J52" i="264"/>
  <c r="AE51" i="264"/>
  <c r="M50" i="264"/>
  <c r="O50" i="264" s="1"/>
  <c r="J47" i="263"/>
  <c r="M45" i="263"/>
  <c r="O45" i="263" s="1"/>
  <c r="AE46" i="263"/>
  <c r="AE41" i="261"/>
  <c r="M40" i="261"/>
  <c r="O40" i="261" s="1"/>
  <c r="J42" i="261"/>
  <c r="M37" i="260"/>
  <c r="O37" i="260" s="1"/>
  <c r="J39" i="260"/>
  <c r="AA39" i="260" s="1"/>
  <c r="J38" i="258"/>
  <c r="M36" i="258"/>
  <c r="O36" i="258" s="1"/>
  <c r="J42" i="256" l="1"/>
  <c r="M40" i="256"/>
  <c r="O40" i="256" s="1"/>
  <c r="M37" i="253"/>
  <c r="O37" i="253" s="1"/>
  <c r="J39" i="253"/>
  <c r="M53" i="267"/>
  <c r="O53" i="267" s="1"/>
  <c r="J55" i="267"/>
  <c r="AE54" i="267"/>
  <c r="M55" i="266"/>
  <c r="O55" i="266" s="1"/>
  <c r="J57" i="266"/>
  <c r="AE56" i="266"/>
  <c r="J52" i="265"/>
  <c r="AE51" i="265"/>
  <c r="M50" i="265"/>
  <c r="O50" i="265" s="1"/>
  <c r="M51" i="264"/>
  <c r="O51" i="264" s="1"/>
  <c r="J53" i="264"/>
  <c r="AE52" i="264"/>
  <c r="J48" i="263"/>
  <c r="M46" i="263"/>
  <c r="O46" i="263" s="1"/>
  <c r="AE47" i="263"/>
  <c r="AE42" i="261"/>
  <c r="M41" i="261"/>
  <c r="O41" i="261" s="1"/>
  <c r="J43" i="261"/>
  <c r="M38" i="260"/>
  <c r="O38" i="260" s="1"/>
  <c r="J40" i="260"/>
  <c r="AA40" i="260" s="1"/>
  <c r="M37" i="258"/>
  <c r="O37" i="258" s="1"/>
  <c r="J39" i="258"/>
  <c r="J40" i="253" l="1"/>
  <c r="M38" i="253"/>
  <c r="O38" i="253" s="1"/>
  <c r="J43" i="256"/>
  <c r="M41" i="256"/>
  <c r="O41" i="256" s="1"/>
  <c r="J56" i="267"/>
  <c r="AE55" i="267"/>
  <c r="M54" i="267"/>
  <c r="O54" i="267" s="1"/>
  <c r="J58" i="266"/>
  <c r="AE57" i="266"/>
  <c r="M56" i="266"/>
  <c r="O56" i="266" s="1"/>
  <c r="M51" i="265"/>
  <c r="O51" i="265" s="1"/>
  <c r="J53" i="265"/>
  <c r="AE52" i="265"/>
  <c r="J54" i="264"/>
  <c r="AE53" i="264"/>
  <c r="M52" i="264"/>
  <c r="O52" i="264" s="1"/>
  <c r="J49" i="263"/>
  <c r="M47" i="263"/>
  <c r="O47" i="263" s="1"/>
  <c r="AE48" i="263"/>
  <c r="AE43" i="261"/>
  <c r="M42" i="261"/>
  <c r="O42" i="261" s="1"/>
  <c r="J44" i="261"/>
  <c r="M39" i="260"/>
  <c r="O39" i="260" s="1"/>
  <c r="J41" i="260"/>
  <c r="AA41" i="260" s="1"/>
  <c r="M38" i="258"/>
  <c r="O38" i="258" s="1"/>
  <c r="J40" i="258"/>
  <c r="J44" i="256" l="1"/>
  <c r="M42" i="256"/>
  <c r="O42" i="256" s="1"/>
  <c r="M39" i="253"/>
  <c r="O39" i="253" s="1"/>
  <c r="J41" i="253"/>
  <c r="M55" i="267"/>
  <c r="O55" i="267" s="1"/>
  <c r="J57" i="267"/>
  <c r="AE56" i="267"/>
  <c r="M57" i="266"/>
  <c r="O57" i="266" s="1"/>
  <c r="J59" i="266"/>
  <c r="AE58" i="266"/>
  <c r="J54" i="265"/>
  <c r="AE53" i="265"/>
  <c r="M52" i="265"/>
  <c r="O52" i="265" s="1"/>
  <c r="M53" i="264"/>
  <c r="O53" i="264" s="1"/>
  <c r="J55" i="264"/>
  <c r="AE54" i="264"/>
  <c r="AE49" i="263"/>
  <c r="J50" i="263"/>
  <c r="M48" i="263"/>
  <c r="O48" i="263" s="1"/>
  <c r="AE44" i="261"/>
  <c r="M43" i="261"/>
  <c r="O43" i="261" s="1"/>
  <c r="J45" i="261"/>
  <c r="M40" i="260"/>
  <c r="O40" i="260" s="1"/>
  <c r="J42" i="260"/>
  <c r="AA42" i="260" s="1"/>
  <c r="M39" i="258"/>
  <c r="O39" i="258" s="1"/>
  <c r="J41" i="258"/>
  <c r="J42" i="253" l="1"/>
  <c r="M40" i="253"/>
  <c r="O40" i="253" s="1"/>
  <c r="J45" i="256"/>
  <c r="M43" i="256"/>
  <c r="O43" i="256" s="1"/>
  <c r="J58" i="267"/>
  <c r="AE57" i="267"/>
  <c r="M56" i="267"/>
  <c r="O56" i="267" s="1"/>
  <c r="J60" i="266"/>
  <c r="AE59" i="266"/>
  <c r="M58" i="266"/>
  <c r="O58" i="266" s="1"/>
  <c r="M53" i="265"/>
  <c r="O53" i="265" s="1"/>
  <c r="J55" i="265"/>
  <c r="AE54" i="265"/>
  <c r="J56" i="264"/>
  <c r="AE55" i="264"/>
  <c r="M54" i="264"/>
  <c r="O54" i="264" s="1"/>
  <c r="J51" i="263"/>
  <c r="M49" i="263"/>
  <c r="O49" i="263" s="1"/>
  <c r="AE50" i="263"/>
  <c r="AE45" i="261"/>
  <c r="M44" i="261"/>
  <c r="O44" i="261" s="1"/>
  <c r="J46" i="261"/>
  <c r="M41" i="260"/>
  <c r="O41" i="260" s="1"/>
  <c r="J43" i="260"/>
  <c r="AA43" i="260" s="1"/>
  <c r="J42" i="258"/>
  <c r="M40" i="258"/>
  <c r="O40" i="258" s="1"/>
  <c r="J46" i="256" l="1"/>
  <c r="M44" i="256"/>
  <c r="O44" i="256" s="1"/>
  <c r="M41" i="253"/>
  <c r="O41" i="253" s="1"/>
  <c r="J43" i="253"/>
  <c r="M57" i="267"/>
  <c r="O57" i="267" s="1"/>
  <c r="J59" i="267"/>
  <c r="AE58" i="267"/>
  <c r="M59" i="266"/>
  <c r="O59" i="266" s="1"/>
  <c r="J61" i="266"/>
  <c r="AE60" i="266"/>
  <c r="J56" i="265"/>
  <c r="AE55" i="265"/>
  <c r="M54" i="265"/>
  <c r="O54" i="265" s="1"/>
  <c r="M55" i="264"/>
  <c r="O55" i="264" s="1"/>
  <c r="J57" i="264"/>
  <c r="AE56" i="264"/>
  <c r="J52" i="263"/>
  <c r="M50" i="263"/>
  <c r="O50" i="263" s="1"/>
  <c r="AE51" i="263"/>
  <c r="AE46" i="261"/>
  <c r="M45" i="261"/>
  <c r="O45" i="261" s="1"/>
  <c r="J47" i="261"/>
  <c r="M42" i="260"/>
  <c r="O42" i="260" s="1"/>
  <c r="J44" i="260"/>
  <c r="AA44" i="260" s="1"/>
  <c r="J43" i="258"/>
  <c r="M41" i="258"/>
  <c r="O41" i="258" s="1"/>
  <c r="M42" i="253" l="1"/>
  <c r="O42" i="253" s="1"/>
  <c r="J44" i="253"/>
  <c r="J47" i="256"/>
  <c r="M45" i="256"/>
  <c r="O45" i="256" s="1"/>
  <c r="J60" i="267"/>
  <c r="AE59" i="267"/>
  <c r="M58" i="267"/>
  <c r="O58" i="267" s="1"/>
  <c r="J62" i="266"/>
  <c r="AE61" i="266"/>
  <c r="M60" i="266"/>
  <c r="O60" i="266" s="1"/>
  <c r="M55" i="265"/>
  <c r="O55" i="265" s="1"/>
  <c r="J57" i="265"/>
  <c r="AE56" i="265"/>
  <c r="J58" i="264"/>
  <c r="AE57" i="264"/>
  <c r="M56" i="264"/>
  <c r="O56" i="264" s="1"/>
  <c r="J53" i="263"/>
  <c r="M51" i="263"/>
  <c r="O51" i="263" s="1"/>
  <c r="AE52" i="263"/>
  <c r="AE47" i="261"/>
  <c r="M46" i="261"/>
  <c r="O46" i="261" s="1"/>
  <c r="J48" i="261"/>
  <c r="M43" i="260"/>
  <c r="O43" i="260" s="1"/>
  <c r="J45" i="260"/>
  <c r="AA45" i="260" s="1"/>
  <c r="M42" i="258"/>
  <c r="O42" i="258" s="1"/>
  <c r="J44" i="258"/>
  <c r="J48" i="256" l="1"/>
  <c r="M46" i="256"/>
  <c r="O46" i="256" s="1"/>
  <c r="M43" i="253"/>
  <c r="O43" i="253" s="1"/>
  <c r="J45" i="253"/>
  <c r="M59" i="267"/>
  <c r="O59" i="267" s="1"/>
  <c r="J61" i="267"/>
  <c r="AE60" i="267"/>
  <c r="M61" i="266"/>
  <c r="O61" i="266" s="1"/>
  <c r="J63" i="266"/>
  <c r="AE62" i="266"/>
  <c r="J58" i="265"/>
  <c r="AE57" i="265"/>
  <c r="M56" i="265"/>
  <c r="O56" i="265" s="1"/>
  <c r="M57" i="264"/>
  <c r="O57" i="264" s="1"/>
  <c r="J59" i="264"/>
  <c r="AE58" i="264"/>
  <c r="AE53" i="263"/>
  <c r="J54" i="263"/>
  <c r="M52" i="263"/>
  <c r="O52" i="263" s="1"/>
  <c r="AE48" i="261"/>
  <c r="M47" i="261"/>
  <c r="O47" i="261" s="1"/>
  <c r="J49" i="261"/>
  <c r="M44" i="260"/>
  <c r="O44" i="260" s="1"/>
  <c r="J46" i="260"/>
  <c r="AA46" i="260" s="1"/>
  <c r="J45" i="258"/>
  <c r="M43" i="258"/>
  <c r="O43" i="258" s="1"/>
  <c r="J46" i="253" l="1"/>
  <c r="M44" i="253"/>
  <c r="O44" i="253" s="1"/>
  <c r="J49" i="256"/>
  <c r="M47" i="256"/>
  <c r="O47" i="256" s="1"/>
  <c r="J62" i="267"/>
  <c r="AE61" i="267"/>
  <c r="M60" i="267"/>
  <c r="O60" i="267" s="1"/>
  <c r="J64" i="266"/>
  <c r="AE63" i="266"/>
  <c r="M62" i="266"/>
  <c r="O62" i="266" s="1"/>
  <c r="M57" i="265"/>
  <c r="O57" i="265" s="1"/>
  <c r="J59" i="265"/>
  <c r="AE58" i="265"/>
  <c r="J60" i="264"/>
  <c r="AE59" i="264"/>
  <c r="M58" i="264"/>
  <c r="O58" i="264" s="1"/>
  <c r="J55" i="263"/>
  <c r="M53" i="263"/>
  <c r="O53" i="263" s="1"/>
  <c r="AE54" i="263"/>
  <c r="AE49" i="261"/>
  <c r="M48" i="261"/>
  <c r="O48" i="261" s="1"/>
  <c r="J50" i="261"/>
  <c r="M45" i="260"/>
  <c r="O45" i="260" s="1"/>
  <c r="J47" i="260"/>
  <c r="AA47" i="260" s="1"/>
  <c r="J46" i="258"/>
  <c r="M44" i="258"/>
  <c r="O44" i="258" s="1"/>
  <c r="J50" i="256" l="1"/>
  <c r="M48" i="256"/>
  <c r="O48" i="256" s="1"/>
  <c r="M45" i="253"/>
  <c r="O45" i="253" s="1"/>
  <c r="J47" i="253"/>
  <c r="M61" i="267"/>
  <c r="O61" i="267" s="1"/>
  <c r="J63" i="267"/>
  <c r="AE62" i="267"/>
  <c r="J65" i="266"/>
  <c r="M63" i="266"/>
  <c r="O63" i="266" s="1"/>
  <c r="AE64" i="266"/>
  <c r="J60" i="265"/>
  <c r="AE59" i="265"/>
  <c r="M58" i="265"/>
  <c r="O58" i="265" s="1"/>
  <c r="M59" i="264"/>
  <c r="O59" i="264" s="1"/>
  <c r="J61" i="264"/>
  <c r="AE60" i="264"/>
  <c r="J56" i="263"/>
  <c r="M54" i="263"/>
  <c r="O54" i="263" s="1"/>
  <c r="AE55" i="263"/>
  <c r="AE50" i="261"/>
  <c r="M49" i="261"/>
  <c r="O49" i="261" s="1"/>
  <c r="J51" i="261"/>
  <c r="M46" i="260"/>
  <c r="O46" i="260" s="1"/>
  <c r="J48" i="260"/>
  <c r="AA48" i="260" s="1"/>
  <c r="M45" i="258"/>
  <c r="O45" i="258" s="1"/>
  <c r="J47" i="258"/>
  <c r="J48" i="253" l="1"/>
  <c r="M46" i="253"/>
  <c r="O46" i="253" s="1"/>
  <c r="J51" i="256"/>
  <c r="M49" i="256"/>
  <c r="O49" i="256" s="1"/>
  <c r="J64" i="267"/>
  <c r="AE63" i="267"/>
  <c r="M62" i="267"/>
  <c r="O62" i="267" s="1"/>
  <c r="J66" i="266"/>
  <c r="AE65" i="266"/>
  <c r="M64" i="266"/>
  <c r="O64" i="266" s="1"/>
  <c r="M59" i="265"/>
  <c r="O59" i="265" s="1"/>
  <c r="J61" i="265"/>
  <c r="AE60" i="265"/>
  <c r="J62" i="264"/>
  <c r="AE61" i="264"/>
  <c r="M60" i="264"/>
  <c r="O60" i="264" s="1"/>
  <c r="J57" i="263"/>
  <c r="M55" i="263"/>
  <c r="O55" i="263" s="1"/>
  <c r="AE56" i="263"/>
  <c r="AE51" i="261"/>
  <c r="M50" i="261"/>
  <c r="O50" i="261" s="1"/>
  <c r="J52" i="261"/>
  <c r="M47" i="260"/>
  <c r="O47" i="260" s="1"/>
  <c r="J49" i="260"/>
  <c r="AA49" i="260" s="1"/>
  <c r="M46" i="258"/>
  <c r="O46" i="258" s="1"/>
  <c r="J48" i="258"/>
  <c r="J52" i="256" l="1"/>
  <c r="M50" i="256"/>
  <c r="O50" i="256" s="1"/>
  <c r="M47" i="253"/>
  <c r="O47" i="253" s="1"/>
  <c r="J49" i="253"/>
  <c r="M63" i="267"/>
  <c r="O63" i="267" s="1"/>
  <c r="J65" i="267"/>
  <c r="AE64" i="267"/>
  <c r="J67" i="266"/>
  <c r="AE66" i="266"/>
  <c r="M65" i="266"/>
  <c r="O65" i="266" s="1"/>
  <c r="J62" i="265"/>
  <c r="AE61" i="265"/>
  <c r="M60" i="265"/>
  <c r="O60" i="265" s="1"/>
  <c r="M61" i="264"/>
  <c r="O61" i="264" s="1"/>
  <c r="J63" i="264"/>
  <c r="AE62" i="264"/>
  <c r="AE57" i="263"/>
  <c r="J58" i="263"/>
  <c r="M56" i="263"/>
  <c r="O56" i="263" s="1"/>
  <c r="AE52" i="261"/>
  <c r="M51" i="261"/>
  <c r="O51" i="261" s="1"/>
  <c r="J53" i="261"/>
  <c r="M48" i="260"/>
  <c r="O48" i="260" s="1"/>
  <c r="J50" i="260"/>
  <c r="AA50" i="260" s="1"/>
  <c r="J49" i="258"/>
  <c r="M47" i="258"/>
  <c r="O47" i="258" s="1"/>
  <c r="M48" i="253" l="1"/>
  <c r="O48" i="253" s="1"/>
  <c r="J50" i="253"/>
  <c r="J53" i="256"/>
  <c r="M51" i="256"/>
  <c r="O51" i="256" s="1"/>
  <c r="J66" i="267"/>
  <c r="AE65" i="267"/>
  <c r="M64" i="267"/>
  <c r="O64" i="267" s="1"/>
  <c r="J68" i="266"/>
  <c r="AE67" i="266"/>
  <c r="M66" i="266"/>
  <c r="O66" i="266" s="1"/>
  <c r="M61" i="265"/>
  <c r="O61" i="265" s="1"/>
  <c r="J63" i="265"/>
  <c r="AE62" i="265"/>
  <c r="J64" i="264"/>
  <c r="AE63" i="264"/>
  <c r="M62" i="264"/>
  <c r="O62" i="264" s="1"/>
  <c r="J59" i="263"/>
  <c r="M57" i="263"/>
  <c r="O57" i="263" s="1"/>
  <c r="AE58" i="263"/>
  <c r="AE53" i="261"/>
  <c r="M52" i="261"/>
  <c r="O52" i="261" s="1"/>
  <c r="J54" i="261"/>
  <c r="M49" i="260"/>
  <c r="O49" i="260" s="1"/>
  <c r="J51" i="260"/>
  <c r="AA51" i="260" s="1"/>
  <c r="M48" i="258"/>
  <c r="O48" i="258" s="1"/>
  <c r="J50" i="258"/>
  <c r="J54" i="256" l="1"/>
  <c r="M52" i="256"/>
  <c r="O52" i="256" s="1"/>
  <c r="J51" i="253"/>
  <c r="M49" i="253"/>
  <c r="O49" i="253" s="1"/>
  <c r="M65" i="267"/>
  <c r="O65" i="267" s="1"/>
  <c r="J67" i="267"/>
  <c r="AE66" i="267"/>
  <c r="M67" i="266"/>
  <c r="O67" i="266" s="1"/>
  <c r="J69" i="266"/>
  <c r="AE68" i="266"/>
  <c r="J64" i="265"/>
  <c r="AE63" i="265"/>
  <c r="M62" i="265"/>
  <c r="O62" i="265" s="1"/>
  <c r="J65" i="264"/>
  <c r="M63" i="264"/>
  <c r="O63" i="264" s="1"/>
  <c r="AE64" i="264"/>
  <c r="J60" i="263"/>
  <c r="M58" i="263"/>
  <c r="O58" i="263" s="1"/>
  <c r="AE59" i="263"/>
  <c r="AE54" i="261"/>
  <c r="M53" i="261"/>
  <c r="O53" i="261" s="1"/>
  <c r="J55" i="261"/>
  <c r="M50" i="260"/>
  <c r="O50" i="260" s="1"/>
  <c r="J52" i="260"/>
  <c r="AA52" i="260" s="1"/>
  <c r="M49" i="258"/>
  <c r="O49" i="258" s="1"/>
  <c r="J51" i="258"/>
  <c r="J52" i="253" l="1"/>
  <c r="M50" i="253"/>
  <c r="O50" i="253" s="1"/>
  <c r="J55" i="256"/>
  <c r="M53" i="256"/>
  <c r="O53" i="256" s="1"/>
  <c r="J68" i="267"/>
  <c r="AE67" i="267"/>
  <c r="M66" i="267"/>
  <c r="O66" i="267" s="1"/>
  <c r="J70" i="266"/>
  <c r="AE69" i="266"/>
  <c r="M68" i="266"/>
  <c r="O68" i="266" s="1"/>
  <c r="J65" i="265"/>
  <c r="M63" i="265"/>
  <c r="O63" i="265" s="1"/>
  <c r="AE64" i="265"/>
  <c r="J66" i="264"/>
  <c r="AE65" i="264"/>
  <c r="M64" i="264"/>
  <c r="O64" i="264" s="1"/>
  <c r="J61" i="263"/>
  <c r="M59" i="263"/>
  <c r="O59" i="263" s="1"/>
  <c r="AE60" i="263"/>
  <c r="AE55" i="261"/>
  <c r="M54" i="261"/>
  <c r="O54" i="261" s="1"/>
  <c r="J56" i="261"/>
  <c r="M51" i="260"/>
  <c r="O51" i="260" s="1"/>
  <c r="J53" i="260"/>
  <c r="AA53" i="260" s="1"/>
  <c r="J52" i="258"/>
  <c r="M50" i="258"/>
  <c r="O50" i="258" s="1"/>
  <c r="J56" i="256" l="1"/>
  <c r="M54" i="256"/>
  <c r="O54" i="256" s="1"/>
  <c r="M51" i="253"/>
  <c r="O51" i="253" s="1"/>
  <c r="J53" i="253"/>
  <c r="M67" i="267"/>
  <c r="O67" i="267" s="1"/>
  <c r="J69" i="267"/>
  <c r="AE68" i="267"/>
  <c r="M69" i="266"/>
  <c r="O69" i="266" s="1"/>
  <c r="J71" i="266"/>
  <c r="AE70" i="266"/>
  <c r="J66" i="265"/>
  <c r="AE65" i="265"/>
  <c r="M64" i="265"/>
  <c r="O64" i="265" s="1"/>
  <c r="J67" i="264"/>
  <c r="AE66" i="264"/>
  <c r="M65" i="264"/>
  <c r="O65" i="264" s="1"/>
  <c r="AE61" i="263"/>
  <c r="J62" i="263"/>
  <c r="M60" i="263"/>
  <c r="O60" i="263" s="1"/>
  <c r="AE56" i="261"/>
  <c r="M55" i="261"/>
  <c r="O55" i="261" s="1"/>
  <c r="J57" i="261"/>
  <c r="M52" i="260"/>
  <c r="O52" i="260" s="1"/>
  <c r="J54" i="260"/>
  <c r="AA54" i="260" s="1"/>
  <c r="M51" i="258"/>
  <c r="O51" i="258" s="1"/>
  <c r="J53" i="258"/>
  <c r="J54" i="253" l="1"/>
  <c r="M52" i="253"/>
  <c r="O52" i="253" s="1"/>
  <c r="J57" i="256"/>
  <c r="M55" i="256"/>
  <c r="O55" i="256" s="1"/>
  <c r="J70" i="267"/>
  <c r="AE69" i="267"/>
  <c r="M68" i="267"/>
  <c r="O68" i="267" s="1"/>
  <c r="J72" i="266"/>
  <c r="AE71" i="266"/>
  <c r="M70" i="266"/>
  <c r="O70" i="266" s="1"/>
  <c r="J67" i="265"/>
  <c r="AE66" i="265"/>
  <c r="M65" i="265"/>
  <c r="O65" i="265" s="1"/>
  <c r="J68" i="264"/>
  <c r="AE67" i="264"/>
  <c r="M66" i="264"/>
  <c r="O66" i="264" s="1"/>
  <c r="J63" i="263"/>
  <c r="M61" i="263"/>
  <c r="O61" i="263" s="1"/>
  <c r="AE62" i="263"/>
  <c r="AE57" i="261"/>
  <c r="M56" i="261"/>
  <c r="O56" i="261" s="1"/>
  <c r="J58" i="261"/>
  <c r="M53" i="260"/>
  <c r="O53" i="260" s="1"/>
  <c r="J55" i="260"/>
  <c r="AA55" i="260" s="1"/>
  <c r="M52" i="258"/>
  <c r="O52" i="258" s="1"/>
  <c r="J54" i="258"/>
  <c r="J58" i="256" l="1"/>
  <c r="M56" i="256"/>
  <c r="O56" i="256" s="1"/>
  <c r="J55" i="253"/>
  <c r="M53" i="253"/>
  <c r="O53" i="253" s="1"/>
  <c r="M69" i="267"/>
  <c r="O69" i="267" s="1"/>
  <c r="J71" i="267"/>
  <c r="AE70" i="267"/>
  <c r="M71" i="266"/>
  <c r="O71" i="266" s="1"/>
  <c r="J73" i="266"/>
  <c r="AE72" i="266"/>
  <c r="J68" i="265"/>
  <c r="AE67" i="265"/>
  <c r="M66" i="265"/>
  <c r="O66" i="265" s="1"/>
  <c r="M67" i="264"/>
  <c r="O67" i="264" s="1"/>
  <c r="J69" i="264"/>
  <c r="AE68" i="264"/>
  <c r="J64" i="263"/>
  <c r="M62" i="263"/>
  <c r="O62" i="263" s="1"/>
  <c r="AE63" i="263"/>
  <c r="AE58" i="261"/>
  <c r="M57" i="261"/>
  <c r="O57" i="261" s="1"/>
  <c r="J59" i="261"/>
  <c r="M54" i="260"/>
  <c r="O54" i="260" s="1"/>
  <c r="J56" i="260"/>
  <c r="AA56" i="260" s="1"/>
  <c r="M53" i="258"/>
  <c r="O53" i="258" s="1"/>
  <c r="J55" i="258"/>
  <c r="J56" i="253" l="1"/>
  <c r="M54" i="253"/>
  <c r="O54" i="253" s="1"/>
  <c r="J59" i="256"/>
  <c r="M57" i="256"/>
  <c r="O57" i="256" s="1"/>
  <c r="J72" i="267"/>
  <c r="AE71" i="267"/>
  <c r="M70" i="267"/>
  <c r="O70" i="267" s="1"/>
  <c r="M72" i="266"/>
  <c r="O72" i="266" s="1"/>
  <c r="J74" i="266"/>
  <c r="AE73" i="266"/>
  <c r="M67" i="265"/>
  <c r="O67" i="265" s="1"/>
  <c r="J69" i="265"/>
  <c r="AE68" i="265"/>
  <c r="J70" i="264"/>
  <c r="AE69" i="264"/>
  <c r="M68" i="264"/>
  <c r="O68" i="264" s="1"/>
  <c r="J65" i="263"/>
  <c r="M63" i="263"/>
  <c r="O63" i="263" s="1"/>
  <c r="AE64" i="263"/>
  <c r="AE59" i="261"/>
  <c r="M58" i="261"/>
  <c r="O58" i="261" s="1"/>
  <c r="J60" i="261"/>
  <c r="M55" i="260"/>
  <c r="O55" i="260" s="1"/>
  <c r="J57" i="260"/>
  <c r="AA57" i="260" s="1"/>
  <c r="M54" i="258"/>
  <c r="O54" i="258" s="1"/>
  <c r="J56" i="258"/>
  <c r="J60" i="256" l="1"/>
  <c r="M58" i="256"/>
  <c r="O58" i="256" s="1"/>
  <c r="J57" i="253"/>
  <c r="M55" i="253"/>
  <c r="O55" i="253" s="1"/>
  <c r="M71" i="267"/>
  <c r="O71" i="267" s="1"/>
  <c r="J73" i="267"/>
  <c r="AE72" i="267"/>
  <c r="M73" i="266"/>
  <c r="O73" i="266" s="1"/>
  <c r="J75" i="266"/>
  <c r="AE74" i="266"/>
  <c r="J70" i="265"/>
  <c r="AE69" i="265"/>
  <c r="M68" i="265"/>
  <c r="O68" i="265" s="1"/>
  <c r="M69" i="264"/>
  <c r="O69" i="264" s="1"/>
  <c r="J71" i="264"/>
  <c r="AE70" i="264"/>
  <c r="AE65" i="263"/>
  <c r="J66" i="263"/>
  <c r="M64" i="263"/>
  <c r="O64" i="263" s="1"/>
  <c r="AE60" i="261"/>
  <c r="M59" i="261"/>
  <c r="O59" i="261" s="1"/>
  <c r="J61" i="261"/>
  <c r="M56" i="260"/>
  <c r="O56" i="260" s="1"/>
  <c r="J58" i="260"/>
  <c r="AA58" i="260" s="1"/>
  <c r="M55" i="258"/>
  <c r="O55" i="258" s="1"/>
  <c r="J57" i="258"/>
  <c r="J58" i="253" l="1"/>
  <c r="M56" i="253"/>
  <c r="O56" i="253" s="1"/>
  <c r="M59" i="256"/>
  <c r="O59" i="256" s="1"/>
  <c r="J61" i="256"/>
  <c r="M72" i="267"/>
  <c r="O72" i="267" s="1"/>
  <c r="J74" i="267"/>
  <c r="AE73" i="267"/>
  <c r="M74" i="266"/>
  <c r="O74" i="266" s="1"/>
  <c r="J76" i="266"/>
  <c r="AE75" i="266"/>
  <c r="M69" i="265"/>
  <c r="O69" i="265" s="1"/>
  <c r="J71" i="265"/>
  <c r="AE70" i="265"/>
  <c r="J72" i="264"/>
  <c r="AE71" i="264"/>
  <c r="M70" i="264"/>
  <c r="O70" i="264" s="1"/>
  <c r="J67" i="263"/>
  <c r="AE66" i="263"/>
  <c r="M65" i="263"/>
  <c r="O65" i="263" s="1"/>
  <c r="AE61" i="261"/>
  <c r="M60" i="261"/>
  <c r="O60" i="261" s="1"/>
  <c r="J62" i="261"/>
  <c r="M57" i="260"/>
  <c r="O57" i="260" s="1"/>
  <c r="J59" i="260"/>
  <c r="AA59" i="260" s="1"/>
  <c r="J58" i="258"/>
  <c r="M56" i="258"/>
  <c r="O56" i="258" s="1"/>
  <c r="J62" i="256" l="1"/>
  <c r="M60" i="256"/>
  <c r="O60" i="256" s="1"/>
  <c r="J59" i="253"/>
  <c r="M57" i="253"/>
  <c r="O57" i="253" s="1"/>
  <c r="M73" i="267"/>
  <c r="O73" i="267" s="1"/>
  <c r="J75" i="267"/>
  <c r="AE74" i="267"/>
  <c r="M75" i="266"/>
  <c r="O75" i="266" s="1"/>
  <c r="J77" i="266"/>
  <c r="AE76" i="266"/>
  <c r="J72" i="265"/>
  <c r="AE71" i="265"/>
  <c r="M70" i="265"/>
  <c r="O70" i="265" s="1"/>
  <c r="M71" i="264"/>
  <c r="O71" i="264" s="1"/>
  <c r="J73" i="264"/>
  <c r="AE72" i="264"/>
  <c r="J68" i="263"/>
  <c r="M66" i="263"/>
  <c r="O66" i="263" s="1"/>
  <c r="AE67" i="263"/>
  <c r="AE62" i="261"/>
  <c r="M61" i="261"/>
  <c r="O61" i="261" s="1"/>
  <c r="J63" i="261"/>
  <c r="M58" i="260"/>
  <c r="O58" i="260" s="1"/>
  <c r="J60" i="260"/>
  <c r="AA60" i="260" s="1"/>
  <c r="J59" i="258"/>
  <c r="M57" i="258"/>
  <c r="O57" i="258" s="1"/>
  <c r="J60" i="253" l="1"/>
  <c r="M58" i="253"/>
  <c r="O58" i="253" s="1"/>
  <c r="J63" i="256"/>
  <c r="M61" i="256"/>
  <c r="O61" i="256" s="1"/>
  <c r="M74" i="267"/>
  <c r="O74" i="267" s="1"/>
  <c r="J76" i="267"/>
  <c r="AE75" i="267"/>
  <c r="M76" i="266"/>
  <c r="O76" i="266" s="1"/>
  <c r="J78" i="266"/>
  <c r="M71" i="265"/>
  <c r="O71" i="265" s="1"/>
  <c r="J73" i="265"/>
  <c r="AE72" i="265"/>
  <c r="M72" i="264"/>
  <c r="O72" i="264" s="1"/>
  <c r="J74" i="264"/>
  <c r="AE73" i="264"/>
  <c r="J69" i="263"/>
  <c r="M67" i="263"/>
  <c r="O67" i="263" s="1"/>
  <c r="AE68" i="263"/>
  <c r="AE63" i="261"/>
  <c r="M62" i="261"/>
  <c r="O62" i="261" s="1"/>
  <c r="J64" i="261"/>
  <c r="M59" i="260"/>
  <c r="O59" i="260" s="1"/>
  <c r="J61" i="260"/>
  <c r="AA61" i="260" s="1"/>
  <c r="M58" i="258"/>
  <c r="O58" i="258" s="1"/>
  <c r="J60" i="258"/>
  <c r="M62" i="256" l="1"/>
  <c r="O62" i="256" s="1"/>
  <c r="J64" i="256"/>
  <c r="J61" i="253"/>
  <c r="M59" i="253"/>
  <c r="O59" i="253" s="1"/>
  <c r="M75" i="267"/>
  <c r="O75" i="267" s="1"/>
  <c r="J77" i="267"/>
  <c r="AE76" i="267"/>
  <c r="M77" i="266"/>
  <c r="O77" i="266" s="1"/>
  <c r="J79" i="266"/>
  <c r="M72" i="265"/>
  <c r="O72" i="265" s="1"/>
  <c r="J74" i="265"/>
  <c r="AE73" i="265"/>
  <c r="M73" i="264"/>
  <c r="O73" i="264" s="1"/>
  <c r="J75" i="264"/>
  <c r="AE74" i="264"/>
  <c r="AE69" i="263"/>
  <c r="J70" i="263"/>
  <c r="M68" i="263"/>
  <c r="O68" i="263" s="1"/>
  <c r="AE64" i="261"/>
  <c r="M63" i="261"/>
  <c r="O63" i="261" s="1"/>
  <c r="J65" i="261"/>
  <c r="M60" i="260"/>
  <c r="O60" i="260" s="1"/>
  <c r="J62" i="260"/>
  <c r="AA62" i="260" s="1"/>
  <c r="M59" i="258"/>
  <c r="O59" i="258" s="1"/>
  <c r="J61" i="258"/>
  <c r="J62" i="253" l="1"/>
  <c r="M60" i="253"/>
  <c r="O60" i="253" s="1"/>
  <c r="M63" i="256"/>
  <c r="O63" i="256" s="1"/>
  <c r="J65" i="256"/>
  <c r="M76" i="267"/>
  <c r="O76" i="267" s="1"/>
  <c r="J78" i="267"/>
  <c r="M78" i="266"/>
  <c r="O78" i="266" s="1"/>
  <c r="J80" i="266"/>
  <c r="M73" i="265"/>
  <c r="O73" i="265" s="1"/>
  <c r="J75" i="265"/>
  <c r="AE74" i="265"/>
  <c r="M74" i="264"/>
  <c r="O74" i="264" s="1"/>
  <c r="J76" i="264"/>
  <c r="AE75" i="264"/>
  <c r="J71" i="263"/>
  <c r="M69" i="263"/>
  <c r="O69" i="263" s="1"/>
  <c r="AE70" i="263"/>
  <c r="J66" i="261"/>
  <c r="M64" i="261"/>
  <c r="O64" i="261" s="1"/>
  <c r="AE65" i="261"/>
  <c r="M61" i="260"/>
  <c r="O61" i="260" s="1"/>
  <c r="J63" i="260"/>
  <c r="AA63" i="260" s="1"/>
  <c r="J62" i="258"/>
  <c r="M60" i="258"/>
  <c r="O60" i="258" s="1"/>
  <c r="M64" i="256" l="1"/>
  <c r="O64" i="256" s="1"/>
  <c r="J66" i="256"/>
  <c r="M61" i="253"/>
  <c r="O61" i="253" s="1"/>
  <c r="J63" i="253"/>
  <c r="M77" i="267"/>
  <c r="O77" i="267" s="1"/>
  <c r="J79" i="267"/>
  <c r="M79" i="266"/>
  <c r="O79" i="266" s="1"/>
  <c r="J81" i="266"/>
  <c r="M74" i="265"/>
  <c r="O74" i="265" s="1"/>
  <c r="J76" i="265"/>
  <c r="AE75" i="265"/>
  <c r="M75" i="264"/>
  <c r="O75" i="264" s="1"/>
  <c r="J77" i="264"/>
  <c r="AE76" i="264"/>
  <c r="AE71" i="263"/>
  <c r="M70" i="263"/>
  <c r="O70" i="263" s="1"/>
  <c r="J72" i="263"/>
  <c r="J67" i="261"/>
  <c r="M65" i="261"/>
  <c r="O65" i="261" s="1"/>
  <c r="AE66" i="261"/>
  <c r="M62" i="260"/>
  <c r="O62" i="260" s="1"/>
  <c r="J64" i="260"/>
  <c r="AA64" i="260" s="1"/>
  <c r="M61" i="258"/>
  <c r="O61" i="258" s="1"/>
  <c r="J63" i="258"/>
  <c r="M62" i="253" l="1"/>
  <c r="O62" i="253" s="1"/>
  <c r="J64" i="253"/>
  <c r="J67" i="256"/>
  <c r="M65" i="256"/>
  <c r="O65" i="256" s="1"/>
  <c r="M78" i="267"/>
  <c r="O78" i="267" s="1"/>
  <c r="J80" i="267"/>
  <c r="M80" i="266"/>
  <c r="O80" i="266" s="1"/>
  <c r="J82" i="266"/>
  <c r="M75" i="265"/>
  <c r="O75" i="265" s="1"/>
  <c r="J77" i="265"/>
  <c r="AE76" i="265"/>
  <c r="M76" i="264"/>
  <c r="O76" i="264" s="1"/>
  <c r="J78" i="264"/>
  <c r="J73" i="263"/>
  <c r="M71" i="263"/>
  <c r="O71" i="263" s="1"/>
  <c r="AE72" i="263"/>
  <c r="J68" i="261"/>
  <c r="AE67" i="261"/>
  <c r="M66" i="261"/>
  <c r="O66" i="261" s="1"/>
  <c r="M63" i="260"/>
  <c r="O63" i="260" s="1"/>
  <c r="J65" i="260"/>
  <c r="AA65" i="260" s="1"/>
  <c r="M62" i="258"/>
  <c r="O62" i="258" s="1"/>
  <c r="J64" i="258"/>
  <c r="M66" i="256" l="1"/>
  <c r="O66" i="256" s="1"/>
  <c r="J68" i="256"/>
  <c r="J65" i="253"/>
  <c r="M63" i="253"/>
  <c r="O63" i="253" s="1"/>
  <c r="M79" i="267"/>
  <c r="O79" i="267" s="1"/>
  <c r="J81" i="267"/>
  <c r="M81" i="266"/>
  <c r="O81" i="266" s="1"/>
  <c r="J83" i="266"/>
  <c r="M76" i="265"/>
  <c r="O76" i="265" s="1"/>
  <c r="J78" i="265"/>
  <c r="M77" i="264"/>
  <c r="O77" i="264" s="1"/>
  <c r="J79" i="264"/>
  <c r="J74" i="263"/>
  <c r="M72" i="263"/>
  <c r="O72" i="263" s="1"/>
  <c r="AE73" i="263"/>
  <c r="J69" i="261"/>
  <c r="AE68" i="261"/>
  <c r="M67" i="261"/>
  <c r="O67" i="261" s="1"/>
  <c r="J66" i="260"/>
  <c r="AA66" i="260" s="1"/>
  <c r="M64" i="260"/>
  <c r="O64" i="260" s="1"/>
  <c r="M63" i="258"/>
  <c r="O63" i="258" s="1"/>
  <c r="J65" i="258"/>
  <c r="M64" i="253" l="1"/>
  <c r="O64" i="253" s="1"/>
  <c r="J66" i="253"/>
  <c r="M67" i="256"/>
  <c r="O67" i="256" s="1"/>
  <c r="J69" i="256"/>
  <c r="M80" i="267"/>
  <c r="O80" i="267" s="1"/>
  <c r="J82" i="267"/>
  <c r="M82" i="266"/>
  <c r="O82" i="266" s="1"/>
  <c r="J84" i="266"/>
  <c r="M77" i="265"/>
  <c r="O77" i="265" s="1"/>
  <c r="J79" i="265"/>
  <c r="M78" i="264"/>
  <c r="O78" i="264" s="1"/>
  <c r="J80" i="264"/>
  <c r="J75" i="263"/>
  <c r="M73" i="263"/>
  <c r="O73" i="263" s="1"/>
  <c r="AE74" i="263"/>
  <c r="J70" i="261"/>
  <c r="AE69" i="261"/>
  <c r="M68" i="261"/>
  <c r="O68" i="261" s="1"/>
  <c r="J67" i="260"/>
  <c r="AA67" i="260" s="1"/>
  <c r="M65" i="260"/>
  <c r="O65" i="260" s="1"/>
  <c r="M64" i="258"/>
  <c r="O64" i="258" s="1"/>
  <c r="J66" i="258"/>
  <c r="M68" i="256" l="1"/>
  <c r="O68" i="256" s="1"/>
  <c r="J70" i="256"/>
  <c r="M65" i="253"/>
  <c r="O65" i="253" s="1"/>
  <c r="J67" i="253"/>
  <c r="M81" i="267"/>
  <c r="O81" i="267" s="1"/>
  <c r="J83" i="267"/>
  <c r="M83" i="266"/>
  <c r="O83" i="266" s="1"/>
  <c r="J85" i="266"/>
  <c r="M78" i="265"/>
  <c r="O78" i="265" s="1"/>
  <c r="J80" i="265"/>
  <c r="M79" i="264"/>
  <c r="O79" i="264" s="1"/>
  <c r="J81" i="264"/>
  <c r="AE75" i="263"/>
  <c r="J76" i="263"/>
  <c r="M74" i="263"/>
  <c r="O74" i="263" s="1"/>
  <c r="J71" i="261"/>
  <c r="AE70" i="261"/>
  <c r="M69" i="261"/>
  <c r="O69" i="261" s="1"/>
  <c r="J68" i="260"/>
  <c r="AA68" i="260" s="1"/>
  <c r="M66" i="260"/>
  <c r="O66" i="260" s="1"/>
  <c r="M65" i="258"/>
  <c r="O65" i="258" s="1"/>
  <c r="J67" i="258"/>
  <c r="J68" i="253" l="1"/>
  <c r="M66" i="253"/>
  <c r="O66" i="253" s="1"/>
  <c r="M69" i="256"/>
  <c r="O69" i="256" s="1"/>
  <c r="J71" i="256"/>
  <c r="M82" i="267"/>
  <c r="O82" i="267" s="1"/>
  <c r="J84" i="267"/>
  <c r="M84" i="266"/>
  <c r="O84" i="266" s="1"/>
  <c r="J86" i="266"/>
  <c r="M79" i="265"/>
  <c r="O79" i="265" s="1"/>
  <c r="J81" i="265"/>
  <c r="M80" i="264"/>
  <c r="O80" i="264" s="1"/>
  <c r="J82" i="264"/>
  <c r="J77" i="263"/>
  <c r="M75" i="263"/>
  <c r="O75" i="263" s="1"/>
  <c r="AE76" i="263"/>
  <c r="AE71" i="261"/>
  <c r="M70" i="261"/>
  <c r="O70" i="261" s="1"/>
  <c r="J72" i="261"/>
  <c r="J69" i="260"/>
  <c r="AA69" i="260" s="1"/>
  <c r="M67" i="260"/>
  <c r="O67" i="260" s="1"/>
  <c r="J68" i="258"/>
  <c r="M66" i="258"/>
  <c r="O66" i="258" s="1"/>
  <c r="M70" i="256" l="1"/>
  <c r="O70" i="256" s="1"/>
  <c r="J72" i="256"/>
  <c r="J69" i="253"/>
  <c r="M67" i="253"/>
  <c r="O67" i="253" s="1"/>
  <c r="M83" i="267"/>
  <c r="O83" i="267" s="1"/>
  <c r="J85" i="267"/>
  <c r="M85" i="266"/>
  <c r="O85" i="266" s="1"/>
  <c r="J87" i="266"/>
  <c r="M80" i="265"/>
  <c r="O80" i="265" s="1"/>
  <c r="J82" i="265"/>
  <c r="M81" i="264"/>
  <c r="O81" i="264" s="1"/>
  <c r="J83" i="264"/>
  <c r="M76" i="263"/>
  <c r="O76" i="263" s="1"/>
  <c r="J78" i="263"/>
  <c r="J73" i="261"/>
  <c r="AE72" i="261"/>
  <c r="M71" i="261"/>
  <c r="O71" i="261" s="1"/>
  <c r="J70" i="260"/>
  <c r="AA70" i="260" s="1"/>
  <c r="M68" i="260"/>
  <c r="O68" i="260" s="1"/>
  <c r="J69" i="258"/>
  <c r="M67" i="258"/>
  <c r="O67" i="258" s="1"/>
  <c r="M68" i="253" l="1"/>
  <c r="O68" i="253" s="1"/>
  <c r="J70" i="253"/>
  <c r="M71" i="256"/>
  <c r="O71" i="256" s="1"/>
  <c r="J73" i="256"/>
  <c r="M84" i="267"/>
  <c r="O84" i="267" s="1"/>
  <c r="J86" i="267"/>
  <c r="M86" i="266"/>
  <c r="O86" i="266" s="1"/>
  <c r="J88" i="266"/>
  <c r="M81" i="265"/>
  <c r="O81" i="265" s="1"/>
  <c r="J83" i="265"/>
  <c r="M82" i="264"/>
  <c r="O82" i="264" s="1"/>
  <c r="J84" i="264"/>
  <c r="M77" i="263"/>
  <c r="O77" i="263" s="1"/>
  <c r="J79" i="263"/>
  <c r="AE73" i="261"/>
  <c r="M72" i="261"/>
  <c r="O72" i="261" s="1"/>
  <c r="J74" i="261"/>
  <c r="J71" i="260"/>
  <c r="AA71" i="260" s="1"/>
  <c r="M69" i="260"/>
  <c r="O69" i="260" s="1"/>
  <c r="M68" i="258"/>
  <c r="O68" i="258" s="1"/>
  <c r="J70" i="258"/>
  <c r="M72" i="256" l="1"/>
  <c r="O72" i="256" s="1"/>
  <c r="J74" i="256"/>
  <c r="M69" i="253"/>
  <c r="O69" i="253" s="1"/>
  <c r="J71" i="253"/>
  <c r="M85" i="267"/>
  <c r="O85" i="267" s="1"/>
  <c r="J87" i="267"/>
  <c r="M87" i="266"/>
  <c r="O87" i="266" s="1"/>
  <c r="J89" i="266"/>
  <c r="M82" i="265"/>
  <c r="O82" i="265" s="1"/>
  <c r="J84" i="265"/>
  <c r="M83" i="264"/>
  <c r="O83" i="264" s="1"/>
  <c r="J85" i="264"/>
  <c r="M78" i="263"/>
  <c r="O78" i="263" s="1"/>
  <c r="J80" i="263"/>
  <c r="J75" i="261"/>
  <c r="M73" i="261"/>
  <c r="O73" i="261" s="1"/>
  <c r="AE74" i="261"/>
  <c r="J72" i="260"/>
  <c r="AA72" i="260" s="1"/>
  <c r="M70" i="260"/>
  <c r="O70" i="260" s="1"/>
  <c r="J71" i="258"/>
  <c r="M69" i="258"/>
  <c r="O69" i="258" s="1"/>
  <c r="J75" i="256" l="1"/>
  <c r="M73" i="256"/>
  <c r="O73" i="256" s="1"/>
  <c r="J72" i="253"/>
  <c r="M70" i="253"/>
  <c r="O70" i="253" s="1"/>
  <c r="M86" i="267"/>
  <c r="O86" i="267" s="1"/>
  <c r="J88" i="267"/>
  <c r="M88" i="266"/>
  <c r="O88" i="266" s="1"/>
  <c r="J90" i="266"/>
  <c r="M83" i="265"/>
  <c r="O83" i="265" s="1"/>
  <c r="J85" i="265"/>
  <c r="M84" i="264"/>
  <c r="O84" i="264" s="1"/>
  <c r="J86" i="264"/>
  <c r="M79" i="263"/>
  <c r="O79" i="263" s="1"/>
  <c r="J81" i="263"/>
  <c r="AE75" i="261"/>
  <c r="M74" i="261"/>
  <c r="O74" i="261" s="1"/>
  <c r="J76" i="261"/>
  <c r="J73" i="260"/>
  <c r="AA73" i="260" s="1"/>
  <c r="M71" i="260"/>
  <c r="O71" i="260" s="1"/>
  <c r="J72" i="258"/>
  <c r="M70" i="258"/>
  <c r="O70" i="258" s="1"/>
  <c r="M71" i="253" l="1"/>
  <c r="O71" i="253" s="1"/>
  <c r="J73" i="253"/>
  <c r="J76" i="256"/>
  <c r="M74" i="256"/>
  <c r="O74" i="256" s="1"/>
  <c r="M87" i="267"/>
  <c r="O87" i="267" s="1"/>
  <c r="J89" i="267"/>
  <c r="M89" i="266"/>
  <c r="O89" i="266" s="1"/>
  <c r="J91" i="266"/>
  <c r="M84" i="265"/>
  <c r="O84" i="265" s="1"/>
  <c r="J86" i="265"/>
  <c r="M85" i="264"/>
  <c r="O85" i="264" s="1"/>
  <c r="J87" i="264"/>
  <c r="M80" i="263"/>
  <c r="O80" i="263" s="1"/>
  <c r="J82" i="263"/>
  <c r="J77" i="261"/>
  <c r="M75" i="261"/>
  <c r="O75" i="261" s="1"/>
  <c r="AE76" i="261"/>
  <c r="J74" i="260"/>
  <c r="AA74" i="260" s="1"/>
  <c r="M72" i="260"/>
  <c r="O72" i="260" s="1"/>
  <c r="J73" i="258"/>
  <c r="M71" i="258"/>
  <c r="O71" i="258" s="1"/>
  <c r="J77" i="256" l="1"/>
  <c r="M75" i="256"/>
  <c r="O75" i="256" s="1"/>
  <c r="J74" i="253"/>
  <c r="M72" i="253"/>
  <c r="O72" i="253" s="1"/>
  <c r="M88" i="267"/>
  <c r="O88" i="267" s="1"/>
  <c r="J90" i="267"/>
  <c r="M90" i="266"/>
  <c r="O90" i="266" s="1"/>
  <c r="J92" i="266"/>
  <c r="M85" i="265"/>
  <c r="O85" i="265" s="1"/>
  <c r="J87" i="265"/>
  <c r="M86" i="264"/>
  <c r="O86" i="264" s="1"/>
  <c r="J88" i="264"/>
  <c r="M81" i="263"/>
  <c r="O81" i="263" s="1"/>
  <c r="J83" i="263"/>
  <c r="J78" i="261"/>
  <c r="M76" i="261"/>
  <c r="O76" i="261" s="1"/>
  <c r="J75" i="260"/>
  <c r="AA75" i="260" s="1"/>
  <c r="M73" i="260"/>
  <c r="O73" i="260" s="1"/>
  <c r="M72" i="258"/>
  <c r="O72" i="258" s="1"/>
  <c r="J74" i="258"/>
  <c r="J75" i="253" l="1"/>
  <c r="M73" i="253"/>
  <c r="O73" i="253" s="1"/>
  <c r="J78" i="256"/>
  <c r="M76" i="256"/>
  <c r="O76" i="256" s="1"/>
  <c r="M89" i="267"/>
  <c r="O89" i="267" s="1"/>
  <c r="J91" i="267"/>
  <c r="J93" i="266"/>
  <c r="M91" i="266"/>
  <c r="O91" i="266" s="1"/>
  <c r="M86" i="265"/>
  <c r="O86" i="265" s="1"/>
  <c r="J88" i="265"/>
  <c r="M87" i="264"/>
  <c r="O87" i="264" s="1"/>
  <c r="J89" i="264"/>
  <c r="M82" i="263"/>
  <c r="O82" i="263" s="1"/>
  <c r="J84" i="263"/>
  <c r="J79" i="261"/>
  <c r="M77" i="261"/>
  <c r="O77" i="261" s="1"/>
  <c r="J76" i="260"/>
  <c r="AA76" i="260" s="1"/>
  <c r="M74" i="260"/>
  <c r="O74" i="260" s="1"/>
  <c r="J75" i="258"/>
  <c r="M73" i="258"/>
  <c r="O73" i="258" s="1"/>
  <c r="J79" i="256" l="1"/>
  <c r="M77" i="256"/>
  <c r="O77" i="256" s="1"/>
  <c r="M74" i="253"/>
  <c r="O74" i="253" s="1"/>
  <c r="J76" i="253"/>
  <c r="M90" i="267"/>
  <c r="O90" i="267" s="1"/>
  <c r="J92" i="267"/>
  <c r="J94" i="266"/>
  <c r="M92" i="266"/>
  <c r="O92" i="266" s="1"/>
  <c r="M87" i="265"/>
  <c r="O87" i="265" s="1"/>
  <c r="J89" i="265"/>
  <c r="M88" i="264"/>
  <c r="O88" i="264" s="1"/>
  <c r="J90" i="264"/>
  <c r="M83" i="263"/>
  <c r="O83" i="263" s="1"/>
  <c r="J85" i="263"/>
  <c r="J80" i="261"/>
  <c r="M78" i="261"/>
  <c r="O78" i="261" s="1"/>
  <c r="J77" i="260"/>
  <c r="M75" i="260"/>
  <c r="O75" i="260" s="1"/>
  <c r="M74" i="258"/>
  <c r="O74" i="258" s="1"/>
  <c r="J76" i="258"/>
  <c r="J77" i="253" l="1"/>
  <c r="M75" i="253"/>
  <c r="O75" i="253" s="1"/>
  <c r="J80" i="256"/>
  <c r="M78" i="256"/>
  <c r="O78" i="256" s="1"/>
  <c r="J93" i="267"/>
  <c r="M91" i="267"/>
  <c r="O91" i="267" s="1"/>
  <c r="J95" i="266"/>
  <c r="M93" i="266"/>
  <c r="O93" i="266" s="1"/>
  <c r="M88" i="265"/>
  <c r="O88" i="265" s="1"/>
  <c r="J90" i="265"/>
  <c r="M89" i="264"/>
  <c r="O89" i="264" s="1"/>
  <c r="J91" i="264"/>
  <c r="M84" i="263"/>
  <c r="O84" i="263" s="1"/>
  <c r="J86" i="263"/>
  <c r="J81" i="261"/>
  <c r="M79" i="261"/>
  <c r="O79" i="261" s="1"/>
  <c r="J78" i="260"/>
  <c r="M76" i="260"/>
  <c r="O76" i="260" s="1"/>
  <c r="J77" i="258"/>
  <c r="M75" i="258"/>
  <c r="O75" i="258" s="1"/>
  <c r="J81" i="256" l="1"/>
  <c r="M79" i="256"/>
  <c r="O79" i="256" s="1"/>
  <c r="J78" i="253"/>
  <c r="M76" i="253"/>
  <c r="O76" i="253" s="1"/>
  <c r="J94" i="267"/>
  <c r="M92" i="267"/>
  <c r="O92" i="267" s="1"/>
  <c r="J96" i="266"/>
  <c r="M94" i="266"/>
  <c r="O94" i="266" s="1"/>
  <c r="M89" i="265"/>
  <c r="O89" i="265" s="1"/>
  <c r="J91" i="265"/>
  <c r="M90" i="264"/>
  <c r="O90" i="264" s="1"/>
  <c r="J92" i="264"/>
  <c r="M85" i="263"/>
  <c r="O85" i="263" s="1"/>
  <c r="J87" i="263"/>
  <c r="J82" i="261"/>
  <c r="M80" i="261"/>
  <c r="O80" i="261" s="1"/>
  <c r="J79" i="260"/>
  <c r="M77" i="260"/>
  <c r="O77" i="260" s="1"/>
  <c r="M76" i="258"/>
  <c r="O76" i="258" s="1"/>
  <c r="J78" i="258"/>
  <c r="J79" i="253" l="1"/>
  <c r="M77" i="253"/>
  <c r="O77" i="253" s="1"/>
  <c r="J82" i="256"/>
  <c r="M80" i="256"/>
  <c r="O80" i="256" s="1"/>
  <c r="J95" i="267"/>
  <c r="M93" i="267"/>
  <c r="O93" i="267" s="1"/>
  <c r="J97" i="266"/>
  <c r="M95" i="266"/>
  <c r="O95" i="266" s="1"/>
  <c r="M90" i="265"/>
  <c r="O90" i="265" s="1"/>
  <c r="J92" i="265"/>
  <c r="J93" i="264"/>
  <c r="M91" i="264"/>
  <c r="O91" i="264" s="1"/>
  <c r="M86" i="263"/>
  <c r="O86" i="263" s="1"/>
  <c r="J88" i="263"/>
  <c r="J83" i="261"/>
  <c r="M81" i="261"/>
  <c r="O81" i="261" s="1"/>
  <c r="J80" i="260"/>
  <c r="M78" i="260"/>
  <c r="O78" i="260" s="1"/>
  <c r="J79" i="258"/>
  <c r="M77" i="258"/>
  <c r="O77" i="258" s="1"/>
  <c r="J83" i="256" l="1"/>
  <c r="M81" i="256"/>
  <c r="O81" i="256" s="1"/>
  <c r="J80" i="253"/>
  <c r="M78" i="253"/>
  <c r="O78" i="253" s="1"/>
  <c r="J96" i="267"/>
  <c r="M94" i="267"/>
  <c r="O94" i="267" s="1"/>
  <c r="J98" i="266"/>
  <c r="M96" i="266"/>
  <c r="O96" i="266" s="1"/>
  <c r="J93" i="265"/>
  <c r="M91" i="265"/>
  <c r="O91" i="265" s="1"/>
  <c r="J94" i="264"/>
  <c r="M92" i="264"/>
  <c r="O92" i="264" s="1"/>
  <c r="M87" i="263"/>
  <c r="O87" i="263" s="1"/>
  <c r="J89" i="263"/>
  <c r="J84" i="261"/>
  <c r="M82" i="261"/>
  <c r="O82" i="261" s="1"/>
  <c r="J81" i="260"/>
  <c r="M79" i="260"/>
  <c r="O79" i="260" s="1"/>
  <c r="J80" i="258"/>
  <c r="M78" i="258"/>
  <c r="O78" i="258" s="1"/>
  <c r="J81" i="253" l="1"/>
  <c r="M79" i="253"/>
  <c r="O79" i="253" s="1"/>
  <c r="J84" i="256"/>
  <c r="M82" i="256"/>
  <c r="O82" i="256" s="1"/>
  <c r="J97" i="267"/>
  <c r="M95" i="267"/>
  <c r="O95" i="267" s="1"/>
  <c r="J99" i="266"/>
  <c r="M97" i="266"/>
  <c r="O97" i="266" s="1"/>
  <c r="J94" i="265"/>
  <c r="M92" i="265"/>
  <c r="O92" i="265" s="1"/>
  <c r="J95" i="264"/>
  <c r="M93" i="264"/>
  <c r="O93" i="264" s="1"/>
  <c r="M88" i="263"/>
  <c r="O88" i="263" s="1"/>
  <c r="J90" i="263"/>
  <c r="J85" i="261"/>
  <c r="M83" i="261"/>
  <c r="O83" i="261" s="1"/>
  <c r="J82" i="260"/>
  <c r="M80" i="260"/>
  <c r="O80" i="260" s="1"/>
  <c r="J81" i="258"/>
  <c r="M79" i="258"/>
  <c r="O79" i="258" s="1"/>
  <c r="J85" i="256" l="1"/>
  <c r="M83" i="256"/>
  <c r="O83" i="256" s="1"/>
  <c r="J82" i="253"/>
  <c r="M80" i="253"/>
  <c r="O80" i="253" s="1"/>
  <c r="J98" i="267"/>
  <c r="M96" i="267"/>
  <c r="O96" i="267" s="1"/>
  <c r="J100" i="266"/>
  <c r="M98" i="266"/>
  <c r="O98" i="266" s="1"/>
  <c r="J95" i="265"/>
  <c r="M93" i="265"/>
  <c r="O93" i="265" s="1"/>
  <c r="J96" i="264"/>
  <c r="M94" i="264"/>
  <c r="O94" i="264" s="1"/>
  <c r="M89" i="263"/>
  <c r="O89" i="263" s="1"/>
  <c r="J91" i="263"/>
  <c r="J86" i="261"/>
  <c r="M84" i="261"/>
  <c r="O84" i="261" s="1"/>
  <c r="J83" i="260"/>
  <c r="M81" i="260"/>
  <c r="O81" i="260" s="1"/>
  <c r="M80" i="258"/>
  <c r="O80" i="258" s="1"/>
  <c r="J82" i="258"/>
  <c r="J83" i="253" l="1"/>
  <c r="M81" i="253"/>
  <c r="O81" i="253" s="1"/>
  <c r="J86" i="256"/>
  <c r="M84" i="256"/>
  <c r="O84" i="256" s="1"/>
  <c r="J99" i="267"/>
  <c r="M97" i="267"/>
  <c r="O97" i="267" s="1"/>
  <c r="J101" i="266"/>
  <c r="M99" i="266"/>
  <c r="O99" i="266" s="1"/>
  <c r="J96" i="265"/>
  <c r="M94" i="265"/>
  <c r="O94" i="265" s="1"/>
  <c r="J97" i="264"/>
  <c r="M95" i="264"/>
  <c r="O95" i="264" s="1"/>
  <c r="M90" i="263"/>
  <c r="O90" i="263" s="1"/>
  <c r="J92" i="263"/>
  <c r="J87" i="261"/>
  <c r="M85" i="261"/>
  <c r="O85" i="261" s="1"/>
  <c r="J84" i="260"/>
  <c r="M82" i="260"/>
  <c r="O82" i="260" s="1"/>
  <c r="M81" i="258"/>
  <c r="O81" i="258" s="1"/>
  <c r="J83" i="258"/>
  <c r="J87" i="256" l="1"/>
  <c r="M85" i="256"/>
  <c r="O85" i="256" s="1"/>
  <c r="J84" i="253"/>
  <c r="M82" i="253"/>
  <c r="O82" i="253" s="1"/>
  <c r="J100" i="267"/>
  <c r="M98" i="267"/>
  <c r="O98" i="267" s="1"/>
  <c r="J102" i="266"/>
  <c r="M100" i="266"/>
  <c r="O100" i="266" s="1"/>
  <c r="J97" i="265"/>
  <c r="M95" i="265"/>
  <c r="O95" i="265" s="1"/>
  <c r="J98" i="264"/>
  <c r="M96" i="264"/>
  <c r="O96" i="264" s="1"/>
  <c r="J93" i="263"/>
  <c r="M91" i="263"/>
  <c r="O91" i="263" s="1"/>
  <c r="J88" i="261"/>
  <c r="M86" i="261"/>
  <c r="O86" i="261" s="1"/>
  <c r="J85" i="260"/>
  <c r="M83" i="260"/>
  <c r="O83" i="260" s="1"/>
  <c r="M82" i="258"/>
  <c r="O82" i="258" s="1"/>
  <c r="J84" i="258"/>
  <c r="J85" i="253" l="1"/>
  <c r="M83" i="253"/>
  <c r="O83" i="253" s="1"/>
  <c r="J88" i="256"/>
  <c r="M86" i="256"/>
  <c r="O86" i="256" s="1"/>
  <c r="J101" i="267"/>
  <c r="M99" i="267"/>
  <c r="O99" i="267" s="1"/>
  <c r="J103" i="266"/>
  <c r="M101" i="266"/>
  <c r="O101" i="266" s="1"/>
  <c r="J98" i="265"/>
  <c r="M96" i="265"/>
  <c r="O96" i="265" s="1"/>
  <c r="J99" i="264"/>
  <c r="M97" i="264"/>
  <c r="O97" i="264" s="1"/>
  <c r="J94" i="263"/>
  <c r="M92" i="263"/>
  <c r="O92" i="263" s="1"/>
  <c r="J89" i="261"/>
  <c r="M87" i="261"/>
  <c r="O87" i="261" s="1"/>
  <c r="J86" i="260"/>
  <c r="M84" i="260"/>
  <c r="O84" i="260" s="1"/>
  <c r="J85" i="258"/>
  <c r="M83" i="258"/>
  <c r="O83" i="258" s="1"/>
  <c r="J89" i="256" l="1"/>
  <c r="M87" i="256"/>
  <c r="O87" i="256" s="1"/>
  <c r="J86" i="253"/>
  <c r="M84" i="253"/>
  <c r="O84" i="253" s="1"/>
  <c r="J102" i="267"/>
  <c r="M100" i="267"/>
  <c r="O100" i="267" s="1"/>
  <c r="J104" i="266"/>
  <c r="M102" i="266"/>
  <c r="O102" i="266" s="1"/>
  <c r="J99" i="265"/>
  <c r="M97" i="265"/>
  <c r="O97" i="265" s="1"/>
  <c r="J100" i="264"/>
  <c r="M98" i="264"/>
  <c r="O98" i="264" s="1"/>
  <c r="J95" i="263"/>
  <c r="M93" i="263"/>
  <c r="O93" i="263" s="1"/>
  <c r="J90" i="261"/>
  <c r="M88" i="261"/>
  <c r="O88" i="261" s="1"/>
  <c r="J87" i="260"/>
  <c r="M85" i="260"/>
  <c r="O85" i="260" s="1"/>
  <c r="M84" i="258"/>
  <c r="O84" i="258" s="1"/>
  <c r="J86" i="258"/>
  <c r="J87" i="253" l="1"/>
  <c r="M85" i="253"/>
  <c r="O85" i="253" s="1"/>
  <c r="J90" i="256"/>
  <c r="M88" i="256"/>
  <c r="O88" i="256" s="1"/>
  <c r="J103" i="267"/>
  <c r="M101" i="267"/>
  <c r="O101" i="267" s="1"/>
  <c r="J105" i="266"/>
  <c r="M103" i="266"/>
  <c r="O103" i="266" s="1"/>
  <c r="J100" i="265"/>
  <c r="M98" i="265"/>
  <c r="O98" i="265" s="1"/>
  <c r="J101" i="264"/>
  <c r="M99" i="264"/>
  <c r="O99" i="264" s="1"/>
  <c r="J96" i="263"/>
  <c r="M94" i="263"/>
  <c r="O94" i="263" s="1"/>
  <c r="J91" i="261"/>
  <c r="M89" i="261"/>
  <c r="O89" i="261" s="1"/>
  <c r="J88" i="260"/>
  <c r="M86" i="260"/>
  <c r="O86" i="260" s="1"/>
  <c r="J87" i="258"/>
  <c r="M85" i="258"/>
  <c r="O85" i="258" s="1"/>
  <c r="J91" i="256" l="1"/>
  <c r="M89" i="256"/>
  <c r="O89" i="256" s="1"/>
  <c r="J88" i="253"/>
  <c r="M86" i="253"/>
  <c r="O86" i="253" s="1"/>
  <c r="J104" i="267"/>
  <c r="M102" i="267"/>
  <c r="O102" i="267" s="1"/>
  <c r="J106" i="266"/>
  <c r="M104" i="266"/>
  <c r="O104" i="266" s="1"/>
  <c r="J101" i="265"/>
  <c r="M99" i="265"/>
  <c r="O99" i="265" s="1"/>
  <c r="J102" i="264"/>
  <c r="M100" i="264"/>
  <c r="O100" i="264" s="1"/>
  <c r="J97" i="263"/>
  <c r="M95" i="263"/>
  <c r="O95" i="263" s="1"/>
  <c r="J92" i="261"/>
  <c r="M90" i="261"/>
  <c r="O90" i="261" s="1"/>
  <c r="J89" i="260"/>
  <c r="M87" i="260"/>
  <c r="O87" i="260" s="1"/>
  <c r="M86" i="258"/>
  <c r="O86" i="258" s="1"/>
  <c r="J88" i="258"/>
  <c r="J89" i="253" l="1"/>
  <c r="M87" i="253"/>
  <c r="O87" i="253" s="1"/>
  <c r="J92" i="256"/>
  <c r="M90" i="256"/>
  <c r="O90" i="256" s="1"/>
  <c r="J105" i="267"/>
  <c r="M103" i="267"/>
  <c r="O103" i="267" s="1"/>
  <c r="J107" i="266"/>
  <c r="M106" i="266" s="1"/>
  <c r="O106" i="266" s="1"/>
  <c r="M105" i="266"/>
  <c r="O105" i="266" s="1"/>
  <c r="J102" i="265"/>
  <c r="M100" i="265"/>
  <c r="O100" i="265" s="1"/>
  <c r="J103" i="264"/>
  <c r="M101" i="264"/>
  <c r="O101" i="264" s="1"/>
  <c r="J98" i="263"/>
  <c r="M96" i="263"/>
  <c r="O96" i="263" s="1"/>
  <c r="J93" i="261"/>
  <c r="M91" i="261"/>
  <c r="O91" i="261" s="1"/>
  <c r="J90" i="260"/>
  <c r="M88" i="260"/>
  <c r="O88" i="260" s="1"/>
  <c r="J89" i="258"/>
  <c r="M87" i="258"/>
  <c r="O87" i="258" s="1"/>
  <c r="J93" i="256" l="1"/>
  <c r="M91" i="256"/>
  <c r="O91" i="256" s="1"/>
  <c r="J90" i="253"/>
  <c r="M88" i="253"/>
  <c r="O88" i="253" s="1"/>
  <c r="J106" i="267"/>
  <c r="M104" i="267"/>
  <c r="O104" i="267" s="1"/>
  <c r="J103" i="265"/>
  <c r="M101" i="265"/>
  <c r="O101" i="265" s="1"/>
  <c r="J104" i="264"/>
  <c r="M102" i="264"/>
  <c r="O102" i="264" s="1"/>
  <c r="J99" i="263"/>
  <c r="M97" i="263"/>
  <c r="O97" i="263" s="1"/>
  <c r="J94" i="261"/>
  <c r="M92" i="261"/>
  <c r="O92" i="261" s="1"/>
  <c r="J91" i="260"/>
  <c r="M89" i="260"/>
  <c r="O89" i="260" s="1"/>
  <c r="M88" i="258"/>
  <c r="O88" i="258" s="1"/>
  <c r="J90" i="258"/>
  <c r="J91" i="253" l="1"/>
  <c r="M89" i="253"/>
  <c r="O89" i="253" s="1"/>
  <c r="J94" i="256"/>
  <c r="M92" i="256"/>
  <c r="O92" i="256" s="1"/>
  <c r="J107" i="267"/>
  <c r="M106" i="267" s="1"/>
  <c r="O106" i="267" s="1"/>
  <c r="M105" i="267"/>
  <c r="O105" i="267" s="1"/>
  <c r="J104" i="265"/>
  <c r="M102" i="265"/>
  <c r="O102" i="265" s="1"/>
  <c r="J105" i="264"/>
  <c r="M103" i="264"/>
  <c r="O103" i="264" s="1"/>
  <c r="J100" i="263"/>
  <c r="M98" i="263"/>
  <c r="O98" i="263" s="1"/>
  <c r="J95" i="261"/>
  <c r="M93" i="261"/>
  <c r="O93" i="261" s="1"/>
  <c r="J92" i="260"/>
  <c r="M90" i="260"/>
  <c r="O90" i="260" s="1"/>
  <c r="J91" i="258"/>
  <c r="M89" i="258"/>
  <c r="O89" i="258" s="1"/>
  <c r="J95" i="256" l="1"/>
  <c r="M93" i="256"/>
  <c r="O93" i="256" s="1"/>
  <c r="J92" i="253"/>
  <c r="M90" i="253"/>
  <c r="O90" i="253" s="1"/>
  <c r="J105" i="265"/>
  <c r="M103" i="265"/>
  <c r="O103" i="265" s="1"/>
  <c r="J106" i="264"/>
  <c r="M104" i="264"/>
  <c r="O104" i="264" s="1"/>
  <c r="J101" i="263"/>
  <c r="M99" i="263"/>
  <c r="O99" i="263" s="1"/>
  <c r="J96" i="261"/>
  <c r="M94" i="261"/>
  <c r="O94" i="261" s="1"/>
  <c r="J93" i="260"/>
  <c r="M91" i="260"/>
  <c r="O91" i="260" s="1"/>
  <c r="M90" i="258"/>
  <c r="O90" i="258" s="1"/>
  <c r="J92" i="258"/>
  <c r="J93" i="253" l="1"/>
  <c r="M91" i="253"/>
  <c r="O91" i="253" s="1"/>
  <c r="J96" i="256"/>
  <c r="M94" i="256"/>
  <c r="O94" i="256" s="1"/>
  <c r="J106" i="265"/>
  <c r="M104" i="265"/>
  <c r="O104" i="265" s="1"/>
  <c r="J107" i="264"/>
  <c r="M106" i="264" s="1"/>
  <c r="O106" i="264" s="1"/>
  <c r="M105" i="264"/>
  <c r="O105" i="264" s="1"/>
  <c r="J102" i="263"/>
  <c r="M100" i="263"/>
  <c r="O100" i="263" s="1"/>
  <c r="J97" i="261"/>
  <c r="M95" i="261"/>
  <c r="O95" i="261" s="1"/>
  <c r="J94" i="260"/>
  <c r="M92" i="260"/>
  <c r="O92" i="260" s="1"/>
  <c r="J93" i="258"/>
  <c r="M91" i="258"/>
  <c r="O91" i="258" s="1"/>
  <c r="J97" i="256" l="1"/>
  <c r="M95" i="256"/>
  <c r="O95" i="256" s="1"/>
  <c r="J94" i="253"/>
  <c r="M92" i="253"/>
  <c r="O92" i="253" s="1"/>
  <c r="J107" i="265"/>
  <c r="M106" i="265" s="1"/>
  <c r="O106" i="265" s="1"/>
  <c r="M105" i="265"/>
  <c r="O105" i="265" s="1"/>
  <c r="J103" i="263"/>
  <c r="M101" i="263"/>
  <c r="O101" i="263" s="1"/>
  <c r="J98" i="261"/>
  <c r="M96" i="261"/>
  <c r="O96" i="261" s="1"/>
  <c r="J95" i="260"/>
  <c r="M93" i="260"/>
  <c r="O93" i="260" s="1"/>
  <c r="M92" i="258"/>
  <c r="O92" i="258" s="1"/>
  <c r="J94" i="258"/>
  <c r="J95" i="253" l="1"/>
  <c r="M93" i="253"/>
  <c r="O93" i="253" s="1"/>
  <c r="J98" i="256"/>
  <c r="M96" i="256"/>
  <c r="O96" i="256" s="1"/>
  <c r="J104" i="263"/>
  <c r="M102" i="263"/>
  <c r="O102" i="263" s="1"/>
  <c r="J99" i="261"/>
  <c r="M97" i="261"/>
  <c r="O97" i="261" s="1"/>
  <c r="J96" i="260"/>
  <c r="M94" i="260"/>
  <c r="O94" i="260" s="1"/>
  <c r="M93" i="258"/>
  <c r="O93" i="258" s="1"/>
  <c r="J95" i="258"/>
  <c r="J99" i="256" l="1"/>
  <c r="M97" i="256"/>
  <c r="O97" i="256" s="1"/>
  <c r="J96" i="253"/>
  <c r="M94" i="253"/>
  <c r="O94" i="253" s="1"/>
  <c r="J105" i="263"/>
  <c r="M103" i="263"/>
  <c r="O103" i="263" s="1"/>
  <c r="J100" i="261"/>
  <c r="M98" i="261"/>
  <c r="O98" i="261" s="1"/>
  <c r="J97" i="260"/>
  <c r="M95" i="260"/>
  <c r="O95" i="260" s="1"/>
  <c r="J96" i="258"/>
  <c r="M94" i="258"/>
  <c r="O94" i="258" s="1"/>
  <c r="J100" i="256" l="1"/>
  <c r="M98" i="256"/>
  <c r="O98" i="256" s="1"/>
  <c r="J97" i="253"/>
  <c r="M95" i="253"/>
  <c r="O95" i="253" s="1"/>
  <c r="J106" i="263"/>
  <c r="M104" i="263"/>
  <c r="O104" i="263" s="1"/>
  <c r="J101" i="261"/>
  <c r="M99" i="261"/>
  <c r="O99" i="261" s="1"/>
  <c r="J98" i="260"/>
  <c r="M96" i="260"/>
  <c r="O96" i="260" s="1"/>
  <c r="J97" i="258"/>
  <c r="M95" i="258"/>
  <c r="O95" i="258" s="1"/>
  <c r="J98" i="253" l="1"/>
  <c r="M96" i="253"/>
  <c r="O96" i="253" s="1"/>
  <c r="J101" i="256"/>
  <c r="M99" i="256"/>
  <c r="O99" i="256" s="1"/>
  <c r="J107" i="263"/>
  <c r="M106" i="263" s="1"/>
  <c r="O106" i="263" s="1"/>
  <c r="M105" i="263"/>
  <c r="O105" i="263" s="1"/>
  <c r="J102" i="261"/>
  <c r="M100" i="261"/>
  <c r="O100" i="261" s="1"/>
  <c r="J99" i="260"/>
  <c r="M97" i="260"/>
  <c r="O97" i="260" s="1"/>
  <c r="M96" i="258"/>
  <c r="O96" i="258" s="1"/>
  <c r="J98" i="258"/>
  <c r="J102" i="256" l="1"/>
  <c r="M100" i="256"/>
  <c r="O100" i="256" s="1"/>
  <c r="J99" i="253"/>
  <c r="M97" i="253"/>
  <c r="O97" i="253" s="1"/>
  <c r="J103" i="261"/>
  <c r="M101" i="261"/>
  <c r="O101" i="261" s="1"/>
  <c r="J100" i="260"/>
  <c r="M98" i="260"/>
  <c r="O98" i="260" s="1"/>
  <c r="J99" i="258"/>
  <c r="M97" i="258"/>
  <c r="O97" i="258" s="1"/>
  <c r="J103" i="256" l="1"/>
  <c r="M101" i="256"/>
  <c r="O101" i="256" s="1"/>
  <c r="J100" i="253"/>
  <c r="M98" i="253"/>
  <c r="O98" i="253" s="1"/>
  <c r="J104" i="261"/>
  <c r="M102" i="261"/>
  <c r="O102" i="261" s="1"/>
  <c r="J101" i="260"/>
  <c r="M99" i="260"/>
  <c r="O99" i="260" s="1"/>
  <c r="M98" i="258"/>
  <c r="O98" i="258" s="1"/>
  <c r="J100" i="258"/>
  <c r="J101" i="253" l="1"/>
  <c r="M99" i="253"/>
  <c r="O99" i="253" s="1"/>
  <c r="J104" i="256"/>
  <c r="M102" i="256"/>
  <c r="O102" i="256" s="1"/>
  <c r="J105" i="261"/>
  <c r="M103" i="261"/>
  <c r="O103" i="261" s="1"/>
  <c r="J102" i="260"/>
  <c r="M100" i="260"/>
  <c r="O100" i="260" s="1"/>
  <c r="J101" i="258"/>
  <c r="M99" i="258"/>
  <c r="O99" i="258" s="1"/>
  <c r="J105" i="256" l="1"/>
  <c r="M103" i="256"/>
  <c r="O103" i="256" s="1"/>
  <c r="J102" i="253"/>
  <c r="M100" i="253"/>
  <c r="O100" i="253" s="1"/>
  <c r="J106" i="261"/>
  <c r="M104" i="261"/>
  <c r="O104" i="261" s="1"/>
  <c r="J103" i="260"/>
  <c r="M101" i="260"/>
  <c r="O101" i="260" s="1"/>
  <c r="M100" i="258"/>
  <c r="O100" i="258" s="1"/>
  <c r="J102" i="258"/>
  <c r="J103" i="253" l="1"/>
  <c r="M101" i="253"/>
  <c r="O101" i="253" s="1"/>
  <c r="J106" i="256"/>
  <c r="M104" i="256"/>
  <c r="O104" i="256" s="1"/>
  <c r="J107" i="261"/>
  <c r="M106" i="261" s="1"/>
  <c r="O106" i="261" s="1"/>
  <c r="M105" i="261"/>
  <c r="O105" i="261" s="1"/>
  <c r="J104" i="260"/>
  <c r="M102" i="260"/>
  <c r="O102" i="260" s="1"/>
  <c r="J103" i="258"/>
  <c r="M101" i="258"/>
  <c r="O101" i="258" s="1"/>
  <c r="J107" i="256" l="1"/>
  <c r="M106" i="256" s="1"/>
  <c r="O106" i="256" s="1"/>
  <c r="M105" i="256"/>
  <c r="O105" i="256" s="1"/>
  <c r="J104" i="253"/>
  <c r="M102" i="253"/>
  <c r="O102" i="253" s="1"/>
  <c r="J105" i="260"/>
  <c r="M103" i="260"/>
  <c r="O103" i="260" s="1"/>
  <c r="M102" i="258"/>
  <c r="O102" i="258" s="1"/>
  <c r="J104" i="258"/>
  <c r="J105" i="253" l="1"/>
  <c r="M103" i="253"/>
  <c r="O103" i="253" s="1"/>
  <c r="J106" i="260"/>
  <c r="M104" i="260"/>
  <c r="O104" i="260" s="1"/>
  <c r="J105" i="258"/>
  <c r="M103" i="258"/>
  <c r="O103" i="258" s="1"/>
  <c r="J106" i="253" l="1"/>
  <c r="M104" i="253"/>
  <c r="O104" i="253" s="1"/>
  <c r="J107" i="260"/>
  <c r="M106" i="260" s="1"/>
  <c r="O106" i="260" s="1"/>
  <c r="M105" i="260"/>
  <c r="O105" i="260" s="1"/>
  <c r="M104" i="258"/>
  <c r="O104" i="258" s="1"/>
  <c r="J106" i="258"/>
  <c r="J107" i="253" l="1"/>
  <c r="M106" i="253" s="1"/>
  <c r="O106" i="253" s="1"/>
  <c r="M105" i="253"/>
  <c r="O105" i="253" s="1"/>
  <c r="J107" i="258"/>
  <c r="M106" i="258" s="1"/>
  <c r="O106" i="258" s="1"/>
  <c r="M105" i="258"/>
  <c r="O105" i="258" s="1"/>
</calcChain>
</file>

<file path=xl/comments1.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2.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3.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4.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5.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6.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7.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8.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9.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10.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11.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12.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13.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comments14.xml><?xml version="1.0" encoding="utf-8"?>
<comments xmlns="http://schemas.openxmlformats.org/spreadsheetml/2006/main">
  <authors>
    <author>Fisheries Biologist</author>
  </authors>
  <commentList>
    <comment ref="E7" authorId="0">
      <text>
        <r>
          <rPr>
            <sz val="8"/>
            <color indexed="81"/>
            <rFont val="Tahoma"/>
            <family val="2"/>
          </rPr>
          <t xml:space="preserve">Enter number here of the percent in the sample that are believed to be Chignik Lake sockeye.  After entering Date, sample size, and percent, click on the "Solve Logistic" button to resolve the logistic curve.
</t>
        </r>
      </text>
    </comment>
    <comment ref="B8" authorId="0">
      <text>
        <r>
          <rPr>
            <b/>
            <sz val="8"/>
            <color indexed="81"/>
            <rFont val="Tahoma"/>
            <family val="2"/>
          </rPr>
          <t>Insert Date here:  If sampled from the lagoon, lag the date here by one day.  Example:  If sampled on 5/27, put 5/28 in this column</t>
        </r>
      </text>
    </comment>
    <comment ref="C8" authorId="0">
      <text>
        <r>
          <rPr>
            <b/>
            <sz val="8"/>
            <color indexed="81"/>
            <rFont val="Tahoma"/>
            <family val="2"/>
          </rPr>
          <t>Enter sample size here.</t>
        </r>
      </text>
    </comment>
  </commentList>
</comments>
</file>

<file path=xl/sharedStrings.xml><?xml version="1.0" encoding="utf-8"?>
<sst xmlns="http://schemas.openxmlformats.org/spreadsheetml/2006/main" count="1402" uniqueCount="56">
  <si>
    <t>Parameter</t>
  </si>
  <si>
    <t>k</t>
  </si>
  <si>
    <t>g</t>
  </si>
  <si>
    <t>Year</t>
  </si>
  <si>
    <t>Age</t>
  </si>
  <si>
    <t xml:space="preserve">Chignik Weir Inseason stock apportionment </t>
  </si>
  <si>
    <t>between Chignik and Black Lakes.</t>
  </si>
  <si>
    <t>Estimate</t>
  </si>
  <si>
    <t>SE</t>
  </si>
  <si>
    <t>Target Cell</t>
  </si>
  <si>
    <t>Starting date</t>
  </si>
  <si>
    <t xml:space="preserve">Prescribed date assumed to be 100% Chignik Lake sockeye </t>
  </si>
  <si>
    <t>Weighted RSS</t>
  </si>
  <si>
    <t>Run apportionment estimates</t>
  </si>
  <si>
    <t>Date</t>
  </si>
  <si>
    <t>Sample size</t>
  </si>
  <si>
    <t>Day Index</t>
  </si>
  <si>
    <t>Logistic curve</t>
  </si>
  <si>
    <t>Residuals</t>
  </si>
  <si>
    <t>Wt Resids</t>
  </si>
  <si>
    <t>Day index</t>
  </si>
  <si>
    <t>p^</t>
  </si>
  <si>
    <t>p^ cond.</t>
  </si>
  <si>
    <t>p^ intermediary</t>
  </si>
  <si>
    <t>Logistic Curve</t>
  </si>
  <si>
    <r>
      <t>m</t>
    </r>
    <r>
      <rPr>
        <vertAlign val="subscript"/>
        <sz val="14"/>
        <rFont val="Times New Roman"/>
        <family val="1"/>
      </rPr>
      <t>infinity</t>
    </r>
  </si>
  <si>
    <t>Refitted</t>
  </si>
  <si>
    <r>
      <t>L</t>
    </r>
    <r>
      <rPr>
        <vertAlign val="subscript"/>
        <sz val="11"/>
        <rFont val="Arial"/>
        <family val="2"/>
      </rPr>
      <t>50%</t>
    </r>
  </si>
  <si>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</si>
  <si>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</si>
  <si>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</si>
  <si>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</si>
  <si>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</si>
  <si>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</si>
  <si>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</si>
  <si>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</si>
  <si>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</si>
  <si>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</si>
  <si>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</si>
  <si>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</si>
  <si>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</si>
  <si>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</si>
  <si>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</si>
  <si>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</si>
  <si>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</si>
  <si>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</si>
  <si>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Hessian Matrix</t>
  </si>
  <si>
    <t>VAR-COVARIANCE</t>
  </si>
  <si>
    <t>Correlation Matrix</t>
  </si>
  <si>
    <t>SD</t>
  </si>
  <si>
    <t>inverse/var</t>
  </si>
  <si>
    <t>upper</t>
  </si>
  <si>
    <t>lower</t>
  </si>
  <si>
    <t>2010-2015 model average</t>
  </si>
  <si>
    <t>`</t>
  </si>
  <si>
    <t>Avg</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</si>
</sst>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0.000"/>
    <numFmt numFmtId="165" formatCode="0.0"/>
    <numFmt numFmtId="166" formatCode="0.0000"/>
    <numFmt numFmtId="167" formatCode="0.0%"/>
    <numFmt numFmtId="168" formatCode="0.00000"/>
    <numFmt numFmtId="169" formatCode="_(* #,##0.0_);_(* \(#,##0.0\);_(* &quot;-&quot;??_);_(@_)"/>
    <numFmt numFmtId="170" formatCode="_(* #,##0_);_(* \(#,##0\);_(* &quot;-&quot;??_);_(@_)"/>
    <numFmt numFmtId="171" formatCode="[$-409]m/d/yy\ h:mm\ AM/PM;@"/>
    <numFmt numFmtId="172" formatCode="m/d;@"/>
    <numFmt numFmtId="173" formatCode="_(* #,##0.000_);_(* \(#,##0.000\);_(* &quot;-&quot;??_);_(@_)"/>
    <numFmt numFmtId="174" formatCode="0.00000%"/>
    <numFmt numFmtId="175" formatCode="_(* #,##0.0000_);_(* \(#,##0.0000\);_(* &quot;-&quot;??_);_(@_)"/>
    <numFmt numFmtId="176" formatCode="0.000%"/>
  </numFmts>
  <fonts count="21" x14ac:knownFonts="1">
    <font>
      <sz val="12"/>
      <name val="Times New Roman"/>
    </font>
    <font>
      <sz val="11"/>
      <color theme="1"/>
      <name val="Calibri"/>
      <family val="2"/>
      <scheme val="minor"/>
    </font>
    <font>
      <sz val="12"/>
      <name val="Times New Roman"/>
      <family val="1"/>
    </font>
    <font>
      <sz val="10"/>
      <name val="Arial"/>
      <family val="2"/>
    </font>
    <font>
      <b/>
      <sz val="12"/>
      <name val="Times New Roman"/>
      <family val="1"/>
    </font>
    <font>
      <sz val="12"/>
      <name val="Times New Roman"/>
      <family val="1"/>
    </font>
    <font>
      <u/>
      <sz val="12"/>
      <name val="Times New Roman"/>
      <family val="1"/>
    </font>
    <font>
      <sz val="12"/>
      <name val="Arial"/>
      <family val="2"/>
    </font>
    <font>
      <sz val="12"/>
      <name val="Symbol"/>
      <family val="1"/>
      <charset val="2"/>
    </font>
    <font>
      <sz val="10"/>
      <name val="Times New Roman"/>
      <family val="1"/>
    </font>
    <font>
      <sz val="12"/>
      <color indexed="18"/>
      <name val="Arial"/>
      <family val="2"/>
    </font>
    <font>
      <sz val="12"/>
      <color indexed="10"/>
      <name val="Times New Roman"/>
      <family val="1"/>
    </font>
    <font>
      <sz val="12"/>
      <name val="Arial"/>
      <family val="2"/>
    </font>
    <font>
      <sz val="10"/>
      <name val="Times New Roman"/>
      <family val="1"/>
    </font>
    <font>
      <sz val="14"/>
      <name val="Arial"/>
      <family val="2"/>
    </font>
    <font>
      <vertAlign val="subscript"/>
      <sz val="14"/>
      <name val="Times New Roman"/>
      <family val="1"/>
    </font>
    <font>
      <sz val="8"/>
      <color indexed="81"/>
      <name val="Tahoma"/>
      <family val="2"/>
    </font>
    <font>
      <b/>
      <sz val="8"/>
      <color indexed="81"/>
      <name val="Tahoma"/>
      <family val="2"/>
    </font>
    <font>
      <vertAlign val="subscript"/>
      <sz val="11"/>
      <name val="Arial"/>
      <family val="2"/>
    </font>
    <font>
      <i/>
      <sz val="12"/>
      <name val="Times New Roman"/>
      <family val="1"/>
    </font>
    <font>
      <sz val="10"/>
      <color theme="1"/>
      <name val="Times New Roman"/>
      <family val="1"/>
    </font>
  </fonts>
  <fills count="8">
    <fill>
      <patternFill patternType="none"/>
    </fill>
    <fill>
      <patternFill patternType="gray125"/>
    </fill>
    <fill>
      <patternFill patternType="solid">
        <fgColor indexed="13"/>
        <bgColor indexed="64"/>
      </patternFill>
    </fill>
    <fill>
      <patternFill patternType="solid">
        <fgColor indexed="11"/>
        <bgColor indexed="64"/>
      </patternFill>
    </fill>
    <fill>
      <patternFill patternType="solid">
        <fgColor indexed="42"/>
        <bgColor indexed="64"/>
      </patternFill>
    </fill>
    <fill>
      <patternFill patternType="solid">
        <fgColor indexed="47"/>
        <bgColor indexed="64"/>
      </patternFill>
    </fill>
    <fill>
      <patternFill patternType="solid">
        <fgColor rgb="FFFFFF00"/>
        <bgColor indexed="64"/>
      </patternFill>
    </fill>
    <fill>
      <patternFill patternType="solid">
        <fgColor rgb="FF92D050"/>
        <bgColor indexed="64"/>
      </patternFill>
    </fill>
  </fills>
  <borders count="1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top/>
      <bottom style="thin">
        <color indexed="64"/>
      </bottom>
      <diagonal/>
    </border>
    <border>
      <left/>
      <right/>
      <top style="thin">
        <color indexed="64"/>
      </top>
      <bottom/>
      <diagonal/>
    </border>
  </borders>
  <cellStyleXfs count="9">
    <xf numFmtId="0" fontId="0" fillId="0" borderId="0"/>
    <xf numFmtId="43" fontId="2" fillId="0" borderId="0" applyFont="0" applyFill="0" applyBorder="0" applyAlignment="0" applyProtection="0"/>
    <xf numFmtId="0" fontId="2" fillId="0" borderId="0"/>
    <xf numFmtId="0" fontId="2" fillId="0" borderId="0"/>
    <xf numFmtId="0" fontId="9" fillId="0" borderId="0"/>
    <xf numFmtId="0" fontId="3" fillId="0" borderId="0"/>
    <xf numFmtId="0" fontId="3" fillId="0" borderId="0"/>
    <xf numFmtId="9" fontId="2" fillId="0" borderId="0" applyFont="0" applyFill="0" applyBorder="0" applyAlignment="0" applyProtection="0"/>
    <xf numFmtId="0" fontId="1" fillId="0" borderId="0"/>
  </cellStyleXfs>
  <cellXfs count="154">
    <xf numFmtId="0" fontId="0" fillId="0" borderId="0" xfId="0"/>
    <xf numFmtId="167" fontId="7" fillId="0" borderId="0" xfId="7" applyNumberFormat="1" applyFont="1" applyAlignment="1">
      <alignment horizontal="center"/>
    </xf>
    <xf numFmtId="9" fontId="2" fillId="0" borderId="0" xfId="7" applyBorder="1"/>
    <xf numFmtId="0" fontId="5" fillId="0" borderId="0" xfId="2" applyFont="1" applyAlignment="1">
      <alignment horizontal="center"/>
    </xf>
    <xf numFmtId="0" fontId="5" fillId="0" borderId="0" xfId="2" applyFont="1"/>
    <xf numFmtId="0" fontId="5" fillId="2" borderId="1" xfId="2" applyFont="1" applyFill="1" applyBorder="1" applyAlignment="1">
      <alignment horizontal="center"/>
    </xf>
    <xf numFmtId="0" fontId="5" fillId="0" borderId="1" xfId="2" applyFont="1" applyBorder="1" applyAlignment="1">
      <alignment horizontal="center"/>
    </xf>
    <xf numFmtId="0" fontId="6" fillId="0" borderId="0" xfId="2" applyFont="1" applyAlignment="1">
      <alignment horizontal="center"/>
    </xf>
    <xf numFmtId="14" fontId="5" fillId="0" borderId="0" xfId="2" applyNumberFormat="1" applyFont="1" applyAlignment="1">
      <alignment horizontal="center"/>
    </xf>
    <xf numFmtId="0" fontId="2" fillId="0" borderId="0" xfId="2"/>
    <xf numFmtId="166" fontId="5" fillId="0" borderId="2" xfId="2" applyNumberFormat="1" applyFont="1" applyBorder="1" applyAlignment="1">
      <alignment horizontal="center"/>
    </xf>
    <xf numFmtId="168" fontId="5" fillId="0" borderId="2" xfId="2" applyNumberFormat="1" applyFont="1" applyBorder="1"/>
    <xf numFmtId="1" fontId="5" fillId="0" borderId="0" xfId="2" applyNumberFormat="1" applyFont="1" applyAlignment="1">
      <alignment horizontal="center"/>
    </xf>
    <xf numFmtId="0" fontId="8" fillId="3" borderId="3" xfId="6" applyFont="1" applyFill="1" applyBorder="1" applyAlignment="1">
      <alignment horizontal="center"/>
    </xf>
    <xf numFmtId="166" fontId="5" fillId="0" borderId="4" xfId="2" applyNumberFormat="1" applyFont="1" applyBorder="1" applyAlignment="1">
      <alignment horizontal="center"/>
    </xf>
    <xf numFmtId="168" fontId="5" fillId="0" borderId="4" xfId="2" applyNumberFormat="1" applyFont="1" applyBorder="1"/>
    <xf numFmtId="2" fontId="5" fillId="0" borderId="0" xfId="2" applyNumberFormat="1" applyFont="1" applyBorder="1" applyAlignment="1">
      <alignment horizontal="center"/>
    </xf>
    <xf numFmtId="0" fontId="8" fillId="3" borderId="5" xfId="6" applyFont="1" applyFill="1" applyBorder="1" applyAlignment="1">
      <alignment horizontal="center"/>
    </xf>
    <xf numFmtId="164" fontId="5" fillId="0" borderId="6" xfId="2" applyNumberFormat="1" applyFont="1" applyBorder="1" applyAlignment="1">
      <alignment horizontal="center"/>
    </xf>
    <xf numFmtId="168" fontId="5" fillId="0" borderId="6" xfId="2" applyNumberFormat="1" applyFont="1" applyBorder="1"/>
    <xf numFmtId="168" fontId="5" fillId="0" borderId="0" xfId="2" applyNumberFormat="1" applyFont="1" applyBorder="1" applyAlignment="1">
      <alignment horizontal="center"/>
    </xf>
    <xf numFmtId="165" fontId="5" fillId="0" borderId="0" xfId="2" applyNumberFormat="1" applyFont="1" applyBorder="1" applyAlignment="1">
      <alignment horizontal="center"/>
    </xf>
    <xf numFmtId="0" fontId="4" fillId="0" borderId="0" xfId="2" applyFont="1"/>
    <xf numFmtId="164" fontId="5" fillId="0" borderId="0" xfId="2" applyNumberFormat="1" applyFont="1"/>
    <xf numFmtId="0" fontId="5" fillId="0" borderId="0" xfId="2" applyFont="1" applyBorder="1" applyAlignment="1">
      <alignment horizontal="center"/>
    </xf>
    <xf numFmtId="0" fontId="5" fillId="3" borderId="2" xfId="2" applyFont="1" applyFill="1" applyBorder="1" applyAlignment="1">
      <alignment horizontal="center"/>
    </xf>
    <xf numFmtId="2" fontId="5" fillId="0" borderId="0" xfId="2" applyNumberFormat="1" applyFont="1"/>
    <xf numFmtId="2" fontId="5" fillId="0" borderId="0" xfId="2" applyNumberFormat="1" applyFont="1" applyAlignment="1">
      <alignment horizontal="right"/>
    </xf>
    <xf numFmtId="2" fontId="5" fillId="0" borderId="0" xfId="2" applyNumberFormat="1" applyFont="1" applyBorder="1"/>
    <xf numFmtId="0" fontId="5" fillId="0" borderId="0" xfId="2" applyFont="1" applyAlignment="1">
      <alignment horizontal="right"/>
    </xf>
    <xf numFmtId="0" fontId="5" fillId="0" borderId="0" xfId="2" applyFont="1" applyFill="1" applyBorder="1" applyAlignment="1">
      <alignment horizontal="right"/>
    </xf>
    <xf numFmtId="0" fontId="5" fillId="3" borderId="7" xfId="2" applyFont="1" applyFill="1" applyBorder="1" applyAlignment="1">
      <alignment horizontal="right"/>
    </xf>
    <xf numFmtId="0" fontId="5" fillId="3" borderId="8" xfId="2" applyFont="1" applyFill="1" applyBorder="1" applyAlignment="1">
      <alignment horizontal="center"/>
    </xf>
    <xf numFmtId="0" fontId="5" fillId="3" borderId="6" xfId="2" applyFont="1" applyFill="1" applyBorder="1" applyAlignment="1">
      <alignment horizontal="center"/>
    </xf>
    <xf numFmtId="2" fontId="5" fillId="3" borderId="8" xfId="2" applyNumberFormat="1" applyFont="1" applyFill="1" applyBorder="1" applyAlignment="1">
      <alignment horizontal="center"/>
    </xf>
    <xf numFmtId="1" fontId="5" fillId="3" borderId="9" xfId="2" applyNumberFormat="1" applyFont="1" applyFill="1" applyBorder="1" applyAlignment="1">
      <alignment horizont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16" fontId="5" fillId="0" borderId="0" xfId="2" applyNumberFormat="1" applyFont="1"/>
    <xf numFmtId="14" fontId="5" fillId="2" borderId="7" xfId="4" applyNumberFormat="1" applyFont="1" applyFill="1" applyBorder="1"/>
    <xf numFmtId="167" fontId="7" fillId="0" borderId="8" xfId="7" applyNumberFormat="1" applyFont="1" applyBorder="1" applyAlignment="1">
      <alignment horizontal="center"/>
    </xf>
    <xf numFmtId="2" fontId="5" fillId="0" borderId="8" xfId="2" applyNumberFormat="1" applyFont="1" applyBorder="1" applyAlignment="1">
      <alignment horizontal="center"/>
    </xf>
    <xf numFmtId="164" fontId="5" fillId="0" borderId="9" xfId="2" applyNumberFormat="1" applyFont="1" applyBorder="1" applyAlignment="1">
      <alignment horizontal="center"/>
    </xf>
    <xf numFmtId="14" fontId="5" fillId="0" borderId="0" xfId="4" applyNumberFormat="1" applyFont="1" applyFill="1" applyBorder="1"/>
    <xf numFmtId="1" fontId="5" fillId="0" borderId="0" xfId="3" applyNumberFormat="1" applyFont="1" applyBorder="1" applyAlignment="1">
      <alignment horizontal="center"/>
    </xf>
    <xf numFmtId="10" fontId="10" fillId="0" borderId="0" xfId="7" applyNumberFormat="1" applyFont="1" applyAlignment="1">
      <alignment horizontal="center"/>
    </xf>
    <xf numFmtId="10" fontId="12" fillId="0" borderId="0" xfId="7" applyNumberFormat="1" applyFont="1" applyAlignment="1">
      <alignment horizontal="center"/>
    </xf>
    <xf numFmtId="164" fontId="5" fillId="0" borderId="0" xfId="3" applyNumberFormat="1" applyFont="1" applyBorder="1"/>
    <xf numFmtId="14" fontId="5" fillId="2" borderId="3" xfId="4" applyNumberFormat="1" applyFont="1" applyFill="1" applyBorder="1"/>
    <xf numFmtId="167" fontId="7" fillId="0" borderId="0" xfId="7" applyNumberFormat="1" applyFont="1" applyBorder="1" applyAlignment="1">
      <alignment horizontal="center"/>
    </xf>
    <xf numFmtId="164" fontId="5" fillId="0" borderId="13" xfId="2" applyNumberFormat="1" applyFont="1" applyBorder="1" applyAlignment="1">
      <alignment horizontal="center"/>
    </xf>
    <xf numFmtId="43" fontId="5" fillId="0" borderId="0" xfId="2" applyNumberFormat="1" applyFont="1"/>
    <xf numFmtId="0" fontId="2" fillId="0" borderId="0" xfId="2" applyBorder="1"/>
    <xf numFmtId="170" fontId="13" fillId="0" borderId="0" xfId="5" applyNumberFormat="1" applyFont="1" applyBorder="1" applyAlignment="1">
      <alignment horizontal="right"/>
    </xf>
    <xf numFmtId="169" fontId="5" fillId="0" borderId="0" xfId="1" applyNumberFormat="1" applyFont="1"/>
    <xf numFmtId="14" fontId="5" fillId="2" borderId="5" xfId="4" applyNumberFormat="1" applyFont="1" applyFill="1" applyBorder="1"/>
    <xf numFmtId="14" fontId="5" fillId="0" borderId="10" xfId="4" applyNumberFormat="1" applyFont="1" applyFill="1" applyBorder="1"/>
    <xf numFmtId="0" fontId="5" fillId="0" borderId="11" xfId="2" applyFont="1" applyFill="1" applyBorder="1" applyAlignment="1">
      <alignment horizontal="center"/>
    </xf>
    <xf numFmtId="167" fontId="5" fillId="0" borderId="11" xfId="7" applyNumberFormat="1" applyFont="1" applyFill="1" applyBorder="1" applyAlignment="1">
      <alignment horizontal="center"/>
    </xf>
    <xf numFmtId="167" fontId="7" fillId="0" borderId="11" xfId="7" applyNumberFormat="1" applyFont="1" applyFill="1" applyBorder="1" applyAlignment="1">
      <alignment horizontal="center"/>
    </xf>
    <xf numFmtId="2" fontId="5" fillId="0" borderId="11" xfId="2" applyNumberFormat="1" applyFont="1" applyFill="1" applyBorder="1" applyAlignment="1">
      <alignment horizontal="center"/>
    </xf>
    <xf numFmtId="164" fontId="5" fillId="0" borderId="12" xfId="2" applyNumberFormat="1" applyFont="1" applyFill="1" applyBorder="1" applyAlignment="1">
      <alignment horizontal="center"/>
    </xf>
    <xf numFmtId="14" fontId="5" fillId="0" borderId="0" xfId="2" applyNumberFormat="1" applyFont="1" applyFill="1" applyBorder="1"/>
    <xf numFmtId="0" fontId="2" fillId="0" borderId="0" xfId="2" applyFill="1" applyBorder="1"/>
    <xf numFmtId="1" fontId="2" fillId="0" borderId="0" xfId="2" applyNumberFormat="1" applyFill="1" applyBorder="1"/>
    <xf numFmtId="16" fontId="13" fillId="0" borderId="0" xfId="2" applyNumberFormat="1" applyFont="1" applyFill="1" applyBorder="1" applyAlignment="1">
      <alignment horizontal="right"/>
    </xf>
    <xf numFmtId="3" fontId="13" fillId="0" borderId="0" xfId="5" applyNumberFormat="1" applyFont="1" applyFill="1" applyBorder="1" applyAlignment="1">
      <alignment horizontal="right"/>
    </xf>
    <xf numFmtId="3" fontId="13" fillId="0" borderId="0" xfId="5" applyNumberFormat="1" applyFont="1" applyBorder="1" applyAlignment="1">
      <alignment horizontal="right"/>
    </xf>
    <xf numFmtId="0" fontId="13" fillId="0" borderId="0" xfId="5" applyFont="1" applyFill="1" applyBorder="1" applyAlignment="1">
      <alignment horizontal="right"/>
    </xf>
    <xf numFmtId="10" fontId="11" fillId="0" borderId="0" xfId="2" applyNumberFormat="1" applyFont="1"/>
    <xf numFmtId="2" fontId="5" fillId="0" borderId="0" xfId="2" applyNumberFormat="1" applyFont="1" applyFill="1" applyBorder="1"/>
    <xf numFmtId="0" fontId="5" fillId="0" borderId="0" xfId="2" applyFont="1" applyFill="1" applyBorder="1"/>
    <xf numFmtId="0" fontId="14" fillId="3" borderId="7" xfId="6" applyFont="1" applyFill="1" applyBorder="1" applyAlignment="1">
      <alignment horizontal="center"/>
    </xf>
    <xf numFmtId="164" fontId="5" fillId="4" borderId="1" xfId="2" applyNumberFormat="1" applyFont="1" applyFill="1" applyBorder="1" applyAlignment="1">
      <alignment horizontal="center"/>
    </xf>
    <xf numFmtId="10" fontId="11" fillId="2" borderId="0" xfId="7" applyNumberFormat="1" applyFont="1" applyFill="1"/>
    <xf numFmtId="10" fontId="11" fillId="2" borderId="0" xfId="7" applyNumberFormat="1" applyFont="1" applyFill="1" applyBorder="1"/>
    <xf numFmtId="10" fontId="11" fillId="2" borderId="0" xfId="2" applyNumberFormat="1" applyFont="1" applyFill="1"/>
    <xf numFmtId="0" fontId="5" fillId="2" borderId="8" xfId="2" applyFont="1" applyFill="1" applyBorder="1" applyAlignment="1">
      <alignment horizontal="center"/>
    </xf>
    <xf numFmtId="0" fontId="5" fillId="2" borderId="0" xfId="2" applyFont="1" applyFill="1" applyBorder="1" applyAlignment="1">
      <alignment horizontal="center"/>
    </xf>
    <xf numFmtId="0" fontId="5" fillId="2" borderId="14" xfId="2" applyFont="1" applyFill="1" applyBorder="1" applyAlignment="1">
      <alignment horizontal="center"/>
    </xf>
    <xf numFmtId="167" fontId="5" fillId="2" borderId="13" xfId="7" applyNumberFormat="1" applyFont="1" applyFill="1" applyBorder="1" applyAlignment="1">
      <alignment horizontal="center"/>
    </xf>
    <xf numFmtId="167" fontId="5" fillId="2" borderId="15" xfId="7" applyNumberFormat="1" applyFont="1" applyFill="1" applyBorder="1" applyAlignment="1">
      <alignment horizontal="center"/>
    </xf>
    <xf numFmtId="0" fontId="5" fillId="3" borderId="7" xfId="2" applyFont="1" applyFill="1" applyBorder="1" applyAlignment="1">
      <alignment horizontal="center"/>
    </xf>
    <xf numFmtId="1" fontId="5" fillId="0" borderId="14" xfId="2" applyNumberFormat="1" applyFont="1" applyBorder="1" applyAlignment="1">
      <alignment horizontal="center"/>
    </xf>
    <xf numFmtId="1" fontId="5" fillId="0" borderId="2" xfId="2" applyNumberFormat="1" applyFont="1" applyBorder="1" applyAlignment="1">
      <alignment horizontal="center"/>
    </xf>
    <xf numFmtId="1" fontId="5" fillId="0" borderId="4" xfId="2" applyNumberFormat="1" applyFont="1" applyBorder="1" applyAlignment="1">
      <alignment horizontal="center"/>
    </xf>
    <xf numFmtId="1" fontId="5" fillId="0" borderId="6" xfId="2" applyNumberFormat="1" applyFont="1" applyBorder="1" applyAlignment="1">
      <alignment horizontal="center"/>
    </xf>
    <xf numFmtId="0" fontId="5" fillId="0" borderId="1" xfId="2" applyFont="1" applyFill="1" applyBorder="1" applyAlignment="1">
      <alignment horizontal="right"/>
    </xf>
    <xf numFmtId="10" fontId="12" fillId="0" borderId="0" xfId="7" applyNumberFormat="1" applyFont="1" applyFill="1" applyAlignment="1">
      <alignment horizontal="center"/>
    </xf>
    <xf numFmtId="10" fontId="10" fillId="5" borderId="0" xfId="7" applyNumberFormat="1" applyFont="1" applyFill="1" applyAlignment="1">
      <alignment horizontal="center"/>
    </xf>
    <xf numFmtId="9" fontId="5" fillId="0" borderId="0" xfId="7" applyFont="1"/>
    <xf numFmtId="167" fontId="5" fillId="0" borderId="0" xfId="7" applyNumberFormat="1" applyFont="1"/>
    <xf numFmtId="14" fontId="5" fillId="0" borderId="0" xfId="2" applyNumberFormat="1" applyFont="1"/>
    <xf numFmtId="14" fontId="2" fillId="0" borderId="0" xfId="4" applyNumberFormat="1" applyFont="1" applyFill="1" applyBorder="1"/>
    <xf numFmtId="10" fontId="2" fillId="0" borderId="0" xfId="4" applyNumberFormat="1" applyFont="1" applyFill="1" applyBorder="1"/>
    <xf numFmtId="0" fontId="0" fillId="0" borderId="1" xfId="0" applyBorder="1"/>
    <xf numFmtId="16" fontId="5" fillId="0" borderId="0" xfId="2" applyNumberFormat="1" applyFont="1" applyAlignment="1">
      <alignment horizontal="center"/>
    </xf>
    <xf numFmtId="16" fontId="5" fillId="6" borderId="0" xfId="2" applyNumberFormat="1" applyFont="1" applyFill="1"/>
    <xf numFmtId="16" fontId="5" fillId="6" borderId="0" xfId="2" applyNumberFormat="1" applyFont="1" applyFill="1" applyAlignment="1">
      <alignment horizontal="center"/>
    </xf>
    <xf numFmtId="170" fontId="5" fillId="0" borderId="0" xfId="1" applyNumberFormat="1" applyFont="1"/>
    <xf numFmtId="170" fontId="5" fillId="0" borderId="0" xfId="2" applyNumberFormat="1" applyFont="1"/>
    <xf numFmtId="0" fontId="2" fillId="0" borderId="0" xfId="2" applyFont="1"/>
    <xf numFmtId="165" fontId="5" fillId="0" borderId="4" xfId="2" applyNumberFormat="1" applyFont="1" applyBorder="1" applyAlignment="1">
      <alignment horizontal="center"/>
    </xf>
    <xf numFmtId="171" fontId="5" fillId="2" borderId="3" xfId="4" applyNumberFormat="1" applyFont="1" applyFill="1" applyBorder="1"/>
    <xf numFmtId="172" fontId="5" fillId="0" borderId="0" xfId="4" applyNumberFormat="1" applyFont="1" applyFill="1" applyBorder="1"/>
    <xf numFmtId="165" fontId="5" fillId="0" borderId="2" xfId="2" applyNumberFormat="1" applyFont="1" applyBorder="1" applyAlignment="1">
      <alignment horizontal="center"/>
    </xf>
    <xf numFmtId="2" fontId="5" fillId="0" borderId="4" xfId="2" applyNumberFormat="1" applyFont="1" applyBorder="1" applyAlignment="1">
      <alignment horizontal="center"/>
    </xf>
    <xf numFmtId="171" fontId="2" fillId="2" borderId="3" xfId="4" applyNumberFormat="1" applyFont="1" applyFill="1" applyBorder="1"/>
    <xf numFmtId="165" fontId="5" fillId="0" borderId="0" xfId="3" applyNumberFormat="1" applyFont="1" applyBorder="1" applyAlignment="1">
      <alignment horizontal="center"/>
    </xf>
    <xf numFmtId="0" fontId="0" fillId="0" borderId="0" xfId="0" applyFill="1" applyBorder="1" applyAlignment="1"/>
    <xf numFmtId="0" fontId="0" fillId="0" borderId="14" xfId="0" applyFill="1" applyBorder="1" applyAlignment="1"/>
    <xf numFmtId="0" fontId="19" fillId="0" borderId="16" xfId="0" applyFont="1" applyFill="1" applyBorder="1" applyAlignment="1">
      <alignment horizontal="center"/>
    </xf>
    <xf numFmtId="0" fontId="0" fillId="0" borderId="0" xfId="0" applyBorder="1"/>
    <xf numFmtId="0" fontId="5" fillId="0" borderId="0" xfId="2" applyFont="1" applyBorder="1"/>
    <xf numFmtId="0" fontId="19" fillId="0" borderId="0" xfId="0" applyFont="1" applyFill="1" applyBorder="1" applyAlignment="1">
      <alignment horizontal="center"/>
    </xf>
    <xf numFmtId="49" fontId="20" fillId="0" borderId="0" xfId="0" applyNumberFormat="1" applyFont="1" applyBorder="1"/>
    <xf numFmtId="49" fontId="20" fillId="0" borderId="17" xfId="0" applyNumberFormat="1" applyFont="1" applyBorder="1"/>
    <xf numFmtId="164" fontId="5" fillId="0" borderId="0" xfId="2" applyNumberFormat="1" applyFont="1" applyAlignment="1">
      <alignment horizontal="right"/>
    </xf>
    <xf numFmtId="10" fontId="5" fillId="0" borderId="0" xfId="2" applyNumberFormat="1" applyFont="1"/>
    <xf numFmtId="173" fontId="5" fillId="0" borderId="0" xfId="1" applyNumberFormat="1" applyFont="1"/>
    <xf numFmtId="43" fontId="5" fillId="2" borderId="8" xfId="2" applyNumberFormat="1" applyFont="1" applyFill="1" applyBorder="1" applyAlignment="1">
      <alignment horizontal="center"/>
    </xf>
    <xf numFmtId="0" fontId="2" fillId="0" borderId="0" xfId="2" applyFont="1" applyAlignment="1">
      <alignment horizontal="right"/>
    </xf>
    <xf numFmtId="0" fontId="2" fillId="3" borderId="8" xfId="2" applyFont="1" applyFill="1" applyBorder="1" applyAlignment="1">
      <alignment horizontal="center"/>
    </xf>
    <xf numFmtId="172" fontId="5" fillId="2" borderId="3" xfId="4" applyNumberFormat="1" applyFont="1" applyFill="1" applyBorder="1" applyAlignment="1">
      <alignment horizontal="center"/>
    </xf>
    <xf numFmtId="10" fontId="10" fillId="7" borderId="0" xfId="7" applyNumberFormat="1" applyFont="1" applyFill="1" applyAlignment="1">
      <alignment horizontal="center"/>
    </xf>
    <xf numFmtId="166" fontId="5" fillId="7" borderId="2" xfId="2" applyNumberFormat="1" applyFont="1" applyFill="1" applyBorder="1" applyAlignment="1">
      <alignment horizontal="center"/>
    </xf>
    <xf numFmtId="166" fontId="5" fillId="7" borderId="4" xfId="2" applyNumberFormat="1" applyFont="1" applyFill="1" applyBorder="1" applyAlignment="1">
      <alignment horizontal="center"/>
    </xf>
    <xf numFmtId="164" fontId="5" fillId="7" borderId="6" xfId="2" applyNumberFormat="1" applyFont="1" applyFill="1" applyBorder="1" applyAlignment="1">
      <alignment horizontal="center"/>
    </xf>
    <xf numFmtId="164" fontId="5" fillId="7" borderId="1" xfId="2" applyNumberFormat="1" applyFont="1" applyFill="1" applyBorder="1" applyAlignment="1">
      <alignment horizontal="center"/>
    </xf>
    <xf numFmtId="10" fontId="11" fillId="0" borderId="0" xfId="7" applyNumberFormat="1" applyFont="1" applyFill="1"/>
    <xf numFmtId="10" fontId="11" fillId="0" borderId="0" xfId="7" applyNumberFormat="1" applyFont="1" applyFill="1" applyBorder="1"/>
    <xf numFmtId="10" fontId="11" fillId="0" borderId="0" xfId="2" applyNumberFormat="1" applyFont="1" applyFill="1"/>
    <xf numFmtId="10" fontId="0" fillId="0" borderId="0" xfId="0" applyNumberFormat="1"/>
    <xf numFmtId="16" fontId="0" fillId="0" borderId="0" xfId="0" applyNumberFormat="1"/>
    <xf numFmtId="0" fontId="2" fillId="0" borderId="0" xfId="0" applyFont="1"/>
    <xf numFmtId="43" fontId="0" fillId="0" borderId="0" xfId="1" applyFont="1"/>
    <xf numFmtId="43" fontId="0" fillId="0" borderId="0" xfId="0" applyNumberFormat="1"/>
    <xf numFmtId="9" fontId="0" fillId="0" borderId="0" xfId="7" applyFont="1"/>
    <xf numFmtId="174" fontId="10" fillId="7" borderId="0" xfId="7" applyNumberFormat="1" applyFont="1" applyFill="1" applyAlignment="1">
      <alignment horizontal="center"/>
    </xf>
    <xf numFmtId="10" fontId="0" fillId="0" borderId="0" xfId="1" applyNumberFormat="1" applyFont="1"/>
    <xf numFmtId="175" fontId="2" fillId="0" borderId="0" xfId="1" applyNumberFormat="1" applyFont="1"/>
    <xf numFmtId="173" fontId="0" fillId="0" borderId="0" xfId="0" applyNumberFormat="1"/>
    <xf numFmtId="176" fontId="10" fillId="7" borderId="0" xfId="7" applyNumberFormat="1" applyFont="1" applyFill="1" applyAlignment="1">
      <alignment horizontal="center"/>
    </xf>
    <xf numFmtId="164" fontId="0" fillId="0" borderId="0" xfId="0" applyNumberFormat="1"/>
    <xf numFmtId="164" fontId="20" fillId="0" borderId="0" xfId="0" applyNumberFormat="1" applyFont="1" applyBorder="1"/>
    <xf numFmtId="167" fontId="5" fillId="0" borderId="0" xfId="2" applyNumberFormat="1" applyFont="1"/>
    <xf numFmtId="164" fontId="2" fillId="0" borderId="0" xfId="2" applyNumberFormat="1" applyFill="1" applyBorder="1"/>
    <xf numFmtId="10" fontId="0" fillId="6" borderId="0" xfId="1" applyNumberFormat="1" applyFont="1" applyFill="1"/>
    <xf numFmtId="10" fontId="0" fillId="6" borderId="0" xfId="0" applyNumberFormat="1" applyFill="1"/>
    <xf numFmtId="164" fontId="20" fillId="6" borderId="18" xfId="8" applyNumberFormat="1" applyFont="1" applyFill="1" applyBorder="1"/>
    <xf numFmtId="164" fontId="20" fillId="6" borderId="0" xfId="8" applyNumberFormat="1" applyFont="1" applyFill="1" applyBorder="1"/>
    <xf numFmtId="164" fontId="20" fillId="6" borderId="17" xfId="8" applyNumberFormat="1" applyFont="1" applyFill="1" applyBorder="1"/>
    <xf numFmtId="9" fontId="1" fillId="0" borderId="0" xfId="7" applyFont="1"/>
  </cellXfs>
  <cellStyles count="9">
    <cellStyle name="Comma" xfId="1" builtinId="3"/>
    <cellStyle name="Normal" xfId="0" builtinId="0"/>
    <cellStyle name="Normal 2" xfId="8"/>
    <cellStyle name="Normal_Book2" xfId="2"/>
    <cellStyle name="Normal_Case 1" xfId="3"/>
    <cellStyle name="Normal_chignewauto" xfId="4"/>
    <cellStyle name="Normal_sigmoid" xfId="5"/>
    <cellStyle name="Normal_WTLogReg" xfId="6"/>
    <cellStyle name="Percent" xfId="7" builtinId="5"/>
  </cellStyles>
  <dxfs count="0"/>
  <tableStyles count="0" defaultTableStyle="TableStyleMedium9" defaultPivotStyle="PivotStyleLight16"/>
  <colors>
    <mruColors>
      <color rgb="FF04AC1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hartsheet" Target="chartsheets/sheet1.xml"/><Relationship Id="rId18" Type="http://schemas.openxmlformats.org/officeDocument/2006/relationships/worksheet" Target="worksheets/sheet1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3.xml"/><Relationship Id="rId2" Type="http://schemas.openxmlformats.org/officeDocument/2006/relationships/worksheet" Target="worksheets/sheet2.xml"/><Relationship Id="rId16" Type="http://schemas.openxmlformats.org/officeDocument/2006/relationships/worksheet" Target="worksheets/sheet1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hartsheet" Target="chartsheets/sheet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charts/_rels/chart3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2018'!$AE$11:$AE$76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2018'!$AF$11:$AF$76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2018'!$AE$11:$AE$76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2018'!$AH$11:$AH$76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2018'!$AE$11:$AE$76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2018'!$AI$11:$AI$76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2018'!$AE$11:$AE$76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2018'!$AJ$11:$AJ$76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42046976"/>
        <c:axId val="42048512"/>
      </c:lineChart>
      <c:catAx>
        <c:axId val="42046976"/>
        <c:scaling>
          <c:orientation val="minMax"/>
        </c:scaling>
        <c:delete val="0"/>
        <c:axPos val="b"/>
        <c:majorTickMark val="out"/>
        <c:minorTickMark val="none"/>
        <c:tickLblPos val="nextTo"/>
        <c:crossAx val="42048512"/>
        <c:crosses val="autoZero"/>
        <c:auto val="1"/>
        <c:lblAlgn val="ctr"/>
        <c:lblOffset val="100"/>
        <c:noMultiLvlLbl val="0"/>
      </c:catAx>
      <c:valAx>
        <c:axId val="42048512"/>
        <c:scaling>
          <c:orientation val="minMax"/>
        </c:scaling>
        <c:delete val="0"/>
        <c:axPos val="l"/>
        <c:majorGridlines/>
        <c:numFmt formatCode="General" sourceLinked="1"/>
        <c:majorTickMark val="out"/>
        <c:minorTickMark val="none"/>
        <c:tickLblPos val="nextTo"/>
        <c:crossAx val="42046976"/>
        <c:crosses val="autoZero"/>
        <c:crossBetween val="between"/>
      </c:valAx>
    </c:plotArea>
    <c:legend>
      <c:legendPos val="r"/>
      <c:overlay val="0"/>
    </c:legend>
    <c:plotVisOnly val="1"/>
    <c:dispBlanksAs val="gap"/>
    <c:showDLblsOverMax val="0"/>
  </c:chart>
  <c:printSettings>
    <c:headerFooter/>
    <c:pageMargins b="0.75000000000000788" l="0.70000000000000062" r="0.70000000000000062" t="0.7500000000000078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to Chignik Lake Stock Composition from Genetic Analysis and Logistic fit, 2018.</a:t>
            </a:r>
          </a:p>
        </c:rich>
      </c:tx>
      <c:layout/>
      <c:overlay val="1"/>
    </c:title>
    <c:autoTitleDeleted val="0"/>
    <c:plotArea>
      <c:layout>
        <c:manualLayout>
          <c:layoutTarget val="inner"/>
          <c:xMode val="edge"/>
          <c:yMode val="edge"/>
          <c:x val="8.2792601176842007E-2"/>
          <c:y val="0.18347335916691351"/>
          <c:w val="0.77807905912306563"/>
          <c:h val="0.73718054729184079"/>
        </c:manualLayout>
      </c:layout>
      <c:scatterChart>
        <c:scatterStyle val="smoothMarker"/>
        <c:varyColors val="0"/>
        <c:ser>
          <c:idx val="6"/>
          <c:order val="0"/>
          <c:tx>
            <c:v>2018 </c:v>
          </c:tx>
          <c:spPr>
            <a:ln w="73025">
              <a:solidFill>
                <a:sysClr val="windowText" lastClr="000000"/>
              </a:solidFill>
            </a:ln>
          </c:spPr>
          <c:marker>
            <c:symbol val="none"/>
          </c:marker>
          <c:xVal>
            <c:numRef>
              <c:f>'Logistic 2018'!$J$9:$J$107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2018'!$L$9:$L$107</c:f>
              <c:numCache>
                <c:formatCode>0.00%</c:formatCode>
                <c:ptCount val="99"/>
                <c:pt idx="0">
                  <c:v>1.9572930470528326E-6</c:v>
                </c:pt>
                <c:pt idx="1">
                  <c:v>2.4669709330491471E-6</c:v>
                </c:pt>
                <c:pt idx="2">
                  <c:v>3.1093682092961121E-6</c:v>
                </c:pt>
                <c:pt idx="3">
                  <c:v>3.919044571692126E-6</c:v>
                </c:pt>
                <c:pt idx="4">
                  <c:v>4.9395588051377941E-6</c:v>
                </c:pt>
                <c:pt idx="5">
                  <c:v>6.2258119955462864E-6</c:v>
                </c:pt>
                <c:pt idx="6">
                  <c:v>7.84700082547019E-6</c:v>
                </c:pt>
                <c:pt idx="7">
                  <c:v>9.8903397668447557E-6</c:v>
                </c:pt>
                <c:pt idx="8">
                  <c:v>1.2465752308612508E-5</c:v>
                </c:pt>
                <c:pt idx="9">
                  <c:v>1.5711783423987859E-5</c:v>
                </c:pt>
                <c:pt idx="10">
                  <c:v>1.9803051078592358E-5</c:v>
                </c:pt>
                <c:pt idx="11">
                  <c:v>2.495963721278651E-5</c:v>
                </c:pt>
                <c:pt idx="12">
                  <c:v>3.1458922708434801E-5</c:v>
                </c:pt>
                <c:pt idx="13">
                  <c:v>3.9650501913587503E-5</c:v>
                </c:pt>
                <c:pt idx="14">
                  <c:v>4.9974977307565407E-5</c:v>
                </c:pt>
                <c:pt idx="15">
                  <c:v>6.2987642575463554E-5</c:v>
                </c:pt>
                <c:pt idx="16">
                  <c:v>7.9388323667335236E-5</c:v>
                </c:pt>
                <c:pt idx="17">
                  <c:v>1.0005897603432107E-4</c:v>
                </c:pt>
                <c:pt idx="18">
                  <c:v>1.2611104925836739E-4</c:v>
                </c:pt>
                <c:pt idx="19">
                  <c:v>1.5894514901942751E-4</c:v>
                </c:pt>
                <c:pt idx="20">
                  <c:v>2.0032617721342627E-4</c:v>
                </c:pt>
                <c:pt idx="21">
                  <c:v>2.5247794673322852E-4</c:v>
                </c:pt>
                <c:pt idx="22">
                  <c:v>3.1820228814368314E-4</c:v>
                </c:pt>
                <c:pt idx="23">
                  <c:v>4.0102894027830405E-4</c:v>
                </c:pt>
                <c:pt idx="24">
                  <c:v>5.0540410496298165E-4</c:v>
                </c:pt>
                <c:pt idx="25">
                  <c:v>6.3692751837946644E-4</c:v>
                </c:pt>
                <c:pt idx="26">
                  <c:v>8.0265033087679885E-4</c:v>
                </c:pt>
                <c:pt idx="27">
                  <c:v>1.0114490878061807E-3</c:v>
                </c:pt>
                <c:pt idx="28">
                  <c:v>1.2744947696271423E-3</c:v>
                </c:pt>
                <c:pt idx="29">
                  <c:v>1.6058402859156643E-3</c:v>
                </c:pt>
                <c:pt idx="30">
                  <c:v>2.0231551199461507E-3</c:v>
                </c:pt>
                <c:pt idx="31">
                  <c:v>2.5486420480856664E-3</c:v>
                </c:pt>
                <c:pt idx="32">
                  <c:v>3.2101779941786516E-3</c:v>
                </c:pt>
                <c:pt idx="33">
                  <c:v>4.0427289594171054E-3</c:v>
                </c:pt>
                <c:pt idx="34">
                  <c:v>5.0900971693337094E-3</c:v>
                </c:pt>
                <c:pt idx="35">
                  <c:v>6.4070662414739627E-3</c:v>
                </c:pt>
                <c:pt idx="36">
                  <c:v>8.0620157334055764E-3</c:v>
                </c:pt>
                <c:pt idx="37">
                  <c:v>1.014007720872801E-2</c:v>
                </c:pt>
                <c:pt idx="38">
                  <c:v>1.2746895614020702E-2</c:v>
                </c:pt>
                <c:pt idx="39">
                  <c:v>1.6013035514637217E-2</c:v>
                </c:pt>
                <c:pt idx="40" formatCode="0.000%">
                  <c:v>2.0099021446439016E-2</c:v>
                </c:pt>
                <c:pt idx="41">
                  <c:v>2.5200910816831863E-2</c:v>
                </c:pt>
                <c:pt idx="42">
                  <c:v>3.1556146971030666E-2</c:v>
                </c:pt>
                <c:pt idx="43">
                  <c:v>3.9449205341788779E-2</c:v>
                </c:pt>
                <c:pt idx="44">
                  <c:v>4.9216202030919046E-2</c:v>
                </c:pt>
                <c:pt idx="45">
                  <c:v>6.124716436704674E-2</c:v>
                </c:pt>
                <c:pt idx="46">
                  <c:v>7.5984075050165911E-2</c:v>
                </c:pt>
                <c:pt idx="47">
                  <c:v>9.3912159622428382E-2</c:v>
                </c:pt>
                <c:pt idx="48">
                  <c:v>0.11554135520165627</c:v>
                </c:pt>
                <c:pt idx="49">
                  <c:v>0.14137478699597048</c:v>
                </c:pt>
                <c:pt idx="50">
                  <c:v>0.17186186191291047</c:v>
                </c:pt>
                <c:pt idx="51">
                  <c:v>0.20733582827918828</c:v>
                </c:pt>
                <c:pt idx="52">
                  <c:v>0.24793975157048823</c:v>
                </c:pt>
                <c:pt idx="53">
                  <c:v>0.29355060791962412</c:v>
                </c:pt>
                <c:pt idx="54">
                  <c:v>0.34371724460895514</c:v>
                </c:pt>
                <c:pt idx="55">
                  <c:v>0.39763161073620545</c:v>
                </c:pt>
                <c:pt idx="56">
                  <c:v>0.4541506426657137</c:v>
                </c:pt>
                <c:pt idx="57">
                  <c:v>0.51187653171450764</c:v>
                </c:pt>
                <c:pt idx="58">
                  <c:v>0.56928736372039235</c:v>
                </c:pt>
                <c:pt idx="59">
                  <c:v>0.62489399319355865</c:v>
                </c:pt>
                <c:pt idx="60">
                  <c:v>0.67738988716471926</c:v>
                </c:pt>
                <c:pt idx="61">
                  <c:v>0.72576316393978146</c:v>
                </c:pt>
                <c:pt idx="62">
                  <c:v>0.76935287380981887</c:v>
                </c:pt>
                <c:pt idx="63">
                  <c:v>0.80784842465847118</c:v>
                </c:pt>
                <c:pt idx="64">
                  <c:v>0.84124476932687875</c:v>
                </c:pt>
                <c:pt idx="65">
                  <c:v>0.86977243875394039</c:v>
                </c:pt>
                <c:pt idx="66">
                  <c:v>0.89382082763989679</c:v>
                </c:pt>
                <c:pt idx="67">
                  <c:v>0.91386810808397656</c:v>
                </c:pt>
                <c:pt idx="68">
                  <c:v>0.93042496710431433</c:v>
                </c:pt>
                <c:pt idx="69">
                  <c:v>0.94399420184078242</c:v>
                </c:pt>
                <c:pt idx="70">
                  <c:v>0.95504489156430283</c:v>
                </c:pt>
                <c:pt idx="71">
                  <c:v>0.96399829020632366</c:v>
                </c:pt>
                <c:pt idx="72">
                  <c:v>0.97122223388088769</c:v>
                </c:pt>
                <c:pt idx="73">
                  <c:v>0.97703119025855645</c:v>
                </c:pt>
                <c:pt idx="74">
                  <c:v>0.98168968194776152</c:v>
                </c:pt>
                <c:pt idx="75">
                  <c:v>0.98541744881963311</c:v>
                </c:pt>
                <c:pt idx="76">
                  <c:v>0.98839525735569222</c:v>
                </c:pt>
                <c:pt idx="77">
                  <c:v>0.99077068206023078</c:v>
                </c:pt>
                <c:pt idx="78">
                  <c:v>0.99266348002388982</c:v>
                </c:pt>
                <c:pt idx="79">
                  <c:v>0.99417037689497445</c:v>
                </c:pt>
                <c:pt idx="80">
                  <c:v>0.99536920602403278</c:v>
                </c:pt>
                <c:pt idx="81">
                  <c:v>0.99632241466120453</c:v>
                </c:pt>
                <c:pt idx="82">
                  <c:v>0.99707998919632557</c:v>
                </c:pt>
                <c:pt idx="83">
                  <c:v>0.99768186813436588</c:v>
                </c:pt>
                <c:pt idx="84">
                  <c:v>0.998159915435332</c:v>
                </c:pt>
                <c:pt idx="85">
                  <c:v>0.99853952369220045</c:v>
                </c:pt>
                <c:pt idx="86">
                  <c:v>0.99884090995001307</c:v>
                </c:pt>
                <c:pt idx="87">
                  <c:v>0.99908015894400037</c:v>
                </c:pt>
                <c:pt idx="88">
                  <c:v>0.99927006039088639</c:v>
                </c:pt>
                <c:pt idx="89">
                  <c:v>0.99942077935957796</c:v>
                </c:pt>
                <c:pt idx="90">
                  <c:v>0.99954039197500111</c:v>
                </c:pt>
                <c:pt idx="91">
                  <c:v>0.99963531286484897</c:v>
                </c:pt>
                <c:pt idx="92">
                  <c:v>0.9997106358223794</c:v>
                </c:pt>
                <c:pt idx="93">
                  <c:v>0.99977040505099735</c:v>
                </c:pt>
                <c:pt idx="94">
                  <c:v>0.99981783097659449</c:v>
                </c:pt>
                <c:pt idx="95">
                  <c:v>0.99985546185549745</c:v>
                </c:pt>
                <c:pt idx="96">
                  <c:v>0.99988532016914855</c:v>
                </c:pt>
                <c:pt idx="97">
                  <c:v>0.99990901099139462</c:v>
                </c:pt>
                <c:pt idx="98">
                  <c:v>0.99992780806264903</c:v>
                </c:pt>
              </c:numCache>
            </c:numRef>
          </c:yVal>
          <c:smooth val="1"/>
        </c:ser>
        <c:ser>
          <c:idx val="7"/>
          <c:order val="1"/>
          <c:tx>
            <c:v>Point estimates</c:v>
          </c:tx>
          <c:spPr>
            <a:ln>
              <a:noFill/>
            </a:ln>
          </c:spPr>
          <c:marker>
            <c:symbol val="circle"/>
            <c:size val="11"/>
            <c:spPr>
              <a:solidFill>
                <a:srgbClr val="FFFF00"/>
              </a:solidFill>
              <a:ln>
                <a:solidFill>
                  <a:schemeClr val="tx1"/>
                </a:solidFill>
              </a:ln>
            </c:spPr>
          </c:marker>
          <c:errBars>
            <c:errDir val="y"/>
            <c:errBarType val="both"/>
            <c:errValType val="cust"/>
            <c:noEndCap val="0"/>
            <c:plus>
              <c:numRef>
                <c:f>'Logistic 2018'!$AG$2:$AG$7</c:f>
                <c:numCache>
                  <c:formatCode>General</c:formatCode>
                  <c:ptCount val="6"/>
                  <c:pt idx="0">
                    <c:v>5.7800489300000008E-2</c:v>
                  </c:pt>
                  <c:pt idx="1">
                    <c:v>0.12440185682000002</c:v>
                  </c:pt>
                  <c:pt idx="2">
                    <c:v>8.1414593800000004E-2</c:v>
                  </c:pt>
                  <c:pt idx="3">
                    <c:v>0.1033439551</c:v>
                  </c:pt>
                  <c:pt idx="4">
                    <c:v>0.1054689171</c:v>
                  </c:pt>
                  <c:pt idx="5">
                    <c:v>9.6674749660000003E-2</c:v>
                  </c:pt>
                </c:numCache>
              </c:numRef>
            </c:plus>
            <c:minus>
              <c:numRef>
                <c:f>'Logistic 2018'!$AF$2:$AF$7</c:f>
                <c:numCache>
                  <c:formatCode>General</c:formatCode>
                  <c:ptCount val="6"/>
                  <c:pt idx="0">
                    <c:v>1.07207107E-2</c:v>
                  </c:pt>
                  <c:pt idx="1">
                    <c:v>0.11720679317999999</c:v>
                  </c:pt>
                  <c:pt idx="2">
                    <c:v>6.9377456199999993E-2</c:v>
                  </c:pt>
                  <c:pt idx="3">
                    <c:v>9.9114094900000005E-2</c:v>
                  </c:pt>
                  <c:pt idx="4">
                    <c:v>0.10062828290000003</c:v>
                  </c:pt>
                  <c:pt idx="5">
                    <c:v>0.10131055034000003</c:v>
                  </c:pt>
                </c:numCache>
              </c:numRef>
            </c:minus>
          </c:errBars>
          <c:xVal>
            <c:numRef>
              <c:f>'Logistic 2018'!$B$9:$B$14</c:f>
              <c:numCache>
                <c:formatCode>m/d;@</c:formatCode>
                <c:ptCount val="6"/>
                <c:pt idx="0">
                  <c:v>37798.5</c:v>
                </c:pt>
                <c:pt idx="1">
                  <c:v>37804.5</c:v>
                </c:pt>
                <c:pt idx="2">
                  <c:v>37812.5</c:v>
                </c:pt>
                <c:pt idx="3">
                  <c:v>37819.5</c:v>
                </c:pt>
                <c:pt idx="4">
                  <c:v>37824.5</c:v>
                </c:pt>
                <c:pt idx="5">
                  <c:v>37829.5</c:v>
                </c:pt>
              </c:numCache>
            </c:numRef>
          </c:xVal>
          <c:yVal>
            <c:numRef>
              <c:f>'Logistic 2018'!$E$9:$E$14</c:f>
              <c:numCache>
                <c:formatCode>0.0%</c:formatCode>
                <c:ptCount val="6"/>
                <c:pt idx="0">
                  <c:v>1.0999999999999999E-2</c:v>
                </c:pt>
                <c:pt idx="1">
                  <c:v>0.246</c:v>
                </c:pt>
                <c:pt idx="2">
                  <c:v>0.11600000000000001</c:v>
                </c:pt>
                <c:pt idx="3">
                  <c:v>0.36399999999999999</c:v>
                </c:pt>
                <c:pt idx="4">
                  <c:v>0.441</c:v>
                </c:pt>
                <c:pt idx="5">
                  <c:v>0.69099999999999995</c:v>
                </c:pt>
              </c:numCache>
            </c:numRef>
          </c:yVal>
          <c:smooth val="1"/>
        </c:ser>
        <c:dLbls>
          <c:showLegendKey val="0"/>
          <c:showVal val="0"/>
          <c:showCatName val="0"/>
          <c:showSerName val="0"/>
          <c:showPercent val="0"/>
          <c:showBubbleSize val="0"/>
        </c:dLbls>
        <c:axId val="68374528"/>
        <c:axId val="68376064"/>
      </c:scatterChart>
      <c:valAx>
        <c:axId val="68374528"/>
        <c:scaling>
          <c:orientation val="minMax"/>
          <c:max val="37833"/>
          <c:min val="37790"/>
        </c:scaling>
        <c:delete val="0"/>
        <c:axPos val="b"/>
        <c:numFmt formatCode="m/d;@" sourceLinked="0"/>
        <c:majorTickMark val="out"/>
        <c:minorTickMark val="none"/>
        <c:tickLblPos val="nextTo"/>
        <c:crossAx val="68376064"/>
        <c:crosses val="autoZero"/>
        <c:crossBetween val="midCat"/>
        <c:majorUnit val="2"/>
      </c:valAx>
      <c:valAx>
        <c:axId val="68376064"/>
        <c:scaling>
          <c:orientation val="minMax"/>
          <c:max val="1"/>
          <c:min val="0"/>
        </c:scaling>
        <c:delete val="0"/>
        <c:axPos val="l"/>
        <c:numFmt formatCode="0.00%" sourceLinked="1"/>
        <c:majorTickMark val="out"/>
        <c:minorTickMark val="none"/>
        <c:tickLblPos val="nextTo"/>
        <c:crossAx val="68374528"/>
        <c:crosses val="autoZero"/>
        <c:crossBetween val="midCat"/>
      </c:valAx>
      <c:spPr>
        <a:solidFill>
          <a:schemeClr val="bg1">
            <a:lumMod val="85000"/>
          </a:schemeClr>
        </a:solidFill>
      </c:spPr>
    </c:plotArea>
    <c:legend>
      <c:legendPos val="r"/>
      <c:layout>
        <c:manualLayout>
          <c:xMode val="edge"/>
          <c:yMode val="edge"/>
          <c:x val="0.8702714698655758"/>
          <c:y val="0.45732646601603311"/>
          <c:w val="0.12187769679216184"/>
          <c:h val="0.19154173850059444"/>
        </c:manualLayout>
      </c:layout>
      <c:overlay val="0"/>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600" b="1" i="0" baseline="0"/>
              <a:t>Estimated transition from Black Lake (Early Run) to Chignik Lake (Late Run) Stock Composition from Genetic Analysis</a:t>
            </a:r>
            <a:endParaRPr lang="en-US" sz="1600"/>
          </a:p>
          <a:p>
            <a:pPr algn="ctr">
              <a:defRPr/>
            </a:pPr>
            <a:r>
              <a:rPr lang="en-US" sz="1600" b="1" i="0" baseline="0"/>
              <a:t> and Logistic model fit, 2017.  (black diamonds are inseason data points, red circles are standard anchor points, vertical bars are 95% conf</a:t>
            </a:r>
            <a:endParaRPr lang="en-US" sz="1600"/>
          </a:p>
        </c:rich>
      </c:tx>
      <c:overlay val="1"/>
    </c:title>
    <c:autoTitleDeleted val="0"/>
    <c:plotArea>
      <c:layout>
        <c:manualLayout>
          <c:layoutTarget val="inner"/>
          <c:xMode val="edge"/>
          <c:yMode val="edge"/>
          <c:x val="9.7324743119226231E-2"/>
          <c:y val="0.25318478738038347"/>
          <c:w val="0.8451809301776505"/>
          <c:h val="0.70140614634732557"/>
        </c:manualLayout>
      </c:layout>
      <c:scatterChart>
        <c:scatterStyle val="lineMarker"/>
        <c:varyColors val="0"/>
        <c:ser>
          <c:idx val="0"/>
          <c:order val="0"/>
          <c:tx>
            <c:v>2017 data points</c:v>
          </c:tx>
          <c:spPr>
            <a:ln w="28575">
              <a:noFill/>
            </a:ln>
          </c:spPr>
          <c:marker>
            <c:spPr>
              <a:solidFill>
                <a:schemeClr val="tx1"/>
              </a:solidFill>
              <a:ln>
                <a:solidFill>
                  <a:schemeClr val="tx1"/>
                </a:solidFill>
              </a:ln>
            </c:spPr>
          </c:marker>
          <c:dPt>
            <c:idx val="0"/>
            <c:marker>
              <c:symbol val="circle"/>
              <c:size val="7"/>
              <c:spPr>
                <a:solidFill>
                  <a:srgbClr val="FF0000"/>
                </a:solidFill>
                <a:ln>
                  <a:solidFill>
                    <a:schemeClr val="tx1"/>
                  </a:solidFill>
                </a:ln>
              </c:spPr>
            </c:marker>
            <c:bubble3D val="0"/>
          </c:dPt>
          <c:dPt>
            <c:idx val="7"/>
            <c:marker>
              <c:symbol val="circle"/>
              <c:size val="7"/>
              <c:spPr>
                <a:solidFill>
                  <a:srgbClr val="FF0000"/>
                </a:solidFill>
                <a:ln>
                  <a:solidFill>
                    <a:schemeClr val="tx1"/>
                  </a:solidFill>
                </a:ln>
              </c:spPr>
            </c:marker>
            <c:bubble3D val="0"/>
          </c:dPt>
          <c:errBars>
            <c:errDir val="y"/>
            <c:errBarType val="both"/>
            <c:errValType val="cust"/>
            <c:noEndCap val="0"/>
            <c:plus>
              <c:numRef>
                <c:f>'Logistic 2018'!$E$132:$E$139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plus>
            <c:minus>
              <c:numRef>
                <c:f>'Logistic 2018'!$E$132:$E$139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minus>
          </c:errBars>
          <c:errBars>
            <c:errDir val="x"/>
            <c:errBarType val="both"/>
            <c:errValType val="fixedVal"/>
            <c:noEndCap val="0"/>
            <c:val val="0"/>
          </c:errBars>
          <c:xVal>
            <c:numRef>
              <c:f>'Logistic 2018'!$B$132:$B$139</c:f>
              <c:numCache>
                <c:formatCode>m/d/yyyy</c:formatCode>
                <c:ptCount val="8"/>
                <c:pt idx="0">
                  <c:v>37766.5</c:v>
                </c:pt>
                <c:pt idx="1">
                  <c:v>37797.5</c:v>
                </c:pt>
                <c:pt idx="2">
                  <c:v>37803.5</c:v>
                </c:pt>
                <c:pt idx="3">
                  <c:v>37809.5</c:v>
                </c:pt>
                <c:pt idx="4">
                  <c:v>37815.5</c:v>
                </c:pt>
                <c:pt idx="5">
                  <c:v>37820.5</c:v>
                </c:pt>
                <c:pt idx="6">
                  <c:v>37825.5</c:v>
                </c:pt>
                <c:pt idx="7">
                  <c:v>37834.5</c:v>
                </c:pt>
              </c:numCache>
            </c:numRef>
          </c:xVal>
          <c:yVal>
            <c:numRef>
              <c:f>'Logistic 2018'!$F$132:$F$139</c:f>
              <c:numCache>
                <c:formatCode>0.00</c:formatCode>
                <c:ptCount val="8"/>
                <c:pt idx="0">
                  <c:v>1</c:v>
                </c:pt>
                <c:pt idx="1">
                  <c:v>0.98562633850000003</c:v>
                </c:pt>
                <c:pt idx="2">
                  <c:v>0.85469573705000002</c:v>
                </c:pt>
                <c:pt idx="3">
                  <c:v>0.71532108137999995</c:v>
                </c:pt>
                <c:pt idx="4">
                  <c:v>0.31686118160999999</c:v>
                </c:pt>
                <c:pt idx="5">
                  <c:v>0.41652184618999999</c:v>
                </c:pt>
                <c:pt idx="6">
                  <c:v>0.42876999218</c:v>
                </c:pt>
                <c:pt idx="7">
                  <c:v>0</c:v>
                </c:pt>
              </c:numCache>
            </c:numRef>
          </c:yVal>
          <c:smooth val="0"/>
        </c:ser>
        <c:ser>
          <c:idx val="2"/>
          <c:order val="1"/>
          <c:tx>
            <c:v>fitted logistic model</c:v>
          </c:tx>
          <c:spPr>
            <a:ln w="28575">
              <a:solidFill>
                <a:sysClr val="windowText" lastClr="000000"/>
              </a:solidFill>
            </a:ln>
          </c:spPr>
          <c:marker>
            <c:symbol val="none"/>
          </c:marker>
          <c:xVal>
            <c:numRef>
              <c:f>'Logistic 2018'!$C$152:$C$250</c:f>
              <c:numCache>
                <c:formatCode>General</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2018'!$D$152:$D$250</c:f>
              <c:numCache>
                <c:formatCode>0</c:formatCode>
                <c:ptCount val="99"/>
                <c:pt idx="0">
                  <c:v>0.99937189731766174</c:v>
                </c:pt>
                <c:pt idx="1">
                  <c:v>0.99927033440039681</c:v>
                </c:pt>
                <c:pt idx="2">
                  <c:v>0.99915236289651199</c:v>
                </c:pt>
                <c:pt idx="3">
                  <c:v>0.9990153366888026</c:v>
                </c:pt>
                <c:pt idx="4">
                  <c:v>0.99885618463641579</c:v>
                </c:pt>
                <c:pt idx="5">
                  <c:v>0.9986713429007984</c:v>
                </c:pt>
                <c:pt idx="6">
                  <c:v>0.9984566767039742</c:v>
                </c:pt>
                <c:pt idx="7">
                  <c:v>0.99820738994185276</c:v>
                </c:pt>
                <c:pt idx="8">
                  <c:v>0.99791792086573672</c:v>
                </c:pt>
                <c:pt idx="9">
                  <c:v>0.99758182181733823</c:v>
                </c:pt>
                <c:pt idx="10">
                  <c:v>0.99719162075867385</c:v>
                </c:pt>
                <c:pt idx="11">
                  <c:v>0.99673866208252038</c:v>
                </c:pt>
                <c:pt idx="12">
                  <c:v>0.99621292392889316</c:v>
                </c:pt>
                <c:pt idx="13">
                  <c:v>0.99560280897956932</c:v>
                </c:pt>
                <c:pt idx="14">
                  <c:v>0.9948949054728613</c:v>
                </c:pt>
                <c:pt idx="15">
                  <c:v>0.99407371499902086</c:v>
                </c:pt>
                <c:pt idx="16">
                  <c:v>0.99312134353716319</c:v>
                </c:pt>
                <c:pt idx="17">
                  <c:v>0.99201715222492926</c:v>
                </c:pt>
                <c:pt idx="18">
                  <c:v>0.99073736457669048</c:v>
                </c:pt>
                <c:pt idx="19">
                  <c:v>0.9892546273709848</c:v>
                </c:pt>
                <c:pt idx="20">
                  <c:v>0.98753752332597144</c:v>
                </c:pt>
                <c:pt idx="21">
                  <c:v>0.98555003511863482</c:v>
                </c:pt>
                <c:pt idx="22">
                  <c:v>0.98325096246333232</c:v>
                </c:pt>
                <c:pt idx="23">
                  <c:v>0.98059329707541876</c:v>
                </c:pt>
                <c:pt idx="24">
                  <c:v>0.97752356467890367</c:v>
                </c:pt>
                <c:pt idx="25">
                  <c:v>0.97398114908861111</c:v>
                </c:pt>
                <c:pt idx="26">
                  <c:v>0.96989762115253808</c:v>
                </c:pt>
                <c:pt idx="27">
                  <c:v>0.96519610532756117</c:v>
                </c:pt>
                <c:pt idx="28">
                  <c:v>0.95979072918333619</c:v>
                </c:pt>
                <c:pt idx="29">
                  <c:v>0.95358621635903895</c:v>
                </c:pt>
                <c:pt idx="30">
                  <c:v>0.94647770135664244</c:v>
                </c:pt>
                <c:pt idx="31">
                  <c:v>0.93835086453417804</c:v>
                </c:pt>
                <c:pt idx="32">
                  <c:v>0.92908250659040403</c:v>
                </c:pt>
                <c:pt idx="33">
                  <c:v>0.91854170158897652</c:v>
                </c:pt>
                <c:pt idx="34">
                  <c:v>0.90659168278816871</c:v>
                </c:pt>
                <c:pt idx="35">
                  <c:v>0.89309262135735867</c:v>
                </c:pt>
                <c:pt idx="36">
                  <c:v>0.87790544803816573</c:v>
                </c:pt>
                <c:pt idx="37">
                  <c:v>0.86089683421987606</c:v>
                </c:pt>
                <c:pt idx="38">
                  <c:v>0.84194538359625493</c:v>
                </c:pt>
                <c:pt idx="39">
                  <c:v>0.82094898166426189</c:v>
                </c:pt>
                <c:pt idx="40">
                  <c:v>0.79783310480175662</c:v>
                </c:pt>
                <c:pt idx="41" formatCode="General">
                  <c:v>0.7725597077788241</c:v>
                </c:pt>
                <c:pt idx="42" formatCode="General">
                  <c:v>0.74513610338185698</c:v>
                </c:pt>
                <c:pt idx="43" formatCode="General">
                  <c:v>0.71562304867688131</c:v>
                </c:pt>
                <c:pt idx="44" formatCode="General">
                  <c:v>0.68414110046366616</c:v>
                </c:pt>
                <c:pt idx="45" formatCode="General">
                  <c:v>0.65087424661609383</c:v>
                </c:pt>
                <c:pt idx="46" formatCode="General">
                  <c:v>0.61606990640824155</c:v>
                </c:pt>
                <c:pt idx="47" formatCode="General">
                  <c:v>0.58003464995789233</c:v>
                </c:pt>
                <c:pt idx="48" formatCode="General">
                  <c:v>0.54312540973269186</c:v>
                </c:pt>
                <c:pt idx="49" formatCode="General">
                  <c:v>0.50573649787531938</c:v>
                </c:pt>
                <c:pt idx="50" formatCode="General">
                  <c:v>0.46828331346233132</c:v>
                </c:pt>
                <c:pt idx="51" formatCode="General">
                  <c:v>0.43118411183772998</c:v>
                </c:pt>
                <c:pt idx="52" formatCode="General">
                  <c:v>0.39484150763108683</c:v>
                </c:pt>
                <c:pt idx="53" formatCode="General">
                  <c:v>0.35962542496913763</c:v>
                </c:pt>
                <c:pt idx="54" formatCode="General">
                  <c:v>0.32585898285623605</c:v>
                </c:pt>
                <c:pt idx="55" formatCode="General">
                  <c:v>0.29380836323121118</c:v>
                </c:pt>
                <c:pt idx="56" formatCode="General">
                  <c:v>0.26367715178528073</c:v>
                </c:pt>
                <c:pt idx="57" formatCode="General">
                  <c:v>0.23560508082824672</c:v>
                </c:pt>
                <c:pt idx="58" formatCode="General">
                  <c:v>0.20967063743947068</c:v>
                </c:pt>
                <c:pt idx="59" formatCode="General">
                  <c:v>0.18589668998513509</c:v>
                </c:pt>
                <c:pt idx="60" formatCode="General">
                  <c:v>0.16425814922380866</c:v>
                </c:pt>
                <c:pt idx="61" formatCode="General">
                  <c:v>0.14469069694444792</c:v>
                </c:pt>
                <c:pt idx="62" formatCode="General">
                  <c:v>0.12709974296797055</c:v>
                </c:pt>
                <c:pt idx="63" formatCode="General">
                  <c:v>0.11136896093811099</c:v>
                </c:pt>
                <c:pt idx="64" formatCode="General">
                  <c:v>9.7367960303295087E-2</c:v>
                </c:pt>
                <c:pt idx="65" formatCode="General">
                  <c:v>8.4958843777534709E-2</c:v>
                </c:pt>
                <c:pt idx="66" formatCode="General">
                  <c:v>7.4001557409438701E-2</c:v>
                </c:pt>
                <c:pt idx="67" formatCode="General">
                  <c:v>6.4358056974210931E-2</c:v>
                </c:pt>
                <c:pt idx="68" formatCode="General">
                  <c:v>5.5895390906604558E-2</c:v>
                </c:pt>
                <c:pt idx="69" formatCode="General">
                  <c:v>4.8487842437026307E-2</c:v>
                </c:pt>
                <c:pt idx="70" formatCode="General">
                  <c:v>4.2018289963551392E-2</c:v>
                </c:pt>
                <c:pt idx="71" formatCode="General">
                  <c:v>3.6378942971083794E-2</c:v>
                </c:pt>
                <c:pt idx="72" formatCode="General">
                  <c:v>3.147159787810494E-2</c:v>
                </c:pt>
                <c:pt idx="73" formatCode="General">
                  <c:v>2.7207539400781577E-2</c:v>
                </c:pt>
                <c:pt idx="74" formatCode="General">
                  <c:v>2.350719217767816E-2</c:v>
                </c:pt>
                <c:pt idx="75" formatCode="General">
                  <c:v>2.0299606966050265E-2</c:v>
                </c:pt>
                <c:pt idx="76" formatCode="General">
                  <c:v>1.7521847133122215E-2</c:v>
                </c:pt>
                <c:pt idx="77" formatCode="General">
                  <c:v>1.511832510717781E-2</c:v>
                </c:pt>
                <c:pt idx="78" formatCode="General">
                  <c:v>1.3040125112587564E-2</c:v>
                </c:pt>
                <c:pt idx="79" formatCode="General">
                  <c:v>1.1244337778071323E-2</c:v>
                </c:pt>
                <c:pt idx="80" formatCode="General">
                  <c:v>9.6934238053025812E-3</c:v>
                </c:pt>
                <c:pt idx="81" formatCode="General">
                  <c:v>8.3546174745615653E-3</c:v>
                </c:pt>
                <c:pt idx="82" formatCode="General">
                  <c:v>7.1993759954323E-3</c:v>
                </c:pt>
                <c:pt idx="83" formatCode="General">
                  <c:v>6.2028772571940394E-3</c:v>
                </c:pt>
                <c:pt idx="84" formatCode="General">
                  <c:v>5.3435661091475462E-3</c:v>
                </c:pt>
                <c:pt idx="85" formatCode="General">
                  <c:v>4.6027476644416865E-3</c:v>
                </c:pt>
                <c:pt idx="86" formatCode="General">
                  <c:v>3.9642250751049657E-3</c:v>
                </c:pt>
                <c:pt idx="87" formatCode="General">
                  <c:v>3.4139786141772488E-3</c:v>
                </c:pt>
                <c:pt idx="88" formatCode="General">
                  <c:v>2.9398826007416279E-3</c:v>
                </c:pt>
                <c:pt idx="89" formatCode="General">
                  <c:v>2.5314566216378953E-3</c:v>
                </c:pt>
                <c:pt idx="90" formatCode="General">
                  <c:v>2.1796475691444606E-3</c:v>
                </c:pt>
                <c:pt idx="91" formatCode="General">
                  <c:v>1.8766391747334632E-3</c:v>
                </c:pt>
                <c:pt idx="92" formatCode="General">
                  <c:v>1.6156859371333487E-3</c:v>
                </c:pt>
                <c:pt idx="93" formatCode="General">
                  <c:v>1.3909685912373293E-3</c:v>
                </c:pt>
                <c:pt idx="94" formatCode="General">
                  <c:v>1.1974685239601879E-3</c:v>
                </c:pt>
                <c:pt idx="95" formatCode="General">
                  <c:v>1.0308588011587183E-3</c:v>
                </c:pt>
                <c:pt idx="96" formatCode="General">
                  <c:v>8.8740971783596301E-4</c:v>
                </c:pt>
                <c:pt idx="97" formatCode="General">
                  <c:v>7.6390701694539764E-4</c:v>
                </c:pt>
                <c:pt idx="98" formatCode="General">
                  <c:v>6.5758113740532753E-4</c:v>
                </c:pt>
              </c:numCache>
            </c:numRef>
          </c:yVal>
          <c:smooth val="0"/>
        </c:ser>
        <c:dLbls>
          <c:showLegendKey val="0"/>
          <c:showVal val="0"/>
          <c:showCatName val="0"/>
          <c:showSerName val="0"/>
          <c:showPercent val="0"/>
          <c:showBubbleSize val="0"/>
        </c:dLbls>
        <c:axId val="68407296"/>
        <c:axId val="68408832"/>
      </c:scatterChart>
      <c:valAx>
        <c:axId val="68407296"/>
        <c:scaling>
          <c:orientation val="minMax"/>
          <c:max val="37880"/>
        </c:scaling>
        <c:delete val="0"/>
        <c:axPos val="b"/>
        <c:numFmt formatCode="m/d;@" sourceLinked="0"/>
        <c:majorTickMark val="out"/>
        <c:minorTickMark val="none"/>
        <c:tickLblPos val="nextTo"/>
        <c:crossAx val="68408832"/>
        <c:crosses val="autoZero"/>
        <c:crossBetween val="midCat"/>
        <c:majorUnit val="10"/>
      </c:valAx>
      <c:valAx>
        <c:axId val="68408832"/>
        <c:scaling>
          <c:orientation val="minMax"/>
          <c:max val="1"/>
          <c:min val="0"/>
        </c:scaling>
        <c:delete val="0"/>
        <c:axPos val="l"/>
        <c:numFmt formatCode="0%" sourceLinked="0"/>
        <c:majorTickMark val="out"/>
        <c:minorTickMark val="none"/>
        <c:tickLblPos val="nextTo"/>
        <c:crossAx val="68407296"/>
        <c:crosses val="autoZero"/>
        <c:crossBetween val="midCat"/>
      </c:valAx>
    </c:plotArea>
    <c:legend>
      <c:legendPos val="r"/>
      <c:layout>
        <c:manualLayout>
          <c:xMode val="edge"/>
          <c:yMode val="edge"/>
          <c:x val="0.78233791175254308"/>
          <c:y val="0.46976868238386044"/>
          <c:w val="0.17732730939338678"/>
          <c:h val="6.7237753131901834E-2"/>
        </c:manualLayout>
      </c:layout>
      <c:overlay val="0"/>
    </c:legend>
    <c:plotVisOnly val="1"/>
    <c:dispBlanksAs val="gap"/>
    <c:showDLblsOverMax val="0"/>
  </c:chart>
  <c:spPr>
    <a:ln>
      <a:noFill/>
    </a:ln>
  </c:spPr>
  <c:printSettings>
    <c:headerFooter/>
    <c:pageMargins b="0.75000000000000122" l="0.70000000000000062" r="0.70000000000000062" t="0.75000000000000122"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2008'!$AE$11:$AE$76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2008'!$AF$11:$AF$76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2008'!$AE$11:$AE$76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2008'!$AH$11:$AH$76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2008'!$AE$11:$AE$76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2008'!$AI$11:$AI$76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2008'!$AE$11:$AE$76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2008'!$AJ$11:$AJ$76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36836224"/>
        <c:axId val="136837760"/>
      </c:lineChart>
      <c:catAx>
        <c:axId val="136836224"/>
        <c:scaling>
          <c:orientation val="minMax"/>
        </c:scaling>
        <c:delete val="0"/>
        <c:axPos val="b"/>
        <c:majorTickMark val="out"/>
        <c:minorTickMark val="none"/>
        <c:tickLblPos val="nextTo"/>
        <c:crossAx val="136837760"/>
        <c:crosses val="autoZero"/>
        <c:auto val="1"/>
        <c:lblAlgn val="ctr"/>
        <c:lblOffset val="100"/>
        <c:noMultiLvlLbl val="0"/>
      </c:catAx>
      <c:valAx>
        <c:axId val="136837760"/>
        <c:scaling>
          <c:orientation val="minMax"/>
        </c:scaling>
        <c:delete val="0"/>
        <c:axPos val="l"/>
        <c:majorGridlines/>
        <c:numFmt formatCode="General" sourceLinked="1"/>
        <c:majorTickMark val="out"/>
        <c:minorTickMark val="none"/>
        <c:tickLblPos val="nextTo"/>
        <c:crossAx val="136836224"/>
        <c:crosses val="autoZero"/>
        <c:crossBetween val="between"/>
      </c:valAx>
    </c:plotArea>
    <c:legend>
      <c:legendPos val="r"/>
      <c:overlay val="0"/>
    </c:legend>
    <c:plotVisOnly val="1"/>
    <c:dispBlanksAs val="gap"/>
    <c:showDLblsOverMax val="0"/>
  </c:chart>
  <c:printSettings>
    <c:headerFooter/>
    <c:pageMargins b="0.75000000000000855" l="0.70000000000000062" r="0.70000000000000062" t="0.750000000000008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2008.</a:t>
            </a:r>
          </a:p>
        </c:rich>
      </c:tx>
      <c:layout/>
      <c:overlay val="1"/>
    </c:title>
    <c:autoTitleDeleted val="0"/>
    <c:plotArea>
      <c:layout>
        <c:manualLayout>
          <c:layoutTarget val="inner"/>
          <c:xMode val="edge"/>
          <c:yMode val="edge"/>
          <c:x val="8.6718017847973186E-2"/>
          <c:y val="0.18347335916691429"/>
          <c:w val="0.77807905912306663"/>
          <c:h val="0.73718054729184079"/>
        </c:manualLayout>
      </c:layout>
      <c:scatterChart>
        <c:scatterStyle val="smoothMarker"/>
        <c:varyColors val="0"/>
        <c:ser>
          <c:idx val="6"/>
          <c:order val="0"/>
          <c:tx>
            <c:v>2008 </c:v>
          </c:tx>
          <c:spPr>
            <a:ln w="73025">
              <a:solidFill>
                <a:sysClr val="windowText" lastClr="000000"/>
              </a:solidFill>
            </a:ln>
          </c:spPr>
          <c:marker>
            <c:symbol val="none"/>
          </c:marker>
          <c:xVal>
            <c:numRef>
              <c:f>'Logistic 2008'!$J$9:$J$107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2008'!$L$9:$L$107</c:f>
              <c:numCache>
                <c:formatCode>0.00%</c:formatCode>
                <c:ptCount val="99"/>
                <c:pt idx="0">
                  <c:v>4.9115396781314151E-4</c:v>
                </c:pt>
                <c:pt idx="1">
                  <c:v>5.8721032738094322E-4</c:v>
                </c:pt>
                <c:pt idx="2">
                  <c:v>7.0203950370174926E-4</c:v>
                </c:pt>
                <c:pt idx="3">
                  <c:v>8.3930470637357565E-4</c:v>
                </c:pt>
                <c:pt idx="4">
                  <c:v>1.0033815300921221E-3</c:v>
                </c:pt>
                <c:pt idx="5">
                  <c:v>1.1994954493852676E-3</c:v>
                </c:pt>
                <c:pt idx="6">
                  <c:v>1.433885402874883E-3</c:v>
                </c:pt>
                <c:pt idx="7">
                  <c:v>1.7139982246672178E-3</c:v>
                </c:pt>
                <c:pt idx="8">
                  <c:v>2.0487194641742226E-3</c:v>
                </c:pt>
                <c:pt idx="9">
                  <c:v>2.4486470109403081E-3</c:v>
                </c:pt>
                <c:pt idx="10">
                  <c:v>2.9264149003148288E-3</c:v>
                </c:pt>
                <c:pt idx="11">
                  <c:v>3.4970756997867421E-3</c:v>
                </c:pt>
                <c:pt idx="12">
                  <c:v>4.1785509273186972E-3</c:v>
                </c:pt>
                <c:pt idx="13">
                  <c:v>4.9921599683218926E-3</c:v>
                </c:pt>
                <c:pt idx="14">
                  <c:v>5.9632388345596315E-3</c:v>
                </c:pt>
                <c:pt idx="15">
                  <c:v>7.1218606886827678E-3</c:v>
                </c:pt>
                <c:pt idx="16">
                  <c:v>8.5036701076474583E-3</c:v>
                </c:pt>
                <c:pt idx="17">
                  <c:v>1.0150842236798916E-2</c:v>
                </c:pt>
                <c:pt idx="18">
                  <c:v>1.2113175812640223E-2</c:v>
                </c:pt>
                <c:pt idx="19">
                  <c:v>1.4449324841393623E-2</c:v>
                </c:pt>
                <c:pt idx="20">
                  <c:v>1.7228166617287311E-2</c:v>
                </c:pt>
                <c:pt idx="21">
                  <c:v>2.0530292579226589E-2</c:v>
                </c:pt>
                <c:pt idx="22">
                  <c:v>2.4449591763765832E-2</c:v>
                </c:pt>
                <c:pt idx="23">
                  <c:v>2.9094872550333824E-2</c:v>
                </c:pt>
                <c:pt idx="24">
                  <c:v>3.4591435045107526E-2</c:v>
                </c:pt>
                <c:pt idx="25">
                  <c:v>4.1082461880864354E-2</c:v>
                </c:pt>
                <c:pt idx="26">
                  <c:v>4.8730037991433259E-2</c:v>
                </c:pt>
                <c:pt idx="27">
                  <c:v>5.7715539934368836E-2</c:v>
                </c:pt>
                <c:pt idx="28">
                  <c:v>6.8239055053547118E-2</c:v>
                </c:pt>
                <c:pt idx="29">
                  <c:v>8.0517407052908399E-2</c:v>
                </c:pt>
                <c:pt idx="30">
                  <c:v>9.4780290896444228E-2</c:v>
                </c:pt>
                <c:pt idx="31">
                  <c:v>0.1112639788201478</c:v>
                </c:pt>
                <c:pt idx="32">
                  <c:v>0.13020208350653326</c:v>
                </c:pt>
                <c:pt idx="33">
                  <c:v>0.15181299631758194</c:v>
                </c:pt>
                <c:pt idx="34">
                  <c:v>0.17628390341988612</c:v>
                </c:pt>
                <c:pt idx="35">
                  <c:v>0.2037517561047178</c:v>
                </c:pt>
                <c:pt idx="36">
                  <c:v>0.23428223706447021</c:v>
                </c:pt>
                <c:pt idx="37">
                  <c:v>0.26784856577910376</c:v>
                </c:pt>
                <c:pt idx="38">
                  <c:v>0.30431278437686776</c:v>
                </c:pt>
                <c:pt idx="39">
                  <c:v>0.34341273562500851</c:v>
                </c:pt>
                <c:pt idx="40" formatCode="0.000%">
                  <c:v>0.38475801451275982</c:v>
                </c:pt>
                <c:pt idx="41">
                  <c:v>0.42783751117814939</c:v>
                </c:pt>
                <c:pt idx="42">
                  <c:v>0.47203969195019341</c:v>
                </c:pt>
                <c:pt idx="43">
                  <c:v>0.51668467362856962</c:v>
                </c:pt>
                <c:pt idx="44">
                  <c:v>0.56106489451381525</c:v>
                </c:pt>
                <c:pt idx="45">
                  <c:v>0.60448939149149439</c:v>
                </c:pt>
                <c:pt idx="46">
                  <c:v>0.64632590612907959</c:v>
                </c:pt>
                <c:pt idx="47">
                  <c:v>0.68603551843085919</c:v>
                </c:pt>
                <c:pt idx="48">
                  <c:v>0.72319608999712737</c:v>
                </c:pt>
                <c:pt idx="49">
                  <c:v>0.75751299430891816</c:v>
                </c:pt>
                <c:pt idx="50">
                  <c:v>0.78881779673794705</c:v>
                </c:pt>
                <c:pt idx="51">
                  <c:v>0.81705720396776016</c:v>
                </c:pt>
                <c:pt idx="52">
                  <c:v>0.8422754723599416</c:v>
                </c:pt>
                <c:pt idx="53">
                  <c:v>0.86459356260001419</c:v>
                </c:pt>
                <c:pt idx="54">
                  <c:v>0.88418785816453671</c:v>
                </c:pt>
                <c:pt idx="55">
                  <c:v>0.9012705004242717</c:v>
                </c:pt>
                <c:pt idx="56">
                  <c:v>0.91607257588659419</c:v>
                </c:pt>
                <c:pt idx="57">
                  <c:v>0.92883068298874938</c:v>
                </c:pt>
                <c:pt idx="58">
                  <c:v>0.93977688230442102</c:v>
                </c:pt>
                <c:pt idx="59">
                  <c:v>0.94913170393969815</c:v>
                </c:pt>
                <c:pt idx="60">
                  <c:v>0.95709971953486128</c:v>
                </c:pt>
                <c:pt idx="61">
                  <c:v>0.96386713908786181</c:v>
                </c:pt>
                <c:pt idx="62">
                  <c:v>0.96960092092793249</c:v>
                </c:pt>
                <c:pt idx="63">
                  <c:v>0.97444895111855134</c:v>
                </c:pt>
                <c:pt idx="64">
                  <c:v>0.97854093133589115</c:v>
                </c:pt>
                <c:pt idx="65">
                  <c:v>0.98198969628892063</c:v>
                </c:pt>
                <c:pt idx="66">
                  <c:v>0.98489275470738114</c:v>
                </c:pt>
                <c:pt idx="67">
                  <c:v>0.98733390843592017</c:v>
                </c:pt>
                <c:pt idx="68">
                  <c:v>0.98938485184008818</c:v>
                </c:pt>
                <c:pt idx="69">
                  <c:v>0.99110668974361071</c:v>
                </c:pt>
                <c:pt idx="70">
                  <c:v>0.99255133833704523</c:v>
                </c:pt>
                <c:pt idx="71">
                  <c:v>0.99376279191289552</c:v>
                </c:pt>
                <c:pt idx="72">
                  <c:v>0.99477825072102477</c:v>
                </c:pt>
                <c:pt idx="73">
                  <c:v>0.99562911325145609</c:v>
                </c:pt>
                <c:pt idx="74">
                  <c:v>0.996341841084327</c:v>
                </c:pt>
                <c:pt idx="75">
                  <c:v>0.99693870705954002</c:v>
                </c:pt>
                <c:pt idx="76">
                  <c:v>0.99743843863015835</c:v>
                </c:pt>
                <c:pt idx="77">
                  <c:v>0.99785676839727888</c:v>
                </c:pt>
                <c:pt idx="78">
                  <c:v>0.99820690335216056</c:v>
                </c:pt>
                <c:pt idx="79">
                  <c:v>0.99849992353214778</c:v>
                </c:pt>
                <c:pt idx="80">
                  <c:v>0.99874511980515879</c:v>
                </c:pt>
                <c:pt idx="81">
                  <c:v>0.99895027944783743</c:v>
                </c:pt>
                <c:pt idx="82">
                  <c:v>0.99912192714713466</c:v>
                </c:pt>
                <c:pt idx="83">
                  <c:v>0.99926552807705371</c:v>
                </c:pt>
                <c:pt idx="84">
                  <c:v>0.9993856588046961</c:v>
                </c:pt>
                <c:pt idx="85">
                  <c:v>0.99948615097262461</c:v>
                </c:pt>
                <c:pt idx="86">
                  <c:v>0.99957021198969698</c:v>
                </c:pt>
                <c:pt idx="87">
                  <c:v>0.99964052633648981</c:v>
                </c:pt>
                <c:pt idx="88">
                  <c:v>0.99969934054806542</c:v>
                </c:pt>
                <c:pt idx="89">
                  <c:v>0.99974853446843703</c:v>
                </c:pt>
                <c:pt idx="90">
                  <c:v>0.99978968096953746</c:v>
                </c:pt>
                <c:pt idx="91">
                  <c:v>0.99982409598479238</c:v>
                </c:pt>
                <c:pt idx="92">
                  <c:v>0.99985288041593767</c:v>
                </c:pt>
                <c:pt idx="93">
                  <c:v>0.99987695522456799</c:v>
                </c:pt>
                <c:pt idx="94">
                  <c:v>0.99989709081083233</c:v>
                </c:pt>
                <c:pt idx="95">
                  <c:v>0.99991393160515807</c:v>
                </c:pt>
                <c:pt idx="96">
                  <c:v>0.99992801665008624</c:v>
                </c:pt>
                <c:pt idx="97">
                  <c:v>0.99993979682402956</c:v>
                </c:pt>
                <c:pt idx="98">
                  <c:v>0.999949649253425</c:v>
                </c:pt>
              </c:numCache>
            </c:numRef>
          </c:yVal>
          <c:smooth val="1"/>
        </c:ser>
        <c:ser>
          <c:idx val="7"/>
          <c:order val="1"/>
          <c:tx>
            <c:v>Point estimates</c:v>
          </c:tx>
          <c:spPr>
            <a:ln>
              <a:noFill/>
            </a:ln>
          </c:spPr>
          <c:marker>
            <c:symbol val="circle"/>
            <c:size val="11"/>
            <c:spPr>
              <a:solidFill>
                <a:srgbClr val="FFFF00"/>
              </a:solidFill>
              <a:ln>
                <a:solidFill>
                  <a:schemeClr val="tx1"/>
                </a:solidFill>
              </a:ln>
            </c:spPr>
          </c:marker>
          <c:xVal>
            <c:numRef>
              <c:f>'Logistic 2008'!$B$9:$B$14</c:f>
              <c:numCache>
                <c:formatCode>m/d;@</c:formatCode>
                <c:ptCount val="6"/>
                <c:pt idx="0">
                  <c:v>37792.5</c:v>
                </c:pt>
                <c:pt idx="1">
                  <c:v>37801.5</c:v>
                </c:pt>
                <c:pt idx="2">
                  <c:v>37808.5</c:v>
                </c:pt>
                <c:pt idx="3">
                  <c:v>37810.5</c:v>
                </c:pt>
                <c:pt idx="4">
                  <c:v>37822.5</c:v>
                </c:pt>
              </c:numCache>
            </c:numRef>
          </c:xVal>
          <c:yVal>
            <c:numRef>
              <c:f>'Logistic 2008'!$E$9:$E$14</c:f>
              <c:numCache>
                <c:formatCode>0.0%</c:formatCode>
                <c:ptCount val="6"/>
                <c:pt idx="0">
                  <c:v>5.2999999999999999E-2</c:v>
                </c:pt>
                <c:pt idx="1">
                  <c:v>0.13900000000000001</c:v>
                </c:pt>
                <c:pt idx="2">
                  <c:v>0.46800000000000003</c:v>
                </c:pt>
                <c:pt idx="3">
                  <c:v>0.54500000000000004</c:v>
                </c:pt>
                <c:pt idx="4">
                  <c:v>0.91500000000000004</c:v>
                </c:pt>
              </c:numCache>
            </c:numRef>
          </c:yVal>
          <c:smooth val="1"/>
        </c:ser>
        <c:dLbls>
          <c:showLegendKey val="0"/>
          <c:showVal val="0"/>
          <c:showCatName val="0"/>
          <c:showSerName val="0"/>
          <c:showPercent val="0"/>
          <c:showBubbleSize val="0"/>
        </c:dLbls>
        <c:axId val="135291264"/>
        <c:axId val="135293184"/>
      </c:scatterChart>
      <c:valAx>
        <c:axId val="135291264"/>
        <c:scaling>
          <c:orientation val="minMax"/>
          <c:max val="37833"/>
          <c:min val="37790"/>
        </c:scaling>
        <c:delete val="0"/>
        <c:axPos val="b"/>
        <c:numFmt formatCode="m/d;@" sourceLinked="0"/>
        <c:majorTickMark val="out"/>
        <c:minorTickMark val="none"/>
        <c:tickLblPos val="nextTo"/>
        <c:crossAx val="135293184"/>
        <c:crosses val="autoZero"/>
        <c:crossBetween val="midCat"/>
      </c:valAx>
      <c:valAx>
        <c:axId val="135293184"/>
        <c:scaling>
          <c:orientation val="minMax"/>
          <c:max val="1"/>
          <c:min val="0"/>
        </c:scaling>
        <c:delete val="0"/>
        <c:axPos val="l"/>
        <c:numFmt formatCode="0.00%" sourceLinked="1"/>
        <c:majorTickMark val="out"/>
        <c:minorTickMark val="none"/>
        <c:tickLblPos val="nextTo"/>
        <c:crossAx val="135291264"/>
        <c:crosses val="autoZero"/>
        <c:crossBetween val="midCat"/>
      </c:valAx>
      <c:spPr>
        <a:solidFill>
          <a:schemeClr val="bg1">
            <a:lumMod val="85000"/>
          </a:schemeClr>
        </a:solidFill>
      </c:spPr>
    </c:plotArea>
    <c:legend>
      <c:legendPos val="r"/>
      <c:layout/>
      <c:overlay val="0"/>
    </c:legend>
    <c:plotVisOnly val="1"/>
    <c:dispBlanksAs val="gap"/>
    <c:showDLblsOverMax val="0"/>
  </c:chart>
  <c:printSettings>
    <c:headerFooter/>
    <c:pageMargins b="0.75000000000000977" l="0.70000000000000062" r="0.70000000000000062" t="0.750000000000009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600" b="1" i="0" baseline="0"/>
              <a:t>Estimated transition from Black Lake (Early Run) to Chignik Lake (Late Run) Stock Composition from Genetic Analysis</a:t>
            </a:r>
            <a:endParaRPr lang="en-US" sz="1600"/>
          </a:p>
          <a:p>
            <a:pPr algn="ctr">
              <a:defRPr/>
            </a:pPr>
            <a:r>
              <a:rPr lang="en-US" sz="1600" b="1" i="0" baseline="0"/>
              <a:t> and Logistic model fit, 2017.  (black diamonds are inseason data points, red circles are standard anchor points, vertical bars are 95% conf</a:t>
            </a:r>
            <a:endParaRPr lang="en-US" sz="1600"/>
          </a:p>
        </c:rich>
      </c:tx>
      <c:layout/>
      <c:overlay val="1"/>
    </c:title>
    <c:autoTitleDeleted val="0"/>
    <c:plotArea>
      <c:layout>
        <c:manualLayout>
          <c:layoutTarget val="inner"/>
          <c:xMode val="edge"/>
          <c:yMode val="edge"/>
          <c:x val="9.7324743119226384E-2"/>
          <c:y val="0.25318478738038391"/>
          <c:w val="0.8451809301776505"/>
          <c:h val="0.70140614634732557"/>
        </c:manualLayout>
      </c:layout>
      <c:scatterChart>
        <c:scatterStyle val="lineMarker"/>
        <c:varyColors val="0"/>
        <c:ser>
          <c:idx val="0"/>
          <c:order val="0"/>
          <c:tx>
            <c:v>2017 data points</c:v>
          </c:tx>
          <c:spPr>
            <a:ln w="28575">
              <a:noFill/>
            </a:ln>
          </c:spPr>
          <c:marker>
            <c:spPr>
              <a:solidFill>
                <a:schemeClr val="tx1"/>
              </a:solidFill>
              <a:ln>
                <a:solidFill>
                  <a:schemeClr val="tx1"/>
                </a:solidFill>
              </a:ln>
            </c:spPr>
          </c:marker>
          <c:dPt>
            <c:idx val="0"/>
            <c:marker>
              <c:symbol val="circle"/>
              <c:size val="7"/>
              <c:spPr>
                <a:solidFill>
                  <a:srgbClr val="FF0000"/>
                </a:solidFill>
                <a:ln>
                  <a:solidFill>
                    <a:schemeClr val="tx1"/>
                  </a:solidFill>
                </a:ln>
              </c:spPr>
            </c:marker>
            <c:bubble3D val="0"/>
          </c:dPt>
          <c:dPt>
            <c:idx val="7"/>
            <c:marker>
              <c:symbol val="circle"/>
              <c:size val="7"/>
              <c:spPr>
                <a:solidFill>
                  <a:srgbClr val="FF0000"/>
                </a:solidFill>
                <a:ln>
                  <a:solidFill>
                    <a:schemeClr val="tx1"/>
                  </a:solidFill>
                </a:ln>
              </c:spPr>
            </c:marker>
            <c:bubble3D val="0"/>
          </c:dPt>
          <c:errBars>
            <c:errDir val="y"/>
            <c:errBarType val="both"/>
            <c:errValType val="cust"/>
            <c:noEndCap val="0"/>
            <c:plus>
              <c:numRef>
                <c:f>'Logistic 2008'!$E$132:$E$139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plus>
            <c:minus>
              <c:numRef>
                <c:f>'Logistic 2008'!$E$132:$E$139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minus>
          </c:errBars>
          <c:errBars>
            <c:errDir val="x"/>
            <c:errBarType val="both"/>
            <c:errValType val="fixedVal"/>
            <c:noEndCap val="0"/>
            <c:val val="0"/>
          </c:errBars>
          <c:xVal>
            <c:numRef>
              <c:f>'Logistic 2008'!$B$132:$B$139</c:f>
              <c:numCache>
                <c:formatCode>m/d/yyyy</c:formatCode>
                <c:ptCount val="8"/>
                <c:pt idx="0">
                  <c:v>37766.5</c:v>
                </c:pt>
                <c:pt idx="1">
                  <c:v>37797.5</c:v>
                </c:pt>
                <c:pt idx="2">
                  <c:v>37803.5</c:v>
                </c:pt>
                <c:pt idx="3">
                  <c:v>37809.5</c:v>
                </c:pt>
                <c:pt idx="4">
                  <c:v>37815.5</c:v>
                </c:pt>
                <c:pt idx="5">
                  <c:v>37820.5</c:v>
                </c:pt>
                <c:pt idx="6">
                  <c:v>37825.5</c:v>
                </c:pt>
                <c:pt idx="7">
                  <c:v>37834.5</c:v>
                </c:pt>
              </c:numCache>
            </c:numRef>
          </c:xVal>
          <c:yVal>
            <c:numRef>
              <c:f>'Logistic 2008'!$F$132:$F$139</c:f>
              <c:numCache>
                <c:formatCode>0.00</c:formatCode>
                <c:ptCount val="8"/>
                <c:pt idx="0">
                  <c:v>1</c:v>
                </c:pt>
                <c:pt idx="1">
                  <c:v>0.98562633850000003</c:v>
                </c:pt>
                <c:pt idx="2">
                  <c:v>0.85469573705000002</c:v>
                </c:pt>
                <c:pt idx="3">
                  <c:v>0.71532108137999995</c:v>
                </c:pt>
                <c:pt idx="4">
                  <c:v>0.31686118160999999</c:v>
                </c:pt>
                <c:pt idx="5">
                  <c:v>0.41652184618999999</c:v>
                </c:pt>
                <c:pt idx="6">
                  <c:v>0.42876999218</c:v>
                </c:pt>
                <c:pt idx="7">
                  <c:v>0</c:v>
                </c:pt>
              </c:numCache>
            </c:numRef>
          </c:yVal>
          <c:smooth val="0"/>
        </c:ser>
        <c:ser>
          <c:idx val="2"/>
          <c:order val="1"/>
          <c:tx>
            <c:v>fitted logistic model</c:v>
          </c:tx>
          <c:spPr>
            <a:ln w="28575">
              <a:solidFill>
                <a:sysClr val="windowText" lastClr="000000"/>
              </a:solidFill>
            </a:ln>
          </c:spPr>
          <c:marker>
            <c:symbol val="none"/>
          </c:marker>
          <c:xVal>
            <c:numRef>
              <c:f>'Logistic 2008'!$C$152:$C$250</c:f>
              <c:numCache>
                <c:formatCode>General</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2008'!$D$152:$D$250</c:f>
              <c:numCache>
                <c:formatCode>0</c:formatCode>
                <c:ptCount val="99"/>
                <c:pt idx="0">
                  <c:v>0.99937189731766174</c:v>
                </c:pt>
                <c:pt idx="1">
                  <c:v>0.99927033440039681</c:v>
                </c:pt>
                <c:pt idx="2">
                  <c:v>0.99915236289651199</c:v>
                </c:pt>
                <c:pt idx="3">
                  <c:v>0.9990153366888026</c:v>
                </c:pt>
                <c:pt idx="4">
                  <c:v>0.99885618463641579</c:v>
                </c:pt>
                <c:pt idx="5">
                  <c:v>0.9986713429007984</c:v>
                </c:pt>
                <c:pt idx="6">
                  <c:v>0.9984566767039742</c:v>
                </c:pt>
                <c:pt idx="7">
                  <c:v>0.99820738994185276</c:v>
                </c:pt>
                <c:pt idx="8">
                  <c:v>0.99791792086573672</c:v>
                </c:pt>
                <c:pt idx="9">
                  <c:v>0.99758182181733823</c:v>
                </c:pt>
                <c:pt idx="10">
                  <c:v>0.99719162075867385</c:v>
                </c:pt>
                <c:pt idx="11">
                  <c:v>0.99673866208252038</c:v>
                </c:pt>
                <c:pt idx="12">
                  <c:v>0.99621292392889316</c:v>
                </c:pt>
                <c:pt idx="13">
                  <c:v>0.99560280897956932</c:v>
                </c:pt>
                <c:pt idx="14">
                  <c:v>0.9948949054728613</c:v>
                </c:pt>
                <c:pt idx="15">
                  <c:v>0.99407371499902086</c:v>
                </c:pt>
                <c:pt idx="16">
                  <c:v>0.99312134353716319</c:v>
                </c:pt>
                <c:pt idx="17">
                  <c:v>0.99201715222492926</c:v>
                </c:pt>
                <c:pt idx="18">
                  <c:v>0.99073736457669048</c:v>
                </c:pt>
                <c:pt idx="19">
                  <c:v>0.9892546273709848</c:v>
                </c:pt>
                <c:pt idx="20">
                  <c:v>0.98753752332597144</c:v>
                </c:pt>
                <c:pt idx="21">
                  <c:v>0.98555003511863482</c:v>
                </c:pt>
                <c:pt idx="22">
                  <c:v>0.98325096246333232</c:v>
                </c:pt>
                <c:pt idx="23">
                  <c:v>0.98059329707541876</c:v>
                </c:pt>
                <c:pt idx="24">
                  <c:v>0.97752356467890367</c:v>
                </c:pt>
                <c:pt idx="25">
                  <c:v>0.97398114908861111</c:v>
                </c:pt>
                <c:pt idx="26">
                  <c:v>0.96989762115253808</c:v>
                </c:pt>
                <c:pt idx="27">
                  <c:v>0.96519610532756117</c:v>
                </c:pt>
                <c:pt idx="28">
                  <c:v>0.95979072918333619</c:v>
                </c:pt>
                <c:pt idx="29">
                  <c:v>0.95358621635903895</c:v>
                </c:pt>
                <c:pt idx="30">
                  <c:v>0.94647770135664244</c:v>
                </c:pt>
                <c:pt idx="31">
                  <c:v>0.93835086453417804</c:v>
                </c:pt>
                <c:pt idx="32">
                  <c:v>0.92908250659040403</c:v>
                </c:pt>
                <c:pt idx="33">
                  <c:v>0.91854170158897652</c:v>
                </c:pt>
                <c:pt idx="34">
                  <c:v>0.90659168278816871</c:v>
                </c:pt>
                <c:pt idx="35">
                  <c:v>0.89309262135735867</c:v>
                </c:pt>
                <c:pt idx="36">
                  <c:v>0.87790544803816573</c:v>
                </c:pt>
                <c:pt idx="37">
                  <c:v>0.86089683421987606</c:v>
                </c:pt>
                <c:pt idx="38">
                  <c:v>0.84194538359625493</c:v>
                </c:pt>
                <c:pt idx="39">
                  <c:v>0.82094898166426189</c:v>
                </c:pt>
                <c:pt idx="40">
                  <c:v>0.79783310480175662</c:v>
                </c:pt>
                <c:pt idx="41" formatCode="General">
                  <c:v>0.7725597077788241</c:v>
                </c:pt>
                <c:pt idx="42" formatCode="General">
                  <c:v>0.74513610338185698</c:v>
                </c:pt>
                <c:pt idx="43" formatCode="General">
                  <c:v>0.71562304867688131</c:v>
                </c:pt>
                <c:pt idx="44" formatCode="General">
                  <c:v>0.68414110046366616</c:v>
                </c:pt>
                <c:pt idx="45" formatCode="General">
                  <c:v>0.65087424661609383</c:v>
                </c:pt>
                <c:pt idx="46" formatCode="General">
                  <c:v>0.61606990640824155</c:v>
                </c:pt>
                <c:pt idx="47" formatCode="General">
                  <c:v>0.58003464995789233</c:v>
                </c:pt>
                <c:pt idx="48" formatCode="General">
                  <c:v>0.54312540973269186</c:v>
                </c:pt>
                <c:pt idx="49" formatCode="General">
                  <c:v>0.50573649787531938</c:v>
                </c:pt>
                <c:pt idx="50" formatCode="General">
                  <c:v>0.46828331346233132</c:v>
                </c:pt>
                <c:pt idx="51" formatCode="General">
                  <c:v>0.43118411183772998</c:v>
                </c:pt>
                <c:pt idx="52" formatCode="General">
                  <c:v>0.39484150763108683</c:v>
                </c:pt>
                <c:pt idx="53" formatCode="General">
                  <c:v>0.35962542496913763</c:v>
                </c:pt>
                <c:pt idx="54" formatCode="General">
                  <c:v>0.32585898285623605</c:v>
                </c:pt>
                <c:pt idx="55" formatCode="General">
                  <c:v>0.29380836323121118</c:v>
                </c:pt>
                <c:pt idx="56" formatCode="General">
                  <c:v>0.26367715178528073</c:v>
                </c:pt>
                <c:pt idx="57" formatCode="General">
                  <c:v>0.23560508082824672</c:v>
                </c:pt>
                <c:pt idx="58" formatCode="General">
                  <c:v>0.20967063743947068</c:v>
                </c:pt>
                <c:pt idx="59" formatCode="General">
                  <c:v>0.18589668998513509</c:v>
                </c:pt>
                <c:pt idx="60" formatCode="General">
                  <c:v>0.16425814922380866</c:v>
                </c:pt>
                <c:pt idx="61" formatCode="General">
                  <c:v>0.14469069694444792</c:v>
                </c:pt>
                <c:pt idx="62" formatCode="General">
                  <c:v>0.12709974296797055</c:v>
                </c:pt>
                <c:pt idx="63" formatCode="General">
                  <c:v>0.11136896093811099</c:v>
                </c:pt>
                <c:pt idx="64" formatCode="General">
                  <c:v>9.7367960303295087E-2</c:v>
                </c:pt>
                <c:pt idx="65" formatCode="General">
                  <c:v>8.4958843777534709E-2</c:v>
                </c:pt>
                <c:pt idx="66" formatCode="General">
                  <c:v>7.4001557409438701E-2</c:v>
                </c:pt>
                <c:pt idx="67" formatCode="General">
                  <c:v>6.4358056974210931E-2</c:v>
                </c:pt>
                <c:pt idx="68" formatCode="General">
                  <c:v>5.5895390906604558E-2</c:v>
                </c:pt>
                <c:pt idx="69" formatCode="General">
                  <c:v>4.8487842437026307E-2</c:v>
                </c:pt>
                <c:pt idx="70" formatCode="General">
                  <c:v>4.2018289963551392E-2</c:v>
                </c:pt>
                <c:pt idx="71" formatCode="General">
                  <c:v>3.6378942971083794E-2</c:v>
                </c:pt>
                <c:pt idx="72" formatCode="General">
                  <c:v>3.147159787810494E-2</c:v>
                </c:pt>
                <c:pt idx="73" formatCode="General">
                  <c:v>2.7207539400781577E-2</c:v>
                </c:pt>
                <c:pt idx="74" formatCode="General">
                  <c:v>2.350719217767816E-2</c:v>
                </c:pt>
                <c:pt idx="75" formatCode="General">
                  <c:v>2.0299606966050265E-2</c:v>
                </c:pt>
                <c:pt idx="76" formatCode="General">
                  <c:v>1.7521847133122215E-2</c:v>
                </c:pt>
                <c:pt idx="77" formatCode="General">
                  <c:v>1.511832510717781E-2</c:v>
                </c:pt>
                <c:pt idx="78" formatCode="General">
                  <c:v>1.3040125112587564E-2</c:v>
                </c:pt>
                <c:pt idx="79" formatCode="General">
                  <c:v>1.1244337778071323E-2</c:v>
                </c:pt>
                <c:pt idx="80" formatCode="General">
                  <c:v>9.6934238053025812E-3</c:v>
                </c:pt>
                <c:pt idx="81" formatCode="General">
                  <c:v>8.3546174745615653E-3</c:v>
                </c:pt>
                <c:pt idx="82" formatCode="General">
                  <c:v>7.1993759954323E-3</c:v>
                </c:pt>
                <c:pt idx="83" formatCode="General">
                  <c:v>6.2028772571940394E-3</c:v>
                </c:pt>
                <c:pt idx="84" formatCode="General">
                  <c:v>5.3435661091475462E-3</c:v>
                </c:pt>
                <c:pt idx="85" formatCode="General">
                  <c:v>4.6027476644416865E-3</c:v>
                </c:pt>
                <c:pt idx="86" formatCode="General">
                  <c:v>3.9642250751049657E-3</c:v>
                </c:pt>
                <c:pt idx="87" formatCode="General">
                  <c:v>3.4139786141772488E-3</c:v>
                </c:pt>
                <c:pt idx="88" formatCode="General">
                  <c:v>2.9398826007416279E-3</c:v>
                </c:pt>
                <c:pt idx="89" formatCode="General">
                  <c:v>2.5314566216378953E-3</c:v>
                </c:pt>
                <c:pt idx="90" formatCode="General">
                  <c:v>2.1796475691444606E-3</c:v>
                </c:pt>
                <c:pt idx="91" formatCode="General">
                  <c:v>1.8766391747334632E-3</c:v>
                </c:pt>
                <c:pt idx="92" formatCode="General">
                  <c:v>1.6156859371333487E-3</c:v>
                </c:pt>
                <c:pt idx="93" formatCode="General">
                  <c:v>1.3909685912373293E-3</c:v>
                </c:pt>
                <c:pt idx="94" formatCode="General">
                  <c:v>1.1974685239601879E-3</c:v>
                </c:pt>
                <c:pt idx="95" formatCode="General">
                  <c:v>1.0308588011587183E-3</c:v>
                </c:pt>
                <c:pt idx="96" formatCode="General">
                  <c:v>8.8740971783596301E-4</c:v>
                </c:pt>
                <c:pt idx="97" formatCode="General">
                  <c:v>7.6390701694539764E-4</c:v>
                </c:pt>
                <c:pt idx="98" formatCode="General">
                  <c:v>6.5758113740532753E-4</c:v>
                </c:pt>
              </c:numCache>
            </c:numRef>
          </c:yVal>
          <c:smooth val="0"/>
        </c:ser>
        <c:dLbls>
          <c:showLegendKey val="0"/>
          <c:showVal val="0"/>
          <c:showCatName val="0"/>
          <c:showSerName val="0"/>
          <c:showPercent val="0"/>
          <c:showBubbleSize val="0"/>
        </c:dLbls>
        <c:axId val="137036928"/>
        <c:axId val="137038464"/>
      </c:scatterChart>
      <c:valAx>
        <c:axId val="137036928"/>
        <c:scaling>
          <c:orientation val="minMax"/>
          <c:max val="37880"/>
        </c:scaling>
        <c:delete val="0"/>
        <c:axPos val="b"/>
        <c:numFmt formatCode="m/d;@" sourceLinked="0"/>
        <c:majorTickMark val="out"/>
        <c:minorTickMark val="none"/>
        <c:tickLblPos val="nextTo"/>
        <c:crossAx val="137038464"/>
        <c:crosses val="autoZero"/>
        <c:crossBetween val="midCat"/>
        <c:majorUnit val="10"/>
      </c:valAx>
      <c:valAx>
        <c:axId val="137038464"/>
        <c:scaling>
          <c:orientation val="minMax"/>
          <c:max val="1"/>
          <c:min val="0"/>
        </c:scaling>
        <c:delete val="0"/>
        <c:axPos val="l"/>
        <c:numFmt formatCode="0%" sourceLinked="0"/>
        <c:majorTickMark val="out"/>
        <c:minorTickMark val="none"/>
        <c:tickLblPos val="nextTo"/>
        <c:crossAx val="137036928"/>
        <c:crosses val="autoZero"/>
        <c:crossBetween val="midCat"/>
      </c:valAx>
    </c:plotArea>
    <c:legend>
      <c:legendPos val="r"/>
      <c:layout>
        <c:manualLayout>
          <c:xMode val="edge"/>
          <c:yMode val="edge"/>
          <c:x val="0.7823379117525423"/>
          <c:y val="0.46976868238386105"/>
          <c:w val="0.17732730939338678"/>
          <c:h val="6.7237753131901834E-2"/>
        </c:manualLayout>
      </c:layout>
      <c:overlay val="0"/>
    </c:legend>
    <c:plotVisOnly val="1"/>
    <c:dispBlanksAs val="gap"/>
    <c:showDLblsOverMax val="0"/>
  </c:chart>
  <c:spPr>
    <a:ln>
      <a:noFill/>
    </a:ln>
  </c:spPr>
  <c:printSettings>
    <c:headerFooter/>
    <c:pageMargins b="0.75000000000000189" l="0.70000000000000062" r="0.70000000000000062" t="0.75000000000000189"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2007'!$AE$11:$AE$76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2007'!$AF$11:$AF$76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2007'!$AE$11:$AE$76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2007'!$AH$11:$AH$76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2007'!$AE$11:$AE$76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2007'!$AI$11:$AI$76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2007'!$AE$11:$AE$76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2007'!$AJ$11:$AJ$76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36746880"/>
        <c:axId val="136748416"/>
      </c:lineChart>
      <c:catAx>
        <c:axId val="136746880"/>
        <c:scaling>
          <c:orientation val="minMax"/>
        </c:scaling>
        <c:delete val="0"/>
        <c:axPos val="b"/>
        <c:majorTickMark val="out"/>
        <c:minorTickMark val="none"/>
        <c:tickLblPos val="nextTo"/>
        <c:crossAx val="136748416"/>
        <c:crosses val="autoZero"/>
        <c:auto val="1"/>
        <c:lblAlgn val="ctr"/>
        <c:lblOffset val="100"/>
        <c:noMultiLvlLbl val="0"/>
      </c:catAx>
      <c:valAx>
        <c:axId val="136748416"/>
        <c:scaling>
          <c:orientation val="minMax"/>
        </c:scaling>
        <c:delete val="0"/>
        <c:axPos val="l"/>
        <c:majorGridlines/>
        <c:numFmt formatCode="General" sourceLinked="1"/>
        <c:majorTickMark val="out"/>
        <c:minorTickMark val="none"/>
        <c:tickLblPos val="nextTo"/>
        <c:crossAx val="136746880"/>
        <c:crosses val="autoZero"/>
        <c:crossBetween val="between"/>
      </c:valAx>
    </c:plotArea>
    <c:legend>
      <c:legendPos val="r"/>
      <c:overlay val="0"/>
    </c:legend>
    <c:plotVisOnly val="1"/>
    <c:dispBlanksAs val="gap"/>
    <c:showDLblsOverMax val="0"/>
  </c:chart>
  <c:printSettings>
    <c:headerFooter/>
    <c:pageMargins b="0.7500000000000081" l="0.70000000000000062" r="0.70000000000000062" t="0.750000000000008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2007.</a:t>
            </a:r>
          </a:p>
        </c:rich>
      </c:tx>
      <c:layout/>
      <c:overlay val="1"/>
    </c:title>
    <c:autoTitleDeleted val="0"/>
    <c:plotArea>
      <c:layout>
        <c:manualLayout>
          <c:layoutTarget val="inner"/>
          <c:xMode val="edge"/>
          <c:yMode val="edge"/>
          <c:x val="8.6718017847973186E-2"/>
          <c:y val="0.18347335916691412"/>
          <c:w val="0.77807905912306585"/>
          <c:h val="0.73718054729184079"/>
        </c:manualLayout>
      </c:layout>
      <c:scatterChart>
        <c:scatterStyle val="smoothMarker"/>
        <c:varyColors val="0"/>
        <c:ser>
          <c:idx val="6"/>
          <c:order val="0"/>
          <c:tx>
            <c:v>2007 </c:v>
          </c:tx>
          <c:spPr>
            <a:ln w="73025">
              <a:solidFill>
                <a:sysClr val="windowText" lastClr="000000"/>
              </a:solidFill>
            </a:ln>
          </c:spPr>
          <c:marker>
            <c:symbol val="none"/>
          </c:marker>
          <c:xVal>
            <c:numRef>
              <c:f>'Logistic 2007'!$J$9:$J$107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2007'!$L$9:$L$107</c:f>
              <c:numCache>
                <c:formatCode>0.00%</c:formatCode>
                <c:ptCount val="99"/>
                <c:pt idx="0">
                  <c:v>1.3692230767313023E-5</c:v>
                </c:pt>
                <c:pt idx="1">
                  <c:v>1.7848748479884167E-5</c:v>
                </c:pt>
                <c:pt idx="2">
                  <c:v>2.3267020964710778E-5</c:v>
                </c:pt>
                <c:pt idx="3">
                  <c:v>3.0330046655473192E-5</c:v>
                </c:pt>
                <c:pt idx="4">
                  <c:v>3.9537066610860712E-5</c:v>
                </c:pt>
                <c:pt idx="5">
                  <c:v>5.1538834902200428E-5</c:v>
                </c:pt>
                <c:pt idx="6">
                  <c:v>6.7183583738013395E-5</c:v>
                </c:pt>
                <c:pt idx="7">
                  <c:v>8.7576921290056169E-5</c:v>
                </c:pt>
                <c:pt idx="8">
                  <c:v>1.1415987708567967E-4</c:v>
                </c:pt>
                <c:pt idx="9">
                  <c:v>1.4881057906022496E-4</c:v>
                </c:pt>
                <c:pt idx="10">
                  <c:v>1.939766937100772E-4</c:v>
                </c:pt>
                <c:pt idx="11">
                  <c:v>2.5284789602608666E-4</c:v>
                </c:pt>
                <c:pt idx="12">
                  <c:v>3.2958039862729708E-4</c:v>
                </c:pt>
                <c:pt idx="13">
                  <c:v>4.2958913583540827E-4</c:v>
                </c:pt>
                <c:pt idx="14">
                  <c:v>5.5992778785911323E-4</c:v>
                </c:pt>
                <c:pt idx="15">
                  <c:v>7.2978271205669562E-4</c:v>
                </c:pt>
                <c:pt idx="16">
                  <c:v>9.5111434488672039E-4</c:v>
                </c:pt>
                <c:pt idx="17">
                  <c:v>1.2394891219668987E-3</c:v>
                </c:pt>
                <c:pt idx="18">
                  <c:v>1.6151568393420366E-3</c:v>
                </c:pt>
                <c:pt idx="19">
                  <c:v>2.1044430392726981E-3</c:v>
                </c:pt>
                <c:pt idx="20">
                  <c:v>2.7415437359551219E-3</c:v>
                </c:pt>
                <c:pt idx="21">
                  <c:v>3.5708306040285677E-3</c:v>
                </c:pt>
                <c:pt idx="22">
                  <c:v>4.6497980319720284E-3</c:v>
                </c:pt>
                <c:pt idx="23">
                  <c:v>6.0528074226192984E-3</c:v>
                </c:pt>
                <c:pt idx="24">
                  <c:v>7.8758049291703502E-3</c:v>
                </c:pt>
                <c:pt idx="25">
                  <c:v>1.0242198961466395E-2</c:v>
                </c:pt>
                <c:pt idx="26">
                  <c:v>1.3310069869533399E-2</c:v>
                </c:pt>
                <c:pt idx="27">
                  <c:v>1.7280823514453189E-2</c:v>
                </c:pt>
                <c:pt idx="28">
                  <c:v>2.24092565924069E-2</c:v>
                </c:pt>
                <c:pt idx="29">
                  <c:v>2.9014719722937614E-2</c:v>
                </c:pt>
                <c:pt idx="30">
                  <c:v>3.7492568163758913E-2</c:v>
                </c:pt>
                <c:pt idx="31">
                  <c:v>4.8324286376203736E-2</c:v>
                </c:pt>
                <c:pt idx="32">
                  <c:v>6.208347468090588E-2</c:v>
                </c:pt>
                <c:pt idx="33">
                  <c:v>7.9433274394375253E-2</c:v>
                </c:pt>
                <c:pt idx="34">
                  <c:v>0.10110895273016507</c:v>
                </c:pt>
                <c:pt idx="35">
                  <c:v>0.12787782757069291</c:v>
                </c:pt>
                <c:pt idx="36">
                  <c:v>0.16046865181814796</c:v>
                </c:pt>
                <c:pt idx="37">
                  <c:v>0.19946583619099989</c:v>
                </c:pt>
                <c:pt idx="38">
                  <c:v>0.24517248913047268</c:v>
                </c:pt>
                <c:pt idx="39">
                  <c:v>0.29746089667686176</c:v>
                </c:pt>
                <c:pt idx="40" formatCode="0.000%">
                  <c:v>0.35564671011639831</c:v>
                </c:pt>
                <c:pt idx="41">
                  <c:v>0.41843520615117785</c:v>
                </c:pt>
                <c:pt idx="42">
                  <c:v>0.4839826418282222</c:v>
                </c:pt>
                <c:pt idx="43">
                  <c:v>0.55008586029864304</c:v>
                </c:pt>
                <c:pt idx="44">
                  <c:v>0.61446656253299436</c:v>
                </c:pt>
                <c:pt idx="45">
                  <c:v>0.67507634930060689</c:v>
                </c:pt>
                <c:pt idx="46">
                  <c:v>0.73033926388266468</c:v>
                </c:pt>
                <c:pt idx="47">
                  <c:v>0.77927621990047291</c:v>
                </c:pt>
                <c:pt idx="48">
                  <c:v>0.82150280779247842</c:v>
                </c:pt>
                <c:pt idx="49">
                  <c:v>0.85713208000135932</c:v>
                </c:pt>
                <c:pt idx="50">
                  <c:v>0.88663095293159155</c:v>
                </c:pt>
                <c:pt idx="51">
                  <c:v>0.91067375773721004</c:v>
                </c:pt>
                <c:pt idx="52">
                  <c:v>0.93002011570184584</c:v>
                </c:pt>
                <c:pt idx="53">
                  <c:v>0.94542751255360591</c:v>
                </c:pt>
                <c:pt idx="54">
                  <c:v>0.95759734206023794</c:v>
                </c:pt>
                <c:pt idx="55">
                  <c:v>0.96714756779345812</c:v>
                </c:pt>
                <c:pt idx="56">
                  <c:v>0.97460386948012367</c:v>
                </c:pt>
                <c:pt idx="57">
                  <c:v>0.98040215530753172</c:v>
                </c:pt>
                <c:pt idx="58">
                  <c:v>0.98489712734969304</c:v>
                </c:pt>
                <c:pt idx="59">
                  <c:v>0.98837335654317438</c:v>
                </c:pt>
                <c:pt idx="60">
                  <c:v>0.99105672728955652</c:v>
                </c:pt>
                <c:pt idx="61">
                  <c:v>0.99312509735404841</c:v>
                </c:pt>
                <c:pt idx="62">
                  <c:v>0.99471765143631297</c:v>
                </c:pt>
                <c:pt idx="63">
                  <c:v>0.99594280143738134</c:v>
                </c:pt>
                <c:pt idx="64">
                  <c:v>0.99688468886752846</c:v>
                </c:pt>
                <c:pt idx="65">
                  <c:v>0.99760844016325889</c:v>
                </c:pt>
                <c:pt idx="66">
                  <c:v>0.99816435865745046</c:v>
                </c:pt>
                <c:pt idx="67">
                  <c:v>0.99859123628391133</c:v>
                </c:pt>
                <c:pt idx="68">
                  <c:v>0.99891895121017837</c:v>
                </c:pt>
                <c:pt idx="69">
                  <c:v>0.99917049448357742</c:v>
                </c:pt>
                <c:pt idx="70">
                  <c:v>0.99936354483387269</c:v>
                </c:pt>
                <c:pt idx="71">
                  <c:v>0.9995116886424974</c:v>
                </c:pt>
                <c:pt idx="72">
                  <c:v>0.99962536284201564</c:v>
                </c:pt>
                <c:pt idx="73">
                  <c:v>0.99971258238783078</c:v>
                </c:pt>
                <c:pt idx="74">
                  <c:v>0.9997795007676008</c:v>
                </c:pt>
                <c:pt idx="75">
                  <c:v>0.99983084142478251</c:v>
                </c:pt>
                <c:pt idx="76">
                  <c:v>0.99987022956440352</c:v>
                </c:pt>
                <c:pt idx="77">
                  <c:v>0.99990044719010951</c:v>
                </c:pt>
                <c:pt idx="78">
                  <c:v>0.99992362904410559</c:v>
                </c:pt>
                <c:pt idx="79">
                  <c:v>0.99994141309097162</c:v>
                </c:pt>
                <c:pt idx="80">
                  <c:v>0.99995505605954893</c:v>
                </c:pt>
                <c:pt idx="81">
                  <c:v>0.99996552213798284</c:v>
                </c:pt>
                <c:pt idx="82">
                  <c:v>0.99997355104915053</c:v>
                </c:pt>
                <c:pt idx="83">
                  <c:v>0.999979710293733</c:v>
                </c:pt>
                <c:pt idx="84">
                  <c:v>0.999984435239331</c:v>
                </c:pt>
                <c:pt idx="85">
                  <c:v>0.99998805988096007</c:v>
                </c:pt>
                <c:pt idx="86">
                  <c:v>0.99999084044236985</c:v>
                </c:pt>
                <c:pt idx="87">
                  <c:v>0.99999297348365013</c:v>
                </c:pt>
                <c:pt idx="88">
                  <c:v>0.99999460979345467</c:v>
                </c:pt>
                <c:pt idx="89">
                  <c:v>0.99999586504690474</c:v>
                </c:pt>
                <c:pt idx="90">
                  <c:v>0.9999968279820155</c:v>
                </c:pt>
                <c:pt idx="91">
                  <c:v>0.99999756667231632</c:v>
                </c:pt>
                <c:pt idx="92">
                  <c:v>0.99999813333889442</c:v>
                </c:pt>
                <c:pt idx="93">
                  <c:v>0.99999856804192599</c:v>
                </c:pt>
                <c:pt idx="94">
                  <c:v>0.99999890151259285</c:v>
                </c:pt>
                <c:pt idx="95">
                  <c:v>0.99999915732554467</c:v>
                </c:pt>
                <c:pt idx="96">
                  <c:v>0.99999935356546588</c:v>
                </c:pt>
                <c:pt idx="97">
                  <c:v>0.99999950410554728</c:v>
                </c:pt>
                <c:pt idx="98">
                  <c:v>0.99999961958823869</c:v>
                </c:pt>
              </c:numCache>
            </c:numRef>
          </c:yVal>
          <c:smooth val="1"/>
        </c:ser>
        <c:ser>
          <c:idx val="7"/>
          <c:order val="1"/>
          <c:tx>
            <c:v>Point estimates</c:v>
          </c:tx>
          <c:spPr>
            <a:ln>
              <a:noFill/>
            </a:ln>
          </c:spPr>
          <c:marker>
            <c:symbol val="circle"/>
            <c:size val="11"/>
            <c:spPr>
              <a:solidFill>
                <a:srgbClr val="FFFF00"/>
              </a:solidFill>
              <a:ln>
                <a:solidFill>
                  <a:schemeClr val="tx1"/>
                </a:solidFill>
              </a:ln>
            </c:spPr>
          </c:marker>
          <c:xVal>
            <c:numRef>
              <c:f>'Logistic 2007'!$B$9:$B$14</c:f>
              <c:numCache>
                <c:formatCode>m/d;@</c:formatCode>
                <c:ptCount val="6"/>
                <c:pt idx="0">
                  <c:v>37788.5</c:v>
                </c:pt>
                <c:pt idx="1">
                  <c:v>37798.5</c:v>
                </c:pt>
                <c:pt idx="2">
                  <c:v>37804.5</c:v>
                </c:pt>
                <c:pt idx="3">
                  <c:v>37812.5</c:v>
                </c:pt>
                <c:pt idx="4">
                  <c:v>37816.5</c:v>
                </c:pt>
                <c:pt idx="5">
                  <c:v>37826.5</c:v>
                </c:pt>
              </c:numCache>
            </c:numRef>
          </c:xVal>
          <c:yVal>
            <c:numRef>
              <c:f>'Logistic 2007'!$E$9:$E$14</c:f>
              <c:numCache>
                <c:formatCode>0.0%</c:formatCode>
                <c:ptCount val="6"/>
                <c:pt idx="0">
                  <c:v>0</c:v>
                </c:pt>
                <c:pt idx="1">
                  <c:v>7.5999999999999998E-2</c:v>
                </c:pt>
                <c:pt idx="2">
                  <c:v>0.22</c:v>
                </c:pt>
                <c:pt idx="3">
                  <c:v>0.745</c:v>
                </c:pt>
                <c:pt idx="4">
                  <c:v>0.89300000000000002</c:v>
                </c:pt>
                <c:pt idx="5">
                  <c:v>0.92300000000000004</c:v>
                </c:pt>
              </c:numCache>
            </c:numRef>
          </c:yVal>
          <c:smooth val="1"/>
        </c:ser>
        <c:dLbls>
          <c:showLegendKey val="0"/>
          <c:showVal val="0"/>
          <c:showCatName val="0"/>
          <c:showSerName val="0"/>
          <c:showPercent val="0"/>
          <c:showBubbleSize val="0"/>
        </c:dLbls>
        <c:axId val="137103232"/>
        <c:axId val="137117696"/>
      </c:scatterChart>
      <c:valAx>
        <c:axId val="137103232"/>
        <c:scaling>
          <c:orientation val="minMax"/>
          <c:max val="37833"/>
          <c:min val="37790"/>
        </c:scaling>
        <c:delete val="0"/>
        <c:axPos val="b"/>
        <c:numFmt formatCode="m/d;@" sourceLinked="0"/>
        <c:majorTickMark val="out"/>
        <c:minorTickMark val="none"/>
        <c:tickLblPos val="nextTo"/>
        <c:crossAx val="137117696"/>
        <c:crosses val="autoZero"/>
        <c:crossBetween val="midCat"/>
      </c:valAx>
      <c:valAx>
        <c:axId val="137117696"/>
        <c:scaling>
          <c:orientation val="minMax"/>
          <c:max val="1"/>
          <c:min val="0"/>
        </c:scaling>
        <c:delete val="0"/>
        <c:axPos val="l"/>
        <c:numFmt formatCode="0.00%" sourceLinked="1"/>
        <c:majorTickMark val="out"/>
        <c:minorTickMark val="none"/>
        <c:tickLblPos val="nextTo"/>
        <c:crossAx val="137103232"/>
        <c:crosses val="autoZero"/>
        <c:crossBetween val="midCat"/>
      </c:valAx>
      <c:spPr>
        <a:solidFill>
          <a:schemeClr val="bg1">
            <a:lumMod val="85000"/>
          </a:schemeClr>
        </a:solidFill>
      </c:spPr>
    </c:plotArea>
    <c:legend>
      <c:legendPos val="r"/>
      <c:layout/>
      <c:overlay val="0"/>
    </c:legend>
    <c:plotVisOnly val="1"/>
    <c:dispBlanksAs val="gap"/>
    <c:showDLblsOverMax val="0"/>
  </c:chart>
  <c:printSettings>
    <c:headerFooter/>
    <c:pageMargins b="0.75000000000000933" l="0.70000000000000062" r="0.70000000000000062" t="0.7500000000000093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600" b="1" i="0" baseline="0"/>
              <a:t>Estimated transition from Black Lake (Early Run) to Chignik Lake (Late Run) Stock Composition from Genetic Analysis</a:t>
            </a:r>
            <a:endParaRPr lang="en-US" sz="1600"/>
          </a:p>
          <a:p>
            <a:pPr algn="ctr">
              <a:defRPr/>
            </a:pPr>
            <a:r>
              <a:rPr lang="en-US" sz="1600" b="1" i="0" baseline="0"/>
              <a:t> and Logistic model fit, 2017.  (black diamonds are inseason data points, red circles are standard anchor points, vertical bars are 95% conf</a:t>
            </a:r>
            <a:endParaRPr lang="en-US" sz="1600"/>
          </a:p>
        </c:rich>
      </c:tx>
      <c:overlay val="1"/>
    </c:title>
    <c:autoTitleDeleted val="0"/>
    <c:plotArea>
      <c:layout>
        <c:manualLayout>
          <c:layoutTarget val="inner"/>
          <c:xMode val="edge"/>
          <c:yMode val="edge"/>
          <c:x val="9.7324743119226287E-2"/>
          <c:y val="0.25318478738038358"/>
          <c:w val="0.8451809301776505"/>
          <c:h val="0.70140614634732557"/>
        </c:manualLayout>
      </c:layout>
      <c:scatterChart>
        <c:scatterStyle val="lineMarker"/>
        <c:varyColors val="0"/>
        <c:ser>
          <c:idx val="0"/>
          <c:order val="0"/>
          <c:tx>
            <c:v>2017 data points</c:v>
          </c:tx>
          <c:spPr>
            <a:ln w="28575">
              <a:noFill/>
            </a:ln>
          </c:spPr>
          <c:marker>
            <c:spPr>
              <a:solidFill>
                <a:schemeClr val="tx1"/>
              </a:solidFill>
              <a:ln>
                <a:solidFill>
                  <a:schemeClr val="tx1"/>
                </a:solidFill>
              </a:ln>
            </c:spPr>
          </c:marker>
          <c:dPt>
            <c:idx val="0"/>
            <c:marker>
              <c:symbol val="circle"/>
              <c:size val="7"/>
              <c:spPr>
                <a:solidFill>
                  <a:srgbClr val="FF0000"/>
                </a:solidFill>
                <a:ln>
                  <a:solidFill>
                    <a:schemeClr val="tx1"/>
                  </a:solidFill>
                </a:ln>
              </c:spPr>
            </c:marker>
            <c:bubble3D val="0"/>
          </c:dPt>
          <c:dPt>
            <c:idx val="7"/>
            <c:marker>
              <c:symbol val="circle"/>
              <c:size val="7"/>
              <c:spPr>
                <a:solidFill>
                  <a:srgbClr val="FF0000"/>
                </a:solidFill>
                <a:ln>
                  <a:solidFill>
                    <a:schemeClr val="tx1"/>
                  </a:solidFill>
                </a:ln>
              </c:spPr>
            </c:marker>
            <c:bubble3D val="0"/>
          </c:dPt>
          <c:errBars>
            <c:errDir val="y"/>
            <c:errBarType val="both"/>
            <c:errValType val="cust"/>
            <c:noEndCap val="0"/>
            <c:plus>
              <c:numRef>
                <c:f>'Logistic 2007'!$E$132:$E$139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plus>
            <c:minus>
              <c:numRef>
                <c:f>'Logistic 2007'!$E$132:$E$139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minus>
          </c:errBars>
          <c:errBars>
            <c:errDir val="x"/>
            <c:errBarType val="both"/>
            <c:errValType val="fixedVal"/>
            <c:noEndCap val="0"/>
            <c:val val="0"/>
          </c:errBars>
          <c:xVal>
            <c:numRef>
              <c:f>'Logistic 2007'!$B$132:$B$139</c:f>
              <c:numCache>
                <c:formatCode>m/d/yyyy</c:formatCode>
                <c:ptCount val="8"/>
                <c:pt idx="0">
                  <c:v>37766.5</c:v>
                </c:pt>
                <c:pt idx="1">
                  <c:v>37797.5</c:v>
                </c:pt>
                <c:pt idx="2">
                  <c:v>37803.5</c:v>
                </c:pt>
                <c:pt idx="3">
                  <c:v>37809.5</c:v>
                </c:pt>
                <c:pt idx="4">
                  <c:v>37815.5</c:v>
                </c:pt>
                <c:pt idx="5">
                  <c:v>37820.5</c:v>
                </c:pt>
                <c:pt idx="6">
                  <c:v>37825.5</c:v>
                </c:pt>
                <c:pt idx="7">
                  <c:v>37834.5</c:v>
                </c:pt>
              </c:numCache>
            </c:numRef>
          </c:xVal>
          <c:yVal>
            <c:numRef>
              <c:f>'Logistic 2007'!$F$132:$F$139</c:f>
              <c:numCache>
                <c:formatCode>0.00</c:formatCode>
                <c:ptCount val="8"/>
                <c:pt idx="0">
                  <c:v>1</c:v>
                </c:pt>
                <c:pt idx="1">
                  <c:v>0.98562633850000003</c:v>
                </c:pt>
                <c:pt idx="2">
                  <c:v>0.85469573705000002</c:v>
                </c:pt>
                <c:pt idx="3">
                  <c:v>0.71532108137999995</c:v>
                </c:pt>
                <c:pt idx="4">
                  <c:v>0.31686118160999999</c:v>
                </c:pt>
                <c:pt idx="5">
                  <c:v>0.41652184618999999</c:v>
                </c:pt>
                <c:pt idx="6">
                  <c:v>0.42876999218</c:v>
                </c:pt>
                <c:pt idx="7">
                  <c:v>0</c:v>
                </c:pt>
              </c:numCache>
            </c:numRef>
          </c:yVal>
          <c:smooth val="0"/>
        </c:ser>
        <c:ser>
          <c:idx val="2"/>
          <c:order val="1"/>
          <c:tx>
            <c:v>fitted logistic model</c:v>
          </c:tx>
          <c:spPr>
            <a:ln w="28575">
              <a:solidFill>
                <a:sysClr val="windowText" lastClr="000000"/>
              </a:solidFill>
            </a:ln>
          </c:spPr>
          <c:marker>
            <c:symbol val="none"/>
          </c:marker>
          <c:xVal>
            <c:numRef>
              <c:f>'Logistic 2007'!$C$152:$C$250</c:f>
              <c:numCache>
                <c:formatCode>General</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2007'!$D$152:$D$250</c:f>
              <c:numCache>
                <c:formatCode>0</c:formatCode>
                <c:ptCount val="99"/>
                <c:pt idx="0">
                  <c:v>0.99937189731766174</c:v>
                </c:pt>
                <c:pt idx="1">
                  <c:v>0.99927033440039681</c:v>
                </c:pt>
                <c:pt idx="2">
                  <c:v>0.99915236289651199</c:v>
                </c:pt>
                <c:pt idx="3">
                  <c:v>0.9990153366888026</c:v>
                </c:pt>
                <c:pt idx="4">
                  <c:v>0.99885618463641579</c:v>
                </c:pt>
                <c:pt idx="5">
                  <c:v>0.9986713429007984</c:v>
                </c:pt>
                <c:pt idx="6">
                  <c:v>0.9984566767039742</c:v>
                </c:pt>
                <c:pt idx="7">
                  <c:v>0.99820738994185276</c:v>
                </c:pt>
                <c:pt idx="8">
                  <c:v>0.99791792086573672</c:v>
                </c:pt>
                <c:pt idx="9">
                  <c:v>0.99758182181733823</c:v>
                </c:pt>
                <c:pt idx="10">
                  <c:v>0.99719162075867385</c:v>
                </c:pt>
                <c:pt idx="11">
                  <c:v>0.99673866208252038</c:v>
                </c:pt>
                <c:pt idx="12">
                  <c:v>0.99621292392889316</c:v>
                </c:pt>
                <c:pt idx="13">
                  <c:v>0.99560280897956932</c:v>
                </c:pt>
                <c:pt idx="14">
                  <c:v>0.9948949054728613</c:v>
                </c:pt>
                <c:pt idx="15">
                  <c:v>0.99407371499902086</c:v>
                </c:pt>
                <c:pt idx="16">
                  <c:v>0.99312134353716319</c:v>
                </c:pt>
                <c:pt idx="17">
                  <c:v>0.99201715222492926</c:v>
                </c:pt>
                <c:pt idx="18">
                  <c:v>0.99073736457669048</c:v>
                </c:pt>
                <c:pt idx="19">
                  <c:v>0.9892546273709848</c:v>
                </c:pt>
                <c:pt idx="20">
                  <c:v>0.98753752332597144</c:v>
                </c:pt>
                <c:pt idx="21">
                  <c:v>0.98555003511863482</c:v>
                </c:pt>
                <c:pt idx="22">
                  <c:v>0.98325096246333232</c:v>
                </c:pt>
                <c:pt idx="23">
                  <c:v>0.98059329707541876</c:v>
                </c:pt>
                <c:pt idx="24">
                  <c:v>0.97752356467890367</c:v>
                </c:pt>
                <c:pt idx="25">
                  <c:v>0.97398114908861111</c:v>
                </c:pt>
                <c:pt idx="26">
                  <c:v>0.96989762115253808</c:v>
                </c:pt>
                <c:pt idx="27">
                  <c:v>0.96519610532756117</c:v>
                </c:pt>
                <c:pt idx="28">
                  <c:v>0.95979072918333619</c:v>
                </c:pt>
                <c:pt idx="29">
                  <c:v>0.95358621635903895</c:v>
                </c:pt>
                <c:pt idx="30">
                  <c:v>0.94647770135664244</c:v>
                </c:pt>
                <c:pt idx="31">
                  <c:v>0.93835086453417804</c:v>
                </c:pt>
                <c:pt idx="32">
                  <c:v>0.92908250659040403</c:v>
                </c:pt>
                <c:pt idx="33">
                  <c:v>0.91854170158897652</c:v>
                </c:pt>
                <c:pt idx="34">
                  <c:v>0.90659168278816871</c:v>
                </c:pt>
                <c:pt idx="35">
                  <c:v>0.89309262135735867</c:v>
                </c:pt>
                <c:pt idx="36">
                  <c:v>0.87790544803816573</c:v>
                </c:pt>
                <c:pt idx="37">
                  <c:v>0.86089683421987606</c:v>
                </c:pt>
                <c:pt idx="38">
                  <c:v>0.84194538359625493</c:v>
                </c:pt>
                <c:pt idx="39">
                  <c:v>0.82094898166426189</c:v>
                </c:pt>
                <c:pt idx="40">
                  <c:v>0.79783310480175662</c:v>
                </c:pt>
                <c:pt idx="41" formatCode="General">
                  <c:v>0.7725597077788241</c:v>
                </c:pt>
                <c:pt idx="42" formatCode="General">
                  <c:v>0.74513610338185698</c:v>
                </c:pt>
                <c:pt idx="43" formatCode="General">
                  <c:v>0.71562304867688131</c:v>
                </c:pt>
                <c:pt idx="44" formatCode="General">
                  <c:v>0.68414110046366616</c:v>
                </c:pt>
                <c:pt idx="45" formatCode="General">
                  <c:v>0.65087424661609383</c:v>
                </c:pt>
                <c:pt idx="46" formatCode="General">
                  <c:v>0.61606990640824155</c:v>
                </c:pt>
                <c:pt idx="47" formatCode="General">
                  <c:v>0.58003464995789233</c:v>
                </c:pt>
                <c:pt idx="48" formatCode="General">
                  <c:v>0.54312540973269186</c:v>
                </c:pt>
                <c:pt idx="49" formatCode="General">
                  <c:v>0.50573649787531938</c:v>
                </c:pt>
                <c:pt idx="50" formatCode="General">
                  <c:v>0.46828331346233132</c:v>
                </c:pt>
                <c:pt idx="51" formatCode="General">
                  <c:v>0.43118411183772998</c:v>
                </c:pt>
                <c:pt idx="52" formatCode="General">
                  <c:v>0.39484150763108683</c:v>
                </c:pt>
                <c:pt idx="53" formatCode="General">
                  <c:v>0.35962542496913763</c:v>
                </c:pt>
                <c:pt idx="54" formatCode="General">
                  <c:v>0.32585898285623605</c:v>
                </c:pt>
                <c:pt idx="55" formatCode="General">
                  <c:v>0.29380836323121118</c:v>
                </c:pt>
                <c:pt idx="56" formatCode="General">
                  <c:v>0.26367715178528073</c:v>
                </c:pt>
                <c:pt idx="57" formatCode="General">
                  <c:v>0.23560508082824672</c:v>
                </c:pt>
                <c:pt idx="58" formatCode="General">
                  <c:v>0.20967063743947068</c:v>
                </c:pt>
                <c:pt idx="59" formatCode="General">
                  <c:v>0.18589668998513509</c:v>
                </c:pt>
                <c:pt idx="60" formatCode="General">
                  <c:v>0.16425814922380866</c:v>
                </c:pt>
                <c:pt idx="61" formatCode="General">
                  <c:v>0.14469069694444792</c:v>
                </c:pt>
                <c:pt idx="62" formatCode="General">
                  <c:v>0.12709974296797055</c:v>
                </c:pt>
                <c:pt idx="63" formatCode="General">
                  <c:v>0.11136896093811099</c:v>
                </c:pt>
                <c:pt idx="64" formatCode="General">
                  <c:v>9.7367960303295087E-2</c:v>
                </c:pt>
                <c:pt idx="65" formatCode="General">
                  <c:v>8.4958843777534709E-2</c:v>
                </c:pt>
                <c:pt idx="66" formatCode="General">
                  <c:v>7.4001557409438701E-2</c:v>
                </c:pt>
                <c:pt idx="67" formatCode="General">
                  <c:v>6.4358056974210931E-2</c:v>
                </c:pt>
                <c:pt idx="68" formatCode="General">
                  <c:v>5.5895390906604558E-2</c:v>
                </c:pt>
                <c:pt idx="69" formatCode="General">
                  <c:v>4.8487842437026307E-2</c:v>
                </c:pt>
                <c:pt idx="70" formatCode="General">
                  <c:v>4.2018289963551392E-2</c:v>
                </c:pt>
                <c:pt idx="71" formatCode="General">
                  <c:v>3.6378942971083794E-2</c:v>
                </c:pt>
                <c:pt idx="72" formatCode="General">
                  <c:v>3.147159787810494E-2</c:v>
                </c:pt>
                <c:pt idx="73" formatCode="General">
                  <c:v>2.7207539400781577E-2</c:v>
                </c:pt>
                <c:pt idx="74" formatCode="General">
                  <c:v>2.350719217767816E-2</c:v>
                </c:pt>
                <c:pt idx="75" formatCode="General">
                  <c:v>2.0299606966050265E-2</c:v>
                </c:pt>
                <c:pt idx="76" formatCode="General">
                  <c:v>1.7521847133122215E-2</c:v>
                </c:pt>
                <c:pt idx="77" formatCode="General">
                  <c:v>1.511832510717781E-2</c:v>
                </c:pt>
                <c:pt idx="78" formatCode="General">
                  <c:v>1.3040125112587564E-2</c:v>
                </c:pt>
                <c:pt idx="79" formatCode="General">
                  <c:v>1.1244337778071323E-2</c:v>
                </c:pt>
                <c:pt idx="80" formatCode="General">
                  <c:v>9.6934238053025812E-3</c:v>
                </c:pt>
                <c:pt idx="81" formatCode="General">
                  <c:v>8.3546174745615653E-3</c:v>
                </c:pt>
                <c:pt idx="82" formatCode="General">
                  <c:v>7.1993759954323E-3</c:v>
                </c:pt>
                <c:pt idx="83" formatCode="General">
                  <c:v>6.2028772571940394E-3</c:v>
                </c:pt>
                <c:pt idx="84" formatCode="General">
                  <c:v>5.3435661091475462E-3</c:v>
                </c:pt>
                <c:pt idx="85" formatCode="General">
                  <c:v>4.6027476644416865E-3</c:v>
                </c:pt>
                <c:pt idx="86" formatCode="General">
                  <c:v>3.9642250751049657E-3</c:v>
                </c:pt>
                <c:pt idx="87" formatCode="General">
                  <c:v>3.4139786141772488E-3</c:v>
                </c:pt>
                <c:pt idx="88" formatCode="General">
                  <c:v>2.9398826007416279E-3</c:v>
                </c:pt>
                <c:pt idx="89" formatCode="General">
                  <c:v>2.5314566216378953E-3</c:v>
                </c:pt>
                <c:pt idx="90" formatCode="General">
                  <c:v>2.1796475691444606E-3</c:v>
                </c:pt>
                <c:pt idx="91" formatCode="General">
                  <c:v>1.8766391747334632E-3</c:v>
                </c:pt>
                <c:pt idx="92" formatCode="General">
                  <c:v>1.6156859371333487E-3</c:v>
                </c:pt>
                <c:pt idx="93" formatCode="General">
                  <c:v>1.3909685912373293E-3</c:v>
                </c:pt>
                <c:pt idx="94" formatCode="General">
                  <c:v>1.1974685239601879E-3</c:v>
                </c:pt>
                <c:pt idx="95" formatCode="General">
                  <c:v>1.0308588011587183E-3</c:v>
                </c:pt>
                <c:pt idx="96" formatCode="General">
                  <c:v>8.8740971783596301E-4</c:v>
                </c:pt>
                <c:pt idx="97" formatCode="General">
                  <c:v>7.6390701694539764E-4</c:v>
                </c:pt>
                <c:pt idx="98" formatCode="General">
                  <c:v>6.5758113740532753E-4</c:v>
                </c:pt>
              </c:numCache>
            </c:numRef>
          </c:yVal>
          <c:smooth val="0"/>
        </c:ser>
        <c:dLbls>
          <c:showLegendKey val="0"/>
          <c:showVal val="0"/>
          <c:showCatName val="0"/>
          <c:showSerName val="0"/>
          <c:showPercent val="0"/>
          <c:showBubbleSize val="0"/>
        </c:dLbls>
        <c:axId val="137156864"/>
        <c:axId val="137502720"/>
      </c:scatterChart>
      <c:valAx>
        <c:axId val="137156864"/>
        <c:scaling>
          <c:orientation val="minMax"/>
          <c:max val="37880"/>
        </c:scaling>
        <c:delete val="0"/>
        <c:axPos val="b"/>
        <c:numFmt formatCode="m/d;@" sourceLinked="0"/>
        <c:majorTickMark val="out"/>
        <c:minorTickMark val="none"/>
        <c:tickLblPos val="nextTo"/>
        <c:crossAx val="137502720"/>
        <c:crosses val="autoZero"/>
        <c:crossBetween val="midCat"/>
        <c:majorUnit val="10"/>
      </c:valAx>
      <c:valAx>
        <c:axId val="137502720"/>
        <c:scaling>
          <c:orientation val="minMax"/>
          <c:max val="1"/>
          <c:min val="0"/>
        </c:scaling>
        <c:delete val="0"/>
        <c:axPos val="l"/>
        <c:numFmt formatCode="0%" sourceLinked="0"/>
        <c:majorTickMark val="out"/>
        <c:minorTickMark val="none"/>
        <c:tickLblPos val="nextTo"/>
        <c:crossAx val="137156864"/>
        <c:crosses val="autoZero"/>
        <c:crossBetween val="midCat"/>
      </c:valAx>
    </c:plotArea>
    <c:legend>
      <c:legendPos val="r"/>
      <c:layout>
        <c:manualLayout>
          <c:xMode val="edge"/>
          <c:yMode val="edge"/>
          <c:x val="0.78233791175254286"/>
          <c:y val="0.46976868238386066"/>
          <c:w val="0.17732730939338678"/>
          <c:h val="6.7237753131901834E-2"/>
        </c:manualLayout>
      </c:layout>
      <c:overlay val="0"/>
    </c:legend>
    <c:plotVisOnly val="1"/>
    <c:dispBlanksAs val="gap"/>
    <c:showDLblsOverMax val="0"/>
  </c:chart>
  <c:spPr>
    <a:ln>
      <a:noFill/>
    </a:ln>
  </c:spPr>
  <c:printSettings>
    <c:headerFooter/>
    <c:pageMargins b="0.75000000000000144" l="0.70000000000000062" r="0.70000000000000062" t="0.75000000000000144"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2006'!$AE$11:$AE$76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2006'!$AF$11:$AF$76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2006'!$AE$11:$AE$76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2006'!$AH$11:$AH$76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2006'!$AE$11:$AE$76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2006'!$AI$11:$AI$76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2006'!$AE$11:$AE$76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2006'!$AJ$11:$AJ$76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38452352"/>
        <c:axId val="138470528"/>
      </c:lineChart>
      <c:catAx>
        <c:axId val="138452352"/>
        <c:scaling>
          <c:orientation val="minMax"/>
        </c:scaling>
        <c:delete val="0"/>
        <c:axPos val="b"/>
        <c:majorTickMark val="out"/>
        <c:minorTickMark val="none"/>
        <c:tickLblPos val="nextTo"/>
        <c:crossAx val="138470528"/>
        <c:crosses val="autoZero"/>
        <c:auto val="1"/>
        <c:lblAlgn val="ctr"/>
        <c:lblOffset val="100"/>
        <c:noMultiLvlLbl val="0"/>
      </c:catAx>
      <c:valAx>
        <c:axId val="138470528"/>
        <c:scaling>
          <c:orientation val="minMax"/>
        </c:scaling>
        <c:delete val="0"/>
        <c:axPos val="l"/>
        <c:majorGridlines/>
        <c:numFmt formatCode="General" sourceLinked="1"/>
        <c:majorTickMark val="out"/>
        <c:minorTickMark val="none"/>
        <c:tickLblPos val="nextTo"/>
        <c:crossAx val="138452352"/>
        <c:crosses val="autoZero"/>
        <c:crossBetween val="between"/>
      </c:valAx>
    </c:plotArea>
    <c:legend>
      <c:legendPos val="r"/>
      <c:overlay val="0"/>
    </c:legend>
    <c:plotVisOnly val="1"/>
    <c:dispBlanksAs val="gap"/>
    <c:showDLblsOverMax val="0"/>
  </c:chart>
  <c:printSettings>
    <c:headerFooter/>
    <c:pageMargins b="0.75000000000000788" l="0.70000000000000062" r="0.70000000000000062" t="0.75000000000000788"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2006.</a:t>
            </a:r>
          </a:p>
        </c:rich>
      </c:tx>
      <c:layout/>
      <c:overlay val="1"/>
    </c:title>
    <c:autoTitleDeleted val="0"/>
    <c:plotArea>
      <c:layout>
        <c:manualLayout>
          <c:layoutTarget val="inner"/>
          <c:xMode val="edge"/>
          <c:yMode val="edge"/>
          <c:x val="8.6718017847973186E-2"/>
          <c:y val="0.18347335916691404"/>
          <c:w val="0.77807905912306563"/>
          <c:h val="0.73718054729184079"/>
        </c:manualLayout>
      </c:layout>
      <c:scatterChart>
        <c:scatterStyle val="smoothMarker"/>
        <c:varyColors val="0"/>
        <c:ser>
          <c:idx val="6"/>
          <c:order val="0"/>
          <c:tx>
            <c:v>2006 </c:v>
          </c:tx>
          <c:spPr>
            <a:ln w="73025">
              <a:solidFill>
                <a:sysClr val="windowText" lastClr="000000"/>
              </a:solidFill>
            </a:ln>
          </c:spPr>
          <c:marker>
            <c:symbol val="none"/>
          </c:marker>
          <c:xVal>
            <c:numRef>
              <c:f>'Logistic 2006'!$J$9:$J$107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2006'!$L$9:$L$107</c:f>
              <c:numCache>
                <c:formatCode>0.00%</c:formatCode>
                <c:ptCount val="99"/>
                <c:pt idx="0">
                  <c:v>1.2136687818076173E-4</c:v>
                </c:pt>
                <c:pt idx="1">
                  <c:v>1.454767462997331E-4</c:v>
                </c:pt>
                <c:pt idx="2">
                  <c:v>1.7437527154875112E-4</c:v>
                </c:pt>
                <c:pt idx="3">
                  <c:v>2.0901320330298033E-4</c:v>
                </c:pt>
                <c:pt idx="4">
                  <c:v>2.5052989527816132E-4</c:v>
                </c:pt>
                <c:pt idx="5">
                  <c:v>3.0029065023805794E-4</c:v>
                </c:pt>
                <c:pt idx="6">
                  <c:v>3.599314287779756E-4</c:v>
                </c:pt>
                <c:pt idx="7">
                  <c:v>4.3141236104103273E-4</c:v>
                </c:pt>
                <c:pt idx="8">
                  <c:v>5.1708177554267367E-4</c:v>
                </c:pt>
                <c:pt idx="9">
                  <c:v>6.1975278471460764E-4</c:v>
                </c:pt>
                <c:pt idx="10">
                  <c:v>7.4279485030652231E-4</c:v>
                </c:pt>
                <c:pt idx="11">
                  <c:v>8.9024320210936362E-4</c:v>
                </c:pt>
                <c:pt idx="12">
                  <c:v>1.0669295098102768E-3</c:v>
                </c:pt>
                <c:pt idx="13">
                  <c:v>1.2786378194842444E-3</c:v>
                </c:pt>
                <c:pt idx="14">
                  <c:v>1.5322904720000579E-3</c:v>
                </c:pt>
                <c:pt idx="15">
                  <c:v>1.8361695274595857E-3</c:v>
                </c:pt>
                <c:pt idx="16">
                  <c:v>2.2001801311776078E-3</c:v>
                </c:pt>
                <c:pt idx="17">
                  <c:v>2.6361632699189656E-3</c:v>
                </c:pt>
                <c:pt idx="18">
                  <c:v>3.1582664692195958E-3</c:v>
                </c:pt>
                <c:pt idx="19">
                  <c:v>3.7833821446993888E-3</c:v>
                </c:pt>
                <c:pt idx="20">
                  <c:v>4.531664489069576E-3</c:v>
                </c:pt>
                <c:pt idx="21">
                  <c:v>5.4271368627399966E-3</c:v>
                </c:pt>
                <c:pt idx="22">
                  <c:v>6.4984025179808729E-3</c:v>
                </c:pt>
                <c:pt idx="23">
                  <c:v>7.7794719086979602E-3</c:v>
                </c:pt>
                <c:pt idx="24">
                  <c:v>9.3107195009323306E-3</c:v>
                </c:pt>
                <c:pt idx="25">
                  <c:v>1.1139981443457733E-2</c:v>
                </c:pt>
                <c:pt idx="26">
                  <c:v>1.3323802037039761E-2</c:v>
                </c:pt>
                <c:pt idx="27">
                  <c:v>1.5928830769191979E-2</c:v>
                </c:pt>
                <c:pt idx="28">
                  <c:v>1.9033361578084801E-2</c:v>
                </c:pt>
                <c:pt idx="29">
                  <c:v>2.2728990453749348E-2</c:v>
                </c:pt>
                <c:pt idx="30">
                  <c:v>2.7122344601640591E-2</c:v>
                </c:pt>
                <c:pt idx="31">
                  <c:v>3.2336804010024853E-2</c:v>
                </c:pt>
                <c:pt idx="32">
                  <c:v>3.8514092097830847E-2</c:v>
                </c:pt>
                <c:pt idx="33">
                  <c:v>4.5815554201554094E-2</c:v>
                </c:pt>
                <c:pt idx="34">
                  <c:v>5.4422870092997587E-2</c:v>
                </c:pt>
                <c:pt idx="35">
                  <c:v>6.4537860947374764E-2</c:v>
                </c:pt>
                <c:pt idx="36">
                  <c:v>7.6380957860502405E-2</c:v>
                </c:pt>
                <c:pt idx="37">
                  <c:v>9.0187810496828433E-2</c:v>
                </c:pt>
                <c:pt idx="38">
                  <c:v>0.10620345257063696</c:v>
                </c:pt>
                <c:pt idx="39">
                  <c:v>0.12467343917118223</c:v>
                </c:pt>
                <c:pt idx="40" formatCode="0.000%">
                  <c:v>0.14583147470835986</c:v>
                </c:pt>
                <c:pt idx="41">
                  <c:v>0.16988331162664985</c:v>
                </c:pt>
                <c:pt idx="42">
                  <c:v>0.19698716524640092</c:v>
                </c:pt>
                <c:pt idx="43">
                  <c:v>0.22723157660467003</c:v>
                </c:pt>
                <c:pt idx="44">
                  <c:v>0.26061252043374916</c:v>
                </c:pt>
                <c:pt idx="45">
                  <c:v>0.29701246632256512</c:v>
                </c:pt>
                <c:pt idx="46">
                  <c:v>0.33618482244321546</c:v>
                </c:pt>
                <c:pt idx="47">
                  <c:v>0.37774741683009083</c:v>
                </c:pt>
                <c:pt idx="48">
                  <c:v>0.42118811358400887</c:v>
                </c:pt>
                <c:pt idx="49">
                  <c:v>0.46588418781569113</c:v>
                </c:pt>
                <c:pt idx="50">
                  <c:v>0.51113484507702922</c:v>
                </c:pt>
                <c:pt idx="51">
                  <c:v>0.55620374520928839</c:v>
                </c:pt>
                <c:pt idx="52">
                  <c:v>0.6003662690137247</c:v>
                </c:pt>
                <c:pt idx="53">
                  <c:v>0.64295520834022113</c:v>
                </c:pt>
                <c:pt idx="54">
                  <c:v>0.68339891531991881</c:v>
                </c:pt>
                <c:pt idx="55">
                  <c:v>0.72124759593279253</c:v>
                </c:pt>
                <c:pt idx="56">
                  <c:v>0.75618584470199735</c:v>
                </c:pt>
                <c:pt idx="57">
                  <c:v>0.78803197927653146</c:v>
                </c:pt>
                <c:pt idx="58">
                  <c:v>0.8167266358806099</c:v>
                </c:pt>
                <c:pt idx="59">
                  <c:v>0.84231410872063994</c:v>
                </c:pt>
                <c:pt idx="60">
                  <c:v>0.86492005933119276</c:v>
                </c:pt>
                <c:pt idx="61">
                  <c:v>0.88472871263514363</c:v>
                </c:pt>
                <c:pt idx="62">
                  <c:v>0.9019618067218419</c:v>
                </c:pt>
                <c:pt idx="63">
                  <c:v>0.91686065171343734</c:v>
                </c:pt>
                <c:pt idx="64">
                  <c:v>0.92967186529921186</c:v>
                </c:pt>
                <c:pt idx="65">
                  <c:v>0.94063677400441748</c:v>
                </c:pt>
                <c:pt idx="66">
                  <c:v>0.94998410888829909</c:v>
                </c:pt>
                <c:pt idx="67">
                  <c:v>0.95792544703602911</c:v>
                </c:pt>
                <c:pt idx="68">
                  <c:v>0.96465280457009817</c:v>
                </c:pt>
                <c:pt idx="69">
                  <c:v>0.97033782315910011</c:v>
                </c:pt>
                <c:pt idx="70">
                  <c:v>0.97513207040490868</c:v>
                </c:pt>
                <c:pt idx="71">
                  <c:v>0.97916806744250218</c:v>
                </c:pt>
                <c:pt idx="72">
                  <c:v>0.98256074775980229</c:v>
                </c:pt>
                <c:pt idx="73">
                  <c:v>0.98540913091853521</c:v>
                </c:pt>
                <c:pt idx="74">
                  <c:v>0.98779806022091565</c:v>
                </c:pt>
                <c:pt idx="75">
                  <c:v>0.98979990432167786</c:v>
                </c:pt>
                <c:pt idx="76">
                  <c:v>0.99147616087903767</c:v>
                </c:pt>
                <c:pt idx="77">
                  <c:v>0.99287892776618181</c:v>
                </c:pt>
                <c:pt idx="78">
                  <c:v>0.99405222638997925</c:v>
                </c:pt>
                <c:pt idx="79">
                  <c:v>0.99503317432603045</c:v>
                </c:pt>
                <c:pt idx="80">
                  <c:v>0.99585301248148794</c:v>
                </c:pt>
                <c:pt idx="81">
                  <c:v>0.99653799668842002</c:v>
                </c:pt>
                <c:pt idx="82">
                  <c:v>0.99711016603988278</c:v>
                </c:pt>
                <c:pt idx="83">
                  <c:v>0.99758800116940682</c:v>
                </c:pt>
                <c:pt idx="84">
                  <c:v>0.9979869855906518</c:v>
                </c:pt>
                <c:pt idx="85">
                  <c:v>0.99832008254290605</c:v>
                </c:pt>
                <c:pt idx="86">
                  <c:v>0.99859813879409598</c:v>
                </c:pt>
                <c:pt idx="87">
                  <c:v>0.99883022571215896</c:v>
                </c:pt>
                <c:pt idx="88">
                  <c:v>0.99902392674154572</c:v>
                </c:pt>
                <c:pt idx="89">
                  <c:v>0.99918557928409979</c:v>
                </c:pt>
                <c:pt idx="90">
                  <c:v>0.99932047792270495</c:v>
                </c:pt>
                <c:pt idx="91">
                  <c:v>0.99943304496206686</c:v>
                </c:pt>
                <c:pt idx="92">
                  <c:v>0.99952697340112706</c:v>
                </c:pt>
                <c:pt idx="93">
                  <c:v>0.99960534669515833</c:v>
                </c:pt>
                <c:pt idx="94">
                  <c:v>0.99967073900708225</c:v>
                </c:pt>
                <c:pt idx="95">
                  <c:v>0.99972529907896412</c:v>
                </c:pt>
                <c:pt idx="96">
                  <c:v>0.9997708203668394</c:v>
                </c:pt>
                <c:pt idx="97">
                  <c:v>0.99980879966566649</c:v>
                </c:pt>
                <c:pt idx="98">
                  <c:v>0.99984048609728016</c:v>
                </c:pt>
              </c:numCache>
            </c:numRef>
          </c:yVal>
          <c:smooth val="1"/>
        </c:ser>
        <c:ser>
          <c:idx val="7"/>
          <c:order val="1"/>
          <c:tx>
            <c:v>Point estimates</c:v>
          </c:tx>
          <c:spPr>
            <a:ln>
              <a:noFill/>
            </a:ln>
          </c:spPr>
          <c:marker>
            <c:symbol val="circle"/>
            <c:size val="11"/>
            <c:spPr>
              <a:solidFill>
                <a:srgbClr val="FFFF00"/>
              </a:solidFill>
              <a:ln>
                <a:solidFill>
                  <a:schemeClr val="tx1"/>
                </a:solidFill>
              </a:ln>
            </c:spPr>
          </c:marker>
          <c:xVal>
            <c:numRef>
              <c:f>'Logistic 2006'!$B$9:$B$14</c:f>
              <c:numCache>
                <c:formatCode>m/d;@</c:formatCode>
                <c:ptCount val="6"/>
                <c:pt idx="0">
                  <c:v>37785.5</c:v>
                </c:pt>
                <c:pt idx="1">
                  <c:v>37798.5</c:v>
                </c:pt>
                <c:pt idx="2">
                  <c:v>37805.5</c:v>
                </c:pt>
                <c:pt idx="3">
                  <c:v>37810.5</c:v>
                </c:pt>
                <c:pt idx="4">
                  <c:v>37817.5</c:v>
                </c:pt>
                <c:pt idx="5">
                  <c:v>37829.5</c:v>
                </c:pt>
              </c:numCache>
            </c:numRef>
          </c:xVal>
          <c:yVal>
            <c:numRef>
              <c:f>'Logistic 2006'!$E$9:$E$14</c:f>
              <c:numCache>
                <c:formatCode>0.0%</c:formatCode>
                <c:ptCount val="6"/>
                <c:pt idx="0">
                  <c:v>1.0999999999999999E-2</c:v>
                </c:pt>
                <c:pt idx="1">
                  <c:v>8.9999999999999993E-3</c:v>
                </c:pt>
                <c:pt idx="2">
                  <c:v>0.153</c:v>
                </c:pt>
                <c:pt idx="3">
                  <c:v>0.28499999999999998</c:v>
                </c:pt>
                <c:pt idx="4">
                  <c:v>0.57399999999999995</c:v>
                </c:pt>
                <c:pt idx="5">
                  <c:v>0.86299999999999999</c:v>
                </c:pt>
              </c:numCache>
            </c:numRef>
          </c:yVal>
          <c:smooth val="1"/>
        </c:ser>
        <c:dLbls>
          <c:showLegendKey val="0"/>
          <c:showVal val="0"/>
          <c:showCatName val="0"/>
          <c:showSerName val="0"/>
          <c:showPercent val="0"/>
          <c:showBubbleSize val="0"/>
        </c:dLbls>
        <c:axId val="137835648"/>
        <c:axId val="137837568"/>
      </c:scatterChart>
      <c:valAx>
        <c:axId val="137835648"/>
        <c:scaling>
          <c:orientation val="minMax"/>
          <c:max val="37833"/>
          <c:min val="37790"/>
        </c:scaling>
        <c:delete val="0"/>
        <c:axPos val="b"/>
        <c:numFmt formatCode="m/d;@" sourceLinked="0"/>
        <c:majorTickMark val="out"/>
        <c:minorTickMark val="none"/>
        <c:tickLblPos val="nextTo"/>
        <c:crossAx val="137837568"/>
        <c:crosses val="autoZero"/>
        <c:crossBetween val="midCat"/>
      </c:valAx>
      <c:valAx>
        <c:axId val="137837568"/>
        <c:scaling>
          <c:orientation val="minMax"/>
          <c:max val="1"/>
          <c:min val="0"/>
        </c:scaling>
        <c:delete val="0"/>
        <c:axPos val="l"/>
        <c:numFmt formatCode="0.00%" sourceLinked="1"/>
        <c:majorTickMark val="out"/>
        <c:minorTickMark val="none"/>
        <c:tickLblPos val="nextTo"/>
        <c:crossAx val="137835648"/>
        <c:crosses val="autoZero"/>
        <c:crossBetween val="midCat"/>
      </c:valAx>
      <c:spPr>
        <a:solidFill>
          <a:schemeClr val="bg1">
            <a:lumMod val="85000"/>
          </a:schemeClr>
        </a:solidFill>
      </c:spPr>
    </c:plotArea>
    <c:legend>
      <c:legendPos val="r"/>
      <c:layout/>
      <c:overlay val="0"/>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600" b="1" i="0" baseline="0"/>
              <a:t>Estimated transition from Black Lake (Early Run) to Chignik Lake (Late Run) Stock Composition from Genetic Analysis</a:t>
            </a:r>
            <a:endParaRPr lang="en-US" sz="1600"/>
          </a:p>
          <a:p>
            <a:pPr algn="ctr">
              <a:defRPr/>
            </a:pPr>
            <a:r>
              <a:rPr lang="en-US" sz="1600" b="1" i="0" baseline="0"/>
              <a:t> and Logistic model fit, 2017.  (black diamonds are inseason data points, red circles are standard anchor points, vertical bars are 95% conf</a:t>
            </a:r>
            <a:endParaRPr lang="en-US" sz="1600"/>
          </a:p>
        </c:rich>
      </c:tx>
      <c:overlay val="1"/>
    </c:title>
    <c:autoTitleDeleted val="0"/>
    <c:plotArea>
      <c:layout>
        <c:manualLayout>
          <c:layoutTarget val="inner"/>
          <c:xMode val="edge"/>
          <c:yMode val="edge"/>
          <c:x val="9.7324743119226231E-2"/>
          <c:y val="0.25318478738038347"/>
          <c:w val="0.8451809301776505"/>
          <c:h val="0.70140614634732557"/>
        </c:manualLayout>
      </c:layout>
      <c:scatterChart>
        <c:scatterStyle val="lineMarker"/>
        <c:varyColors val="0"/>
        <c:ser>
          <c:idx val="0"/>
          <c:order val="0"/>
          <c:tx>
            <c:v>2017 data points</c:v>
          </c:tx>
          <c:spPr>
            <a:ln w="28575">
              <a:noFill/>
            </a:ln>
          </c:spPr>
          <c:marker>
            <c:spPr>
              <a:solidFill>
                <a:schemeClr val="tx1"/>
              </a:solidFill>
              <a:ln>
                <a:solidFill>
                  <a:schemeClr val="tx1"/>
                </a:solidFill>
              </a:ln>
            </c:spPr>
          </c:marker>
          <c:dPt>
            <c:idx val="0"/>
            <c:marker>
              <c:symbol val="circle"/>
              <c:size val="7"/>
              <c:spPr>
                <a:solidFill>
                  <a:srgbClr val="FF0000"/>
                </a:solidFill>
                <a:ln>
                  <a:solidFill>
                    <a:schemeClr val="tx1"/>
                  </a:solidFill>
                </a:ln>
              </c:spPr>
            </c:marker>
            <c:bubble3D val="0"/>
          </c:dPt>
          <c:dPt>
            <c:idx val="7"/>
            <c:marker>
              <c:symbol val="circle"/>
              <c:size val="7"/>
              <c:spPr>
                <a:solidFill>
                  <a:srgbClr val="FF0000"/>
                </a:solidFill>
                <a:ln>
                  <a:solidFill>
                    <a:schemeClr val="tx1"/>
                  </a:solidFill>
                </a:ln>
              </c:spPr>
            </c:marker>
            <c:bubble3D val="0"/>
          </c:dPt>
          <c:errBars>
            <c:errDir val="y"/>
            <c:errBarType val="both"/>
            <c:errValType val="cust"/>
            <c:noEndCap val="0"/>
            <c:plus>
              <c:numRef>
                <c:f>'Logistic 2006'!$E$132:$E$139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plus>
            <c:minus>
              <c:numRef>
                <c:f>'Logistic 2006'!$E$132:$E$139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minus>
          </c:errBars>
          <c:errBars>
            <c:errDir val="x"/>
            <c:errBarType val="both"/>
            <c:errValType val="fixedVal"/>
            <c:noEndCap val="0"/>
            <c:val val="0"/>
          </c:errBars>
          <c:xVal>
            <c:numRef>
              <c:f>'Logistic 2006'!$B$132:$B$139</c:f>
              <c:numCache>
                <c:formatCode>m/d/yyyy</c:formatCode>
                <c:ptCount val="8"/>
                <c:pt idx="0">
                  <c:v>37766.5</c:v>
                </c:pt>
                <c:pt idx="1">
                  <c:v>37797.5</c:v>
                </c:pt>
                <c:pt idx="2">
                  <c:v>37803.5</c:v>
                </c:pt>
                <c:pt idx="3">
                  <c:v>37809.5</c:v>
                </c:pt>
                <c:pt idx="4">
                  <c:v>37815.5</c:v>
                </c:pt>
                <c:pt idx="5">
                  <c:v>37820.5</c:v>
                </c:pt>
                <c:pt idx="6">
                  <c:v>37825.5</c:v>
                </c:pt>
                <c:pt idx="7">
                  <c:v>37834.5</c:v>
                </c:pt>
              </c:numCache>
            </c:numRef>
          </c:xVal>
          <c:yVal>
            <c:numRef>
              <c:f>'Logistic 2006'!$F$132:$F$139</c:f>
              <c:numCache>
                <c:formatCode>0.00</c:formatCode>
                <c:ptCount val="8"/>
                <c:pt idx="0">
                  <c:v>1</c:v>
                </c:pt>
                <c:pt idx="1">
                  <c:v>0.98562633850000003</c:v>
                </c:pt>
                <c:pt idx="2">
                  <c:v>0.85469573705000002</c:v>
                </c:pt>
                <c:pt idx="3">
                  <c:v>0.71532108137999995</c:v>
                </c:pt>
                <c:pt idx="4">
                  <c:v>0.31686118160999999</c:v>
                </c:pt>
                <c:pt idx="5">
                  <c:v>0.41652184618999999</c:v>
                </c:pt>
                <c:pt idx="6">
                  <c:v>0.42876999218</c:v>
                </c:pt>
                <c:pt idx="7">
                  <c:v>0</c:v>
                </c:pt>
              </c:numCache>
            </c:numRef>
          </c:yVal>
          <c:smooth val="0"/>
        </c:ser>
        <c:ser>
          <c:idx val="2"/>
          <c:order val="1"/>
          <c:tx>
            <c:v>fitted logistic model</c:v>
          </c:tx>
          <c:spPr>
            <a:ln w="28575">
              <a:solidFill>
                <a:sysClr val="windowText" lastClr="000000"/>
              </a:solidFill>
            </a:ln>
          </c:spPr>
          <c:marker>
            <c:symbol val="none"/>
          </c:marker>
          <c:xVal>
            <c:numRef>
              <c:f>'Logistic 2006'!$C$152:$C$250</c:f>
              <c:numCache>
                <c:formatCode>General</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2006'!$D$152:$D$250</c:f>
              <c:numCache>
                <c:formatCode>0</c:formatCode>
                <c:ptCount val="99"/>
                <c:pt idx="0">
                  <c:v>0.99937189731766174</c:v>
                </c:pt>
                <c:pt idx="1">
                  <c:v>0.99927033440039681</c:v>
                </c:pt>
                <c:pt idx="2">
                  <c:v>0.99915236289651199</c:v>
                </c:pt>
                <c:pt idx="3">
                  <c:v>0.9990153366888026</c:v>
                </c:pt>
                <c:pt idx="4">
                  <c:v>0.99885618463641579</c:v>
                </c:pt>
                <c:pt idx="5">
                  <c:v>0.9986713429007984</c:v>
                </c:pt>
                <c:pt idx="6">
                  <c:v>0.9984566767039742</c:v>
                </c:pt>
                <c:pt idx="7">
                  <c:v>0.99820738994185276</c:v>
                </c:pt>
                <c:pt idx="8">
                  <c:v>0.99791792086573672</c:v>
                </c:pt>
                <c:pt idx="9">
                  <c:v>0.99758182181733823</c:v>
                </c:pt>
                <c:pt idx="10">
                  <c:v>0.99719162075867385</c:v>
                </c:pt>
                <c:pt idx="11">
                  <c:v>0.99673866208252038</c:v>
                </c:pt>
                <c:pt idx="12">
                  <c:v>0.99621292392889316</c:v>
                </c:pt>
                <c:pt idx="13">
                  <c:v>0.99560280897956932</c:v>
                </c:pt>
                <c:pt idx="14">
                  <c:v>0.9948949054728613</c:v>
                </c:pt>
                <c:pt idx="15">
                  <c:v>0.99407371499902086</c:v>
                </c:pt>
                <c:pt idx="16">
                  <c:v>0.99312134353716319</c:v>
                </c:pt>
                <c:pt idx="17">
                  <c:v>0.99201715222492926</c:v>
                </c:pt>
                <c:pt idx="18">
                  <c:v>0.99073736457669048</c:v>
                </c:pt>
                <c:pt idx="19">
                  <c:v>0.9892546273709848</c:v>
                </c:pt>
                <c:pt idx="20">
                  <c:v>0.98753752332597144</c:v>
                </c:pt>
                <c:pt idx="21">
                  <c:v>0.98555003511863482</c:v>
                </c:pt>
                <c:pt idx="22">
                  <c:v>0.98325096246333232</c:v>
                </c:pt>
                <c:pt idx="23">
                  <c:v>0.98059329707541876</c:v>
                </c:pt>
                <c:pt idx="24">
                  <c:v>0.97752356467890367</c:v>
                </c:pt>
                <c:pt idx="25">
                  <c:v>0.97398114908861111</c:v>
                </c:pt>
                <c:pt idx="26">
                  <c:v>0.96989762115253808</c:v>
                </c:pt>
                <c:pt idx="27">
                  <c:v>0.96519610532756117</c:v>
                </c:pt>
                <c:pt idx="28">
                  <c:v>0.95979072918333619</c:v>
                </c:pt>
                <c:pt idx="29">
                  <c:v>0.95358621635903895</c:v>
                </c:pt>
                <c:pt idx="30">
                  <c:v>0.94647770135664244</c:v>
                </c:pt>
                <c:pt idx="31">
                  <c:v>0.93835086453417804</c:v>
                </c:pt>
                <c:pt idx="32">
                  <c:v>0.92908250659040403</c:v>
                </c:pt>
                <c:pt idx="33">
                  <c:v>0.91854170158897652</c:v>
                </c:pt>
                <c:pt idx="34">
                  <c:v>0.90659168278816871</c:v>
                </c:pt>
                <c:pt idx="35">
                  <c:v>0.89309262135735867</c:v>
                </c:pt>
                <c:pt idx="36">
                  <c:v>0.87790544803816573</c:v>
                </c:pt>
                <c:pt idx="37">
                  <c:v>0.86089683421987606</c:v>
                </c:pt>
                <c:pt idx="38">
                  <c:v>0.84194538359625493</c:v>
                </c:pt>
                <c:pt idx="39">
                  <c:v>0.82094898166426189</c:v>
                </c:pt>
                <c:pt idx="40">
                  <c:v>0.79783310480175662</c:v>
                </c:pt>
                <c:pt idx="41" formatCode="General">
                  <c:v>0.7725597077788241</c:v>
                </c:pt>
                <c:pt idx="42" formatCode="General">
                  <c:v>0.74513610338185698</c:v>
                </c:pt>
                <c:pt idx="43" formatCode="General">
                  <c:v>0.71562304867688131</c:v>
                </c:pt>
                <c:pt idx="44" formatCode="General">
                  <c:v>0.68414110046366616</c:v>
                </c:pt>
                <c:pt idx="45" formatCode="General">
                  <c:v>0.65087424661609383</c:v>
                </c:pt>
                <c:pt idx="46" formatCode="General">
                  <c:v>0.61606990640824155</c:v>
                </c:pt>
                <c:pt idx="47" formatCode="General">
                  <c:v>0.58003464995789233</c:v>
                </c:pt>
                <c:pt idx="48" formatCode="General">
                  <c:v>0.54312540973269186</c:v>
                </c:pt>
                <c:pt idx="49" formatCode="General">
                  <c:v>0.50573649787531938</c:v>
                </c:pt>
                <c:pt idx="50" formatCode="General">
                  <c:v>0.46828331346233132</c:v>
                </c:pt>
                <c:pt idx="51" formatCode="General">
                  <c:v>0.43118411183772998</c:v>
                </c:pt>
                <c:pt idx="52" formatCode="General">
                  <c:v>0.39484150763108683</c:v>
                </c:pt>
                <c:pt idx="53" formatCode="General">
                  <c:v>0.35962542496913763</c:v>
                </c:pt>
                <c:pt idx="54" formatCode="General">
                  <c:v>0.32585898285623605</c:v>
                </c:pt>
                <c:pt idx="55" formatCode="General">
                  <c:v>0.29380836323121118</c:v>
                </c:pt>
                <c:pt idx="56" formatCode="General">
                  <c:v>0.26367715178528073</c:v>
                </c:pt>
                <c:pt idx="57" formatCode="General">
                  <c:v>0.23560508082824672</c:v>
                </c:pt>
                <c:pt idx="58" formatCode="General">
                  <c:v>0.20967063743947068</c:v>
                </c:pt>
                <c:pt idx="59" formatCode="General">
                  <c:v>0.18589668998513509</c:v>
                </c:pt>
                <c:pt idx="60" formatCode="General">
                  <c:v>0.16425814922380866</c:v>
                </c:pt>
                <c:pt idx="61" formatCode="General">
                  <c:v>0.14469069694444792</c:v>
                </c:pt>
                <c:pt idx="62" formatCode="General">
                  <c:v>0.12709974296797055</c:v>
                </c:pt>
                <c:pt idx="63" formatCode="General">
                  <c:v>0.11136896093811099</c:v>
                </c:pt>
                <c:pt idx="64" formatCode="General">
                  <c:v>9.7367960303295087E-2</c:v>
                </c:pt>
                <c:pt idx="65" formatCode="General">
                  <c:v>8.4958843777534709E-2</c:v>
                </c:pt>
                <c:pt idx="66" formatCode="General">
                  <c:v>7.4001557409438701E-2</c:v>
                </c:pt>
                <c:pt idx="67" formatCode="General">
                  <c:v>6.4358056974210931E-2</c:v>
                </c:pt>
                <c:pt idx="68" formatCode="General">
                  <c:v>5.5895390906604558E-2</c:v>
                </c:pt>
                <c:pt idx="69" formatCode="General">
                  <c:v>4.8487842437026307E-2</c:v>
                </c:pt>
                <c:pt idx="70" formatCode="General">
                  <c:v>4.2018289963551392E-2</c:v>
                </c:pt>
                <c:pt idx="71" formatCode="General">
                  <c:v>3.6378942971083794E-2</c:v>
                </c:pt>
                <c:pt idx="72" formatCode="General">
                  <c:v>3.147159787810494E-2</c:v>
                </c:pt>
                <c:pt idx="73" formatCode="General">
                  <c:v>2.7207539400781577E-2</c:v>
                </c:pt>
                <c:pt idx="74" formatCode="General">
                  <c:v>2.350719217767816E-2</c:v>
                </c:pt>
                <c:pt idx="75" formatCode="General">
                  <c:v>2.0299606966050265E-2</c:v>
                </c:pt>
                <c:pt idx="76" formatCode="General">
                  <c:v>1.7521847133122215E-2</c:v>
                </c:pt>
                <c:pt idx="77" formatCode="General">
                  <c:v>1.511832510717781E-2</c:v>
                </c:pt>
                <c:pt idx="78" formatCode="General">
                  <c:v>1.3040125112587564E-2</c:v>
                </c:pt>
                <c:pt idx="79" formatCode="General">
                  <c:v>1.1244337778071323E-2</c:v>
                </c:pt>
                <c:pt idx="80" formatCode="General">
                  <c:v>9.6934238053025812E-3</c:v>
                </c:pt>
                <c:pt idx="81" formatCode="General">
                  <c:v>8.3546174745615653E-3</c:v>
                </c:pt>
                <c:pt idx="82" formatCode="General">
                  <c:v>7.1993759954323E-3</c:v>
                </c:pt>
                <c:pt idx="83" formatCode="General">
                  <c:v>6.2028772571940394E-3</c:v>
                </c:pt>
                <c:pt idx="84" formatCode="General">
                  <c:v>5.3435661091475462E-3</c:v>
                </c:pt>
                <c:pt idx="85" formatCode="General">
                  <c:v>4.6027476644416865E-3</c:v>
                </c:pt>
                <c:pt idx="86" formatCode="General">
                  <c:v>3.9642250751049657E-3</c:v>
                </c:pt>
                <c:pt idx="87" formatCode="General">
                  <c:v>3.4139786141772488E-3</c:v>
                </c:pt>
                <c:pt idx="88" formatCode="General">
                  <c:v>2.9398826007416279E-3</c:v>
                </c:pt>
                <c:pt idx="89" formatCode="General">
                  <c:v>2.5314566216378953E-3</c:v>
                </c:pt>
                <c:pt idx="90" formatCode="General">
                  <c:v>2.1796475691444606E-3</c:v>
                </c:pt>
                <c:pt idx="91" formatCode="General">
                  <c:v>1.8766391747334632E-3</c:v>
                </c:pt>
                <c:pt idx="92" formatCode="General">
                  <c:v>1.6156859371333487E-3</c:v>
                </c:pt>
                <c:pt idx="93" formatCode="General">
                  <c:v>1.3909685912373293E-3</c:v>
                </c:pt>
                <c:pt idx="94" formatCode="General">
                  <c:v>1.1974685239601879E-3</c:v>
                </c:pt>
                <c:pt idx="95" formatCode="General">
                  <c:v>1.0308588011587183E-3</c:v>
                </c:pt>
                <c:pt idx="96" formatCode="General">
                  <c:v>8.8740971783596301E-4</c:v>
                </c:pt>
                <c:pt idx="97" formatCode="General">
                  <c:v>7.6390701694539764E-4</c:v>
                </c:pt>
                <c:pt idx="98" formatCode="General">
                  <c:v>6.5758113740532753E-4</c:v>
                </c:pt>
              </c:numCache>
            </c:numRef>
          </c:yVal>
          <c:smooth val="0"/>
        </c:ser>
        <c:dLbls>
          <c:showLegendKey val="0"/>
          <c:showVal val="0"/>
          <c:showCatName val="0"/>
          <c:showSerName val="0"/>
          <c:showPercent val="0"/>
          <c:showBubbleSize val="0"/>
        </c:dLbls>
        <c:axId val="137885184"/>
        <c:axId val="137886720"/>
      </c:scatterChart>
      <c:valAx>
        <c:axId val="137885184"/>
        <c:scaling>
          <c:orientation val="minMax"/>
          <c:max val="37880"/>
        </c:scaling>
        <c:delete val="0"/>
        <c:axPos val="b"/>
        <c:numFmt formatCode="m/d;@" sourceLinked="0"/>
        <c:majorTickMark val="out"/>
        <c:minorTickMark val="none"/>
        <c:tickLblPos val="nextTo"/>
        <c:crossAx val="137886720"/>
        <c:crosses val="autoZero"/>
        <c:crossBetween val="midCat"/>
        <c:majorUnit val="10"/>
      </c:valAx>
      <c:valAx>
        <c:axId val="137886720"/>
        <c:scaling>
          <c:orientation val="minMax"/>
          <c:max val="1"/>
          <c:min val="0"/>
        </c:scaling>
        <c:delete val="0"/>
        <c:axPos val="l"/>
        <c:numFmt formatCode="0%" sourceLinked="0"/>
        <c:majorTickMark val="out"/>
        <c:minorTickMark val="none"/>
        <c:tickLblPos val="nextTo"/>
        <c:crossAx val="137885184"/>
        <c:crosses val="autoZero"/>
        <c:crossBetween val="midCat"/>
      </c:valAx>
    </c:plotArea>
    <c:legend>
      <c:legendPos val="r"/>
      <c:layout>
        <c:manualLayout>
          <c:xMode val="edge"/>
          <c:yMode val="edge"/>
          <c:x val="0.78233791175254308"/>
          <c:y val="0.46976868238386044"/>
          <c:w val="0.17732730939338678"/>
          <c:h val="6.7237753131901834E-2"/>
        </c:manualLayout>
      </c:layout>
      <c:overlay val="0"/>
    </c:legend>
    <c:plotVisOnly val="1"/>
    <c:dispBlanksAs val="gap"/>
    <c:showDLblsOverMax val="0"/>
  </c:chart>
  <c:spPr>
    <a:ln>
      <a:noFill/>
    </a:ln>
  </c:spPr>
  <c:printSettings>
    <c:headerFooter/>
    <c:pageMargins b="0.75000000000000122" l="0.70000000000000062" r="0.70000000000000062" t="0.75000000000000122"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'gsi all'!$AE$11:$AE$76</c:f>
              <c:strCache>
                <c:ptCount val="66"/>
                <c:pt idx="0">
                  <c:v>Date</c:v>
                </c:pt>
                <c:pt idx="1">
                  <c:v>5/28/2017</c:v>
                </c:pt>
                <c:pt idx="2">
                  <c:v>5/29/2017</c:v>
                </c:pt>
                <c:pt idx="3">
                  <c:v>5/30/2017</c:v>
                </c:pt>
                <c:pt idx="4">
                  <c:v>5/31/2017</c:v>
                </c:pt>
                <c:pt idx="5">
                  <c:v>6/1/2017</c:v>
                </c:pt>
                <c:pt idx="6">
                  <c:v>6/2/2017</c:v>
                </c:pt>
                <c:pt idx="7">
                  <c:v>6/3/2017</c:v>
                </c:pt>
                <c:pt idx="8">
                  <c:v>6/4/2017</c:v>
                </c:pt>
                <c:pt idx="9">
                  <c:v>6/5/2017</c:v>
                </c:pt>
                <c:pt idx="10">
                  <c:v>6/6/2017</c:v>
                </c:pt>
                <c:pt idx="11">
                  <c:v>6/7/2017</c:v>
                </c:pt>
                <c:pt idx="12">
                  <c:v>6/8/2017</c:v>
                </c:pt>
                <c:pt idx="13">
                  <c:v>6/9/2017</c:v>
                </c:pt>
                <c:pt idx="14">
                  <c:v>6/10/2017</c:v>
                </c:pt>
                <c:pt idx="15">
                  <c:v>6/11/2017</c:v>
                </c:pt>
                <c:pt idx="16">
                  <c:v>6/12/2017</c:v>
                </c:pt>
                <c:pt idx="17">
                  <c:v>6/13/2017</c:v>
                </c:pt>
                <c:pt idx="18">
                  <c:v>6/14/2017</c:v>
                </c:pt>
                <c:pt idx="19">
                  <c:v>6/15/2017</c:v>
                </c:pt>
                <c:pt idx="20">
                  <c:v>6/16/2017</c:v>
                </c:pt>
                <c:pt idx="21">
                  <c:v>6/17/2017</c:v>
                </c:pt>
                <c:pt idx="22">
                  <c:v>6/18/2017</c:v>
                </c:pt>
                <c:pt idx="23">
                  <c:v>6/19/2017</c:v>
                </c:pt>
                <c:pt idx="24">
                  <c:v>6/20/2017</c:v>
                </c:pt>
                <c:pt idx="25">
                  <c:v>6/21/2017</c:v>
                </c:pt>
                <c:pt idx="26">
                  <c:v>6/22/2017</c:v>
                </c:pt>
                <c:pt idx="27">
                  <c:v>6/23/2017</c:v>
                </c:pt>
                <c:pt idx="28">
                  <c:v>6/24/2017</c:v>
                </c:pt>
                <c:pt idx="29">
                  <c:v>6/25/2017</c:v>
                </c:pt>
                <c:pt idx="30">
                  <c:v>6/26/2017</c:v>
                </c:pt>
                <c:pt idx="31">
                  <c:v>6/27/2017</c:v>
                </c:pt>
                <c:pt idx="32">
                  <c:v>6/28/2017</c:v>
                </c:pt>
                <c:pt idx="33">
                  <c:v>6/29/2017</c:v>
                </c:pt>
                <c:pt idx="34">
                  <c:v>6/30/2017</c:v>
                </c:pt>
                <c:pt idx="35">
                  <c:v>7/1/2017</c:v>
                </c:pt>
                <c:pt idx="36">
                  <c:v>7/2/2017</c:v>
                </c:pt>
                <c:pt idx="37">
                  <c:v>7/3/2017</c:v>
                </c:pt>
                <c:pt idx="38">
                  <c:v>7/4/2017</c:v>
                </c:pt>
                <c:pt idx="39">
                  <c:v>7/5/2017</c:v>
                </c:pt>
                <c:pt idx="40">
                  <c:v>7/6/2017</c:v>
                </c:pt>
                <c:pt idx="41">
                  <c:v>7/7/2017</c:v>
                </c:pt>
                <c:pt idx="42">
                  <c:v>7/8/2017</c:v>
                </c:pt>
                <c:pt idx="43">
                  <c:v>7/9/2017</c:v>
                </c:pt>
                <c:pt idx="44">
                  <c:v>7/10/2017</c:v>
                </c:pt>
                <c:pt idx="45">
                  <c:v>7/11/2017</c:v>
                </c:pt>
                <c:pt idx="46">
                  <c:v>7/12/2017</c:v>
                </c:pt>
                <c:pt idx="47">
                  <c:v>7/13/2017</c:v>
                </c:pt>
                <c:pt idx="48">
                  <c:v>7/14/2017</c:v>
                </c:pt>
                <c:pt idx="49">
                  <c:v>7/15/2017</c:v>
                </c:pt>
                <c:pt idx="50">
                  <c:v>7/16/2017</c:v>
                </c:pt>
                <c:pt idx="51">
                  <c:v>7/17/2017</c:v>
                </c:pt>
                <c:pt idx="52">
                  <c:v>7/18/2017</c:v>
                </c:pt>
                <c:pt idx="53">
                  <c:v>7/19/2017</c:v>
                </c:pt>
                <c:pt idx="54">
                  <c:v>7/20/2017</c:v>
                </c:pt>
                <c:pt idx="55">
                  <c:v>7/21/2017</c:v>
                </c:pt>
                <c:pt idx="56">
                  <c:v>7/22/2017</c:v>
                </c:pt>
                <c:pt idx="57">
                  <c:v>7/23/2017</c:v>
                </c:pt>
                <c:pt idx="58">
                  <c:v>7/24/2017</c:v>
                </c:pt>
                <c:pt idx="59">
                  <c:v>7/25/2017</c:v>
                </c:pt>
                <c:pt idx="60">
                  <c:v>7/26/2017</c:v>
                </c:pt>
                <c:pt idx="61">
                  <c:v>7/27/2017</c:v>
                </c:pt>
                <c:pt idx="62">
                  <c:v>7/28/2017</c:v>
                </c:pt>
                <c:pt idx="63">
                  <c:v>7/29/2017</c:v>
                </c:pt>
                <c:pt idx="64">
                  <c:v>7/30/2017</c:v>
                </c:pt>
                <c:pt idx="65">
                  <c:v>7/31/2017</c:v>
                </c:pt>
              </c:strCache>
            </c:strRef>
          </c:cat>
          <c:val>
            <c:numRef>
              <c:f>'gsi all'!$AF$11:$AF$76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'gsi all'!$AE$11:$AE$76</c:f>
              <c:strCache>
                <c:ptCount val="66"/>
                <c:pt idx="0">
                  <c:v>Date</c:v>
                </c:pt>
                <c:pt idx="1">
                  <c:v>5/28/2017</c:v>
                </c:pt>
                <c:pt idx="2">
                  <c:v>5/29/2017</c:v>
                </c:pt>
                <c:pt idx="3">
                  <c:v>5/30/2017</c:v>
                </c:pt>
                <c:pt idx="4">
                  <c:v>5/31/2017</c:v>
                </c:pt>
                <c:pt idx="5">
                  <c:v>6/1/2017</c:v>
                </c:pt>
                <c:pt idx="6">
                  <c:v>6/2/2017</c:v>
                </c:pt>
                <c:pt idx="7">
                  <c:v>6/3/2017</c:v>
                </c:pt>
                <c:pt idx="8">
                  <c:v>6/4/2017</c:v>
                </c:pt>
                <c:pt idx="9">
                  <c:v>6/5/2017</c:v>
                </c:pt>
                <c:pt idx="10">
                  <c:v>6/6/2017</c:v>
                </c:pt>
                <c:pt idx="11">
                  <c:v>6/7/2017</c:v>
                </c:pt>
                <c:pt idx="12">
                  <c:v>6/8/2017</c:v>
                </c:pt>
                <c:pt idx="13">
                  <c:v>6/9/2017</c:v>
                </c:pt>
                <c:pt idx="14">
                  <c:v>6/10/2017</c:v>
                </c:pt>
                <c:pt idx="15">
                  <c:v>6/11/2017</c:v>
                </c:pt>
                <c:pt idx="16">
                  <c:v>6/12/2017</c:v>
                </c:pt>
                <c:pt idx="17">
                  <c:v>6/13/2017</c:v>
                </c:pt>
                <c:pt idx="18">
                  <c:v>6/14/2017</c:v>
                </c:pt>
                <c:pt idx="19">
                  <c:v>6/15/2017</c:v>
                </c:pt>
                <c:pt idx="20">
                  <c:v>6/16/2017</c:v>
                </c:pt>
                <c:pt idx="21">
                  <c:v>6/17/2017</c:v>
                </c:pt>
                <c:pt idx="22">
                  <c:v>6/18/2017</c:v>
                </c:pt>
                <c:pt idx="23">
                  <c:v>6/19/2017</c:v>
                </c:pt>
                <c:pt idx="24">
                  <c:v>6/20/2017</c:v>
                </c:pt>
                <c:pt idx="25">
                  <c:v>6/21/2017</c:v>
                </c:pt>
                <c:pt idx="26">
                  <c:v>6/22/2017</c:v>
                </c:pt>
                <c:pt idx="27">
                  <c:v>6/23/2017</c:v>
                </c:pt>
                <c:pt idx="28">
                  <c:v>6/24/2017</c:v>
                </c:pt>
                <c:pt idx="29">
                  <c:v>6/25/2017</c:v>
                </c:pt>
                <c:pt idx="30">
                  <c:v>6/26/2017</c:v>
                </c:pt>
                <c:pt idx="31">
                  <c:v>6/27/2017</c:v>
                </c:pt>
                <c:pt idx="32">
                  <c:v>6/28/2017</c:v>
                </c:pt>
                <c:pt idx="33">
                  <c:v>6/29/2017</c:v>
                </c:pt>
                <c:pt idx="34">
                  <c:v>6/30/2017</c:v>
                </c:pt>
                <c:pt idx="35">
                  <c:v>7/1/2017</c:v>
                </c:pt>
                <c:pt idx="36">
                  <c:v>7/2/2017</c:v>
                </c:pt>
                <c:pt idx="37">
                  <c:v>7/3/2017</c:v>
                </c:pt>
                <c:pt idx="38">
                  <c:v>7/4/2017</c:v>
                </c:pt>
                <c:pt idx="39">
                  <c:v>7/5/2017</c:v>
                </c:pt>
                <c:pt idx="40">
                  <c:v>7/6/2017</c:v>
                </c:pt>
                <c:pt idx="41">
                  <c:v>7/7/2017</c:v>
                </c:pt>
                <c:pt idx="42">
                  <c:v>7/8/2017</c:v>
                </c:pt>
                <c:pt idx="43">
                  <c:v>7/9/2017</c:v>
                </c:pt>
                <c:pt idx="44">
                  <c:v>7/10/2017</c:v>
                </c:pt>
                <c:pt idx="45">
                  <c:v>7/11/2017</c:v>
                </c:pt>
                <c:pt idx="46">
                  <c:v>7/12/2017</c:v>
                </c:pt>
                <c:pt idx="47">
                  <c:v>7/13/2017</c:v>
                </c:pt>
                <c:pt idx="48">
                  <c:v>7/14/2017</c:v>
                </c:pt>
                <c:pt idx="49">
                  <c:v>7/15/2017</c:v>
                </c:pt>
                <c:pt idx="50">
                  <c:v>7/16/2017</c:v>
                </c:pt>
                <c:pt idx="51">
                  <c:v>7/17/2017</c:v>
                </c:pt>
                <c:pt idx="52">
                  <c:v>7/18/2017</c:v>
                </c:pt>
                <c:pt idx="53">
                  <c:v>7/19/2017</c:v>
                </c:pt>
                <c:pt idx="54">
                  <c:v>7/20/2017</c:v>
                </c:pt>
                <c:pt idx="55">
                  <c:v>7/21/2017</c:v>
                </c:pt>
                <c:pt idx="56">
                  <c:v>7/22/2017</c:v>
                </c:pt>
                <c:pt idx="57">
                  <c:v>7/23/2017</c:v>
                </c:pt>
                <c:pt idx="58">
                  <c:v>7/24/2017</c:v>
                </c:pt>
                <c:pt idx="59">
                  <c:v>7/25/2017</c:v>
                </c:pt>
                <c:pt idx="60">
                  <c:v>7/26/2017</c:v>
                </c:pt>
                <c:pt idx="61">
                  <c:v>7/27/2017</c:v>
                </c:pt>
                <c:pt idx="62">
                  <c:v>7/28/2017</c:v>
                </c:pt>
                <c:pt idx="63">
                  <c:v>7/29/2017</c:v>
                </c:pt>
                <c:pt idx="64">
                  <c:v>7/30/2017</c:v>
                </c:pt>
                <c:pt idx="65">
                  <c:v>7/31/2017</c:v>
                </c:pt>
              </c:strCache>
            </c:strRef>
          </c:cat>
          <c:val>
            <c:numRef>
              <c:f>'gsi all'!$AH$11:$AH$76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'gsi all'!$AE$11:$AE$76</c:f>
              <c:strCache>
                <c:ptCount val="66"/>
                <c:pt idx="0">
                  <c:v>Date</c:v>
                </c:pt>
                <c:pt idx="1">
                  <c:v>5/28/2017</c:v>
                </c:pt>
                <c:pt idx="2">
                  <c:v>5/29/2017</c:v>
                </c:pt>
                <c:pt idx="3">
                  <c:v>5/30/2017</c:v>
                </c:pt>
                <c:pt idx="4">
                  <c:v>5/31/2017</c:v>
                </c:pt>
                <c:pt idx="5">
                  <c:v>6/1/2017</c:v>
                </c:pt>
                <c:pt idx="6">
                  <c:v>6/2/2017</c:v>
                </c:pt>
                <c:pt idx="7">
                  <c:v>6/3/2017</c:v>
                </c:pt>
                <c:pt idx="8">
                  <c:v>6/4/2017</c:v>
                </c:pt>
                <c:pt idx="9">
                  <c:v>6/5/2017</c:v>
                </c:pt>
                <c:pt idx="10">
                  <c:v>6/6/2017</c:v>
                </c:pt>
                <c:pt idx="11">
                  <c:v>6/7/2017</c:v>
                </c:pt>
                <c:pt idx="12">
                  <c:v>6/8/2017</c:v>
                </c:pt>
                <c:pt idx="13">
                  <c:v>6/9/2017</c:v>
                </c:pt>
                <c:pt idx="14">
                  <c:v>6/10/2017</c:v>
                </c:pt>
                <c:pt idx="15">
                  <c:v>6/11/2017</c:v>
                </c:pt>
                <c:pt idx="16">
                  <c:v>6/12/2017</c:v>
                </c:pt>
                <c:pt idx="17">
                  <c:v>6/13/2017</c:v>
                </c:pt>
                <c:pt idx="18">
                  <c:v>6/14/2017</c:v>
                </c:pt>
                <c:pt idx="19">
                  <c:v>6/15/2017</c:v>
                </c:pt>
                <c:pt idx="20">
                  <c:v>6/16/2017</c:v>
                </c:pt>
                <c:pt idx="21">
                  <c:v>6/17/2017</c:v>
                </c:pt>
                <c:pt idx="22">
                  <c:v>6/18/2017</c:v>
                </c:pt>
                <c:pt idx="23">
                  <c:v>6/19/2017</c:v>
                </c:pt>
                <c:pt idx="24">
                  <c:v>6/20/2017</c:v>
                </c:pt>
                <c:pt idx="25">
                  <c:v>6/21/2017</c:v>
                </c:pt>
                <c:pt idx="26">
                  <c:v>6/22/2017</c:v>
                </c:pt>
                <c:pt idx="27">
                  <c:v>6/23/2017</c:v>
                </c:pt>
                <c:pt idx="28">
                  <c:v>6/24/2017</c:v>
                </c:pt>
                <c:pt idx="29">
                  <c:v>6/25/2017</c:v>
                </c:pt>
                <c:pt idx="30">
                  <c:v>6/26/2017</c:v>
                </c:pt>
                <c:pt idx="31">
                  <c:v>6/27/2017</c:v>
                </c:pt>
                <c:pt idx="32">
                  <c:v>6/28/2017</c:v>
                </c:pt>
                <c:pt idx="33">
                  <c:v>6/29/2017</c:v>
                </c:pt>
                <c:pt idx="34">
                  <c:v>6/30/2017</c:v>
                </c:pt>
                <c:pt idx="35">
                  <c:v>7/1/2017</c:v>
                </c:pt>
                <c:pt idx="36">
                  <c:v>7/2/2017</c:v>
                </c:pt>
                <c:pt idx="37">
                  <c:v>7/3/2017</c:v>
                </c:pt>
                <c:pt idx="38">
                  <c:v>7/4/2017</c:v>
                </c:pt>
                <c:pt idx="39">
                  <c:v>7/5/2017</c:v>
                </c:pt>
                <c:pt idx="40">
                  <c:v>7/6/2017</c:v>
                </c:pt>
                <c:pt idx="41">
                  <c:v>7/7/2017</c:v>
                </c:pt>
                <c:pt idx="42">
                  <c:v>7/8/2017</c:v>
                </c:pt>
                <c:pt idx="43">
                  <c:v>7/9/2017</c:v>
                </c:pt>
                <c:pt idx="44">
                  <c:v>7/10/2017</c:v>
                </c:pt>
                <c:pt idx="45">
                  <c:v>7/11/2017</c:v>
                </c:pt>
                <c:pt idx="46">
                  <c:v>7/12/2017</c:v>
                </c:pt>
                <c:pt idx="47">
                  <c:v>7/13/2017</c:v>
                </c:pt>
                <c:pt idx="48">
                  <c:v>7/14/2017</c:v>
                </c:pt>
                <c:pt idx="49">
                  <c:v>7/15/2017</c:v>
                </c:pt>
                <c:pt idx="50">
                  <c:v>7/16/2017</c:v>
                </c:pt>
                <c:pt idx="51">
                  <c:v>7/17/2017</c:v>
                </c:pt>
                <c:pt idx="52">
                  <c:v>7/18/2017</c:v>
                </c:pt>
                <c:pt idx="53">
                  <c:v>7/19/2017</c:v>
                </c:pt>
                <c:pt idx="54">
                  <c:v>7/20/2017</c:v>
                </c:pt>
                <c:pt idx="55">
                  <c:v>7/21/2017</c:v>
                </c:pt>
                <c:pt idx="56">
                  <c:v>7/22/2017</c:v>
                </c:pt>
                <c:pt idx="57">
                  <c:v>7/23/2017</c:v>
                </c:pt>
                <c:pt idx="58">
                  <c:v>7/24/2017</c:v>
                </c:pt>
                <c:pt idx="59">
                  <c:v>7/25/2017</c:v>
                </c:pt>
                <c:pt idx="60">
                  <c:v>7/26/2017</c:v>
                </c:pt>
                <c:pt idx="61">
                  <c:v>7/27/2017</c:v>
                </c:pt>
                <c:pt idx="62">
                  <c:v>7/28/2017</c:v>
                </c:pt>
                <c:pt idx="63">
                  <c:v>7/29/2017</c:v>
                </c:pt>
                <c:pt idx="64">
                  <c:v>7/30/2017</c:v>
                </c:pt>
                <c:pt idx="65">
                  <c:v>7/31/2017</c:v>
                </c:pt>
              </c:strCache>
            </c:strRef>
          </c:cat>
          <c:val>
            <c:numRef>
              <c:f>'gsi all'!$AI$11:$AI$76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'gsi all'!$AE$11:$AE$76</c:f>
              <c:strCache>
                <c:ptCount val="66"/>
                <c:pt idx="0">
                  <c:v>Date</c:v>
                </c:pt>
                <c:pt idx="1">
                  <c:v>5/28/2017</c:v>
                </c:pt>
                <c:pt idx="2">
                  <c:v>5/29/2017</c:v>
                </c:pt>
                <c:pt idx="3">
                  <c:v>5/30/2017</c:v>
                </c:pt>
                <c:pt idx="4">
                  <c:v>5/31/2017</c:v>
                </c:pt>
                <c:pt idx="5">
                  <c:v>6/1/2017</c:v>
                </c:pt>
                <c:pt idx="6">
                  <c:v>6/2/2017</c:v>
                </c:pt>
                <c:pt idx="7">
                  <c:v>6/3/2017</c:v>
                </c:pt>
                <c:pt idx="8">
                  <c:v>6/4/2017</c:v>
                </c:pt>
                <c:pt idx="9">
                  <c:v>6/5/2017</c:v>
                </c:pt>
                <c:pt idx="10">
                  <c:v>6/6/2017</c:v>
                </c:pt>
                <c:pt idx="11">
                  <c:v>6/7/2017</c:v>
                </c:pt>
                <c:pt idx="12">
                  <c:v>6/8/2017</c:v>
                </c:pt>
                <c:pt idx="13">
                  <c:v>6/9/2017</c:v>
                </c:pt>
                <c:pt idx="14">
                  <c:v>6/10/2017</c:v>
                </c:pt>
                <c:pt idx="15">
                  <c:v>6/11/2017</c:v>
                </c:pt>
                <c:pt idx="16">
                  <c:v>6/12/2017</c:v>
                </c:pt>
                <c:pt idx="17">
                  <c:v>6/13/2017</c:v>
                </c:pt>
                <c:pt idx="18">
                  <c:v>6/14/2017</c:v>
                </c:pt>
                <c:pt idx="19">
                  <c:v>6/15/2017</c:v>
                </c:pt>
                <c:pt idx="20">
                  <c:v>6/16/2017</c:v>
                </c:pt>
                <c:pt idx="21">
                  <c:v>6/17/2017</c:v>
                </c:pt>
                <c:pt idx="22">
                  <c:v>6/18/2017</c:v>
                </c:pt>
                <c:pt idx="23">
                  <c:v>6/19/2017</c:v>
                </c:pt>
                <c:pt idx="24">
                  <c:v>6/20/2017</c:v>
                </c:pt>
                <c:pt idx="25">
                  <c:v>6/21/2017</c:v>
                </c:pt>
                <c:pt idx="26">
                  <c:v>6/22/2017</c:v>
                </c:pt>
                <c:pt idx="27">
                  <c:v>6/23/2017</c:v>
                </c:pt>
                <c:pt idx="28">
                  <c:v>6/24/2017</c:v>
                </c:pt>
                <c:pt idx="29">
                  <c:v>6/25/2017</c:v>
                </c:pt>
                <c:pt idx="30">
                  <c:v>6/26/2017</c:v>
                </c:pt>
                <c:pt idx="31">
                  <c:v>6/27/2017</c:v>
                </c:pt>
                <c:pt idx="32">
                  <c:v>6/28/2017</c:v>
                </c:pt>
                <c:pt idx="33">
                  <c:v>6/29/2017</c:v>
                </c:pt>
                <c:pt idx="34">
                  <c:v>6/30/2017</c:v>
                </c:pt>
                <c:pt idx="35">
                  <c:v>7/1/2017</c:v>
                </c:pt>
                <c:pt idx="36">
                  <c:v>7/2/2017</c:v>
                </c:pt>
                <c:pt idx="37">
                  <c:v>7/3/2017</c:v>
                </c:pt>
                <c:pt idx="38">
                  <c:v>7/4/2017</c:v>
                </c:pt>
                <c:pt idx="39">
                  <c:v>7/5/2017</c:v>
                </c:pt>
                <c:pt idx="40">
                  <c:v>7/6/2017</c:v>
                </c:pt>
                <c:pt idx="41">
                  <c:v>7/7/2017</c:v>
                </c:pt>
                <c:pt idx="42">
                  <c:v>7/8/2017</c:v>
                </c:pt>
                <c:pt idx="43">
                  <c:v>7/9/2017</c:v>
                </c:pt>
                <c:pt idx="44">
                  <c:v>7/10/2017</c:v>
                </c:pt>
                <c:pt idx="45">
                  <c:v>7/11/2017</c:v>
                </c:pt>
                <c:pt idx="46">
                  <c:v>7/12/2017</c:v>
                </c:pt>
                <c:pt idx="47">
                  <c:v>7/13/2017</c:v>
                </c:pt>
                <c:pt idx="48">
                  <c:v>7/14/2017</c:v>
                </c:pt>
                <c:pt idx="49">
                  <c:v>7/15/2017</c:v>
                </c:pt>
                <c:pt idx="50">
                  <c:v>7/16/2017</c:v>
                </c:pt>
                <c:pt idx="51">
                  <c:v>7/17/2017</c:v>
                </c:pt>
                <c:pt idx="52">
                  <c:v>7/18/2017</c:v>
                </c:pt>
                <c:pt idx="53">
                  <c:v>7/19/2017</c:v>
                </c:pt>
                <c:pt idx="54">
                  <c:v>7/20/2017</c:v>
                </c:pt>
                <c:pt idx="55">
                  <c:v>7/21/2017</c:v>
                </c:pt>
                <c:pt idx="56">
                  <c:v>7/22/2017</c:v>
                </c:pt>
                <c:pt idx="57">
                  <c:v>7/23/2017</c:v>
                </c:pt>
                <c:pt idx="58">
                  <c:v>7/24/2017</c:v>
                </c:pt>
                <c:pt idx="59">
                  <c:v>7/25/2017</c:v>
                </c:pt>
                <c:pt idx="60">
                  <c:v>7/26/2017</c:v>
                </c:pt>
                <c:pt idx="61">
                  <c:v>7/27/2017</c:v>
                </c:pt>
                <c:pt idx="62">
                  <c:v>7/28/2017</c:v>
                </c:pt>
                <c:pt idx="63">
                  <c:v>7/29/2017</c:v>
                </c:pt>
                <c:pt idx="64">
                  <c:v>7/30/2017</c:v>
                </c:pt>
                <c:pt idx="65">
                  <c:v>7/31/2017</c:v>
                </c:pt>
              </c:strCache>
            </c:strRef>
          </c:cat>
          <c:val>
            <c:numRef>
              <c:f>'gsi all'!$AJ$11:$AJ$76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39057792"/>
        <c:axId val="139063680"/>
      </c:lineChart>
      <c:catAx>
        <c:axId val="139057792"/>
        <c:scaling>
          <c:orientation val="minMax"/>
        </c:scaling>
        <c:delete val="0"/>
        <c:axPos val="b"/>
        <c:majorTickMark val="out"/>
        <c:minorTickMark val="none"/>
        <c:tickLblPos val="nextTo"/>
        <c:crossAx val="139063680"/>
        <c:crosses val="autoZero"/>
        <c:auto val="1"/>
        <c:lblAlgn val="ctr"/>
        <c:lblOffset val="100"/>
        <c:noMultiLvlLbl val="0"/>
      </c:catAx>
      <c:valAx>
        <c:axId val="139063680"/>
        <c:scaling>
          <c:orientation val="minMax"/>
        </c:scaling>
        <c:delete val="0"/>
        <c:axPos val="l"/>
        <c:majorGridlines/>
        <c:numFmt formatCode="General" sourceLinked="1"/>
        <c:majorTickMark val="out"/>
        <c:minorTickMark val="none"/>
        <c:tickLblPos val="nextTo"/>
        <c:crossAx val="139057792"/>
        <c:crosses val="autoZero"/>
        <c:crossBetween val="between"/>
      </c:valAx>
    </c:plotArea>
    <c:legend>
      <c:legendPos val="r"/>
      <c:overlay val="0"/>
    </c:legend>
    <c:plotVisOnly val="1"/>
    <c:dispBlanksAs val="gap"/>
    <c:showDLblsOverMax val="0"/>
  </c:chart>
  <c:printSettings>
    <c:headerFooter/>
    <c:pageMargins b="0.7500000000000081" l="0.70000000000000062" r="0.70000000000000062" t="0.750000000000008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'gsi all'!$B$9:$B$70</c:f>
              <c:numCache>
                <c:formatCode>d\-mmm</c:formatCode>
                <c:ptCount val="62"/>
                <c:pt idx="0">
                  <c:v>42900</c:v>
                </c:pt>
                <c:pt idx="1">
                  <c:v>42907</c:v>
                </c:pt>
                <c:pt idx="2">
                  <c:v>42913</c:v>
                </c:pt>
                <c:pt idx="3">
                  <c:v>42917</c:v>
                </c:pt>
                <c:pt idx="4">
                  <c:v>42921</c:v>
                </c:pt>
                <c:pt idx="5">
                  <c:v>42924</c:v>
                </c:pt>
                <c:pt idx="6">
                  <c:v>42927</c:v>
                </c:pt>
                <c:pt idx="7">
                  <c:v>42930</c:v>
                </c:pt>
                <c:pt idx="8">
                  <c:v>42934</c:v>
                </c:pt>
                <c:pt idx="9">
                  <c:v>42939</c:v>
                </c:pt>
                <c:pt idx="10">
                  <c:v>42946</c:v>
                </c:pt>
                <c:pt idx="11">
                  <c:v>42896</c:v>
                </c:pt>
                <c:pt idx="12">
                  <c:v>42903</c:v>
                </c:pt>
                <c:pt idx="13">
                  <c:v>42910</c:v>
                </c:pt>
                <c:pt idx="14">
                  <c:v>42914</c:v>
                </c:pt>
                <c:pt idx="15">
                  <c:v>42918</c:v>
                </c:pt>
                <c:pt idx="16">
                  <c:v>42921</c:v>
                </c:pt>
                <c:pt idx="17">
                  <c:v>42925</c:v>
                </c:pt>
                <c:pt idx="18">
                  <c:v>42928</c:v>
                </c:pt>
                <c:pt idx="19">
                  <c:v>42930</c:v>
                </c:pt>
                <c:pt idx="20">
                  <c:v>42937</c:v>
                </c:pt>
                <c:pt idx="21">
                  <c:v>42944</c:v>
                </c:pt>
                <c:pt idx="22">
                  <c:v>42897</c:v>
                </c:pt>
                <c:pt idx="23">
                  <c:v>42904</c:v>
                </c:pt>
                <c:pt idx="24">
                  <c:v>42911</c:v>
                </c:pt>
                <c:pt idx="25">
                  <c:v>42917</c:v>
                </c:pt>
                <c:pt idx="26">
                  <c:v>42921</c:v>
                </c:pt>
                <c:pt idx="27">
                  <c:v>42924</c:v>
                </c:pt>
                <c:pt idx="28">
                  <c:v>42927</c:v>
                </c:pt>
                <c:pt idx="29">
                  <c:v>42930</c:v>
                </c:pt>
                <c:pt idx="30">
                  <c:v>42933</c:v>
                </c:pt>
                <c:pt idx="31">
                  <c:v>42937</c:v>
                </c:pt>
                <c:pt idx="32">
                  <c:v>42944</c:v>
                </c:pt>
                <c:pt idx="33">
                  <c:v>42913</c:v>
                </c:pt>
                <c:pt idx="34">
                  <c:v>42917</c:v>
                </c:pt>
                <c:pt idx="35">
                  <c:v>42921</c:v>
                </c:pt>
                <c:pt idx="36">
                  <c:v>42924</c:v>
                </c:pt>
                <c:pt idx="37">
                  <c:v>42930</c:v>
                </c:pt>
                <c:pt idx="38">
                  <c:v>42914</c:v>
                </c:pt>
                <c:pt idx="39">
                  <c:v>42918</c:v>
                </c:pt>
                <c:pt idx="40">
                  <c:v>42922</c:v>
                </c:pt>
                <c:pt idx="41">
                  <c:v>42926</c:v>
                </c:pt>
                <c:pt idx="42">
                  <c:v>42930</c:v>
                </c:pt>
                <c:pt idx="43">
                  <c:v>42934</c:v>
                </c:pt>
                <c:pt idx="44">
                  <c:v>42913</c:v>
                </c:pt>
                <c:pt idx="45">
                  <c:v>42917</c:v>
                </c:pt>
                <c:pt idx="46">
                  <c:v>42921</c:v>
                </c:pt>
                <c:pt idx="47">
                  <c:v>42928</c:v>
                </c:pt>
                <c:pt idx="48">
                  <c:v>42934</c:v>
                </c:pt>
                <c:pt idx="49">
                  <c:v>42941</c:v>
                </c:pt>
                <c:pt idx="50">
                  <c:v>42913</c:v>
                </c:pt>
                <c:pt idx="51">
                  <c:v>42918</c:v>
                </c:pt>
                <c:pt idx="52">
                  <c:v>42923</c:v>
                </c:pt>
                <c:pt idx="53">
                  <c:v>42928</c:v>
                </c:pt>
                <c:pt idx="54">
                  <c:v>42933</c:v>
                </c:pt>
                <c:pt idx="55">
                  <c:v>42942</c:v>
                </c:pt>
                <c:pt idx="56">
                  <c:v>42911</c:v>
                </c:pt>
                <c:pt idx="57">
                  <c:v>42917</c:v>
                </c:pt>
                <c:pt idx="58">
                  <c:v>42923</c:v>
                </c:pt>
                <c:pt idx="59">
                  <c:v>42929</c:v>
                </c:pt>
                <c:pt idx="60">
                  <c:v>42934</c:v>
                </c:pt>
                <c:pt idx="61">
                  <c:v>42939</c:v>
                </c:pt>
              </c:numCache>
            </c:numRef>
          </c:xVal>
          <c:yVal>
            <c:numRef>
              <c:f>'gsi all'!$E$9:$E$70</c:f>
              <c:numCache>
                <c:formatCode>0.0%</c:formatCode>
                <c:ptCount val="62"/>
                <c:pt idx="0">
                  <c:v>4.0922580690000002E-2</c:v>
                </c:pt>
                <c:pt idx="1">
                  <c:v>5.2840316599999998E-3</c:v>
                </c:pt>
                <c:pt idx="2">
                  <c:v>7.5737816139999997E-2</c:v>
                </c:pt>
                <c:pt idx="3">
                  <c:v>0.17707928325</c:v>
                </c:pt>
                <c:pt idx="4">
                  <c:v>0.21196124265999999</c:v>
                </c:pt>
                <c:pt idx="5">
                  <c:v>0.21575262277000001</c:v>
                </c:pt>
                <c:pt idx="6">
                  <c:v>0.48050065994000002</c:v>
                </c:pt>
                <c:pt idx="7">
                  <c:v>0.77252834502000001</c:v>
                </c:pt>
                <c:pt idx="8">
                  <c:v>0.70669625335999997</c:v>
                </c:pt>
                <c:pt idx="9">
                  <c:v>0.89196898668000002</c:v>
                </c:pt>
                <c:pt idx="10">
                  <c:v>0.98726842201999998</c:v>
                </c:pt>
                <c:pt idx="11">
                  <c:v>1.9770958100000001E-3</c:v>
                </c:pt>
                <c:pt idx="12">
                  <c:v>1.7753132999999999E-4</c:v>
                </c:pt>
                <c:pt idx="13">
                  <c:v>2.4308137909999999E-2</c:v>
                </c:pt>
                <c:pt idx="14">
                  <c:v>0.1675365398</c:v>
                </c:pt>
                <c:pt idx="15">
                  <c:v>4.7377257159999998E-2</c:v>
                </c:pt>
                <c:pt idx="16">
                  <c:v>0.21548781105000001</c:v>
                </c:pt>
                <c:pt idx="17">
                  <c:v>0.28120337040999999</c:v>
                </c:pt>
                <c:pt idx="18">
                  <c:v>0.70293298057999998</c:v>
                </c:pt>
                <c:pt idx="19">
                  <c:v>0.69174640976000001</c:v>
                </c:pt>
                <c:pt idx="20">
                  <c:v>0.87700319511000002</c:v>
                </c:pt>
                <c:pt idx="21">
                  <c:v>0.96438682468000003</c:v>
                </c:pt>
                <c:pt idx="22">
                  <c:v>2.3732696920000001E-2</c:v>
                </c:pt>
                <c:pt idx="23">
                  <c:v>3.6421311300000002E-2</c:v>
                </c:pt>
                <c:pt idx="24">
                  <c:v>7.3465959699999996E-3</c:v>
                </c:pt>
                <c:pt idx="25">
                  <c:v>0.35611912855</c:v>
                </c:pt>
                <c:pt idx="26">
                  <c:v>0.51490290000000005</c:v>
                </c:pt>
                <c:pt idx="27">
                  <c:v>0.90137308332499999</c:v>
                </c:pt>
                <c:pt idx="28">
                  <c:v>0.77536357529</c:v>
                </c:pt>
                <c:pt idx="29">
                  <c:v>0.93005344240999999</c:v>
                </c:pt>
                <c:pt idx="30">
                  <c:v>0.99689491875000003</c:v>
                </c:pt>
                <c:pt idx="31">
                  <c:v>0.99354700465000001</c:v>
                </c:pt>
                <c:pt idx="32">
                  <c:v>0.99986735576999997</c:v>
                </c:pt>
                <c:pt idx="33">
                  <c:v>8.8735986289999999E-2</c:v>
                </c:pt>
                <c:pt idx="34">
                  <c:v>0.14236432834000001</c:v>
                </c:pt>
                <c:pt idx="35">
                  <c:v>0.38772344154999999</c:v>
                </c:pt>
                <c:pt idx="36">
                  <c:v>0.57132401384999998</c:v>
                </c:pt>
                <c:pt idx="37">
                  <c:v>0.71230605805000002</c:v>
                </c:pt>
                <c:pt idx="38">
                  <c:v>0.17462905342999999</c:v>
                </c:pt>
                <c:pt idx="39">
                  <c:v>0.21513286812999999</c:v>
                </c:pt>
                <c:pt idx="40">
                  <c:v>0.38207104493999999</c:v>
                </c:pt>
                <c:pt idx="41">
                  <c:v>0.64329943528</c:v>
                </c:pt>
                <c:pt idx="42">
                  <c:v>0.77989192895000004</c:v>
                </c:pt>
                <c:pt idx="43">
                  <c:v>0.85745494431000002</c:v>
                </c:pt>
                <c:pt idx="44">
                  <c:v>9.5066198399999996E-2</c:v>
                </c:pt>
                <c:pt idx="45">
                  <c:v>6.7959138180000003E-2</c:v>
                </c:pt>
                <c:pt idx="46">
                  <c:v>0.13628831517000001</c:v>
                </c:pt>
                <c:pt idx="47">
                  <c:v>0.10614953457</c:v>
                </c:pt>
                <c:pt idx="48">
                  <c:v>0.63694789038999999</c:v>
                </c:pt>
                <c:pt idx="49">
                  <c:v>0.61665790052000002</c:v>
                </c:pt>
                <c:pt idx="50">
                  <c:v>1.211964382E-2</c:v>
                </c:pt>
                <c:pt idx="51">
                  <c:v>0.20070242641</c:v>
                </c:pt>
                <c:pt idx="52">
                  <c:v>0.37352882179000002</c:v>
                </c:pt>
                <c:pt idx="53">
                  <c:v>0.57831060958000002</c:v>
                </c:pt>
                <c:pt idx="54">
                  <c:v>0.80114727205000003</c:v>
                </c:pt>
                <c:pt idx="55">
                  <c:v>0.86473196691999998</c:v>
                </c:pt>
                <c:pt idx="56">
                  <c:v>1.4373661500000001E-2</c:v>
                </c:pt>
                <c:pt idx="57">
                  <c:v>0.14530426295000001</c:v>
                </c:pt>
                <c:pt idx="58">
                  <c:v>0.28467891862</c:v>
                </c:pt>
                <c:pt idx="59">
                  <c:v>0.68313881839000001</c:v>
                </c:pt>
                <c:pt idx="60">
                  <c:v>0.58347815381000001</c:v>
                </c:pt>
                <c:pt idx="61">
                  <c:v>0.57123000782</c:v>
                </c:pt>
              </c:numCache>
            </c:numRef>
          </c:yVal>
          <c:smooth val="0"/>
        </c:ser>
        <c:ser>
          <c:idx val="1"/>
          <c:order val="1"/>
          <c:spPr>
            <a:ln w="28575">
              <a:noFill/>
            </a:ln>
          </c:spPr>
          <c:xVal>
            <c:numRef>
              <c:f>'gsi all'!$J$9:$J$77</c:f>
              <c:numCache>
                <c:formatCode>m/d;@</c:formatCode>
                <c:ptCount val="69"/>
                <c:pt idx="0">
                  <c:v>42880.5</c:v>
                </c:pt>
                <c:pt idx="1">
                  <c:v>42881.5</c:v>
                </c:pt>
                <c:pt idx="2">
                  <c:v>42882.5</c:v>
                </c:pt>
                <c:pt idx="3">
                  <c:v>42883.5</c:v>
                </c:pt>
                <c:pt idx="4">
                  <c:v>42884.5</c:v>
                </c:pt>
                <c:pt idx="5">
                  <c:v>42885.5</c:v>
                </c:pt>
                <c:pt idx="6">
                  <c:v>42886.5</c:v>
                </c:pt>
                <c:pt idx="7">
                  <c:v>42887.5</c:v>
                </c:pt>
                <c:pt idx="8">
                  <c:v>42888.5</c:v>
                </c:pt>
                <c:pt idx="9">
                  <c:v>42889.5</c:v>
                </c:pt>
                <c:pt idx="10">
                  <c:v>42890.5</c:v>
                </c:pt>
                <c:pt idx="11">
                  <c:v>42891.5</c:v>
                </c:pt>
                <c:pt idx="12">
                  <c:v>42892.5</c:v>
                </c:pt>
                <c:pt idx="13">
                  <c:v>42893.5</c:v>
                </c:pt>
                <c:pt idx="14">
                  <c:v>42894.5</c:v>
                </c:pt>
                <c:pt idx="15">
                  <c:v>42895.5</c:v>
                </c:pt>
                <c:pt idx="16">
                  <c:v>42896.5</c:v>
                </c:pt>
                <c:pt idx="17">
                  <c:v>42897.5</c:v>
                </c:pt>
                <c:pt idx="18">
                  <c:v>42898.5</c:v>
                </c:pt>
                <c:pt idx="19">
                  <c:v>42899.5</c:v>
                </c:pt>
                <c:pt idx="20">
                  <c:v>42900.5</c:v>
                </c:pt>
                <c:pt idx="21">
                  <c:v>42901.5</c:v>
                </c:pt>
                <c:pt idx="22">
                  <c:v>42902.5</c:v>
                </c:pt>
                <c:pt idx="23">
                  <c:v>42903.5</c:v>
                </c:pt>
                <c:pt idx="24">
                  <c:v>42904.5</c:v>
                </c:pt>
                <c:pt idx="25">
                  <c:v>42905.5</c:v>
                </c:pt>
                <c:pt idx="26">
                  <c:v>42906.5</c:v>
                </c:pt>
                <c:pt idx="27">
                  <c:v>42907.5</c:v>
                </c:pt>
                <c:pt idx="28">
                  <c:v>42908.5</c:v>
                </c:pt>
                <c:pt idx="29">
                  <c:v>42909.5</c:v>
                </c:pt>
                <c:pt idx="30">
                  <c:v>42910.5</c:v>
                </c:pt>
                <c:pt idx="31">
                  <c:v>42911.5</c:v>
                </c:pt>
                <c:pt idx="32">
                  <c:v>42912.5</c:v>
                </c:pt>
                <c:pt idx="33">
                  <c:v>42913.5</c:v>
                </c:pt>
                <c:pt idx="34">
                  <c:v>42914.5</c:v>
                </c:pt>
                <c:pt idx="35">
                  <c:v>42915.5</c:v>
                </c:pt>
                <c:pt idx="36">
                  <c:v>42916.5</c:v>
                </c:pt>
                <c:pt idx="37">
                  <c:v>42917.5</c:v>
                </c:pt>
                <c:pt idx="38">
                  <c:v>42918.5</c:v>
                </c:pt>
                <c:pt idx="39">
                  <c:v>42919.5</c:v>
                </c:pt>
                <c:pt idx="40">
                  <c:v>42920.5</c:v>
                </c:pt>
                <c:pt idx="41">
                  <c:v>42921.5</c:v>
                </c:pt>
                <c:pt idx="42">
                  <c:v>42922.5</c:v>
                </c:pt>
                <c:pt idx="43">
                  <c:v>42923.5</c:v>
                </c:pt>
                <c:pt idx="44">
                  <c:v>42924.5</c:v>
                </c:pt>
                <c:pt idx="45">
                  <c:v>42925.5</c:v>
                </c:pt>
                <c:pt idx="46">
                  <c:v>42926.5</c:v>
                </c:pt>
                <c:pt idx="47">
                  <c:v>42927.5</c:v>
                </c:pt>
                <c:pt idx="48">
                  <c:v>42928.5</c:v>
                </c:pt>
                <c:pt idx="49">
                  <c:v>42929.5</c:v>
                </c:pt>
                <c:pt idx="50">
                  <c:v>42930.5</c:v>
                </c:pt>
                <c:pt idx="51">
                  <c:v>42931.5</c:v>
                </c:pt>
                <c:pt idx="52">
                  <c:v>42932.5</c:v>
                </c:pt>
                <c:pt idx="53">
                  <c:v>42933.5</c:v>
                </c:pt>
                <c:pt idx="54">
                  <c:v>42934.5</c:v>
                </c:pt>
                <c:pt idx="55">
                  <c:v>42935.5</c:v>
                </c:pt>
                <c:pt idx="56">
                  <c:v>42936.5</c:v>
                </c:pt>
                <c:pt idx="57">
                  <c:v>42937.5</c:v>
                </c:pt>
                <c:pt idx="58">
                  <c:v>42938.5</c:v>
                </c:pt>
                <c:pt idx="59">
                  <c:v>42939.5</c:v>
                </c:pt>
                <c:pt idx="60">
                  <c:v>42940.5</c:v>
                </c:pt>
                <c:pt idx="61">
                  <c:v>42941.5</c:v>
                </c:pt>
                <c:pt idx="62">
                  <c:v>42942.5</c:v>
                </c:pt>
                <c:pt idx="63">
                  <c:v>42943.5</c:v>
                </c:pt>
                <c:pt idx="64">
                  <c:v>42944.5</c:v>
                </c:pt>
                <c:pt idx="65">
                  <c:v>42945.5</c:v>
                </c:pt>
                <c:pt idx="66">
                  <c:v>42946.5</c:v>
                </c:pt>
                <c:pt idx="67">
                  <c:v>42947.5</c:v>
                </c:pt>
                <c:pt idx="68">
                  <c:v>42948.5</c:v>
                </c:pt>
              </c:numCache>
            </c:numRef>
          </c:xVal>
          <c:yVal>
            <c:numRef>
              <c:f>'gsi all'!$L$9:$L$77</c:f>
              <c:numCache>
                <c:formatCode>0.00%</c:formatCode>
                <c:ptCount val="69"/>
                <c:pt idx="0">
                  <c:v>4.4622970464602558E-4</c:v>
                </c:pt>
                <c:pt idx="1">
                  <c:v>5.2920663992788906E-4</c:v>
                </c:pt>
                <c:pt idx="2">
                  <c:v>6.2760354530545564E-4</c:v>
                </c:pt>
                <c:pt idx="3">
                  <c:v>7.4428204494152107E-4</c:v>
                </c:pt>
                <c:pt idx="4">
                  <c:v>8.8263322118540687E-4</c:v>
                </c:pt>
                <c:pt idx="5">
                  <c:v>1.0466749252616911E-3</c:v>
                </c:pt>
                <c:pt idx="6">
                  <c:v>1.2411667088567265E-3</c:v>
                </c:pt>
                <c:pt idx="7">
                  <c:v>1.4717454597118181E-3</c:v>
                </c:pt>
                <c:pt idx="8">
                  <c:v>1.7450853195174186E-3</c:v>
                </c:pt>
                <c:pt idx="9">
                  <c:v>2.0690860184748145E-3</c:v>
                </c:pt>
                <c:pt idx="10">
                  <c:v>2.4530943769044016E-3</c:v>
                </c:pt>
                <c:pt idx="11">
                  <c:v>2.9081643944030853E-3</c:v>
                </c:pt>
                <c:pt idx="12">
                  <c:v>3.4473620579375942E-3</c:v>
                </c:pt>
                <c:pt idx="13">
                  <c:v>4.0861217273233273E-3</c:v>
                </c:pt>
                <c:pt idx="14">
                  <c:v>4.8426616588203185E-3</c:v>
                </c:pt>
                <c:pt idx="15">
                  <c:v>5.7384668407153179E-3</c:v>
                </c:pt>
                <c:pt idx="16">
                  <c:v>6.7988477415473515E-3</c:v>
                </c:pt>
                <c:pt idx="17">
                  <c:v>8.053583669603662E-3</c:v>
                </c:pt>
                <c:pt idx="18">
                  <c:v>9.5376590077533123E-3</c:v>
                </c:pt>
                <c:pt idx="19">
                  <c:v>1.1292099335736159E-2</c:v>
                </c:pt>
                <c:pt idx="20">
                  <c:v>1.3364911992909123E-2</c:v>
                </c:pt>
                <c:pt idx="21">
                  <c:v>1.5812131446874308E-2</c:v>
                </c:pt>
                <c:pt idx="22">
                  <c:v>1.8698963237916789E-2</c:v>
                </c:pt>
                <c:pt idx="23">
                  <c:v>2.2101010407224085E-2</c:v>
                </c:pt>
                <c:pt idx="24">
                  <c:v>2.6105552146190963E-2</c:v>
                </c:pt>
                <c:pt idx="25">
                  <c:v>3.0812824728155875E-2</c:v>
                </c:pt>
                <c:pt idx="26">
                  <c:v>3.6337228342866776E-2</c:v>
                </c:pt>
                <c:pt idx="27">
                  <c:v>4.2808349117869661E-2</c:v>
                </c:pt>
                <c:pt idx="28">
                  <c:v>5.0371642728232274E-2</c:v>
                </c:pt>
                <c:pt idx="29">
                  <c:v>5.9188574959722302E-2</c:v>
                </c:pt>
                <c:pt idx="30">
                  <c:v>6.9435957679952462E-2</c:v>
                </c:pt>
                <c:pt idx="31">
                  <c:v>8.1304161187072052E-2</c:v>
                </c:pt>
                <c:pt idx="32">
                  <c:v>9.4993835516625894E-2</c:v>
                </c:pt>
                <c:pt idx="33">
                  <c:v>0.11071074933263743</c:v>
                </c:pt>
                <c:pt idx="34">
                  <c:v>0.12865837719638826</c:v>
                </c:pt>
                <c:pt idx="35">
                  <c:v>0.14902796144664338</c:v>
                </c:pt>
                <c:pt idx="36">
                  <c:v>0.17198597250199604</c:v>
                </c:pt>
                <c:pt idx="37">
                  <c:v>0.19765921374895476</c:v>
                </c:pt>
                <c:pt idx="38">
                  <c:v>0.22611826803294124</c:v>
                </c:pt>
                <c:pt idx="39">
                  <c:v>0.25736053095037631</c:v>
                </c:pt>
                <c:pt idx="40" formatCode="0.000%">
                  <c:v>0.29129464117227688</c:v>
                </c:pt>
                <c:pt idx="41">
                  <c:v>0.3277285660438044</c:v>
                </c:pt>
                <c:pt idx="42">
                  <c:v>0.36636376123607484</c:v>
                </c:pt>
                <c:pt idx="43">
                  <c:v>0.40679753368104837</c:v>
                </c:pt>
                <c:pt idx="44">
                  <c:v>0.44853490971043197</c:v>
                </c:pt>
                <c:pt idx="45">
                  <c:v>0.49100999953956687</c:v>
                </c:pt>
                <c:pt idx="46">
                  <c:v>0.53361528244291656</c:v>
                </c:pt>
                <c:pt idx="47">
                  <c:v>0.57573577817634125</c:v>
                </c:pt>
                <c:pt idx="48">
                  <c:v>0.61678411177635384</c:v>
                </c:pt>
                <c:pt idx="49">
                  <c:v>0.65623229920333015</c:v>
                </c:pt>
                <c:pt idx="50">
                  <c:v>0.69363673413911875</c:v>
                </c:pt>
                <c:pt idx="51">
                  <c:v>0.7286541485991439</c:v>
                </c:pt>
                <c:pt idx="52">
                  <c:v>0.76104789042108234</c:v>
                </c:pt>
                <c:pt idx="53">
                  <c:v>0.79068531671590836</c:v>
                </c:pt>
                <c:pt idx="54">
                  <c:v>0.81752815003302082</c:v>
                </c:pt>
                <c:pt idx="55">
                  <c:v>0.84161815642272686</c:v>
                </c:pt>
                <c:pt idx="56">
                  <c:v>0.86306051660202054</c:v>
                </c:pt>
                <c:pt idx="57">
                  <c:v>0.88200691294896838</c:v>
                </c:pt>
                <c:pt idx="58">
                  <c:v>0.89863982023647715</c:v>
                </c:pt>
                <c:pt idx="59">
                  <c:v>0.91315891974679597</c:v>
                </c:pt>
                <c:pt idx="60">
                  <c:v>0.92577005814145419</c:v>
                </c:pt>
                <c:pt idx="61">
                  <c:v>0.93667679475677423</c:v>
                </c:pt>
                <c:pt idx="62">
                  <c:v>0.94607433282594156</c:v>
                </c:pt>
                <c:pt idx="63">
                  <c:v>0.95414549502641322</c:v>
                </c:pt>
                <c:pt idx="64">
                  <c:v>0.96105835423148434</c:v>
                </c:pt>
                <c:pt idx="65">
                  <c:v>0.96696513786173244</c:v>
                </c:pt>
                <c:pt idx="66">
                  <c:v>0.97200206455400118</c:v>
                </c:pt>
                <c:pt idx="67">
                  <c:v>0.97628982699633993</c:v>
                </c:pt>
                <c:pt idx="68">
                  <c:v>0.97993449279666589</c:v>
                </c:pt>
              </c:numCache>
            </c:numRef>
          </c:yVal>
          <c:smooth val="0"/>
        </c:ser>
        <c:dLbls>
          <c:showLegendKey val="0"/>
          <c:showVal val="0"/>
          <c:showCatName val="0"/>
          <c:showSerName val="0"/>
          <c:showPercent val="0"/>
          <c:showBubbleSize val="0"/>
        </c:dLbls>
        <c:axId val="138884224"/>
        <c:axId val="138885760"/>
      </c:scatterChart>
      <c:valAx>
        <c:axId val="138884224"/>
        <c:scaling>
          <c:orientation val="minMax"/>
        </c:scaling>
        <c:delete val="0"/>
        <c:axPos val="b"/>
        <c:numFmt formatCode="d\-mmm" sourceLinked="1"/>
        <c:majorTickMark val="out"/>
        <c:minorTickMark val="none"/>
        <c:tickLblPos val="nextTo"/>
        <c:crossAx val="138885760"/>
        <c:crosses val="autoZero"/>
        <c:crossBetween val="midCat"/>
      </c:valAx>
      <c:valAx>
        <c:axId val="138885760"/>
        <c:scaling>
          <c:orientation val="minMax"/>
        </c:scaling>
        <c:delete val="0"/>
        <c:axPos val="l"/>
        <c:majorGridlines/>
        <c:numFmt formatCode="0.0%" sourceLinked="1"/>
        <c:majorTickMark val="out"/>
        <c:minorTickMark val="none"/>
        <c:tickLblPos val="nextTo"/>
        <c:crossAx val="138884224"/>
        <c:crosses val="autoZero"/>
        <c:crossBetween val="midCat"/>
      </c:valAx>
    </c:plotArea>
    <c:legend>
      <c:legendPos val="r"/>
      <c:overlay val="0"/>
    </c:legend>
    <c:plotVisOnly val="1"/>
    <c:dispBlanksAs val="gap"/>
    <c:showDLblsOverMax val="0"/>
  </c:chart>
  <c:printSettings>
    <c:headerFooter/>
    <c:pageMargins b="0.75000000000000089" l="0.70000000000000062" r="0.70000000000000062" t="0.75000000000000089"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TOE1960s!$AE$11:$AE$76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TOE1960s!$AF$11:$AF$76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TOE1960s!$AE$11:$AE$76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TOE1960s!$AH$11:$AH$76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TOE1960s!$AE$11:$AE$76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TOE1960s!$AI$11:$AI$76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TOE1960s!$AE$11:$AE$76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TOE1960s!$AJ$11:$AJ$76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39466240"/>
        <c:axId val="139467776"/>
      </c:lineChart>
      <c:catAx>
        <c:axId val="139466240"/>
        <c:scaling>
          <c:orientation val="minMax"/>
        </c:scaling>
        <c:delete val="0"/>
        <c:axPos val="b"/>
        <c:majorTickMark val="out"/>
        <c:minorTickMark val="none"/>
        <c:tickLblPos val="nextTo"/>
        <c:crossAx val="139467776"/>
        <c:crosses val="autoZero"/>
        <c:auto val="1"/>
        <c:lblAlgn val="ctr"/>
        <c:lblOffset val="100"/>
        <c:noMultiLvlLbl val="0"/>
      </c:catAx>
      <c:valAx>
        <c:axId val="139467776"/>
        <c:scaling>
          <c:orientation val="minMax"/>
        </c:scaling>
        <c:delete val="0"/>
        <c:axPos val="l"/>
        <c:majorGridlines/>
        <c:numFmt formatCode="General" sourceLinked="1"/>
        <c:majorTickMark val="out"/>
        <c:minorTickMark val="none"/>
        <c:tickLblPos val="nextTo"/>
        <c:crossAx val="139466240"/>
        <c:crosses val="autoZero"/>
        <c:crossBetween val="between"/>
      </c:valAx>
    </c:plotArea>
    <c:legend>
      <c:legendPos val="r"/>
      <c:overlay val="0"/>
    </c:legend>
    <c:plotVisOnly val="1"/>
    <c:dispBlanksAs val="gap"/>
    <c:showDLblsOverMax val="0"/>
  </c:chart>
  <c:printSettings>
    <c:headerFooter/>
    <c:pageMargins b="0.75000000000000788" l="0.70000000000000062" r="0.70000000000000062" t="0.75000000000000788"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2010 to 2017.</a:t>
            </a:r>
          </a:p>
        </c:rich>
      </c:tx>
      <c:layout>
        <c:manualLayout>
          <c:xMode val="edge"/>
          <c:yMode val="edge"/>
          <c:x val="0.20725880632715349"/>
          <c:y val="0"/>
        </c:manualLayout>
      </c:layout>
      <c:overlay val="1"/>
    </c:title>
    <c:autoTitleDeleted val="0"/>
    <c:plotArea>
      <c:layout>
        <c:manualLayout>
          <c:layoutTarget val="inner"/>
          <c:xMode val="edge"/>
          <c:yMode val="edge"/>
          <c:x val="8.6718017847973186E-2"/>
          <c:y val="0.18347335916691404"/>
          <c:w val="0.77807905912306563"/>
          <c:h val="0.73718054729184079"/>
        </c:manualLayout>
      </c:layout>
      <c:scatterChart>
        <c:scatterStyle val="smoothMarker"/>
        <c:varyColors val="0"/>
        <c:ser>
          <c:idx val="6"/>
          <c:order val="0"/>
          <c:tx>
            <c:v>2017 </c:v>
          </c:tx>
          <c:spPr>
            <a:ln w="73025">
              <a:solidFill>
                <a:sysClr val="windowText" lastClr="000000"/>
              </a:solidFill>
            </a:ln>
          </c:spPr>
          <c:marker>
            <c:symbol val="none"/>
          </c:marker>
          <c:xVal>
            <c:numRef>
              <c:f>TOE1960s!$J$9:$J$107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TOE1960s!$L$9:$L$107</c:f>
              <c:numCache>
                <c:formatCode>0.00%</c:formatCode>
                <c:ptCount val="99"/>
                <c:pt idx="0">
                  <c:v>8.9424118286963154E-5</c:v>
                </c:pt>
                <c:pt idx="1">
                  <c:v>1.1226369329882137E-4</c:v>
                </c:pt>
                <c:pt idx="2">
                  <c:v>1.4093584090401099E-4</c:v>
                </c:pt>
                <c:pt idx="3">
                  <c:v>1.7692955931652532E-4</c:v>
                </c:pt>
                <c:pt idx="4">
                  <c:v>2.2211370052980866E-4</c:v>
                </c:pt>
                <c:pt idx="5">
                  <c:v>2.7883371655998174E-4</c:v>
                </c:pt>
                <c:pt idx="6">
                  <c:v>3.5003295583712507E-4</c:v>
                </c:pt>
                <c:pt idx="7">
                  <c:v>4.3940468740388919E-4</c:v>
                </c:pt>
                <c:pt idx="8">
                  <c:v>5.5158255498893437E-4</c:v>
                </c:pt>
                <c:pt idx="9">
                  <c:v>6.9237904612447568E-4</c:v>
                </c:pt>
                <c:pt idx="10">
                  <c:v>8.6908387738521991E-4</c:v>
                </c:pt>
                <c:pt idx="11">
                  <c:v>1.090837028665191E-3</c:v>
                </c:pt>
                <c:pt idx="12">
                  <c:v>1.3690945960680716E-3</c:v>
                </c:pt>
                <c:pt idx="13">
                  <c:v>1.7182097620019048E-3</c:v>
                </c:pt>
                <c:pt idx="14">
                  <c:v>2.1561560750531792E-3</c:v>
                </c:pt>
                <c:pt idx="15">
                  <c:v>2.7054259248118022E-3</c:v>
                </c:pt>
                <c:pt idx="16">
                  <c:v>3.3941435420470796E-3</c:v>
                </c:pt>
                <c:pt idx="17">
                  <c:v>4.2574388604830057E-3</c:v>
                </c:pt>
                <c:pt idx="18">
                  <c:v>5.3391356994149652E-3</c:v>
                </c:pt>
                <c:pt idx="19">
                  <c:v>6.6938141086405212E-3</c:v>
                </c:pt>
                <c:pt idx="20">
                  <c:v>8.3893108413018534E-3</c:v>
                </c:pt>
                <c:pt idx="21">
                  <c:v>1.0509721252958067E-2</c:v>
                </c:pt>
                <c:pt idx="22">
                  <c:v>1.3158956419659732E-2</c:v>
                </c:pt>
                <c:pt idx="23">
                  <c:v>1.6464884708970413E-2</c:v>
                </c:pt>
                <c:pt idx="24">
                  <c:v>2.0584038259563699E-2</c:v>
                </c:pt>
                <c:pt idx="25">
                  <c:v>2.5706778932361615E-2</c:v>
                </c:pt>
                <c:pt idx="26">
                  <c:v>3.2062678242749845E-2</c:v>
                </c:pt>
                <c:pt idx="27">
                  <c:v>3.9925651041367249E-2</c:v>
                </c:pt>
                <c:pt idx="28">
                  <c:v>4.9618072396956335E-2</c:v>
                </c:pt>
                <c:pt idx="29">
                  <c:v>6.1512687793957105E-2</c:v>
                </c:pt>
                <c:pt idx="30">
                  <c:v>7.6030607788311888E-2</c:v>
                </c:pt>
                <c:pt idx="31">
                  <c:v>9.3633117826858958E-2</c:v>
                </c:pt>
                <c:pt idx="32">
                  <c:v>0.1148045752494711</c:v>
                </c:pt>
                <c:pt idx="33">
                  <c:v>0.14002357469677082</c:v>
                </c:pt>
                <c:pt idx="34">
                  <c:v>0.16972024247607792</c:v>
                </c:pt>
                <c:pt idx="35">
                  <c:v>0.20421944654771138</c:v>
                </c:pt>
                <c:pt idx="36">
                  <c:v>0.24367323179024006</c:v>
                </c:pt>
                <c:pt idx="37">
                  <c:v>0.28799076318464212</c:v>
                </c:pt>
                <c:pt idx="38">
                  <c:v>0.33677939917078625</c:v>
                </c:pt>
                <c:pt idx="39">
                  <c:v>0.38931401726048576</c:v>
                </c:pt>
                <c:pt idx="40" formatCode="0.000%">
                  <c:v>0.44455058265186359</c:v>
                </c:pt>
                <c:pt idx="41">
                  <c:v>0.50119230354885269</c:v>
                </c:pt>
                <c:pt idx="42">
                  <c:v>0.55780343880411654</c:v>
                </c:pt>
                <c:pt idx="43">
                  <c:v>0.61295132629774551</c:v>
                </c:pt>
                <c:pt idx="44">
                  <c:v>0.66534777117513233</c:v>
                </c:pt>
                <c:pt idx="45">
                  <c:v>0.71396115309770369</c:v>
                </c:pt>
                <c:pt idx="46">
                  <c:v>0.75808037056649602</c:v>
                </c:pt>
                <c:pt idx="47">
                  <c:v>0.79732631050278502</c:v>
                </c:pt>
                <c:pt idx="48">
                  <c:v>0.83161963913343784</c:v>
                </c:pt>
                <c:pt idx="49">
                  <c:v>0.8611210771830885</c:v>
                </c:pt>
                <c:pt idx="50">
                  <c:v>0.88616120868558312</c:v>
                </c:pt>
                <c:pt idx="51">
                  <c:v>0.90717323991787802</c:v>
                </c:pt>
                <c:pt idx="52">
                  <c:v>0.92463676372540005</c:v>
                </c:pt>
                <c:pt idx="53">
                  <c:v>0.93903565840073044</c:v>
                </c:pt>
                <c:pt idx="54">
                  <c:v>0.95082979630813969</c:v>
                </c:pt>
                <c:pt idx="55">
                  <c:v>0.96043837257149689</c:v>
                </c:pt>
                <c:pt idx="56">
                  <c:v>0.96823202660952434</c:v>
                </c:pt>
                <c:pt idx="57">
                  <c:v>0.97453104271678037</c:v>
                </c:pt>
                <c:pt idx="58">
                  <c:v>0.97960738322319518</c:v>
                </c:pt>
                <c:pt idx="59">
                  <c:v>0.98368886860909421</c:v>
                </c:pt>
                <c:pt idx="60">
                  <c:v>0.98696433446064236</c:v>
                </c:pt>
                <c:pt idx="61">
                  <c:v>0.9895890098768515</c:v>
                </c:pt>
                <c:pt idx="62">
                  <c:v>0.99168966788408475</c:v>
                </c:pt>
                <c:pt idx="63">
                  <c:v>0.99336930958910263</c:v>
                </c:pt>
                <c:pt idx="64">
                  <c:v>0.99471128119009955</c:v>
                </c:pt>
                <c:pt idx="65">
                  <c:v>0.9957828069881377</c:v>
                </c:pt>
                <c:pt idx="66">
                  <c:v>0.99663796907346913</c:v>
                </c:pt>
                <c:pt idx="67">
                  <c:v>0.99732018812816714</c:v>
                </c:pt>
                <c:pt idx="68">
                  <c:v>0.99786426881427837</c:v>
                </c:pt>
                <c:pt idx="69">
                  <c:v>0.99829807361436373</c:v>
                </c:pt>
                <c:pt idx="70">
                  <c:v>0.99864388473018073</c:v>
                </c:pt>
                <c:pt idx="71">
                  <c:v>0.99891950720713352</c:v>
                </c:pt>
                <c:pt idx="72">
                  <c:v>0.9991391593203891</c:v>
                </c:pt>
                <c:pt idx="73">
                  <c:v>0.99931418926953552</c:v>
                </c:pt>
                <c:pt idx="74">
                  <c:v>0.99945365081243531</c:v>
                </c:pt>
                <c:pt idx="75">
                  <c:v>0.99956476480963707</c:v>
                </c:pt>
                <c:pt idx="76">
                  <c:v>0.99965328878985427</c:v>
                </c:pt>
                <c:pt idx="77">
                  <c:v>0.99972381254866705</c:v>
                </c:pt>
                <c:pt idx="78">
                  <c:v>0.99977999438310028</c:v>
                </c:pt>
                <c:pt idx="79">
                  <c:v>0.99982474975629265</c:v>
                </c:pt>
                <c:pt idx="80">
                  <c:v>0.99986040189032599</c:v>
                </c:pt>
                <c:pt idx="81">
                  <c:v>0.9998888019186366</c:v>
                </c:pt>
                <c:pt idx="82">
                  <c:v>0.99991142471859829</c:v>
                </c:pt>
                <c:pt idx="83">
                  <c:v>0.99992944532616101</c:v>
                </c:pt>
                <c:pt idx="84">
                  <c:v>0.9999437998539823</c:v>
                </c:pt>
                <c:pt idx="85">
                  <c:v>0.99995523404735964</c:v>
                </c:pt>
                <c:pt idx="86">
                  <c:v>0.9999643419813723</c:v>
                </c:pt>
                <c:pt idx="87">
                  <c:v>0.9999715968976155</c:v>
                </c:pt>
                <c:pt idx="88">
                  <c:v>0.99997737577506352</c:v>
                </c:pt>
                <c:pt idx="89">
                  <c:v>0.99998197890690921</c:v>
                </c:pt>
                <c:pt idx="90">
                  <c:v>0.9999856454975613</c:v>
                </c:pt>
                <c:pt idx="91">
                  <c:v>0.99998856608833298</c:v>
                </c:pt>
                <c:pt idx="92">
                  <c:v>0.99999089245629502</c:v>
                </c:pt>
                <c:pt idx="93">
                  <c:v>0.99999274549992245</c:v>
                </c:pt>
                <c:pt idx="94">
                  <c:v>0.99999422152083617</c:v>
                </c:pt>
                <c:pt idx="95">
                  <c:v>0.99999539722778097</c:v>
                </c:pt>
                <c:pt idx="96">
                  <c:v>0.99999633372269225</c:v>
                </c:pt>
                <c:pt idx="97">
                  <c:v>0.99999707967587859</c:v>
                </c:pt>
                <c:pt idx="98">
                  <c:v>0.99999767385525873</c:v>
                </c:pt>
              </c:numCache>
            </c:numRef>
          </c:yVal>
          <c:smooth val="1"/>
        </c:ser>
        <c:ser>
          <c:idx val="7"/>
          <c:order val="1"/>
          <c:spPr>
            <a:ln>
              <a:noFill/>
            </a:ln>
          </c:spPr>
          <c:marker>
            <c:symbol val="circle"/>
            <c:size val="11"/>
            <c:spPr>
              <a:solidFill>
                <a:srgbClr val="FFFF00"/>
              </a:solidFill>
              <a:ln>
                <a:solidFill>
                  <a:schemeClr val="tx1"/>
                </a:solidFill>
              </a:ln>
            </c:spPr>
          </c:marker>
          <c:xVal>
            <c:numRef>
              <c:f>TOE1960s!$B$9:$B$16</c:f>
              <c:numCache>
                <c:formatCode>m/d;@</c:formatCode>
                <c:ptCount val="8"/>
                <c:pt idx="0">
                  <c:v>37771.5</c:v>
                </c:pt>
                <c:pt idx="1">
                  <c:v>37781.5</c:v>
                </c:pt>
                <c:pt idx="2">
                  <c:v>37791.5</c:v>
                </c:pt>
                <c:pt idx="3">
                  <c:v>37802.5</c:v>
                </c:pt>
                <c:pt idx="4">
                  <c:v>37807.5</c:v>
                </c:pt>
                <c:pt idx="5">
                  <c:v>37812.5</c:v>
                </c:pt>
                <c:pt idx="6">
                  <c:v>37821.5</c:v>
                </c:pt>
                <c:pt idx="7">
                  <c:v>37831.5</c:v>
                </c:pt>
              </c:numCache>
            </c:numRef>
          </c:xVal>
          <c:yVal>
            <c:numRef>
              <c:f>TOE1960s!$E$9:$E$16</c:f>
              <c:numCache>
                <c:formatCode>0.0%</c:formatCode>
                <c:ptCount val="8"/>
                <c:pt idx="0">
                  <c:v>0</c:v>
                </c:pt>
                <c:pt idx="1">
                  <c:v>1E-3</c:v>
                </c:pt>
                <c:pt idx="2">
                  <c:v>0.02</c:v>
                </c:pt>
                <c:pt idx="3">
                  <c:v>0.25</c:v>
                </c:pt>
                <c:pt idx="4">
                  <c:v>0.5</c:v>
                </c:pt>
                <c:pt idx="5">
                  <c:v>0.75</c:v>
                </c:pt>
                <c:pt idx="6">
                  <c:v>0.98</c:v>
                </c:pt>
                <c:pt idx="7">
                  <c:v>1</c:v>
                </c:pt>
              </c:numCache>
            </c:numRef>
          </c:yVal>
          <c:smooth val="1"/>
        </c:ser>
        <c:dLbls>
          <c:showLegendKey val="0"/>
          <c:showVal val="0"/>
          <c:showCatName val="0"/>
          <c:showSerName val="0"/>
          <c:showPercent val="0"/>
          <c:showBubbleSize val="0"/>
        </c:dLbls>
        <c:axId val="139496448"/>
        <c:axId val="139502720"/>
      </c:scatterChart>
      <c:valAx>
        <c:axId val="139496448"/>
        <c:scaling>
          <c:orientation val="minMax"/>
          <c:max val="37833"/>
          <c:min val="37790"/>
        </c:scaling>
        <c:delete val="0"/>
        <c:axPos val="b"/>
        <c:numFmt formatCode="m/d;@" sourceLinked="0"/>
        <c:majorTickMark val="out"/>
        <c:minorTickMark val="none"/>
        <c:tickLblPos val="nextTo"/>
        <c:crossAx val="139502720"/>
        <c:crosses val="autoZero"/>
        <c:crossBetween val="midCat"/>
      </c:valAx>
      <c:valAx>
        <c:axId val="139502720"/>
        <c:scaling>
          <c:orientation val="minMax"/>
          <c:max val="1"/>
          <c:min val="0"/>
        </c:scaling>
        <c:delete val="0"/>
        <c:axPos val="l"/>
        <c:numFmt formatCode="0.00%" sourceLinked="1"/>
        <c:majorTickMark val="out"/>
        <c:minorTickMark val="none"/>
        <c:tickLblPos val="nextTo"/>
        <c:crossAx val="139496448"/>
        <c:crosses val="autoZero"/>
        <c:crossBetween val="midCat"/>
      </c:valAx>
      <c:spPr>
        <a:solidFill>
          <a:schemeClr val="bg1">
            <a:lumMod val="85000"/>
          </a:schemeClr>
        </a:solidFill>
      </c:spPr>
    </c:plotArea>
    <c:legend>
      <c:legendPos val="r"/>
      <c:layout/>
      <c:overlay val="0"/>
    </c:legend>
    <c:plotVisOnly val="1"/>
    <c:dispBlanksAs val="gap"/>
    <c:showDLblsOverMax val="0"/>
  </c:chart>
  <c:printSettings>
    <c:headerFooter/>
    <c:pageMargins b="0.7500000000000091" l="0.70000000000000062" r="0.70000000000000062" t="0.7500000000000091"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600" b="1" i="0" baseline="0"/>
              <a:t>Estimated transition from Black Lake (Early Run) to Chignik Lake (Late Run) Stock Composition from Genetic Analysis</a:t>
            </a:r>
            <a:endParaRPr lang="en-US" sz="1600"/>
          </a:p>
          <a:p>
            <a:pPr algn="ctr">
              <a:defRPr/>
            </a:pPr>
            <a:r>
              <a:rPr lang="en-US" sz="1600" b="1" i="0" baseline="0"/>
              <a:t> and Logistic model fit, 2017.  (black diamonds are inseason data points, red circles are standard anchor points, vertical bars are 95% conf</a:t>
            </a:r>
            <a:endParaRPr lang="en-US" sz="1600"/>
          </a:p>
        </c:rich>
      </c:tx>
      <c:overlay val="1"/>
    </c:title>
    <c:autoTitleDeleted val="0"/>
    <c:plotArea>
      <c:layout>
        <c:manualLayout>
          <c:layoutTarget val="inner"/>
          <c:xMode val="edge"/>
          <c:yMode val="edge"/>
          <c:x val="9.7324743119226231E-2"/>
          <c:y val="0.25318478738038347"/>
          <c:w val="0.8451809301776505"/>
          <c:h val="0.70140614634732557"/>
        </c:manualLayout>
      </c:layout>
      <c:scatterChart>
        <c:scatterStyle val="lineMarker"/>
        <c:varyColors val="0"/>
        <c:ser>
          <c:idx val="0"/>
          <c:order val="0"/>
          <c:tx>
            <c:v>2017 data points</c:v>
          </c:tx>
          <c:spPr>
            <a:ln w="28575">
              <a:noFill/>
            </a:ln>
          </c:spPr>
          <c:marker>
            <c:spPr>
              <a:solidFill>
                <a:schemeClr val="tx1"/>
              </a:solidFill>
              <a:ln>
                <a:solidFill>
                  <a:schemeClr val="tx1"/>
                </a:solidFill>
              </a:ln>
            </c:spPr>
          </c:marker>
          <c:dPt>
            <c:idx val="0"/>
            <c:marker>
              <c:symbol val="circle"/>
              <c:size val="7"/>
              <c:spPr>
                <a:solidFill>
                  <a:srgbClr val="FF0000"/>
                </a:solidFill>
                <a:ln>
                  <a:solidFill>
                    <a:schemeClr val="tx1"/>
                  </a:solidFill>
                </a:ln>
              </c:spPr>
            </c:marker>
            <c:bubble3D val="0"/>
          </c:dPt>
          <c:dPt>
            <c:idx val="7"/>
            <c:marker>
              <c:symbol val="circle"/>
              <c:size val="7"/>
              <c:spPr>
                <a:solidFill>
                  <a:srgbClr val="FF0000"/>
                </a:solidFill>
                <a:ln>
                  <a:solidFill>
                    <a:schemeClr val="tx1"/>
                  </a:solidFill>
                </a:ln>
              </c:spPr>
            </c:marker>
            <c:bubble3D val="0"/>
          </c:dPt>
          <c:errBars>
            <c:errDir val="y"/>
            <c:errBarType val="both"/>
            <c:errValType val="cust"/>
            <c:noEndCap val="0"/>
            <c:plus>
              <c:numRef>
                <c:f>TOE1960s!$E$132:$E$139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plus>
            <c:minus>
              <c:numRef>
                <c:f>TOE1960s!$E$132:$E$139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minus>
          </c:errBars>
          <c:errBars>
            <c:errDir val="x"/>
            <c:errBarType val="both"/>
            <c:errValType val="fixedVal"/>
            <c:noEndCap val="0"/>
            <c:val val="0"/>
          </c:errBars>
          <c:xVal>
            <c:numRef>
              <c:f>TOE1960s!$B$132:$B$139</c:f>
              <c:numCache>
                <c:formatCode>m/d/yyyy</c:formatCode>
                <c:ptCount val="8"/>
                <c:pt idx="0">
                  <c:v>37766.5</c:v>
                </c:pt>
                <c:pt idx="1">
                  <c:v>37797.5</c:v>
                </c:pt>
                <c:pt idx="2">
                  <c:v>37803.5</c:v>
                </c:pt>
                <c:pt idx="3">
                  <c:v>37809.5</c:v>
                </c:pt>
                <c:pt idx="4">
                  <c:v>37815.5</c:v>
                </c:pt>
                <c:pt idx="5">
                  <c:v>37820.5</c:v>
                </c:pt>
                <c:pt idx="6">
                  <c:v>37825.5</c:v>
                </c:pt>
                <c:pt idx="7">
                  <c:v>37834.5</c:v>
                </c:pt>
              </c:numCache>
            </c:numRef>
          </c:xVal>
          <c:yVal>
            <c:numRef>
              <c:f>TOE1960s!$F$132:$F$139</c:f>
              <c:numCache>
                <c:formatCode>0.00</c:formatCode>
                <c:ptCount val="8"/>
                <c:pt idx="0">
                  <c:v>1</c:v>
                </c:pt>
                <c:pt idx="1">
                  <c:v>0.98562633850000003</c:v>
                </c:pt>
                <c:pt idx="2">
                  <c:v>0.85469573705000002</c:v>
                </c:pt>
                <c:pt idx="3">
                  <c:v>0.71532108137999995</c:v>
                </c:pt>
                <c:pt idx="4">
                  <c:v>0.31686118160999999</c:v>
                </c:pt>
                <c:pt idx="5">
                  <c:v>0.41652184618999999</c:v>
                </c:pt>
                <c:pt idx="6">
                  <c:v>0.42876999218</c:v>
                </c:pt>
                <c:pt idx="7">
                  <c:v>0</c:v>
                </c:pt>
              </c:numCache>
            </c:numRef>
          </c:yVal>
          <c:smooth val="0"/>
        </c:ser>
        <c:ser>
          <c:idx val="2"/>
          <c:order val="1"/>
          <c:tx>
            <c:v>fitted logistic model</c:v>
          </c:tx>
          <c:spPr>
            <a:ln w="28575">
              <a:solidFill>
                <a:sysClr val="windowText" lastClr="000000"/>
              </a:solidFill>
            </a:ln>
          </c:spPr>
          <c:marker>
            <c:symbol val="none"/>
          </c:marker>
          <c:xVal>
            <c:numRef>
              <c:f>TOE1960s!$C$152:$C$250</c:f>
              <c:numCache>
                <c:formatCode>General</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TOE1960s!$D$152:$D$250</c:f>
              <c:numCache>
                <c:formatCode>0</c:formatCode>
                <c:ptCount val="99"/>
                <c:pt idx="0">
                  <c:v>0.99937189731766174</c:v>
                </c:pt>
                <c:pt idx="1">
                  <c:v>0.99927033440039681</c:v>
                </c:pt>
                <c:pt idx="2">
                  <c:v>0.99915236289651199</c:v>
                </c:pt>
                <c:pt idx="3">
                  <c:v>0.9990153366888026</c:v>
                </c:pt>
                <c:pt idx="4">
                  <c:v>0.99885618463641579</c:v>
                </c:pt>
                <c:pt idx="5">
                  <c:v>0.9986713429007984</c:v>
                </c:pt>
                <c:pt idx="6">
                  <c:v>0.9984566767039742</c:v>
                </c:pt>
                <c:pt idx="7">
                  <c:v>0.99820738994185276</c:v>
                </c:pt>
                <c:pt idx="8">
                  <c:v>0.99791792086573672</c:v>
                </c:pt>
                <c:pt idx="9">
                  <c:v>0.99758182181733823</c:v>
                </c:pt>
                <c:pt idx="10">
                  <c:v>0.99719162075867385</c:v>
                </c:pt>
                <c:pt idx="11">
                  <c:v>0.99673866208252038</c:v>
                </c:pt>
                <c:pt idx="12">
                  <c:v>0.99621292392889316</c:v>
                </c:pt>
                <c:pt idx="13">
                  <c:v>0.99560280897956932</c:v>
                </c:pt>
                <c:pt idx="14">
                  <c:v>0.9948949054728613</c:v>
                </c:pt>
                <c:pt idx="15">
                  <c:v>0.99407371499902086</c:v>
                </c:pt>
                <c:pt idx="16">
                  <c:v>0.99312134353716319</c:v>
                </c:pt>
                <c:pt idx="17">
                  <c:v>0.99201715222492926</c:v>
                </c:pt>
                <c:pt idx="18">
                  <c:v>0.99073736457669048</c:v>
                </c:pt>
                <c:pt idx="19">
                  <c:v>0.9892546273709848</c:v>
                </c:pt>
                <c:pt idx="20">
                  <c:v>0.98753752332597144</c:v>
                </c:pt>
                <c:pt idx="21">
                  <c:v>0.98555003511863482</c:v>
                </c:pt>
                <c:pt idx="22">
                  <c:v>0.98325096246333232</c:v>
                </c:pt>
                <c:pt idx="23">
                  <c:v>0.98059329707541876</c:v>
                </c:pt>
                <c:pt idx="24">
                  <c:v>0.97752356467890367</c:v>
                </c:pt>
                <c:pt idx="25">
                  <c:v>0.97398114908861111</c:v>
                </c:pt>
                <c:pt idx="26">
                  <c:v>0.96989762115253808</c:v>
                </c:pt>
                <c:pt idx="27">
                  <c:v>0.96519610532756117</c:v>
                </c:pt>
                <c:pt idx="28">
                  <c:v>0.95979072918333619</c:v>
                </c:pt>
                <c:pt idx="29">
                  <c:v>0.95358621635903895</c:v>
                </c:pt>
                <c:pt idx="30">
                  <c:v>0.94647770135664244</c:v>
                </c:pt>
                <c:pt idx="31">
                  <c:v>0.93835086453417804</c:v>
                </c:pt>
                <c:pt idx="32">
                  <c:v>0.92908250659040403</c:v>
                </c:pt>
                <c:pt idx="33">
                  <c:v>0.91854170158897652</c:v>
                </c:pt>
                <c:pt idx="34">
                  <c:v>0.90659168278816871</c:v>
                </c:pt>
                <c:pt idx="35">
                  <c:v>0.89309262135735867</c:v>
                </c:pt>
                <c:pt idx="36">
                  <c:v>0.87790544803816573</c:v>
                </c:pt>
                <c:pt idx="37">
                  <c:v>0.86089683421987606</c:v>
                </c:pt>
                <c:pt idx="38">
                  <c:v>0.84194538359625493</c:v>
                </c:pt>
                <c:pt idx="39">
                  <c:v>0.82094898166426189</c:v>
                </c:pt>
                <c:pt idx="40">
                  <c:v>0.79783310480175662</c:v>
                </c:pt>
                <c:pt idx="41" formatCode="General">
                  <c:v>0.7725597077788241</c:v>
                </c:pt>
                <c:pt idx="42" formatCode="General">
                  <c:v>0.74513610338185698</c:v>
                </c:pt>
                <c:pt idx="43" formatCode="General">
                  <c:v>0.71562304867688131</c:v>
                </c:pt>
                <c:pt idx="44" formatCode="General">
                  <c:v>0.68414110046366616</c:v>
                </c:pt>
                <c:pt idx="45" formatCode="General">
                  <c:v>0.65087424661609383</c:v>
                </c:pt>
                <c:pt idx="46" formatCode="General">
                  <c:v>0.61606990640824155</c:v>
                </c:pt>
                <c:pt idx="47" formatCode="General">
                  <c:v>0.58003464995789233</c:v>
                </c:pt>
                <c:pt idx="48" formatCode="General">
                  <c:v>0.54312540973269186</c:v>
                </c:pt>
                <c:pt idx="49" formatCode="General">
                  <c:v>0.50573649787531938</c:v>
                </c:pt>
                <c:pt idx="50" formatCode="General">
                  <c:v>0.46828331346233132</c:v>
                </c:pt>
                <c:pt idx="51" formatCode="General">
                  <c:v>0.43118411183772998</c:v>
                </c:pt>
                <c:pt idx="52" formatCode="General">
                  <c:v>0.39484150763108683</c:v>
                </c:pt>
                <c:pt idx="53" formatCode="General">
                  <c:v>0.35962542496913763</c:v>
                </c:pt>
                <c:pt idx="54" formatCode="General">
                  <c:v>0.32585898285623605</c:v>
                </c:pt>
                <c:pt idx="55" formatCode="General">
                  <c:v>0.29380836323121118</c:v>
                </c:pt>
                <c:pt idx="56" formatCode="General">
                  <c:v>0.26367715178528073</c:v>
                </c:pt>
                <c:pt idx="57" formatCode="General">
                  <c:v>0.23560508082824672</c:v>
                </c:pt>
                <c:pt idx="58" formatCode="General">
                  <c:v>0.20967063743947068</c:v>
                </c:pt>
                <c:pt idx="59" formatCode="General">
                  <c:v>0.18589668998513509</c:v>
                </c:pt>
                <c:pt idx="60" formatCode="General">
                  <c:v>0.16425814922380866</c:v>
                </c:pt>
                <c:pt idx="61" formatCode="General">
                  <c:v>0.14469069694444792</c:v>
                </c:pt>
                <c:pt idx="62" formatCode="General">
                  <c:v>0.12709974296797055</c:v>
                </c:pt>
                <c:pt idx="63" formatCode="General">
                  <c:v>0.11136896093811099</c:v>
                </c:pt>
                <c:pt idx="64" formatCode="General">
                  <c:v>9.7367960303295087E-2</c:v>
                </c:pt>
                <c:pt idx="65" formatCode="General">
                  <c:v>8.4958843777534709E-2</c:v>
                </c:pt>
                <c:pt idx="66" formatCode="General">
                  <c:v>7.4001557409438701E-2</c:v>
                </c:pt>
                <c:pt idx="67" formatCode="General">
                  <c:v>6.4358056974210931E-2</c:v>
                </c:pt>
                <c:pt idx="68" formatCode="General">
                  <c:v>5.5895390906604558E-2</c:v>
                </c:pt>
                <c:pt idx="69" formatCode="General">
                  <c:v>4.8487842437026307E-2</c:v>
                </c:pt>
                <c:pt idx="70" formatCode="General">
                  <c:v>4.2018289963551392E-2</c:v>
                </c:pt>
                <c:pt idx="71" formatCode="General">
                  <c:v>3.6378942971083794E-2</c:v>
                </c:pt>
                <c:pt idx="72" formatCode="General">
                  <c:v>3.147159787810494E-2</c:v>
                </c:pt>
                <c:pt idx="73" formatCode="General">
                  <c:v>2.7207539400781577E-2</c:v>
                </c:pt>
                <c:pt idx="74" formatCode="General">
                  <c:v>2.350719217767816E-2</c:v>
                </c:pt>
                <c:pt idx="75" formatCode="General">
                  <c:v>2.0299606966050265E-2</c:v>
                </c:pt>
                <c:pt idx="76" formatCode="General">
                  <c:v>1.7521847133122215E-2</c:v>
                </c:pt>
                <c:pt idx="77" formatCode="General">
                  <c:v>1.511832510717781E-2</c:v>
                </c:pt>
                <c:pt idx="78" formatCode="General">
                  <c:v>1.3040125112587564E-2</c:v>
                </c:pt>
                <c:pt idx="79" formatCode="General">
                  <c:v>1.1244337778071323E-2</c:v>
                </c:pt>
                <c:pt idx="80" formatCode="General">
                  <c:v>9.6934238053025812E-3</c:v>
                </c:pt>
                <c:pt idx="81" formatCode="General">
                  <c:v>8.3546174745615653E-3</c:v>
                </c:pt>
                <c:pt idx="82" formatCode="General">
                  <c:v>7.1993759954323E-3</c:v>
                </c:pt>
                <c:pt idx="83" formatCode="General">
                  <c:v>6.2028772571940394E-3</c:v>
                </c:pt>
                <c:pt idx="84" formatCode="General">
                  <c:v>5.3435661091475462E-3</c:v>
                </c:pt>
                <c:pt idx="85" formatCode="General">
                  <c:v>4.6027476644416865E-3</c:v>
                </c:pt>
                <c:pt idx="86" formatCode="General">
                  <c:v>3.9642250751049657E-3</c:v>
                </c:pt>
                <c:pt idx="87" formatCode="General">
                  <c:v>3.4139786141772488E-3</c:v>
                </c:pt>
                <c:pt idx="88" formatCode="General">
                  <c:v>2.9398826007416279E-3</c:v>
                </c:pt>
                <c:pt idx="89" formatCode="General">
                  <c:v>2.5314566216378953E-3</c:v>
                </c:pt>
                <c:pt idx="90" formatCode="General">
                  <c:v>2.1796475691444606E-3</c:v>
                </c:pt>
                <c:pt idx="91" formatCode="General">
                  <c:v>1.8766391747334632E-3</c:v>
                </c:pt>
                <c:pt idx="92" formatCode="General">
                  <c:v>1.6156859371333487E-3</c:v>
                </c:pt>
                <c:pt idx="93" formatCode="General">
                  <c:v>1.3909685912373293E-3</c:v>
                </c:pt>
                <c:pt idx="94" formatCode="General">
                  <c:v>1.1974685239601879E-3</c:v>
                </c:pt>
                <c:pt idx="95" formatCode="General">
                  <c:v>1.0308588011587183E-3</c:v>
                </c:pt>
                <c:pt idx="96" formatCode="General">
                  <c:v>8.8740971783596301E-4</c:v>
                </c:pt>
                <c:pt idx="97" formatCode="General">
                  <c:v>7.6390701694539764E-4</c:v>
                </c:pt>
                <c:pt idx="98" formatCode="General">
                  <c:v>6.5758113740532753E-4</c:v>
                </c:pt>
              </c:numCache>
            </c:numRef>
          </c:yVal>
          <c:smooth val="0"/>
        </c:ser>
        <c:dLbls>
          <c:showLegendKey val="0"/>
          <c:showVal val="0"/>
          <c:showCatName val="0"/>
          <c:showSerName val="0"/>
          <c:showPercent val="0"/>
          <c:showBubbleSize val="0"/>
        </c:dLbls>
        <c:axId val="137170304"/>
        <c:axId val="137188480"/>
      </c:scatterChart>
      <c:valAx>
        <c:axId val="137170304"/>
        <c:scaling>
          <c:orientation val="minMax"/>
          <c:max val="37880"/>
        </c:scaling>
        <c:delete val="0"/>
        <c:axPos val="b"/>
        <c:numFmt formatCode="m/d;@" sourceLinked="0"/>
        <c:majorTickMark val="out"/>
        <c:minorTickMark val="none"/>
        <c:tickLblPos val="nextTo"/>
        <c:crossAx val="137188480"/>
        <c:crosses val="autoZero"/>
        <c:crossBetween val="midCat"/>
        <c:majorUnit val="10"/>
      </c:valAx>
      <c:valAx>
        <c:axId val="137188480"/>
        <c:scaling>
          <c:orientation val="minMax"/>
          <c:max val="1"/>
          <c:min val="0"/>
        </c:scaling>
        <c:delete val="0"/>
        <c:axPos val="l"/>
        <c:numFmt formatCode="0%" sourceLinked="0"/>
        <c:majorTickMark val="out"/>
        <c:minorTickMark val="none"/>
        <c:tickLblPos val="nextTo"/>
        <c:crossAx val="137170304"/>
        <c:crosses val="autoZero"/>
        <c:crossBetween val="midCat"/>
      </c:valAx>
    </c:plotArea>
    <c:legend>
      <c:legendPos val="r"/>
      <c:layout>
        <c:manualLayout>
          <c:xMode val="edge"/>
          <c:yMode val="edge"/>
          <c:x val="0.78233791175254308"/>
          <c:y val="0.46976868238386044"/>
          <c:w val="0.17732730939338678"/>
          <c:h val="6.7237753131901834E-2"/>
        </c:manualLayout>
      </c:layout>
      <c:overlay val="0"/>
    </c:legend>
    <c:plotVisOnly val="1"/>
    <c:dispBlanksAs val="gap"/>
    <c:showDLblsOverMax val="0"/>
  </c:chart>
  <c:spPr>
    <a:ln>
      <a:noFill/>
    </a:ln>
  </c:spPr>
  <c:printSettings>
    <c:headerFooter/>
    <c:pageMargins b="0.75000000000000122" l="0.70000000000000062" r="0.70000000000000062" t="0.75000000000000122"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2017'!$AE$11:$AE$76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2017'!$AF$11:$AF$76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2017'!$AE$11:$AE$76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2017'!$AH$11:$AH$76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2017'!$AE$11:$AE$76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2017'!$AI$11:$AI$76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2017'!$AE$11:$AE$76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2017'!$AJ$11:$AJ$76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40575488"/>
        <c:axId val="140577024"/>
      </c:lineChart>
      <c:catAx>
        <c:axId val="140575488"/>
        <c:scaling>
          <c:orientation val="minMax"/>
        </c:scaling>
        <c:delete val="0"/>
        <c:axPos val="b"/>
        <c:majorTickMark val="out"/>
        <c:minorTickMark val="none"/>
        <c:tickLblPos val="nextTo"/>
        <c:crossAx val="140577024"/>
        <c:crosses val="autoZero"/>
        <c:auto val="1"/>
        <c:lblAlgn val="ctr"/>
        <c:lblOffset val="100"/>
        <c:noMultiLvlLbl val="0"/>
      </c:catAx>
      <c:valAx>
        <c:axId val="140577024"/>
        <c:scaling>
          <c:orientation val="minMax"/>
        </c:scaling>
        <c:delete val="0"/>
        <c:axPos val="l"/>
        <c:majorGridlines/>
        <c:numFmt formatCode="General" sourceLinked="1"/>
        <c:majorTickMark val="out"/>
        <c:minorTickMark val="none"/>
        <c:tickLblPos val="nextTo"/>
        <c:crossAx val="140575488"/>
        <c:crosses val="autoZero"/>
        <c:crossBetween val="between"/>
      </c:valAx>
    </c:plotArea>
    <c:legend>
      <c:legendPos val="r"/>
      <c:overlay val="0"/>
    </c:legend>
    <c:plotVisOnly val="1"/>
    <c:dispBlanksAs val="gap"/>
    <c:showDLblsOverMax val="0"/>
  </c:chart>
  <c:printSettings>
    <c:headerFooter/>
    <c:pageMargins b="0.75000000000000766" l="0.70000000000000062" r="0.70000000000000062" t="0.75000000000000766"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2010 to 2017.</a:t>
            </a:r>
          </a:p>
        </c:rich>
      </c:tx>
      <c:layout/>
      <c:overlay val="1"/>
    </c:title>
    <c:autoTitleDeleted val="0"/>
    <c:plotArea>
      <c:layout>
        <c:manualLayout>
          <c:layoutTarget val="inner"/>
          <c:xMode val="edge"/>
          <c:yMode val="edge"/>
          <c:x val="8.6718017847973186E-2"/>
          <c:y val="0.18347335916691399"/>
          <c:w val="0.77807905912306519"/>
          <c:h val="0.73718054729184079"/>
        </c:manualLayout>
      </c:layout>
      <c:scatterChart>
        <c:scatterStyle val="smoothMarker"/>
        <c:varyColors val="0"/>
        <c:ser>
          <c:idx val="6"/>
          <c:order val="0"/>
          <c:tx>
            <c:v>2017 </c:v>
          </c:tx>
          <c:spPr>
            <a:ln w="73025">
              <a:solidFill>
                <a:sysClr val="windowText" lastClr="000000"/>
              </a:solidFill>
            </a:ln>
          </c:spPr>
          <c:marker>
            <c:symbol val="none"/>
          </c:marker>
          <c:xVal>
            <c:numRef>
              <c:f>'Logistic 2017'!$J$9:$J$107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2017'!$L$9:$L$107</c:f>
              <c:numCache>
                <c:formatCode>0.00%</c:formatCode>
                <c:ptCount val="99"/>
                <c:pt idx="0">
                  <c:v>6.2810268233822917E-4</c:v>
                </c:pt>
                <c:pt idx="1">
                  <c:v>7.2966559960320053E-4</c:v>
                </c:pt>
                <c:pt idx="2">
                  <c:v>8.4763710348795935E-4</c:v>
                </c:pt>
                <c:pt idx="3">
                  <c:v>9.8466331119742329E-4</c:v>
                </c:pt>
                <c:pt idx="4">
                  <c:v>1.14381536358425E-3</c:v>
                </c:pt>
                <c:pt idx="5">
                  <c:v>1.3286570992016391E-3</c:v>
                </c:pt>
                <c:pt idx="6">
                  <c:v>1.5433232960257708E-3</c:v>
                </c:pt>
                <c:pt idx="7">
                  <c:v>1.7926100581472778E-3</c:v>
                </c:pt>
                <c:pt idx="8">
                  <c:v>2.0820791342632487E-3</c:v>
                </c:pt>
                <c:pt idx="9">
                  <c:v>2.4181781826617546E-3</c:v>
                </c:pt>
                <c:pt idx="10">
                  <c:v>2.8083792413261389E-3</c:v>
                </c:pt>
                <c:pt idx="11">
                  <c:v>3.2613379174796378E-3</c:v>
                </c:pt>
                <c:pt idx="12">
                  <c:v>3.7870760711068165E-3</c:v>
                </c:pt>
                <c:pt idx="13">
                  <c:v>4.3971910204306536E-3</c:v>
                </c:pt>
                <c:pt idx="14">
                  <c:v>5.1050945271386566E-3</c:v>
                </c:pt>
                <c:pt idx="15">
                  <c:v>5.9262850009791299E-3</c:v>
                </c:pt>
                <c:pt idx="16">
                  <c:v>6.8786564628367675E-3</c:v>
                </c:pt>
                <c:pt idx="17">
                  <c:v>7.9828477750707172E-3</c:v>
                </c:pt>
                <c:pt idx="18">
                  <c:v>9.2626354233094708E-3</c:v>
                </c:pt>
                <c:pt idx="19">
                  <c:v>1.0745372629015171E-2</c:v>
                </c:pt>
                <c:pt idx="20">
                  <c:v>1.2462476674028592E-2</c:v>
                </c:pt>
                <c:pt idx="21">
                  <c:v>1.4449964881365145E-2</c:v>
                </c:pt>
                <c:pt idx="22">
                  <c:v>1.674903753666766E-2</c:v>
                </c:pt>
                <c:pt idx="23">
                  <c:v>1.9406702924581232E-2</c:v>
                </c:pt>
                <c:pt idx="24">
                  <c:v>2.2476435321096288E-2</c:v>
                </c:pt>
                <c:pt idx="25">
                  <c:v>2.6018850911388943E-2</c:v>
                </c:pt>
                <c:pt idx="26">
                  <c:v>3.0102378847461919E-2</c:v>
                </c:pt>
                <c:pt idx="27">
                  <c:v>3.480389467243887E-2</c:v>
                </c:pt>
                <c:pt idx="28">
                  <c:v>4.020927081666377E-2</c:v>
                </c:pt>
                <c:pt idx="29">
                  <c:v>4.6413783640961097E-2</c:v>
                </c:pt>
                <c:pt idx="30">
                  <c:v>5.3522298643357551E-2</c:v>
                </c:pt>
                <c:pt idx="31">
                  <c:v>6.1649135465821917E-2</c:v>
                </c:pt>
                <c:pt idx="32">
                  <c:v>7.091749340959598E-2</c:v>
                </c:pt>
                <c:pt idx="33">
                  <c:v>8.1458298411023491E-2</c:v>
                </c:pt>
                <c:pt idx="34">
                  <c:v>9.3408317211831279E-2</c:v>
                </c:pt>
                <c:pt idx="35">
                  <c:v>0.10690737864264127</c:v>
                </c:pt>
                <c:pt idx="36">
                  <c:v>0.12209455196183429</c:v>
                </c:pt>
                <c:pt idx="37">
                  <c:v>0.13910316578012397</c:v>
                </c:pt>
                <c:pt idx="38">
                  <c:v>0.15805461640374502</c:v>
                </c:pt>
                <c:pt idx="39">
                  <c:v>0.17905101833573814</c:v>
                </c:pt>
                <c:pt idx="40" formatCode="0.000%">
                  <c:v>0.20216689519824338</c:v>
                </c:pt>
                <c:pt idx="41">
                  <c:v>0.22744029222117593</c:v>
                </c:pt>
                <c:pt idx="42">
                  <c:v>0.25486389661814302</c:v>
                </c:pt>
                <c:pt idx="43">
                  <c:v>0.28437695132311863</c:v>
                </c:pt>
                <c:pt idx="44">
                  <c:v>0.31585889953633389</c:v>
                </c:pt>
                <c:pt idx="45">
                  <c:v>0.34912575338390617</c:v>
                </c:pt>
                <c:pt idx="46">
                  <c:v>0.38393009359175845</c:v>
                </c:pt>
                <c:pt idx="47">
                  <c:v>0.41996535004210772</c:v>
                </c:pt>
                <c:pt idx="48">
                  <c:v>0.45687459026730809</c:v>
                </c:pt>
                <c:pt idx="49">
                  <c:v>0.49426350212468062</c:v>
                </c:pt>
                <c:pt idx="50">
                  <c:v>0.53171668653766868</c:v>
                </c:pt>
                <c:pt idx="51">
                  <c:v>0.56881588816227002</c:v>
                </c:pt>
                <c:pt idx="52">
                  <c:v>0.60515849236891317</c:v>
                </c:pt>
                <c:pt idx="53">
                  <c:v>0.64037457503086237</c:v>
                </c:pt>
                <c:pt idx="54">
                  <c:v>0.67414101714376395</c:v>
                </c:pt>
                <c:pt idx="55">
                  <c:v>0.70619163676878882</c:v>
                </c:pt>
                <c:pt idx="56">
                  <c:v>0.73632284821471927</c:v>
                </c:pt>
                <c:pt idx="57">
                  <c:v>0.76439491917175328</c:v>
                </c:pt>
                <c:pt idx="58">
                  <c:v>0.79032936256052932</c:v>
                </c:pt>
                <c:pt idx="59">
                  <c:v>0.81410331001486491</c:v>
                </c:pt>
                <c:pt idx="60">
                  <c:v>0.83574185077619134</c:v>
                </c:pt>
                <c:pt idx="61">
                  <c:v>0.85530930305555208</c:v>
                </c:pt>
                <c:pt idx="62">
                  <c:v>0.87290025703202945</c:v>
                </c:pt>
                <c:pt idx="63">
                  <c:v>0.88863103906188901</c:v>
                </c:pt>
                <c:pt idx="64">
                  <c:v>0.90263203969670491</c:v>
                </c:pt>
                <c:pt idx="65">
                  <c:v>0.91504115622246529</c:v>
                </c:pt>
                <c:pt idx="66">
                  <c:v>0.9259984425905613</c:v>
                </c:pt>
                <c:pt idx="67">
                  <c:v>0.93564194302578907</c:v>
                </c:pt>
                <c:pt idx="68">
                  <c:v>0.94410460909339544</c:v>
                </c:pt>
                <c:pt idx="69">
                  <c:v>0.95151215756297369</c:v>
                </c:pt>
                <c:pt idx="70">
                  <c:v>0.95798171003644861</c:v>
                </c:pt>
                <c:pt idx="71">
                  <c:v>0.96362105702891621</c:v>
                </c:pt>
                <c:pt idx="72">
                  <c:v>0.96852840212189506</c:v>
                </c:pt>
                <c:pt idx="73">
                  <c:v>0.97279246059921842</c:v>
                </c:pt>
                <c:pt idx="74">
                  <c:v>0.97649280782232184</c:v>
                </c:pt>
                <c:pt idx="75">
                  <c:v>0.97970039303394973</c:v>
                </c:pt>
                <c:pt idx="76">
                  <c:v>0.98247815286687779</c:v>
                </c:pt>
                <c:pt idx="77">
                  <c:v>0.98488167489282219</c:v>
                </c:pt>
                <c:pt idx="78">
                  <c:v>0.98695987488741244</c:v>
                </c:pt>
                <c:pt idx="79">
                  <c:v>0.98875566222192868</c:v>
                </c:pt>
                <c:pt idx="80">
                  <c:v>0.99030657619469742</c:v>
                </c:pt>
                <c:pt idx="81">
                  <c:v>0.99164538252543843</c:v>
                </c:pt>
                <c:pt idx="82">
                  <c:v>0.9928006240045677</c:v>
                </c:pt>
                <c:pt idx="83">
                  <c:v>0.99379712274280596</c:v>
                </c:pt>
                <c:pt idx="84">
                  <c:v>0.99465643389085245</c:v>
                </c:pt>
                <c:pt idx="85">
                  <c:v>0.99539725233555831</c:v>
                </c:pt>
                <c:pt idx="86">
                  <c:v>0.99603577492489503</c:v>
                </c:pt>
                <c:pt idx="87">
                  <c:v>0.99658602138582275</c:v>
                </c:pt>
                <c:pt idx="88">
                  <c:v>0.99706011739925837</c:v>
                </c:pt>
                <c:pt idx="89">
                  <c:v>0.9974685433783621</c:v>
                </c:pt>
                <c:pt idx="90">
                  <c:v>0.99782035243085554</c:v>
                </c:pt>
                <c:pt idx="91">
                  <c:v>0.99812336082526654</c:v>
                </c:pt>
                <c:pt idx="92">
                  <c:v>0.99838431406286665</c:v>
                </c:pt>
                <c:pt idx="93">
                  <c:v>0.99860903140876267</c:v>
                </c:pt>
                <c:pt idx="94">
                  <c:v>0.99880253147603981</c:v>
                </c:pt>
                <c:pt idx="95">
                  <c:v>0.99896914119884128</c:v>
                </c:pt>
                <c:pt idx="96">
                  <c:v>0.99911259028216404</c:v>
                </c:pt>
                <c:pt idx="97">
                  <c:v>0.9992360929830546</c:v>
                </c:pt>
                <c:pt idx="98">
                  <c:v>0.99934241886259467</c:v>
                </c:pt>
              </c:numCache>
            </c:numRef>
          </c:yVal>
          <c:smooth val="1"/>
        </c:ser>
        <c:ser>
          <c:idx val="7"/>
          <c:order val="1"/>
          <c:tx>
            <c:v>Point estimates</c:v>
          </c:tx>
          <c:spPr>
            <a:ln>
              <a:noFill/>
            </a:ln>
          </c:spPr>
          <c:marker>
            <c:symbol val="circle"/>
            <c:size val="11"/>
            <c:spPr>
              <a:solidFill>
                <a:srgbClr val="FFFF00"/>
              </a:solidFill>
              <a:ln>
                <a:solidFill>
                  <a:schemeClr val="tx1"/>
                </a:solidFill>
              </a:ln>
            </c:spPr>
          </c:marker>
          <c:xVal>
            <c:numRef>
              <c:f>'Logistic 2017'!$B$9:$B$14</c:f>
              <c:numCache>
                <c:formatCode>m/d;@</c:formatCode>
                <c:ptCount val="6"/>
                <c:pt idx="0">
                  <c:v>37797.5</c:v>
                </c:pt>
                <c:pt idx="1">
                  <c:v>37803.5</c:v>
                </c:pt>
                <c:pt idx="2">
                  <c:v>37809.5</c:v>
                </c:pt>
                <c:pt idx="3">
                  <c:v>37815.5</c:v>
                </c:pt>
                <c:pt idx="4">
                  <c:v>37820.5</c:v>
                </c:pt>
                <c:pt idx="5">
                  <c:v>37825.5</c:v>
                </c:pt>
              </c:numCache>
            </c:numRef>
          </c:xVal>
          <c:yVal>
            <c:numRef>
              <c:f>'Logistic 2017'!$E$9:$E$14</c:f>
              <c:numCache>
                <c:formatCode>0.0%</c:formatCode>
                <c:ptCount val="6"/>
                <c:pt idx="0">
                  <c:v>1.4373661500000001E-2</c:v>
                </c:pt>
                <c:pt idx="1">
                  <c:v>0.14530426295000001</c:v>
                </c:pt>
                <c:pt idx="2">
                  <c:v>0.28467891862</c:v>
                </c:pt>
                <c:pt idx="3">
                  <c:v>0.68313881839000001</c:v>
                </c:pt>
                <c:pt idx="4">
                  <c:v>0.58347815381000001</c:v>
                </c:pt>
                <c:pt idx="5">
                  <c:v>0.57123000782</c:v>
                </c:pt>
              </c:numCache>
            </c:numRef>
          </c:yVal>
          <c:smooth val="1"/>
        </c:ser>
        <c:dLbls>
          <c:showLegendKey val="0"/>
          <c:showVal val="0"/>
          <c:showCatName val="0"/>
          <c:showSerName val="0"/>
          <c:showPercent val="0"/>
          <c:showBubbleSize val="0"/>
        </c:dLbls>
        <c:axId val="140622080"/>
        <c:axId val="140628352"/>
      </c:scatterChart>
      <c:valAx>
        <c:axId val="140622080"/>
        <c:scaling>
          <c:orientation val="minMax"/>
          <c:max val="37833"/>
          <c:min val="37790"/>
        </c:scaling>
        <c:delete val="0"/>
        <c:axPos val="b"/>
        <c:numFmt formatCode="m/d;@" sourceLinked="0"/>
        <c:majorTickMark val="out"/>
        <c:minorTickMark val="none"/>
        <c:tickLblPos val="nextTo"/>
        <c:crossAx val="140628352"/>
        <c:crosses val="autoZero"/>
        <c:crossBetween val="midCat"/>
      </c:valAx>
      <c:valAx>
        <c:axId val="140628352"/>
        <c:scaling>
          <c:orientation val="minMax"/>
          <c:max val="1"/>
          <c:min val="0"/>
        </c:scaling>
        <c:delete val="0"/>
        <c:axPos val="l"/>
        <c:numFmt formatCode="0.00%" sourceLinked="1"/>
        <c:majorTickMark val="out"/>
        <c:minorTickMark val="none"/>
        <c:tickLblPos val="nextTo"/>
        <c:crossAx val="140622080"/>
        <c:crosses val="autoZero"/>
        <c:crossBetween val="midCat"/>
      </c:valAx>
      <c:spPr>
        <a:solidFill>
          <a:schemeClr val="bg1">
            <a:lumMod val="85000"/>
          </a:schemeClr>
        </a:solidFill>
      </c:spPr>
    </c:plotArea>
    <c:legend>
      <c:legendPos val="r"/>
      <c:layout/>
      <c:overlay val="0"/>
    </c:legend>
    <c:plotVisOnly val="1"/>
    <c:dispBlanksAs val="gap"/>
    <c:showDLblsOverMax val="0"/>
  </c:chart>
  <c:printSettings>
    <c:headerFooter/>
    <c:pageMargins b="0.75000000000000888" l="0.70000000000000062" r="0.70000000000000062" t="0.75000000000000888"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600" b="1" i="0" baseline="0"/>
              <a:t>Estimated transition from Black Lake (Early Run) to Chignik Lake (Late Run) Stock Composition from Genetic Analysis</a:t>
            </a:r>
            <a:endParaRPr lang="en-US" sz="1600"/>
          </a:p>
          <a:p>
            <a:pPr algn="ctr">
              <a:defRPr/>
            </a:pPr>
            <a:r>
              <a:rPr lang="en-US" sz="1600" b="1" i="0" baseline="0"/>
              <a:t> and Logistic model fit, 2017.  (black diamonds are inseason data points, red circles are standard anchor points, vertical bars are 95% conf</a:t>
            </a:r>
            <a:endParaRPr lang="en-US" sz="1600"/>
          </a:p>
        </c:rich>
      </c:tx>
      <c:layout/>
      <c:overlay val="1"/>
    </c:title>
    <c:autoTitleDeleted val="0"/>
    <c:plotArea>
      <c:layout>
        <c:manualLayout>
          <c:layoutTarget val="inner"/>
          <c:xMode val="edge"/>
          <c:yMode val="edge"/>
          <c:x val="9.732474311922619E-2"/>
          <c:y val="0.25318478738038336"/>
          <c:w val="0.8451809301776505"/>
          <c:h val="0.70140614634732557"/>
        </c:manualLayout>
      </c:layout>
      <c:scatterChart>
        <c:scatterStyle val="lineMarker"/>
        <c:varyColors val="0"/>
        <c:ser>
          <c:idx val="0"/>
          <c:order val="0"/>
          <c:tx>
            <c:v>2017 data points</c:v>
          </c:tx>
          <c:spPr>
            <a:ln w="28575">
              <a:noFill/>
            </a:ln>
          </c:spPr>
          <c:marker>
            <c:spPr>
              <a:solidFill>
                <a:schemeClr val="tx1"/>
              </a:solidFill>
              <a:ln>
                <a:solidFill>
                  <a:schemeClr val="tx1"/>
                </a:solidFill>
              </a:ln>
            </c:spPr>
          </c:marker>
          <c:dPt>
            <c:idx val="0"/>
            <c:marker>
              <c:symbol val="circle"/>
              <c:size val="7"/>
              <c:spPr>
                <a:solidFill>
                  <a:srgbClr val="FF0000"/>
                </a:solidFill>
                <a:ln>
                  <a:solidFill>
                    <a:schemeClr val="tx1"/>
                  </a:solidFill>
                </a:ln>
              </c:spPr>
            </c:marker>
            <c:bubble3D val="0"/>
          </c:dPt>
          <c:dPt>
            <c:idx val="7"/>
            <c:marker>
              <c:symbol val="circle"/>
              <c:size val="7"/>
              <c:spPr>
                <a:solidFill>
                  <a:srgbClr val="FF0000"/>
                </a:solidFill>
                <a:ln>
                  <a:solidFill>
                    <a:schemeClr val="tx1"/>
                  </a:solidFill>
                </a:ln>
              </c:spPr>
            </c:marker>
            <c:bubble3D val="0"/>
          </c:dPt>
          <c:errBars>
            <c:errDir val="y"/>
            <c:errBarType val="both"/>
            <c:errValType val="cust"/>
            <c:noEndCap val="0"/>
            <c:plus>
              <c:numRef>
                <c:f>'Logistic 2017'!$E$132:$E$139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plus>
            <c:minus>
              <c:numRef>
                <c:f>'Logistic 2017'!$E$132:$E$139</c:f>
                <c:numCache>
                  <c:formatCode>General</c:formatCode>
                  <c:ptCount val="8"/>
                  <c:pt idx="0">
                    <c:v>4.9000000000000002E-2</c:v>
                  </c:pt>
                  <c:pt idx="1">
                    <c:v>5.7417534523347635E-2</c:v>
                  </c:pt>
                  <c:pt idx="2">
                    <c:v>8.5786504364152846E-2</c:v>
                  </c:pt>
                  <c:pt idx="3">
                    <c:v>0.10746049608614024</c:v>
                  </c:pt>
                  <c:pt idx="4">
                    <c:v>0.10692446359384698</c:v>
                  </c:pt>
                  <c:pt idx="5">
                    <c:v>0.10343727450879681</c:v>
                  </c:pt>
                  <c:pt idx="6">
                    <c:v>0.11512772148732124</c:v>
                  </c:pt>
                  <c:pt idx="7">
                    <c:v>4.9000000000000002E-2</c:v>
                  </c:pt>
                </c:numCache>
              </c:numRef>
            </c:minus>
          </c:errBars>
          <c:errBars>
            <c:errDir val="x"/>
            <c:errBarType val="both"/>
            <c:errValType val="fixedVal"/>
            <c:noEndCap val="0"/>
            <c:val val="0"/>
          </c:errBars>
          <c:xVal>
            <c:numRef>
              <c:f>'Logistic 2017'!$B$132:$B$139</c:f>
              <c:numCache>
                <c:formatCode>m/d/yyyy</c:formatCode>
                <c:ptCount val="8"/>
                <c:pt idx="0">
                  <c:v>37766.5</c:v>
                </c:pt>
                <c:pt idx="1">
                  <c:v>37797.5</c:v>
                </c:pt>
                <c:pt idx="2">
                  <c:v>37803.5</c:v>
                </c:pt>
                <c:pt idx="3">
                  <c:v>37809.5</c:v>
                </c:pt>
                <c:pt idx="4">
                  <c:v>37815.5</c:v>
                </c:pt>
                <c:pt idx="5">
                  <c:v>37820.5</c:v>
                </c:pt>
                <c:pt idx="6">
                  <c:v>37825.5</c:v>
                </c:pt>
                <c:pt idx="7">
                  <c:v>37834.5</c:v>
                </c:pt>
              </c:numCache>
            </c:numRef>
          </c:xVal>
          <c:yVal>
            <c:numRef>
              <c:f>'Logistic 2017'!$F$132:$F$139</c:f>
              <c:numCache>
                <c:formatCode>0.00</c:formatCode>
                <c:ptCount val="8"/>
                <c:pt idx="0">
                  <c:v>1</c:v>
                </c:pt>
                <c:pt idx="1">
                  <c:v>0.98562633850000003</c:v>
                </c:pt>
                <c:pt idx="2">
                  <c:v>0.85469573705000002</c:v>
                </c:pt>
                <c:pt idx="3">
                  <c:v>0.71532108137999995</c:v>
                </c:pt>
                <c:pt idx="4">
                  <c:v>0.31686118160999999</c:v>
                </c:pt>
                <c:pt idx="5">
                  <c:v>0.41652184618999999</c:v>
                </c:pt>
                <c:pt idx="6">
                  <c:v>0.42876999218</c:v>
                </c:pt>
                <c:pt idx="7">
                  <c:v>0</c:v>
                </c:pt>
              </c:numCache>
            </c:numRef>
          </c:yVal>
          <c:smooth val="0"/>
        </c:ser>
        <c:ser>
          <c:idx val="2"/>
          <c:order val="1"/>
          <c:tx>
            <c:v>fitted logistic model</c:v>
          </c:tx>
          <c:spPr>
            <a:ln w="28575">
              <a:solidFill>
                <a:sysClr val="windowText" lastClr="000000"/>
              </a:solidFill>
            </a:ln>
          </c:spPr>
          <c:marker>
            <c:symbol val="none"/>
          </c:marker>
          <c:xVal>
            <c:numRef>
              <c:f>'Logistic 2017'!$C$152:$C$250</c:f>
              <c:numCache>
                <c:formatCode>General</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2017'!$D$152:$D$250</c:f>
              <c:numCache>
                <c:formatCode>0</c:formatCode>
                <c:ptCount val="99"/>
                <c:pt idx="0">
                  <c:v>0.99937189731766174</c:v>
                </c:pt>
                <c:pt idx="1">
                  <c:v>0.99927033440039681</c:v>
                </c:pt>
                <c:pt idx="2">
                  <c:v>0.99915236289651199</c:v>
                </c:pt>
                <c:pt idx="3">
                  <c:v>0.9990153366888026</c:v>
                </c:pt>
                <c:pt idx="4">
                  <c:v>0.99885618463641579</c:v>
                </c:pt>
                <c:pt idx="5">
                  <c:v>0.9986713429007984</c:v>
                </c:pt>
                <c:pt idx="6">
                  <c:v>0.9984566767039742</c:v>
                </c:pt>
                <c:pt idx="7">
                  <c:v>0.99820738994185276</c:v>
                </c:pt>
                <c:pt idx="8">
                  <c:v>0.99791792086573672</c:v>
                </c:pt>
                <c:pt idx="9">
                  <c:v>0.99758182181733823</c:v>
                </c:pt>
                <c:pt idx="10">
                  <c:v>0.99719162075867385</c:v>
                </c:pt>
                <c:pt idx="11">
                  <c:v>0.99673866208252038</c:v>
                </c:pt>
                <c:pt idx="12">
                  <c:v>0.99621292392889316</c:v>
                </c:pt>
                <c:pt idx="13">
                  <c:v>0.99560280897956932</c:v>
                </c:pt>
                <c:pt idx="14">
                  <c:v>0.9948949054728613</c:v>
                </c:pt>
                <c:pt idx="15">
                  <c:v>0.99407371499902086</c:v>
                </c:pt>
                <c:pt idx="16">
                  <c:v>0.99312134353716319</c:v>
                </c:pt>
                <c:pt idx="17">
                  <c:v>0.99201715222492926</c:v>
                </c:pt>
                <c:pt idx="18">
                  <c:v>0.99073736457669048</c:v>
                </c:pt>
                <c:pt idx="19">
                  <c:v>0.9892546273709848</c:v>
                </c:pt>
                <c:pt idx="20">
                  <c:v>0.98753752332597144</c:v>
                </c:pt>
                <c:pt idx="21">
                  <c:v>0.98555003511863482</c:v>
                </c:pt>
                <c:pt idx="22">
                  <c:v>0.98325096246333232</c:v>
                </c:pt>
                <c:pt idx="23">
                  <c:v>0.98059329707541876</c:v>
                </c:pt>
                <c:pt idx="24">
                  <c:v>0.97752356467890367</c:v>
                </c:pt>
                <c:pt idx="25">
                  <c:v>0.97398114908861111</c:v>
                </c:pt>
                <c:pt idx="26">
                  <c:v>0.96989762115253808</c:v>
                </c:pt>
                <c:pt idx="27">
                  <c:v>0.96519610532756117</c:v>
                </c:pt>
                <c:pt idx="28">
                  <c:v>0.95979072918333619</c:v>
                </c:pt>
                <c:pt idx="29">
                  <c:v>0.95358621635903895</c:v>
                </c:pt>
                <c:pt idx="30">
                  <c:v>0.94647770135664244</c:v>
                </c:pt>
                <c:pt idx="31">
                  <c:v>0.93835086453417804</c:v>
                </c:pt>
                <c:pt idx="32">
                  <c:v>0.92908250659040403</c:v>
                </c:pt>
                <c:pt idx="33">
                  <c:v>0.91854170158897652</c:v>
                </c:pt>
                <c:pt idx="34">
                  <c:v>0.90659168278816871</c:v>
                </c:pt>
                <c:pt idx="35">
                  <c:v>0.89309262135735867</c:v>
                </c:pt>
                <c:pt idx="36">
                  <c:v>0.87790544803816573</c:v>
                </c:pt>
                <c:pt idx="37">
                  <c:v>0.86089683421987606</c:v>
                </c:pt>
                <c:pt idx="38">
                  <c:v>0.84194538359625493</c:v>
                </c:pt>
                <c:pt idx="39">
                  <c:v>0.82094898166426189</c:v>
                </c:pt>
                <c:pt idx="40">
                  <c:v>0.79783310480175662</c:v>
                </c:pt>
                <c:pt idx="41" formatCode="General">
                  <c:v>0.7725597077788241</c:v>
                </c:pt>
                <c:pt idx="42" formatCode="General">
                  <c:v>0.74513610338185698</c:v>
                </c:pt>
                <c:pt idx="43" formatCode="General">
                  <c:v>0.71562304867688131</c:v>
                </c:pt>
                <c:pt idx="44" formatCode="General">
                  <c:v>0.68414110046366616</c:v>
                </c:pt>
                <c:pt idx="45" formatCode="General">
                  <c:v>0.65087424661609383</c:v>
                </c:pt>
                <c:pt idx="46" formatCode="General">
                  <c:v>0.61606990640824155</c:v>
                </c:pt>
                <c:pt idx="47" formatCode="General">
                  <c:v>0.58003464995789233</c:v>
                </c:pt>
                <c:pt idx="48" formatCode="General">
                  <c:v>0.54312540973269186</c:v>
                </c:pt>
                <c:pt idx="49" formatCode="General">
                  <c:v>0.50573649787531938</c:v>
                </c:pt>
                <c:pt idx="50" formatCode="General">
                  <c:v>0.46828331346233132</c:v>
                </c:pt>
                <c:pt idx="51" formatCode="General">
                  <c:v>0.43118411183772998</c:v>
                </c:pt>
                <c:pt idx="52" formatCode="General">
                  <c:v>0.39484150763108683</c:v>
                </c:pt>
                <c:pt idx="53" formatCode="General">
                  <c:v>0.35962542496913763</c:v>
                </c:pt>
                <c:pt idx="54" formatCode="General">
                  <c:v>0.32585898285623605</c:v>
                </c:pt>
                <c:pt idx="55" formatCode="General">
                  <c:v>0.29380836323121118</c:v>
                </c:pt>
                <c:pt idx="56" formatCode="General">
                  <c:v>0.26367715178528073</c:v>
                </c:pt>
                <c:pt idx="57" formatCode="General">
                  <c:v>0.23560508082824672</c:v>
                </c:pt>
                <c:pt idx="58" formatCode="General">
                  <c:v>0.20967063743947068</c:v>
                </c:pt>
                <c:pt idx="59" formatCode="General">
                  <c:v>0.18589668998513509</c:v>
                </c:pt>
                <c:pt idx="60" formatCode="General">
                  <c:v>0.16425814922380866</c:v>
                </c:pt>
                <c:pt idx="61" formatCode="General">
                  <c:v>0.14469069694444792</c:v>
                </c:pt>
                <c:pt idx="62" formatCode="General">
                  <c:v>0.12709974296797055</c:v>
                </c:pt>
                <c:pt idx="63" formatCode="General">
                  <c:v>0.11136896093811099</c:v>
                </c:pt>
                <c:pt idx="64" formatCode="General">
                  <c:v>9.7367960303295087E-2</c:v>
                </c:pt>
                <c:pt idx="65" formatCode="General">
                  <c:v>8.4958843777534709E-2</c:v>
                </c:pt>
                <c:pt idx="66" formatCode="General">
                  <c:v>7.4001557409438701E-2</c:v>
                </c:pt>
                <c:pt idx="67" formatCode="General">
                  <c:v>6.4358056974210931E-2</c:v>
                </c:pt>
                <c:pt idx="68" formatCode="General">
                  <c:v>5.5895390906604558E-2</c:v>
                </c:pt>
                <c:pt idx="69" formatCode="General">
                  <c:v>4.8487842437026307E-2</c:v>
                </c:pt>
                <c:pt idx="70" formatCode="General">
                  <c:v>4.2018289963551392E-2</c:v>
                </c:pt>
                <c:pt idx="71" formatCode="General">
                  <c:v>3.6378942971083794E-2</c:v>
                </c:pt>
                <c:pt idx="72" formatCode="General">
                  <c:v>3.147159787810494E-2</c:v>
                </c:pt>
                <c:pt idx="73" formatCode="General">
                  <c:v>2.7207539400781577E-2</c:v>
                </c:pt>
                <c:pt idx="74" formatCode="General">
                  <c:v>2.350719217767816E-2</c:v>
                </c:pt>
                <c:pt idx="75" formatCode="General">
                  <c:v>2.0299606966050265E-2</c:v>
                </c:pt>
                <c:pt idx="76" formatCode="General">
                  <c:v>1.7521847133122215E-2</c:v>
                </c:pt>
                <c:pt idx="77" formatCode="General">
                  <c:v>1.511832510717781E-2</c:v>
                </c:pt>
                <c:pt idx="78" formatCode="General">
                  <c:v>1.3040125112587564E-2</c:v>
                </c:pt>
                <c:pt idx="79" formatCode="General">
                  <c:v>1.1244337778071323E-2</c:v>
                </c:pt>
                <c:pt idx="80" formatCode="General">
                  <c:v>9.6934238053025812E-3</c:v>
                </c:pt>
                <c:pt idx="81" formatCode="General">
                  <c:v>8.3546174745615653E-3</c:v>
                </c:pt>
                <c:pt idx="82" formatCode="General">
                  <c:v>7.1993759954323E-3</c:v>
                </c:pt>
                <c:pt idx="83" formatCode="General">
                  <c:v>6.2028772571940394E-3</c:v>
                </c:pt>
                <c:pt idx="84" formatCode="General">
                  <c:v>5.3435661091475462E-3</c:v>
                </c:pt>
                <c:pt idx="85" formatCode="General">
                  <c:v>4.6027476644416865E-3</c:v>
                </c:pt>
                <c:pt idx="86" formatCode="General">
                  <c:v>3.9642250751049657E-3</c:v>
                </c:pt>
                <c:pt idx="87" formatCode="General">
                  <c:v>3.4139786141772488E-3</c:v>
                </c:pt>
                <c:pt idx="88" formatCode="General">
                  <c:v>2.9398826007416279E-3</c:v>
                </c:pt>
                <c:pt idx="89" formatCode="General">
                  <c:v>2.5314566216378953E-3</c:v>
                </c:pt>
                <c:pt idx="90" formatCode="General">
                  <c:v>2.1796475691444606E-3</c:v>
                </c:pt>
                <c:pt idx="91" formatCode="General">
                  <c:v>1.8766391747334632E-3</c:v>
                </c:pt>
                <c:pt idx="92" formatCode="General">
                  <c:v>1.6156859371333487E-3</c:v>
                </c:pt>
                <c:pt idx="93" formatCode="General">
                  <c:v>1.3909685912373293E-3</c:v>
                </c:pt>
                <c:pt idx="94" formatCode="General">
                  <c:v>1.1974685239601879E-3</c:v>
                </c:pt>
                <c:pt idx="95" formatCode="General">
                  <c:v>1.0308588011587183E-3</c:v>
                </c:pt>
                <c:pt idx="96" formatCode="General">
                  <c:v>8.8740971783596301E-4</c:v>
                </c:pt>
                <c:pt idx="97" formatCode="General">
                  <c:v>7.6390701694539764E-4</c:v>
                </c:pt>
                <c:pt idx="98" formatCode="General">
                  <c:v>6.5758113740532753E-4</c:v>
                </c:pt>
              </c:numCache>
            </c:numRef>
          </c:yVal>
          <c:smooth val="0"/>
        </c:ser>
        <c:dLbls>
          <c:showLegendKey val="0"/>
          <c:showVal val="0"/>
          <c:showCatName val="0"/>
          <c:showSerName val="0"/>
          <c:showPercent val="0"/>
          <c:showBubbleSize val="0"/>
        </c:dLbls>
        <c:axId val="140659328"/>
        <c:axId val="140661120"/>
      </c:scatterChart>
      <c:valAx>
        <c:axId val="140659328"/>
        <c:scaling>
          <c:orientation val="minMax"/>
          <c:max val="37880"/>
        </c:scaling>
        <c:delete val="0"/>
        <c:axPos val="b"/>
        <c:numFmt formatCode="m/d;@" sourceLinked="0"/>
        <c:majorTickMark val="out"/>
        <c:minorTickMark val="none"/>
        <c:tickLblPos val="nextTo"/>
        <c:crossAx val="140661120"/>
        <c:crosses val="autoZero"/>
        <c:crossBetween val="midCat"/>
        <c:majorUnit val="10"/>
      </c:valAx>
      <c:valAx>
        <c:axId val="140661120"/>
        <c:scaling>
          <c:orientation val="minMax"/>
          <c:max val="1"/>
          <c:min val="0"/>
        </c:scaling>
        <c:delete val="0"/>
        <c:axPos val="l"/>
        <c:numFmt formatCode="0%" sourceLinked="0"/>
        <c:majorTickMark val="out"/>
        <c:minorTickMark val="none"/>
        <c:tickLblPos val="nextTo"/>
        <c:crossAx val="140659328"/>
        <c:crosses val="autoZero"/>
        <c:crossBetween val="midCat"/>
      </c:valAx>
    </c:plotArea>
    <c:legend>
      <c:legendPos val="r"/>
      <c:layout>
        <c:manualLayout>
          <c:xMode val="edge"/>
          <c:yMode val="edge"/>
          <c:x val="0.7823379117525433"/>
          <c:y val="0.46976868238386027"/>
          <c:w val="0.17732730939338678"/>
          <c:h val="6.7237753131901834E-2"/>
        </c:manualLayout>
      </c:layout>
      <c:overlay val="0"/>
    </c:legend>
    <c:plotVisOnly val="1"/>
    <c:dispBlanksAs val="gap"/>
    <c:showDLblsOverMax val="0"/>
  </c:chart>
  <c:spPr>
    <a:ln>
      <a:noFill/>
    </a:ln>
  </c:spPr>
  <c:printSettings>
    <c:headerFooter/>
    <c:pageMargins b="0.750000000000001" l="0.70000000000000062" r="0.70000000000000062" t="0.75000000000000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2016'!$AE$11:$AE$76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2016'!$AF$11:$AF$76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2016'!$AE$11:$AE$76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2016'!$AH$11:$AH$76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2016'!$AE$11:$AE$76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2016'!$AI$11:$AI$76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2016'!$AE$11:$AE$76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2016'!$AJ$11:$AJ$76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40517376"/>
        <c:axId val="140518912"/>
      </c:lineChart>
      <c:catAx>
        <c:axId val="140517376"/>
        <c:scaling>
          <c:orientation val="minMax"/>
        </c:scaling>
        <c:delete val="0"/>
        <c:axPos val="b"/>
        <c:majorTickMark val="out"/>
        <c:minorTickMark val="none"/>
        <c:tickLblPos val="nextTo"/>
        <c:crossAx val="140518912"/>
        <c:crosses val="autoZero"/>
        <c:auto val="1"/>
        <c:lblAlgn val="ctr"/>
        <c:lblOffset val="100"/>
        <c:noMultiLvlLbl val="0"/>
      </c:catAx>
      <c:valAx>
        <c:axId val="140518912"/>
        <c:scaling>
          <c:orientation val="minMax"/>
        </c:scaling>
        <c:delete val="0"/>
        <c:axPos val="l"/>
        <c:majorGridlines/>
        <c:numFmt formatCode="General" sourceLinked="1"/>
        <c:majorTickMark val="out"/>
        <c:minorTickMark val="none"/>
        <c:tickLblPos val="nextTo"/>
        <c:crossAx val="140517376"/>
        <c:crosses val="autoZero"/>
        <c:crossBetween val="between"/>
      </c:valAx>
    </c:plotArea>
    <c:legend>
      <c:legendPos val="r"/>
      <c:overlay val="0"/>
    </c:legend>
    <c:plotVisOnly val="1"/>
    <c:dispBlanksAs val="gap"/>
    <c:showDLblsOverMax val="0"/>
  </c:chart>
  <c:printSettings>
    <c:headerFooter/>
    <c:pageMargins b="0.75000000000000744" l="0.70000000000000062" r="0.70000000000000062" t="0.75000000000000744"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2010 to 2016.</a:t>
            </a:r>
          </a:p>
        </c:rich>
      </c:tx>
      <c:layout/>
      <c:overlay val="1"/>
    </c:title>
    <c:autoTitleDeleted val="0"/>
    <c:plotArea>
      <c:layout>
        <c:manualLayout>
          <c:layoutTarget val="inner"/>
          <c:xMode val="edge"/>
          <c:yMode val="edge"/>
          <c:x val="8.2792601176842048E-2"/>
          <c:y val="0.18347335916691443"/>
          <c:w val="0.77807905912306485"/>
          <c:h val="0.73718054729184079"/>
        </c:manualLayout>
      </c:layout>
      <c:scatterChart>
        <c:scatterStyle val="smoothMarker"/>
        <c:varyColors val="0"/>
        <c:ser>
          <c:idx val="6"/>
          <c:order val="0"/>
          <c:tx>
            <c:v>2016 </c:v>
          </c:tx>
          <c:spPr>
            <a:ln w="73025">
              <a:solidFill>
                <a:sysClr val="windowText" lastClr="000000"/>
              </a:solidFill>
            </a:ln>
          </c:spPr>
          <c:marker>
            <c:symbol val="none"/>
          </c:marker>
          <c:xVal>
            <c:numRef>
              <c:f>'Logistic 2016'!$J$9:$J$107</c:f>
              <c:numCache>
                <c:formatCode>m/d;@</c:formatCode>
                <c:ptCount val="99"/>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pt idx="68">
                  <c:v>37834.5</c:v>
                </c:pt>
                <c:pt idx="69">
                  <c:v>37835.5</c:v>
                </c:pt>
                <c:pt idx="70">
                  <c:v>37836.5</c:v>
                </c:pt>
                <c:pt idx="71">
                  <c:v>37837.5</c:v>
                </c:pt>
                <c:pt idx="72">
                  <c:v>37838.5</c:v>
                </c:pt>
                <c:pt idx="73">
                  <c:v>37839.5</c:v>
                </c:pt>
                <c:pt idx="74">
                  <c:v>37840.5</c:v>
                </c:pt>
                <c:pt idx="75">
                  <c:v>37841.5</c:v>
                </c:pt>
                <c:pt idx="76">
                  <c:v>37842.5</c:v>
                </c:pt>
                <c:pt idx="77">
                  <c:v>37843.5</c:v>
                </c:pt>
                <c:pt idx="78">
                  <c:v>37844.5</c:v>
                </c:pt>
                <c:pt idx="79">
                  <c:v>37845.5</c:v>
                </c:pt>
                <c:pt idx="80">
                  <c:v>37846.5</c:v>
                </c:pt>
                <c:pt idx="81">
                  <c:v>37847.5</c:v>
                </c:pt>
                <c:pt idx="82">
                  <c:v>37848.5</c:v>
                </c:pt>
                <c:pt idx="83">
                  <c:v>37849.5</c:v>
                </c:pt>
                <c:pt idx="84">
                  <c:v>37850.5</c:v>
                </c:pt>
                <c:pt idx="85">
                  <c:v>37851.5</c:v>
                </c:pt>
                <c:pt idx="86">
                  <c:v>37852.5</c:v>
                </c:pt>
                <c:pt idx="87">
                  <c:v>37853.5</c:v>
                </c:pt>
                <c:pt idx="88">
                  <c:v>37854.5</c:v>
                </c:pt>
                <c:pt idx="89">
                  <c:v>37855.5</c:v>
                </c:pt>
                <c:pt idx="90">
                  <c:v>37856.5</c:v>
                </c:pt>
                <c:pt idx="91">
                  <c:v>37857.5</c:v>
                </c:pt>
                <c:pt idx="92">
                  <c:v>37858.5</c:v>
                </c:pt>
                <c:pt idx="93">
                  <c:v>37859.5</c:v>
                </c:pt>
                <c:pt idx="94">
                  <c:v>37860.5</c:v>
                </c:pt>
                <c:pt idx="95">
                  <c:v>37861.5</c:v>
                </c:pt>
                <c:pt idx="96">
                  <c:v>37862.5</c:v>
                </c:pt>
                <c:pt idx="97">
                  <c:v>37863.5</c:v>
                </c:pt>
                <c:pt idx="98">
                  <c:v>37864.5</c:v>
                </c:pt>
              </c:numCache>
            </c:numRef>
          </c:xVal>
          <c:yVal>
            <c:numRef>
              <c:f>'Logistic 2016'!$L$9:$L$107</c:f>
              <c:numCache>
                <c:formatCode>0.00%</c:formatCode>
                <c:ptCount val="99"/>
                <c:pt idx="0">
                  <c:v>5.4567010890120445E-5</c:v>
                </c:pt>
                <c:pt idx="1">
                  <c:v>6.7373238456564966E-5</c:v>
                </c:pt>
                <c:pt idx="2">
                  <c:v>8.3184685088893813E-5</c:v>
                </c:pt>
                <c:pt idx="3">
                  <c:v>1.0270645011768952E-4</c:v>
                </c:pt>
                <c:pt idx="4">
                  <c:v>1.2680899799840468E-4</c:v>
                </c:pt>
                <c:pt idx="5">
                  <c:v>1.5656690490945612E-4</c:v>
                </c:pt>
                <c:pt idx="6">
                  <c:v>1.9330666513183464E-4</c:v>
                </c:pt>
                <c:pt idx="7">
                  <c:v>2.3866566566067658E-4</c:v>
                </c:pt>
                <c:pt idx="8">
                  <c:v>2.9466492298187109E-4</c:v>
                </c:pt>
                <c:pt idx="9">
                  <c:v>3.637987704705253E-4</c:v>
                </c:pt>
                <c:pt idx="10">
                  <c:v>4.4914541146716158E-4</c:v>
                </c:pt>
                <c:pt idx="11">
                  <c:v>5.5450313887280044E-4</c:v>
                </c:pt>
                <c:pt idx="12">
                  <c:v>6.8455809853298325E-4</c:v>
                </c:pt>
                <c:pt idx="13">
                  <c:v>8.4509077654013206E-4</c:v>
                </c:pt>
                <c:pt idx="14">
                  <c:v>1.0432299594410378E-3</c:v>
                </c:pt>
                <c:pt idx="15">
                  <c:v>1.2877647930757902E-3</c:v>
                </c:pt>
                <c:pt idx="16">
                  <c:v>1.5895277916154621E-3</c:v>
                </c:pt>
                <c:pt idx="17">
                  <c:v>1.96186425844861E-3</c:v>
                </c:pt>
                <c:pt idx="18">
                  <c:v>2.4212065947213633E-3</c:v>
                </c:pt>
                <c:pt idx="19">
                  <c:v>2.9877753789890583E-3</c:v>
                </c:pt>
                <c:pt idx="20">
                  <c:v>3.6864328376781316E-3</c:v>
                </c:pt>
                <c:pt idx="21">
                  <c:v>4.547718234632037E-3</c:v>
                </c:pt>
                <c:pt idx="22">
                  <c:v>5.6090984854155097E-3</c:v>
                </c:pt>
                <c:pt idx="23">
                  <c:v>6.9164704149544112E-3</c:v>
                </c:pt>
                <c:pt idx="24">
                  <c:v>8.5259526435283294E-3</c:v>
                </c:pt>
                <c:pt idx="25">
                  <c:v>1.0506003709638681E-2</c:v>
                </c:pt>
                <c:pt idx="26">
                  <c:v>1.2939896585467332E-2</c:v>
                </c:pt>
                <c:pt idx="27">
                  <c:v>1.5928565059655404E-2</c:v>
                </c:pt>
                <c:pt idx="28">
                  <c:v>1.9593810057528405E-2</c:v>
                </c:pt>
                <c:pt idx="29">
                  <c:v>2.4081807688119922E-2</c:v>
                </c:pt>
                <c:pt idx="30">
                  <c:v>2.9566787669067538E-2</c:v>
                </c:pt>
                <c:pt idx="31">
                  <c:v>3.6254641205059529E-2</c:v>
                </c:pt>
                <c:pt idx="32">
                  <c:v>4.4386061300486328E-2</c:v>
                </c:pt>
                <c:pt idx="33">
                  <c:v>5.4238607982524778E-2</c:v>
                </c:pt>
                <c:pt idx="34">
                  <c:v>6.6126825611814793E-2</c:v>
                </c:pt>
                <c:pt idx="35">
                  <c:v>8.0399235515699191E-2</c:v>
                </c:pt>
                <c:pt idx="36">
                  <c:v>9.7430730590327086E-2</c:v>
                </c:pt>
                <c:pt idx="37">
                  <c:v>0.11760870130683239</c:v>
                </c:pt>
                <c:pt idx="38">
                  <c:v>0.14131127609750577</c:v>
                </c:pt>
                <c:pt idx="39">
                  <c:v>0.16887657171738996</c:v>
                </c:pt>
                <c:pt idx="40" formatCode="0.000%">
                  <c:v>0.2005630471679109</c:v>
                </c:pt>
                <c:pt idx="41">
                  <c:v>0.23650308399925971</c:v>
                </c:pt>
                <c:pt idx="42">
                  <c:v>0.27665467849284059</c:v>
                </c:pt>
                <c:pt idx="43">
                  <c:v>0.32075910277177222</c:v>
                </c:pt>
                <c:pt idx="44">
                  <c:v>0.36831454030241551</c:v>
                </c:pt>
                <c:pt idx="45">
                  <c:v>0.41857568394908989</c:v>
                </c:pt>
                <c:pt idx="46">
                  <c:v>0.47058602571885588</c:v>
                </c:pt>
                <c:pt idx="47">
                  <c:v>0.52324305630344725</c:v>
                </c:pt>
                <c:pt idx="48">
                  <c:v>0.57538841127072926</c:v>
                </c:pt>
                <c:pt idx="49">
                  <c:v>0.62590800374534272</c:v>
                </c:pt>
                <c:pt idx="50">
                  <c:v>0.6738242209455565</c:v>
                </c:pt>
                <c:pt idx="51">
                  <c:v>0.71836462327754991</c:v>
                </c:pt>
                <c:pt idx="52">
                  <c:v>0.75899823861070759</c:v>
                </c:pt>
                <c:pt idx="53">
                  <c:v>0.79543874895142319</c:v>
                </c:pt>
                <c:pt idx="54">
                  <c:v>0.82762068736577221</c:v>
                </c:pt>
                <c:pt idx="55">
                  <c:v>0.85565843157518973</c:v>
                </c:pt>
                <c:pt idx="56">
                  <c:v>0.87979813599641254</c:v>
                </c:pt>
                <c:pt idx="57">
                  <c:v>0.90037077875156668</c:v>
                </c:pt>
                <c:pt idx="58">
                  <c:v>0.91775156260729407</c:v>
                </c:pt>
                <c:pt idx="59">
                  <c:v>0.93232808462366246</c:v>
                </c:pt>
                <c:pt idx="60">
                  <c:v>0.94447756221334911</c:v>
                </c:pt>
                <c:pt idx="61">
                  <c:v>0.95455211228380965</c:v>
                </c:pt>
                <c:pt idx="62">
                  <c:v>0.96287049838133665</c:v>
                </c:pt>
                <c:pt idx="63">
                  <c:v>0.96971466500136505</c:v>
                </c:pt>
                <c:pt idx="64">
                  <c:v>0.97532955506085461</c:v>
                </c:pt>
                <c:pt idx="65">
                  <c:v>0.97992499727171689</c:v>
                </c:pt>
                <c:pt idx="66">
                  <c:v>0.98367875635308522</c:v>
                </c:pt>
                <c:pt idx="67">
                  <c:v>0.98674011013199214</c:v>
                </c:pt>
                <c:pt idx="68">
                  <c:v>0.98923353472043185</c:v>
                </c:pt>
                <c:pt idx="69">
                  <c:v>0.99126224111519712</c:v>
                </c:pt>
                <c:pt idx="70">
                  <c:v>0.99291142109137775</c:v>
                </c:pt>
                <c:pt idx="71">
                  <c:v>0.99425113715605551</c:v>
                </c:pt>
                <c:pt idx="72">
                  <c:v>0.99533884031398334</c:v>
                </c:pt>
                <c:pt idx="73">
                  <c:v>0.99622152866437019</c:v>
                </c:pt>
                <c:pt idx="74">
                  <c:v>0.99693757576042152</c:v>
                </c:pt>
                <c:pt idx="75">
                  <c:v>0.99751826489595463</c:v>
                </c:pt>
                <c:pt idx="76">
                  <c:v>0.99798906732847326</c:v>
                </c:pt>
                <c:pt idx="77">
                  <c:v>0.99837070114283777</c:v>
                </c:pt>
                <c:pt idx="78">
                  <c:v>0.9986800044744214</c:v>
                </c:pt>
                <c:pt idx="79">
                  <c:v>0.99893065307812379</c:v>
                </c:pt>
                <c:pt idx="80">
                  <c:v>0.99913374831716073</c:v>
                </c:pt>
                <c:pt idx="81">
                  <c:v>0.99929829787872804</c:v>
                </c:pt>
                <c:pt idx="82">
                  <c:v>0.99943160807267539</c:v>
                </c:pt>
                <c:pt idx="83">
                  <c:v>0.99953960350763804</c:v>
                </c:pt>
                <c:pt idx="84">
                  <c:v>0.99962708728215555</c:v>
                </c:pt>
                <c:pt idx="85">
                  <c:v>0.99969795255898075</c:v>
                </c:pt>
                <c:pt idx="86">
                  <c:v>0.99975535447513542</c:v>
                </c:pt>
                <c:pt idx="87">
                  <c:v>0.999801849737459</c:v>
                </c:pt>
                <c:pt idx="88">
                  <c:v>0.99983950992141424</c:v>
                </c:pt>
                <c:pt idx="89">
                  <c:v>0.99987001338984338</c:v>
                </c:pt>
                <c:pt idx="90">
                  <c:v>0.99989471984191181</c:v>
                </c:pt>
                <c:pt idx="91">
                  <c:v>0.99991473075866899</c:v>
                </c:pt>
                <c:pt idx="92">
                  <c:v>0.99993093840291025</c:v>
                </c:pt>
                <c:pt idx="93">
                  <c:v>0.99994406553378934</c:v>
                </c:pt>
                <c:pt idx="94">
                  <c:v>0.99995469759120847</c:v>
                </c:pt>
                <c:pt idx="95">
                  <c:v>0.99996330877483042</c:v>
                </c:pt>
                <c:pt idx="96">
                  <c:v>0.99997028317397052</c:v>
                </c:pt>
                <c:pt idx="97">
                  <c:v>0.9999759318863185</c:v>
                </c:pt>
                <c:pt idx="98">
                  <c:v>0.99998050688611206</c:v>
                </c:pt>
              </c:numCache>
            </c:numRef>
          </c:yVal>
          <c:smooth val="1"/>
        </c:ser>
        <c:ser>
          <c:idx val="7"/>
          <c:order val="1"/>
          <c:spPr>
            <a:ln>
              <a:noFill/>
            </a:ln>
          </c:spPr>
          <c:marker>
            <c:symbol val="circle"/>
            <c:size val="11"/>
            <c:spPr>
              <a:solidFill>
                <a:srgbClr val="FFFF00"/>
              </a:solidFill>
              <a:ln>
                <a:solidFill>
                  <a:schemeClr val="tx1"/>
                </a:solidFill>
              </a:ln>
            </c:spPr>
          </c:marker>
          <c:xVal>
            <c:numRef>
              <c:f>'Logistic 2016'!$B$9:$B$14</c:f>
              <c:numCache>
                <c:formatCode>m/d;@</c:formatCode>
                <c:ptCount val="6"/>
                <c:pt idx="0">
                  <c:v>37799.5</c:v>
                </c:pt>
                <c:pt idx="1">
                  <c:v>37804.5</c:v>
                </c:pt>
                <c:pt idx="2">
                  <c:v>37809.5</c:v>
                </c:pt>
                <c:pt idx="3">
                  <c:v>37814.5</c:v>
                </c:pt>
                <c:pt idx="4">
                  <c:v>37819.5</c:v>
                </c:pt>
                <c:pt idx="5">
                  <c:v>37828.684027777781</c:v>
                </c:pt>
              </c:numCache>
            </c:numRef>
          </c:xVal>
          <c:yVal>
            <c:numRef>
              <c:f>'Logistic 2016'!$E$9:$E$14</c:f>
              <c:numCache>
                <c:formatCode>0.0%</c:formatCode>
                <c:ptCount val="6"/>
                <c:pt idx="0">
                  <c:v>1.211964382E-2</c:v>
                </c:pt>
                <c:pt idx="1">
                  <c:v>0.20070242641</c:v>
                </c:pt>
                <c:pt idx="2">
                  <c:v>0.37352882179000002</c:v>
                </c:pt>
                <c:pt idx="3">
                  <c:v>0.57831060958000002</c:v>
                </c:pt>
                <c:pt idx="4">
                  <c:v>0.80114727205000003</c:v>
                </c:pt>
                <c:pt idx="5">
                  <c:v>0.86473196691999998</c:v>
                </c:pt>
              </c:numCache>
            </c:numRef>
          </c:yVal>
          <c:smooth val="1"/>
        </c:ser>
        <c:dLbls>
          <c:showLegendKey val="0"/>
          <c:showVal val="0"/>
          <c:showCatName val="0"/>
          <c:showSerName val="0"/>
          <c:showPercent val="0"/>
          <c:showBubbleSize val="0"/>
        </c:dLbls>
        <c:axId val="140551680"/>
        <c:axId val="140553600"/>
      </c:scatterChart>
      <c:valAx>
        <c:axId val="140551680"/>
        <c:scaling>
          <c:orientation val="minMax"/>
          <c:max val="37833"/>
          <c:min val="37790"/>
        </c:scaling>
        <c:delete val="0"/>
        <c:axPos val="b"/>
        <c:numFmt formatCode="m/d;@" sourceLinked="0"/>
        <c:majorTickMark val="out"/>
        <c:minorTickMark val="none"/>
        <c:tickLblPos val="nextTo"/>
        <c:crossAx val="140553600"/>
        <c:crosses val="autoZero"/>
        <c:crossBetween val="midCat"/>
      </c:valAx>
      <c:valAx>
        <c:axId val="140553600"/>
        <c:scaling>
          <c:orientation val="minMax"/>
          <c:max val="1"/>
          <c:min val="0"/>
        </c:scaling>
        <c:delete val="0"/>
        <c:axPos val="l"/>
        <c:numFmt formatCode="0.00%" sourceLinked="1"/>
        <c:majorTickMark val="out"/>
        <c:minorTickMark val="none"/>
        <c:tickLblPos val="nextTo"/>
        <c:crossAx val="140551680"/>
        <c:crosses val="autoZero"/>
        <c:crossBetween val="midCat"/>
      </c:valAx>
      <c:spPr>
        <a:solidFill>
          <a:schemeClr val="bg1">
            <a:lumMod val="85000"/>
          </a:schemeClr>
        </a:solidFill>
      </c:spPr>
    </c:plotArea>
    <c:legend>
      <c:legendPos val="r"/>
      <c:layout/>
      <c:overlay val="0"/>
    </c:legend>
    <c:plotVisOnly val="1"/>
    <c:dispBlanksAs val="gap"/>
    <c:showDLblsOverMax val="0"/>
  </c:chart>
  <c:printSettings>
    <c:headerFooter/>
    <c:pageMargins b="0.75000000000000866" l="0.70000000000000062" r="0.70000000000000062" t="0.75000000000000866"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 2015'!$AE$11:$AE$76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2015'!$AF$11:$AF$76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 2015'!$AE$11:$AE$76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2015'!$AH$11:$AH$76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 2015'!$AE$11:$AE$76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2015'!$AI$11:$AI$76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 2015'!$AE$11:$AE$76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 2015'!$AJ$11:$AJ$76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41061504"/>
        <c:axId val="141079680"/>
      </c:lineChart>
      <c:catAx>
        <c:axId val="141061504"/>
        <c:scaling>
          <c:orientation val="minMax"/>
        </c:scaling>
        <c:delete val="0"/>
        <c:axPos val="b"/>
        <c:majorTickMark val="out"/>
        <c:minorTickMark val="none"/>
        <c:tickLblPos val="nextTo"/>
        <c:crossAx val="141079680"/>
        <c:crosses val="autoZero"/>
        <c:auto val="1"/>
        <c:lblAlgn val="ctr"/>
        <c:lblOffset val="100"/>
        <c:noMultiLvlLbl val="0"/>
      </c:catAx>
      <c:valAx>
        <c:axId val="141079680"/>
        <c:scaling>
          <c:orientation val="minMax"/>
        </c:scaling>
        <c:delete val="0"/>
        <c:axPos val="l"/>
        <c:majorGridlines/>
        <c:numFmt formatCode="General" sourceLinked="1"/>
        <c:majorTickMark val="out"/>
        <c:minorTickMark val="none"/>
        <c:tickLblPos val="nextTo"/>
        <c:crossAx val="141061504"/>
        <c:crosses val="autoZero"/>
        <c:crossBetween val="between"/>
      </c:valAx>
    </c:plotArea>
    <c:legend>
      <c:legendPos val="r"/>
      <c:overlay val="0"/>
    </c:legend>
    <c:plotVisOnly val="1"/>
    <c:dispBlanksAs val="gap"/>
    <c:showDLblsOverMax val="0"/>
  </c:chart>
  <c:printSettings>
    <c:headerFooter/>
    <c:pageMargins b="0.75000000000000722" l="0.70000000000000062" r="0.70000000000000062" t="0.75000000000000722"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2010 to 2015.</a:t>
            </a:r>
          </a:p>
        </c:rich>
      </c:tx>
      <c:layout/>
      <c:overlay val="1"/>
    </c:title>
    <c:autoTitleDeleted val="0"/>
    <c:plotArea>
      <c:layout>
        <c:manualLayout>
          <c:layoutTarget val="inner"/>
          <c:xMode val="edge"/>
          <c:yMode val="edge"/>
          <c:x val="6.4473978099472556E-2"/>
          <c:y val="0.20471229327344725"/>
          <c:w val="0.77807905912306463"/>
          <c:h val="0.73718054729184079"/>
        </c:manualLayout>
      </c:layout>
      <c:scatterChart>
        <c:scatterStyle val="smoothMarker"/>
        <c:varyColors val="0"/>
        <c:ser>
          <c:idx val="1"/>
          <c:order val="0"/>
          <c:tx>
            <c:v>2015</c:v>
          </c:tx>
          <c:xVal>
            <c:numRef>
              <c:f>'Logistic 2015'!$J$9:$J$76</c:f>
              <c:numCache>
                <c:formatCode>m/d;@</c:formatCode>
                <c:ptCount val="68"/>
                <c:pt idx="0">
                  <c:v>37766.5</c:v>
                </c:pt>
                <c:pt idx="1">
                  <c:v>37767.5</c:v>
                </c:pt>
                <c:pt idx="2">
                  <c:v>37768.5</c:v>
                </c:pt>
                <c:pt idx="3">
                  <c:v>37769.5</c:v>
                </c:pt>
                <c:pt idx="4">
                  <c:v>37770.5</c:v>
                </c:pt>
                <c:pt idx="5">
                  <c:v>37771.5</c:v>
                </c:pt>
                <c:pt idx="6">
                  <c:v>37772.5</c:v>
                </c:pt>
                <c:pt idx="7">
                  <c:v>37773.5</c:v>
                </c:pt>
                <c:pt idx="8">
                  <c:v>37774.5</c:v>
                </c:pt>
                <c:pt idx="9">
                  <c:v>37775.5</c:v>
                </c:pt>
                <c:pt idx="10">
                  <c:v>37776.5</c:v>
                </c:pt>
                <c:pt idx="11">
                  <c:v>37777.5</c:v>
                </c:pt>
                <c:pt idx="12">
                  <c:v>37778.5</c:v>
                </c:pt>
                <c:pt idx="13">
                  <c:v>37779.5</c:v>
                </c:pt>
                <c:pt idx="14">
                  <c:v>37780.5</c:v>
                </c:pt>
                <c:pt idx="15">
                  <c:v>37781.5</c:v>
                </c:pt>
                <c:pt idx="16">
                  <c:v>37782.5</c:v>
                </c:pt>
                <c:pt idx="17">
                  <c:v>37783.5</c:v>
                </c:pt>
                <c:pt idx="18">
                  <c:v>37784.5</c:v>
                </c:pt>
                <c:pt idx="19">
                  <c:v>37785.5</c:v>
                </c:pt>
                <c:pt idx="20">
                  <c:v>37786.5</c:v>
                </c:pt>
                <c:pt idx="21">
                  <c:v>37787.5</c:v>
                </c:pt>
                <c:pt idx="22">
                  <c:v>37788.5</c:v>
                </c:pt>
                <c:pt idx="23">
                  <c:v>37789.5</c:v>
                </c:pt>
                <c:pt idx="24">
                  <c:v>37790.5</c:v>
                </c:pt>
                <c:pt idx="25">
                  <c:v>37791.5</c:v>
                </c:pt>
                <c:pt idx="26">
                  <c:v>37792.5</c:v>
                </c:pt>
                <c:pt idx="27">
                  <c:v>37793.5</c:v>
                </c:pt>
                <c:pt idx="28">
                  <c:v>37794.5</c:v>
                </c:pt>
                <c:pt idx="29">
                  <c:v>37795.5</c:v>
                </c:pt>
                <c:pt idx="30">
                  <c:v>37796.5</c:v>
                </c:pt>
                <c:pt idx="31">
                  <c:v>37797.5</c:v>
                </c:pt>
                <c:pt idx="32">
                  <c:v>37798.5</c:v>
                </c:pt>
                <c:pt idx="33">
                  <c:v>37799.5</c:v>
                </c:pt>
                <c:pt idx="34">
                  <c:v>37800.5</c:v>
                </c:pt>
                <c:pt idx="35">
                  <c:v>37801.5</c:v>
                </c:pt>
                <c:pt idx="36">
                  <c:v>37802.5</c:v>
                </c:pt>
                <c:pt idx="37">
                  <c:v>37803.5</c:v>
                </c:pt>
                <c:pt idx="38">
                  <c:v>37804.5</c:v>
                </c:pt>
                <c:pt idx="39">
                  <c:v>37805.5</c:v>
                </c:pt>
                <c:pt idx="40">
                  <c:v>37806.5</c:v>
                </c:pt>
                <c:pt idx="41">
                  <c:v>37807.5</c:v>
                </c:pt>
                <c:pt idx="42">
                  <c:v>37808.5</c:v>
                </c:pt>
                <c:pt idx="43">
                  <c:v>37809.5</c:v>
                </c:pt>
                <c:pt idx="44">
                  <c:v>37810.5</c:v>
                </c:pt>
                <c:pt idx="45">
                  <c:v>37811.5</c:v>
                </c:pt>
                <c:pt idx="46">
                  <c:v>37812.5</c:v>
                </c:pt>
                <c:pt idx="47">
                  <c:v>37813.5</c:v>
                </c:pt>
                <c:pt idx="48">
                  <c:v>37814.5</c:v>
                </c:pt>
                <c:pt idx="49">
                  <c:v>37815.5</c:v>
                </c:pt>
                <c:pt idx="50">
                  <c:v>37816.5</c:v>
                </c:pt>
                <c:pt idx="51">
                  <c:v>37817.5</c:v>
                </c:pt>
                <c:pt idx="52">
                  <c:v>37818.5</c:v>
                </c:pt>
                <c:pt idx="53">
                  <c:v>37819.5</c:v>
                </c:pt>
                <c:pt idx="54">
                  <c:v>37820.5</c:v>
                </c:pt>
                <c:pt idx="55">
                  <c:v>37821.5</c:v>
                </c:pt>
                <c:pt idx="56">
                  <c:v>37822.5</c:v>
                </c:pt>
                <c:pt idx="57">
                  <c:v>37823.5</c:v>
                </c:pt>
                <c:pt idx="58">
                  <c:v>37824.5</c:v>
                </c:pt>
                <c:pt idx="59">
                  <c:v>37825.5</c:v>
                </c:pt>
                <c:pt idx="60">
                  <c:v>37826.5</c:v>
                </c:pt>
                <c:pt idx="61">
                  <c:v>37827.5</c:v>
                </c:pt>
                <c:pt idx="62">
                  <c:v>37828.5</c:v>
                </c:pt>
                <c:pt idx="63">
                  <c:v>37829.5</c:v>
                </c:pt>
                <c:pt idx="64">
                  <c:v>37830.5</c:v>
                </c:pt>
                <c:pt idx="65">
                  <c:v>37831.5</c:v>
                </c:pt>
                <c:pt idx="66">
                  <c:v>37832.5</c:v>
                </c:pt>
                <c:pt idx="67">
                  <c:v>37833.5</c:v>
                </c:pt>
              </c:numCache>
            </c:numRef>
          </c:xVal>
          <c:yVal>
            <c:numRef>
              <c:f>'Logistic 2015'!$L$9:$L$76</c:f>
              <c:numCache>
                <c:formatCode>0.00%</c:formatCode>
                <c:ptCount val="68"/>
                <c:pt idx="0">
                  <c:v>1.7170216429653574E-5</c:v>
                </c:pt>
                <c:pt idx="1">
                  <c:v>2.1049644832087176E-5</c:v>
                </c:pt>
                <c:pt idx="2">
                  <c:v>2.5805566341741293E-5</c:v>
                </c:pt>
                <c:pt idx="3">
                  <c:v>3.1635998799364258E-5</c:v>
                </c:pt>
                <c:pt idx="4">
                  <c:v>3.8783690632277242E-5</c:v>
                </c:pt>
                <c:pt idx="5">
                  <c:v>4.7546222245428585E-5</c:v>
                </c:pt>
                <c:pt idx="6">
                  <c:v>5.8288387136114664E-5</c:v>
                </c:pt>
                <c:pt idx="7">
                  <c:v>7.1457366502029548E-5</c:v>
                </c:pt>
                <c:pt idx="8">
                  <c:v>8.7601326531770458E-5</c:v>
                </c:pt>
                <c:pt idx="9">
                  <c:v>1.073922087312116E-4</c:v>
                </c:pt>
                <c:pt idx="10">
                  <c:v>1.316536561976944E-4</c:v>
                </c:pt>
                <c:pt idx="11">
                  <c:v>1.6139522954861882E-4</c:v>
                </c:pt>
                <c:pt idx="12">
                  <c:v>1.978543235034611E-4</c:v>
                </c:pt>
                <c:pt idx="13">
                  <c:v>2.425475088477299E-4</c:v>
                </c:pt>
                <c:pt idx="14">
                  <c:v>2.9733340657528011E-4</c:v>
                </c:pt>
                <c:pt idx="15">
                  <c:v>3.6448966557717813E-4</c:v>
                </c:pt>
                <c:pt idx="16">
                  <c:v>4.4680717905035274E-4</c:v>
                </c:pt>
                <c:pt idx="17">
                  <c:v>5.47705357394158E-4</c:v>
                </c:pt>
                <c:pt idx="18">
                  <c:v>6.7137309929851967E-4</c:v>
                </c:pt>
                <c:pt idx="19">
                  <c:v>8.2294109352207961E-4</c:v>
                </c:pt>
                <c:pt idx="20">
                  <c:v>1.0086922696245666E-3</c:v>
                </c:pt>
                <c:pt idx="21">
                  <c:v>1.2363186263959175E-3</c:v>
                </c:pt>
                <c:pt idx="22">
                  <c:v>1.5152343313630965E-3</c:v>
                </c:pt>
                <c:pt idx="23">
                  <c:v>1.8569569292680875E-3</c:v>
                </c:pt>
                <c:pt idx="24">
                  <c:v>2.2755707379901648E-3</c:v>
                </c:pt>
                <c:pt idx="25">
                  <c:v>2.7882890443545636E-3</c:v>
                </c:pt>
                <c:pt idx="26">
                  <c:v>3.4161345034189796E-3</c:v>
                </c:pt>
                <c:pt idx="27">
                  <c:v>4.1847601009758822E-3</c:v>
                </c:pt>
                <c:pt idx="28">
                  <c:v>5.1254359783822296E-3</c:v>
                </c:pt>
                <c:pt idx="29">
                  <c:v>6.2762300207819238E-3</c:v>
                </c:pt>
                <c:pt idx="30">
                  <c:v>7.6834118441578003E-3</c:v>
                </c:pt>
                <c:pt idx="31">
                  <c:v>9.4031098451942668E-3</c:v>
                </c:pt>
                <c:pt idx="32">
                  <c:v>1.1503248021332974E-2</c:v>
                </c:pt>
                <c:pt idx="33">
                  <c:v>1.4065781434915823E-2</c:v>
                </c:pt>
                <c:pt idx="34">
                  <c:v>1.7189233774663696E-2</c:v>
                </c:pt>
                <c:pt idx="35">
                  <c:v>2.0991513711110195E-2</c:v>
                </c:pt>
                <c:pt idx="36">
                  <c:v>2.5612943683085747E-2</c:v>
                </c:pt>
                <c:pt idx="37">
                  <c:v>3.1219369180249767E-2</c:v>
                </c:pt>
                <c:pt idx="38">
                  <c:v>3.8005121391425825E-2</c:v>
                </c:pt>
                <c:pt idx="39">
                  <c:v>4.6195474320518168E-2</c:v>
                </c:pt>
                <c:pt idx="40">
                  <c:v>5.6048064653054508E-2</c:v>
                </c:pt>
                <c:pt idx="41">
                  <c:v>6.785253101900221E-2</c:v>
                </c:pt>
                <c:pt idx="42">
                  <c:v>8.1927394602301376E-2</c:v>
                </c:pt>
                <c:pt idx="43">
                  <c:v>9.8612984121872763E-2</c:v>
                </c:pt>
                <c:pt idx="44">
                  <c:v>0.11825907785428158</c:v>
                </c:pt>
                <c:pt idx="45">
                  <c:v>0.14120600828712895</c:v>
                </c:pt>
                <c:pt idx="46">
                  <c:v>0.16775840377838086</c:v>
                </c:pt>
                <c:pt idx="47">
                  <c:v>0.19815168709175227</c:v>
                </c:pt>
                <c:pt idx="48">
                  <c:v>0.23251301259774254</c:v>
                </c:pt>
                <c:pt idx="49">
                  <c:v>0.27082042958185759</c:v>
                </c:pt>
                <c:pt idx="50">
                  <c:v>0.31286633989770485</c:v>
                </c:pt>
                <c:pt idx="51">
                  <c:v>0.35823305161693619</c:v>
                </c:pt>
                <c:pt idx="52">
                  <c:v>0.40628845838076044</c:v>
                </c:pt>
                <c:pt idx="53">
                  <c:v>0.45620777092293929</c:v>
                </c:pt>
                <c:pt idx="54">
                  <c:v>0.50702263532179892</c:v>
                </c:pt>
                <c:pt idx="55">
                  <c:v>0.55769281621908429</c:v>
                </c:pt>
                <c:pt idx="56">
                  <c:v>0.60718981875056721</c:v>
                </c:pt>
                <c:pt idx="57">
                  <c:v>0.65457853232225205</c:v>
                </c:pt>
                <c:pt idx="58">
                  <c:v>0.69908353422184055</c:v>
                </c:pt>
                <c:pt idx="59">
                  <c:v>0.74013086225137981</c:v>
                </c:pt>
                <c:pt idx="60">
                  <c:v>0.77736219179333366</c:v>
                </c:pt>
                <c:pt idx="61">
                  <c:v>0.81062423529610406</c:v>
                </c:pt>
                <c:pt idx="62">
                  <c:v>0.83994013022149039</c:v>
                </c:pt>
                <c:pt idx="63">
                  <c:v>0.86547098755737129</c:v>
                </c:pt>
                <c:pt idx="64">
                  <c:v>0.88747503251240256</c:v>
                </c:pt>
                <c:pt idx="65">
                  <c:v>0.90626979436277777</c:v>
                </c:pt>
                <c:pt idx="66">
                  <c:v>0.92220051253709923</c:v>
                </c:pt>
                <c:pt idx="67">
                  <c:v>0.93561594809732263</c:v>
                </c:pt>
              </c:numCache>
            </c:numRef>
          </c:yVal>
          <c:smooth val="1"/>
        </c:ser>
        <c:ser>
          <c:idx val="0"/>
          <c:order val="1"/>
          <c:spPr>
            <a:ln>
              <a:noFill/>
            </a:ln>
          </c:spPr>
          <c:xVal>
            <c:numRef>
              <c:f>'Logistic 2015'!$B$9:$B$14</c:f>
              <c:numCache>
                <c:formatCode>m/d;@</c:formatCode>
                <c:ptCount val="6"/>
                <c:pt idx="0">
                  <c:v>37799.5</c:v>
                </c:pt>
                <c:pt idx="1">
                  <c:v>37803.5</c:v>
                </c:pt>
                <c:pt idx="2">
                  <c:v>37807.5</c:v>
                </c:pt>
                <c:pt idx="3">
                  <c:v>37814.5</c:v>
                </c:pt>
                <c:pt idx="4">
                  <c:v>37820.5</c:v>
                </c:pt>
                <c:pt idx="5">
                  <c:v>37827.5</c:v>
                </c:pt>
              </c:numCache>
            </c:numRef>
          </c:xVal>
          <c:yVal>
            <c:numRef>
              <c:f>'Logistic 2015'!$E$9:$E$14</c:f>
              <c:numCache>
                <c:formatCode>0.0%</c:formatCode>
                <c:ptCount val="6"/>
                <c:pt idx="0">
                  <c:v>9.5066198399999996E-2</c:v>
                </c:pt>
                <c:pt idx="1">
                  <c:v>6.7959138180000003E-2</c:v>
                </c:pt>
                <c:pt idx="2">
                  <c:v>0.13628831517000001</c:v>
                </c:pt>
                <c:pt idx="3">
                  <c:v>0.10614953457</c:v>
                </c:pt>
                <c:pt idx="4">
                  <c:v>0.63694789038999999</c:v>
                </c:pt>
                <c:pt idx="5">
                  <c:v>0.61665790052000002</c:v>
                </c:pt>
              </c:numCache>
            </c:numRef>
          </c:yVal>
          <c:smooth val="1"/>
        </c:ser>
        <c:dLbls>
          <c:showLegendKey val="0"/>
          <c:showVal val="0"/>
          <c:showCatName val="0"/>
          <c:showSerName val="0"/>
          <c:showPercent val="0"/>
          <c:showBubbleSize val="0"/>
        </c:dLbls>
        <c:axId val="142542336"/>
        <c:axId val="142543872"/>
      </c:scatterChart>
      <c:valAx>
        <c:axId val="142542336"/>
        <c:scaling>
          <c:orientation val="minMax"/>
          <c:max val="37833"/>
          <c:min val="37790"/>
        </c:scaling>
        <c:delete val="0"/>
        <c:axPos val="b"/>
        <c:numFmt formatCode="m/d;@" sourceLinked="0"/>
        <c:majorTickMark val="out"/>
        <c:minorTickMark val="none"/>
        <c:tickLblPos val="nextTo"/>
        <c:crossAx val="142543872"/>
        <c:crosses val="autoZero"/>
        <c:crossBetween val="midCat"/>
      </c:valAx>
      <c:valAx>
        <c:axId val="142543872"/>
        <c:scaling>
          <c:orientation val="minMax"/>
          <c:max val="1"/>
          <c:min val="0"/>
        </c:scaling>
        <c:delete val="0"/>
        <c:axPos val="l"/>
        <c:majorGridlines/>
        <c:numFmt formatCode="0.00%" sourceLinked="1"/>
        <c:majorTickMark val="out"/>
        <c:minorTickMark val="none"/>
        <c:tickLblPos val="nextTo"/>
        <c:crossAx val="142542336"/>
        <c:crosses val="autoZero"/>
        <c:crossBetween val="midCat"/>
      </c:valAx>
      <c:spPr>
        <a:noFill/>
        <a:ln w="25400">
          <a:noFill/>
        </a:ln>
      </c:spPr>
    </c:plotArea>
    <c:legend>
      <c:legendPos val="r"/>
      <c:layout/>
      <c:overlay val="0"/>
    </c:legend>
    <c:plotVisOnly val="1"/>
    <c:dispBlanksAs val="gap"/>
    <c:showDLblsOverMax val="0"/>
  </c:chart>
  <c:printSettings>
    <c:headerFooter/>
    <c:pageMargins b="0.75000000000000844" l="0.70000000000000062" r="0.70000000000000062" t="0.75000000000000844"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038931047474648E-2"/>
          <c:y val="3.2768450144275083E-2"/>
          <c:w val="0.90631771485238977"/>
          <c:h val="0.89394613068076534"/>
        </c:manualLayout>
      </c:layout>
      <c:scatterChart>
        <c:scatterStyle val="smoothMarker"/>
        <c:varyColors val="0"/>
        <c:ser>
          <c:idx val="0"/>
          <c:order val="0"/>
          <c:spPr>
            <a:ln w="44450">
              <a:solidFill>
                <a:schemeClr val="tx1">
                  <a:lumMod val="50000"/>
                  <a:lumOff val="50000"/>
                </a:schemeClr>
              </a:solidFill>
              <a:prstDash val="sysDash"/>
            </a:ln>
          </c:spPr>
          <c:marker>
            <c:symbol val="none"/>
          </c:marker>
          <c:xVal>
            <c:numRef>
              <c:f>'model average'!$A$20:$A$74</c:f>
              <c:numCache>
                <c:formatCode>d\-mmm</c:formatCode>
                <c:ptCount val="55"/>
                <c:pt idx="0">
                  <c:v>42163</c:v>
                </c:pt>
                <c:pt idx="1">
                  <c:v>42164</c:v>
                </c:pt>
                <c:pt idx="2">
                  <c:v>42165</c:v>
                </c:pt>
                <c:pt idx="3">
                  <c:v>42166</c:v>
                </c:pt>
                <c:pt idx="4">
                  <c:v>42167</c:v>
                </c:pt>
                <c:pt idx="5">
                  <c:v>42168</c:v>
                </c:pt>
                <c:pt idx="6">
                  <c:v>42169</c:v>
                </c:pt>
                <c:pt idx="7">
                  <c:v>42170</c:v>
                </c:pt>
                <c:pt idx="8">
                  <c:v>42171</c:v>
                </c:pt>
                <c:pt idx="9">
                  <c:v>42172</c:v>
                </c:pt>
                <c:pt idx="10">
                  <c:v>42173</c:v>
                </c:pt>
                <c:pt idx="11">
                  <c:v>42174</c:v>
                </c:pt>
                <c:pt idx="12">
                  <c:v>42175</c:v>
                </c:pt>
                <c:pt idx="13">
                  <c:v>42176</c:v>
                </c:pt>
                <c:pt idx="14">
                  <c:v>42177</c:v>
                </c:pt>
                <c:pt idx="15">
                  <c:v>42178</c:v>
                </c:pt>
                <c:pt idx="16">
                  <c:v>42179</c:v>
                </c:pt>
                <c:pt idx="17">
                  <c:v>42180</c:v>
                </c:pt>
                <c:pt idx="18">
                  <c:v>42181</c:v>
                </c:pt>
                <c:pt idx="19">
                  <c:v>42182</c:v>
                </c:pt>
                <c:pt idx="20">
                  <c:v>42183</c:v>
                </c:pt>
                <c:pt idx="21">
                  <c:v>42184</c:v>
                </c:pt>
                <c:pt idx="22">
                  <c:v>42185</c:v>
                </c:pt>
                <c:pt idx="23">
                  <c:v>42186</c:v>
                </c:pt>
                <c:pt idx="24">
                  <c:v>42187</c:v>
                </c:pt>
                <c:pt idx="25">
                  <c:v>42188</c:v>
                </c:pt>
                <c:pt idx="26">
                  <c:v>42189</c:v>
                </c:pt>
                <c:pt idx="27">
                  <c:v>42190</c:v>
                </c:pt>
                <c:pt idx="28">
                  <c:v>42191</c:v>
                </c:pt>
                <c:pt idx="29">
                  <c:v>42192</c:v>
                </c:pt>
                <c:pt idx="30">
                  <c:v>42193</c:v>
                </c:pt>
                <c:pt idx="31">
                  <c:v>42194</c:v>
                </c:pt>
                <c:pt idx="32">
                  <c:v>42195</c:v>
                </c:pt>
                <c:pt idx="33">
                  <c:v>42196</c:v>
                </c:pt>
                <c:pt idx="34">
                  <c:v>42197</c:v>
                </c:pt>
                <c:pt idx="35">
                  <c:v>42198</c:v>
                </c:pt>
                <c:pt idx="36">
                  <c:v>42199</c:v>
                </c:pt>
                <c:pt idx="37">
                  <c:v>42200</c:v>
                </c:pt>
                <c:pt idx="38">
                  <c:v>42201</c:v>
                </c:pt>
                <c:pt idx="39">
                  <c:v>42202</c:v>
                </c:pt>
                <c:pt idx="40">
                  <c:v>42203</c:v>
                </c:pt>
                <c:pt idx="41">
                  <c:v>42204</c:v>
                </c:pt>
                <c:pt idx="42">
                  <c:v>42205</c:v>
                </c:pt>
                <c:pt idx="43">
                  <c:v>42206</c:v>
                </c:pt>
                <c:pt idx="44">
                  <c:v>42207</c:v>
                </c:pt>
                <c:pt idx="45">
                  <c:v>42208</c:v>
                </c:pt>
                <c:pt idx="46">
                  <c:v>42209</c:v>
                </c:pt>
                <c:pt idx="47">
                  <c:v>42210</c:v>
                </c:pt>
                <c:pt idx="48">
                  <c:v>42211</c:v>
                </c:pt>
                <c:pt idx="49">
                  <c:v>42212</c:v>
                </c:pt>
                <c:pt idx="50">
                  <c:v>42213</c:v>
                </c:pt>
                <c:pt idx="51">
                  <c:v>42214</c:v>
                </c:pt>
                <c:pt idx="52">
                  <c:v>42215</c:v>
                </c:pt>
                <c:pt idx="53">
                  <c:v>42216</c:v>
                </c:pt>
                <c:pt idx="54">
                  <c:v>42217</c:v>
                </c:pt>
              </c:numCache>
            </c:numRef>
          </c:xVal>
          <c:yVal>
            <c:numRef>
              <c:f>'model average'!$S$20:$S$74</c:f>
              <c:numCache>
                <c:formatCode>0.00%</c:formatCode>
                <c:ptCount val="55"/>
                <c:pt idx="0">
                  <c:v>0.88839853810061487</c:v>
                </c:pt>
                <c:pt idx="1">
                  <c:v>0.88802358240450308</c:v>
                </c:pt>
                <c:pt idx="2">
                  <c:v>0.88756970765689447</c:v>
                </c:pt>
                <c:pt idx="3">
                  <c:v>0.88701974201461653</c:v>
                </c:pt>
                <c:pt idx="4">
                  <c:v>0.88635266249457445</c:v>
                </c:pt>
                <c:pt idx="5">
                  <c:v>0.88554271391651973</c:v>
                </c:pt>
                <c:pt idx="6">
                  <c:v>0.88455832805253565</c:v>
                </c:pt>
                <c:pt idx="7">
                  <c:v>0.88336080175442155</c:v>
                </c:pt>
                <c:pt idx="8">
                  <c:v>0.88190268770456715</c:v>
                </c:pt>
                <c:pt idx="9">
                  <c:v>0.88012584834820817</c:v>
                </c:pt>
                <c:pt idx="10">
                  <c:v>0.87795912509554286</c:v>
                </c:pt>
                <c:pt idx="11">
                  <c:v>0.87531558543361154</c:v>
                </c:pt>
                <c:pt idx="12">
                  <c:v>0.87208933735254635</c:v>
                </c:pt>
                <c:pt idx="13">
                  <c:v>0.86815195466684281</c:v>
                </c:pt>
                <c:pt idx="14">
                  <c:v>0.86334865476981659</c:v>
                </c:pt>
                <c:pt idx="15">
                  <c:v>0.85749453383954044</c:v>
                </c:pt>
                <c:pt idx="16">
                  <c:v>0.85037141770320279</c:v>
                </c:pt>
                <c:pt idx="17">
                  <c:v>0.84172624586750977</c:v>
                </c:pt>
                <c:pt idx="18">
                  <c:v>0.83127235633626606</c:v>
                </c:pt>
                <c:pt idx="19">
                  <c:v>0.81869548919160529</c:v>
                </c:pt>
                <c:pt idx="20">
                  <c:v>0.80366655295832812</c:v>
                </c:pt>
                <c:pt idx="21">
                  <c:v>0.78586280373106943</c:v>
                </c:pt>
                <c:pt idx="22">
                  <c:v>0.76499758359434078</c:v>
                </c:pt>
                <c:pt idx="23">
                  <c:v>0.74085589271671315</c:v>
                </c:pt>
                <c:pt idx="24">
                  <c:v>0.7133293860230373</c:v>
                </c:pt>
                <c:pt idx="25">
                  <c:v>0.68244172631123556</c:v>
                </c:pt>
                <c:pt idx="26">
                  <c:v>0.64835617478216545</c:v>
                </c:pt>
                <c:pt idx="27">
                  <c:v>0.61136313528512976</c:v>
                </c:pt>
                <c:pt idx="28">
                  <c:v>0.57185378179709845</c:v>
                </c:pt>
                <c:pt idx="29">
                  <c:v>0.53029144065103306</c:v>
                </c:pt>
                <c:pt idx="30">
                  <c:v>0.48719071241968781</c:v>
                </c:pt>
                <c:pt idx="31">
                  <c:v>0.44310642266595179</c:v>
                </c:pt>
                <c:pt idx="32">
                  <c:v>0.39862623816548781</c:v>
                </c:pt>
                <c:pt idx="33">
                  <c:v>0.35435788018643655</c:v>
                </c:pt>
                <c:pt idx="34">
                  <c:v>0.3109055965660249</c:v>
                </c:pt>
                <c:pt idx="35">
                  <c:v>0.26883768225011895</c:v>
                </c:pt>
                <c:pt idx="36">
                  <c:v>0.22865259417917347</c:v>
                </c:pt>
                <c:pt idx="37">
                  <c:v>0.1907525005295658</c:v>
                </c:pt>
                <c:pt idx="38">
                  <c:v>0.15542998635605185</c:v>
                </c:pt>
                <c:pt idx="39">
                  <c:v>0.12286857315182406</c:v>
                </c:pt>
                <c:pt idx="40">
                  <c:v>9.3153576177808145E-2</c:v>
                </c:pt>
                <c:pt idx="41">
                  <c:v>6.6288190134860175E-2</c:v>
                </c:pt>
                <c:pt idx="42">
                  <c:v>4.2210401721160501E-2</c:v>
                </c:pt>
                <c:pt idx="43">
                  <c:v>2.0808195179258998E-2</c:v>
                </c:pt>
                <c:pt idx="44">
                  <c:v>1.9323225037568281E-3</c:v>
                </c:pt>
                <c:pt idx="45">
                  <c:v>0</c:v>
                </c:pt>
                <c:pt idx="46">
                  <c:v>0</c:v>
                </c:pt>
                <c:pt idx="47">
                  <c:v>0</c:v>
                </c:pt>
                <c:pt idx="48">
                  <c:v>0</c:v>
                </c:pt>
                <c:pt idx="49">
                  <c:v>0</c:v>
                </c:pt>
                <c:pt idx="50">
                  <c:v>0</c:v>
                </c:pt>
                <c:pt idx="51">
                  <c:v>0</c:v>
                </c:pt>
                <c:pt idx="52">
                  <c:v>0</c:v>
                </c:pt>
                <c:pt idx="53">
                  <c:v>0</c:v>
                </c:pt>
                <c:pt idx="54">
                  <c:v>0</c:v>
                </c:pt>
              </c:numCache>
            </c:numRef>
          </c:yVal>
          <c:smooth val="1"/>
        </c:ser>
        <c:ser>
          <c:idx val="1"/>
          <c:order val="1"/>
          <c:spPr>
            <a:ln w="47625">
              <a:solidFill>
                <a:schemeClr val="tx1"/>
              </a:solidFill>
              <a:prstDash val="sysDash"/>
            </a:ln>
          </c:spPr>
          <c:marker>
            <c:symbol val="none"/>
          </c:marker>
          <c:xVal>
            <c:numRef>
              <c:f>'model average'!$A$20:$A$74</c:f>
              <c:numCache>
                <c:formatCode>d\-mmm</c:formatCode>
                <c:ptCount val="55"/>
                <c:pt idx="0">
                  <c:v>42163</c:v>
                </c:pt>
                <c:pt idx="1">
                  <c:v>42164</c:v>
                </c:pt>
                <c:pt idx="2">
                  <c:v>42165</c:v>
                </c:pt>
                <c:pt idx="3">
                  <c:v>42166</c:v>
                </c:pt>
                <c:pt idx="4">
                  <c:v>42167</c:v>
                </c:pt>
                <c:pt idx="5">
                  <c:v>42168</c:v>
                </c:pt>
                <c:pt idx="6">
                  <c:v>42169</c:v>
                </c:pt>
                <c:pt idx="7">
                  <c:v>42170</c:v>
                </c:pt>
                <c:pt idx="8">
                  <c:v>42171</c:v>
                </c:pt>
                <c:pt idx="9">
                  <c:v>42172</c:v>
                </c:pt>
                <c:pt idx="10">
                  <c:v>42173</c:v>
                </c:pt>
                <c:pt idx="11">
                  <c:v>42174</c:v>
                </c:pt>
                <c:pt idx="12">
                  <c:v>42175</c:v>
                </c:pt>
                <c:pt idx="13">
                  <c:v>42176</c:v>
                </c:pt>
                <c:pt idx="14">
                  <c:v>42177</c:v>
                </c:pt>
                <c:pt idx="15">
                  <c:v>42178</c:v>
                </c:pt>
                <c:pt idx="16">
                  <c:v>42179</c:v>
                </c:pt>
                <c:pt idx="17">
                  <c:v>42180</c:v>
                </c:pt>
                <c:pt idx="18">
                  <c:v>42181</c:v>
                </c:pt>
                <c:pt idx="19">
                  <c:v>42182</c:v>
                </c:pt>
                <c:pt idx="20">
                  <c:v>42183</c:v>
                </c:pt>
                <c:pt idx="21">
                  <c:v>42184</c:v>
                </c:pt>
                <c:pt idx="22">
                  <c:v>42185</c:v>
                </c:pt>
                <c:pt idx="23">
                  <c:v>42186</c:v>
                </c:pt>
                <c:pt idx="24">
                  <c:v>42187</c:v>
                </c:pt>
                <c:pt idx="25">
                  <c:v>42188</c:v>
                </c:pt>
                <c:pt idx="26">
                  <c:v>42189</c:v>
                </c:pt>
                <c:pt idx="27">
                  <c:v>42190</c:v>
                </c:pt>
                <c:pt idx="28">
                  <c:v>42191</c:v>
                </c:pt>
                <c:pt idx="29">
                  <c:v>42192</c:v>
                </c:pt>
                <c:pt idx="30">
                  <c:v>42193</c:v>
                </c:pt>
                <c:pt idx="31">
                  <c:v>42194</c:v>
                </c:pt>
                <c:pt idx="32">
                  <c:v>42195</c:v>
                </c:pt>
                <c:pt idx="33">
                  <c:v>42196</c:v>
                </c:pt>
                <c:pt idx="34">
                  <c:v>42197</c:v>
                </c:pt>
                <c:pt idx="35">
                  <c:v>42198</c:v>
                </c:pt>
                <c:pt idx="36">
                  <c:v>42199</c:v>
                </c:pt>
                <c:pt idx="37">
                  <c:v>42200</c:v>
                </c:pt>
                <c:pt idx="38">
                  <c:v>42201</c:v>
                </c:pt>
                <c:pt idx="39">
                  <c:v>42202</c:v>
                </c:pt>
                <c:pt idx="40">
                  <c:v>42203</c:v>
                </c:pt>
                <c:pt idx="41">
                  <c:v>42204</c:v>
                </c:pt>
                <c:pt idx="42">
                  <c:v>42205</c:v>
                </c:pt>
                <c:pt idx="43">
                  <c:v>42206</c:v>
                </c:pt>
                <c:pt idx="44">
                  <c:v>42207</c:v>
                </c:pt>
                <c:pt idx="45">
                  <c:v>42208</c:v>
                </c:pt>
                <c:pt idx="46">
                  <c:v>42209</c:v>
                </c:pt>
                <c:pt idx="47">
                  <c:v>42210</c:v>
                </c:pt>
                <c:pt idx="48">
                  <c:v>42211</c:v>
                </c:pt>
                <c:pt idx="49">
                  <c:v>42212</c:v>
                </c:pt>
                <c:pt idx="50">
                  <c:v>42213</c:v>
                </c:pt>
                <c:pt idx="51">
                  <c:v>42214</c:v>
                </c:pt>
                <c:pt idx="52">
                  <c:v>42215</c:v>
                </c:pt>
                <c:pt idx="53">
                  <c:v>42216</c:v>
                </c:pt>
                <c:pt idx="54">
                  <c:v>42217</c:v>
                </c:pt>
              </c:numCache>
            </c:numRef>
          </c:xVal>
          <c:yVal>
            <c:numRef>
              <c:f>'model average'!$T$20:$T$74</c:f>
              <c:numCache>
                <c:formatCode>0.00%</c:formatCode>
                <c:ptCount val="5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0.98451758359434072</c:v>
                </c:pt>
                <c:pt idx="23">
                  <c:v>0.96037589271671309</c:v>
                </c:pt>
                <c:pt idx="24">
                  <c:v>0.93284938602303724</c:v>
                </c:pt>
                <c:pt idx="25">
                  <c:v>0.9019617263112355</c:v>
                </c:pt>
                <c:pt idx="26">
                  <c:v>0.86787617478216539</c:v>
                </c:pt>
                <c:pt idx="27">
                  <c:v>0.83088313528512969</c:v>
                </c:pt>
                <c:pt idx="28">
                  <c:v>0.79137378179709839</c:v>
                </c:pt>
                <c:pt idx="29">
                  <c:v>0.749811440651033</c:v>
                </c:pt>
                <c:pt idx="30">
                  <c:v>0.70671071241968775</c:v>
                </c:pt>
                <c:pt idx="31">
                  <c:v>0.66262642266595173</c:v>
                </c:pt>
                <c:pt idx="32">
                  <c:v>0.61814623816548775</c:v>
                </c:pt>
                <c:pt idx="33">
                  <c:v>0.57387788018643648</c:v>
                </c:pt>
                <c:pt idx="34">
                  <c:v>0.53042559656602484</c:v>
                </c:pt>
                <c:pt idx="35">
                  <c:v>0.48835768225011889</c:v>
                </c:pt>
                <c:pt idx="36">
                  <c:v>0.44817259417917343</c:v>
                </c:pt>
                <c:pt idx="37">
                  <c:v>0.41027250052956576</c:v>
                </c:pt>
                <c:pt idx="38">
                  <c:v>0.37494998635605181</c:v>
                </c:pt>
                <c:pt idx="39">
                  <c:v>0.34238857315182403</c:v>
                </c:pt>
                <c:pt idx="40">
                  <c:v>0.31267357617780811</c:v>
                </c:pt>
                <c:pt idx="41">
                  <c:v>0.28580819013486014</c:v>
                </c:pt>
                <c:pt idx="42">
                  <c:v>0.26173040172116047</c:v>
                </c:pt>
                <c:pt idx="43">
                  <c:v>0.24032819517925899</c:v>
                </c:pt>
                <c:pt idx="44">
                  <c:v>0.22145232250375682</c:v>
                </c:pt>
                <c:pt idx="45">
                  <c:v>0.20492698370261145</c:v>
                </c:pt>
                <c:pt idx="46">
                  <c:v>0.19055904810663174</c:v>
                </c:pt>
                <c:pt idx="47">
                  <c:v>0.17814624678643801</c:v>
                </c:pt>
                <c:pt idx="48">
                  <c:v>0.16748443677250105</c:v>
                </c:pt>
                <c:pt idx="49">
                  <c:v>0.15837381155343647</c:v>
                </c:pt>
                <c:pt idx="50">
                  <c:v>0.15062387755164888</c:v>
                </c:pt>
                <c:pt idx="51">
                  <c:v>0.1440570917244838</c:v>
                </c:pt>
                <c:pt idx="52">
                  <c:v>0.13851118373587726</c:v>
                </c:pt>
                <c:pt idx="53">
                  <c:v>0.13384030366672053</c:v>
                </c:pt>
                <c:pt idx="54">
                  <c:v>0.12991521072401527</c:v>
                </c:pt>
              </c:numCache>
            </c:numRef>
          </c:yVal>
          <c:smooth val="1"/>
        </c:ser>
        <c:dLbls>
          <c:showLegendKey val="0"/>
          <c:showVal val="0"/>
          <c:showCatName val="0"/>
          <c:showSerName val="0"/>
          <c:showPercent val="0"/>
          <c:showBubbleSize val="0"/>
        </c:dLbls>
        <c:axId val="143042432"/>
        <c:axId val="143043968"/>
      </c:scatterChart>
      <c:valAx>
        <c:axId val="143042432"/>
        <c:scaling>
          <c:orientation val="minMax"/>
          <c:max val="42215"/>
          <c:min val="42175"/>
        </c:scaling>
        <c:delete val="0"/>
        <c:axPos val="b"/>
        <c:numFmt formatCode="d\-mmm" sourceLinked="1"/>
        <c:majorTickMark val="out"/>
        <c:minorTickMark val="none"/>
        <c:tickLblPos val="nextTo"/>
        <c:crossAx val="143043968"/>
        <c:crosses val="autoZero"/>
        <c:crossBetween val="midCat"/>
      </c:valAx>
      <c:valAx>
        <c:axId val="143043968"/>
        <c:scaling>
          <c:orientation val="minMax"/>
          <c:max val="1"/>
          <c:min val="0"/>
        </c:scaling>
        <c:delete val="0"/>
        <c:axPos val="l"/>
        <c:numFmt formatCode="0%" sourceLinked="0"/>
        <c:majorTickMark val="out"/>
        <c:minorTickMark val="none"/>
        <c:tickLblPos val="nextTo"/>
        <c:crossAx val="143042432"/>
        <c:crosses val="autoZero"/>
        <c:crossBetween val="midCat"/>
      </c:valAx>
      <c:spPr>
        <a:noFill/>
      </c:spPr>
    </c:plotArea>
    <c:legend>
      <c:legendPos val="r"/>
      <c:layout/>
      <c:overlay val="0"/>
    </c:legend>
    <c:plotVisOnly val="1"/>
    <c:dispBlanksAs val="gap"/>
    <c:showDLblsOverMax val="0"/>
  </c:chart>
  <c:txPr>
    <a:bodyPr/>
    <a:lstStyle/>
    <a:p>
      <a:pPr>
        <a:defRPr sz="1200"/>
      </a:pPr>
      <a:endParaRPr lang="en-US"/>
    </a:p>
  </c:txPr>
  <c:printSettings>
    <c:headerFooter/>
    <c:pageMargins b="0.75000000000000444" l="0.70000000000000062" r="0.70000000000000062" t="0.750000000000004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xVal>
            <c:numRef>
              <c:f>'model average'!$AM$7:$AM$58</c:f>
              <c:numCache>
                <c:formatCode>_(* #,##0.00_);_(* \(#,##0.00\);_(* "-"??_);_(@_)</c:formatCode>
                <c:ptCount val="52"/>
                <c:pt idx="0">
                  <c:v>17</c:v>
                </c:pt>
                <c:pt idx="1">
                  <c:v>18</c:v>
                </c:pt>
                <c:pt idx="2">
                  <c:v>19</c:v>
                </c:pt>
                <c:pt idx="3">
                  <c:v>20</c:v>
                </c:pt>
                <c:pt idx="4">
                  <c:v>21</c:v>
                </c:pt>
                <c:pt idx="5">
                  <c:v>22</c:v>
                </c:pt>
                <c:pt idx="6">
                  <c:v>23</c:v>
                </c:pt>
                <c:pt idx="7">
                  <c:v>24</c:v>
                </c:pt>
                <c:pt idx="8">
                  <c:v>25</c:v>
                </c:pt>
                <c:pt idx="9">
                  <c:v>26</c:v>
                </c:pt>
                <c:pt idx="10">
                  <c:v>27</c:v>
                </c:pt>
                <c:pt idx="11">
                  <c:v>28</c:v>
                </c:pt>
                <c:pt idx="12">
                  <c:v>29</c:v>
                </c:pt>
                <c:pt idx="13">
                  <c:v>30</c:v>
                </c:pt>
                <c:pt idx="14">
                  <c:v>31</c:v>
                </c:pt>
                <c:pt idx="15">
                  <c:v>32</c:v>
                </c:pt>
                <c:pt idx="16">
                  <c:v>33</c:v>
                </c:pt>
                <c:pt idx="17">
                  <c:v>34</c:v>
                </c:pt>
                <c:pt idx="18">
                  <c:v>35</c:v>
                </c:pt>
                <c:pt idx="19">
                  <c:v>36</c:v>
                </c:pt>
                <c:pt idx="20">
                  <c:v>37</c:v>
                </c:pt>
                <c:pt idx="21">
                  <c:v>38</c:v>
                </c:pt>
                <c:pt idx="22">
                  <c:v>39</c:v>
                </c:pt>
                <c:pt idx="23">
                  <c:v>40</c:v>
                </c:pt>
                <c:pt idx="24">
                  <c:v>41</c:v>
                </c:pt>
                <c:pt idx="25">
                  <c:v>42</c:v>
                </c:pt>
                <c:pt idx="26">
                  <c:v>43</c:v>
                </c:pt>
                <c:pt idx="27">
                  <c:v>44</c:v>
                </c:pt>
                <c:pt idx="28">
                  <c:v>45</c:v>
                </c:pt>
                <c:pt idx="29">
                  <c:v>46</c:v>
                </c:pt>
                <c:pt idx="30">
                  <c:v>47</c:v>
                </c:pt>
                <c:pt idx="31">
                  <c:v>48</c:v>
                </c:pt>
                <c:pt idx="32">
                  <c:v>49</c:v>
                </c:pt>
                <c:pt idx="33">
                  <c:v>50</c:v>
                </c:pt>
                <c:pt idx="34">
                  <c:v>51</c:v>
                </c:pt>
                <c:pt idx="35">
                  <c:v>52</c:v>
                </c:pt>
                <c:pt idx="36">
                  <c:v>53</c:v>
                </c:pt>
                <c:pt idx="37">
                  <c:v>54</c:v>
                </c:pt>
                <c:pt idx="38">
                  <c:v>55</c:v>
                </c:pt>
                <c:pt idx="39">
                  <c:v>56</c:v>
                </c:pt>
                <c:pt idx="40">
                  <c:v>57</c:v>
                </c:pt>
                <c:pt idx="41">
                  <c:v>58</c:v>
                </c:pt>
                <c:pt idx="42">
                  <c:v>59</c:v>
                </c:pt>
                <c:pt idx="43">
                  <c:v>60</c:v>
                </c:pt>
                <c:pt idx="44">
                  <c:v>61</c:v>
                </c:pt>
                <c:pt idx="45">
                  <c:v>62</c:v>
                </c:pt>
                <c:pt idx="46">
                  <c:v>63</c:v>
                </c:pt>
                <c:pt idx="47">
                  <c:v>64</c:v>
                </c:pt>
                <c:pt idx="48">
                  <c:v>65</c:v>
                </c:pt>
                <c:pt idx="49">
                  <c:v>66</c:v>
                </c:pt>
                <c:pt idx="50">
                  <c:v>67</c:v>
                </c:pt>
                <c:pt idx="51">
                  <c:v>68</c:v>
                </c:pt>
              </c:numCache>
            </c:numRef>
          </c:xVal>
          <c:yVal>
            <c:numRef>
              <c:f>'model average'!$AP$7:$AP$58</c:f>
              <c:numCache>
                <c:formatCode>0.000</c:formatCode>
                <c:ptCount val="52"/>
                <c:pt idx="0">
                  <c:v>2.4963330434763842E-2</c:v>
                </c:pt>
                <c:pt idx="1">
                  <c:v>2.7528667590542844E-2</c:v>
                </c:pt>
                <c:pt idx="2">
                  <c:v>2.9242666143217133E-2</c:v>
                </c:pt>
                <c:pt idx="3">
                  <c:v>3.1963207947075405E-2</c:v>
                </c:pt>
                <c:pt idx="4">
                  <c:v>2.8876533095477851E-2</c:v>
                </c:pt>
                <c:pt idx="5">
                  <c:v>2.2178794614662076E-2</c:v>
                </c:pt>
                <c:pt idx="6">
                  <c:v>2.3566481835453085E-2</c:v>
                </c:pt>
                <c:pt idx="7">
                  <c:v>2.1928711813479596E-2</c:v>
                </c:pt>
                <c:pt idx="8">
                  <c:v>2.3727209161517437E-2</c:v>
                </c:pt>
                <c:pt idx="9">
                  <c:v>2.267504552599767E-2</c:v>
                </c:pt>
                <c:pt idx="10">
                  <c:v>2.7714466665976555E-2</c:v>
                </c:pt>
                <c:pt idx="11">
                  <c:v>2.466846210434866E-2</c:v>
                </c:pt>
                <c:pt idx="12">
                  <c:v>2.7128435931765692E-2</c:v>
                </c:pt>
                <c:pt idx="13">
                  <c:v>2.5002448060921018E-2</c:v>
                </c:pt>
                <c:pt idx="14">
                  <c:v>2.9076134084651605E-2</c:v>
                </c:pt>
                <c:pt idx="15">
                  <c:v>3.384351561391253E-2</c:v>
                </c:pt>
                <c:pt idx="16">
                  <c:v>3.849289714317345E-2</c:v>
                </c:pt>
                <c:pt idx="17">
                  <c:v>4.0773961266947052E-2</c:v>
                </c:pt>
                <c:pt idx="18">
                  <c:v>4.7640987088982352E-2</c:v>
                </c:pt>
                <c:pt idx="19">
                  <c:v>5.1446000000000006E-2</c:v>
                </c:pt>
                <c:pt idx="20">
                  <c:v>5.0507999999999997E-2</c:v>
                </c:pt>
                <c:pt idx="21">
                  <c:v>5.0429999999999996E-2</c:v>
                </c:pt>
                <c:pt idx="22">
                  <c:v>5.0065000000000005E-2</c:v>
                </c:pt>
                <c:pt idx="23">
                  <c:v>5.0442000000000001E-2</c:v>
                </c:pt>
                <c:pt idx="24">
                  <c:v>5.1710335736001214E-2</c:v>
                </c:pt>
                <c:pt idx="25">
                  <c:v>5.449920360400181E-2</c:v>
                </c:pt>
                <c:pt idx="26">
                  <c:v>5.6672603604001816E-2</c:v>
                </c:pt>
                <c:pt idx="27">
                  <c:v>5.7735586805906167E-2</c:v>
                </c:pt>
                <c:pt idx="28">
                  <c:v>5.9353975039693418E-2</c:v>
                </c:pt>
                <c:pt idx="29">
                  <c:v>5.8901639303692209E-2</c:v>
                </c:pt>
                <c:pt idx="30">
                  <c:v>5.8152771435691607E-2</c:v>
                </c:pt>
                <c:pt idx="31">
                  <c:v>5.6587371435691605E-2</c:v>
                </c:pt>
                <c:pt idx="32">
                  <c:v>5.5442388233787242E-2</c:v>
                </c:pt>
                <c:pt idx="33">
                  <c:v>4.8926975543264771E-2</c:v>
                </c:pt>
                <c:pt idx="34">
                  <c:v>4.3303951086529541E-2</c:v>
                </c:pt>
                <c:pt idx="35">
                  <c:v>3.3777902173059086E-2</c:v>
                </c:pt>
                <c:pt idx="36">
                  <c:v>3.4339902173059093E-2</c:v>
                </c:pt>
                <c:pt idx="37">
                  <c:v>3.2878002173059098E-2</c:v>
                </c:pt>
                <c:pt idx="38">
                  <c:v>3.5489126629794324E-2</c:v>
                </c:pt>
                <c:pt idx="39">
                  <c:v>3.5386351086529544E-2</c:v>
                </c:pt>
                <c:pt idx="40">
                  <c:v>4.0205467599539177E-2</c:v>
                </c:pt>
                <c:pt idx="41">
                  <c:v>3.6475402798617537E-2</c:v>
                </c:pt>
                <c:pt idx="42">
                  <c:v>3.7868140932250348E-2</c:v>
                </c:pt>
                <c:pt idx="43">
                  <c:v>4.1669782000437625E-2</c:v>
                </c:pt>
                <c:pt idx="44">
                  <c:v>4.3583452534531254E-2</c:v>
                </c:pt>
                <c:pt idx="45">
                  <c:v>4.4648255469085719E-2</c:v>
                </c:pt>
                <c:pt idx="46">
                  <c:v>4.0262320270007354E-2</c:v>
                </c:pt>
                <c:pt idx="47">
                  <c:v>3.4163558344836135E-2</c:v>
                </c:pt>
                <c:pt idx="48">
                  <c:v>2.6351969693572098E-2</c:v>
                </c:pt>
                <c:pt idx="49">
                  <c:v>2.3142251576401686E-2</c:v>
                </c:pt>
                <c:pt idx="50">
                  <c:v>1.9410476302885064E-2</c:v>
                </c:pt>
                <c:pt idx="51">
                  <c:v>2.0860635070513417E-2</c:v>
                </c:pt>
              </c:numCache>
            </c:numRef>
          </c:yVal>
          <c:smooth val="1"/>
        </c:ser>
        <c:dLbls>
          <c:showLegendKey val="0"/>
          <c:showVal val="0"/>
          <c:showCatName val="0"/>
          <c:showSerName val="0"/>
          <c:showPercent val="0"/>
          <c:showBubbleSize val="0"/>
        </c:dLbls>
        <c:axId val="143059968"/>
        <c:axId val="143061760"/>
      </c:scatterChart>
      <c:valAx>
        <c:axId val="143059968"/>
        <c:scaling>
          <c:orientation val="minMax"/>
        </c:scaling>
        <c:delete val="0"/>
        <c:axPos val="b"/>
        <c:numFmt formatCode="_(* #,##0.00_);_(* \(#,##0.00\);_(* &quot;-&quot;??_);_(@_)" sourceLinked="1"/>
        <c:majorTickMark val="out"/>
        <c:minorTickMark val="none"/>
        <c:tickLblPos val="nextTo"/>
        <c:crossAx val="143061760"/>
        <c:crosses val="autoZero"/>
        <c:crossBetween val="midCat"/>
      </c:valAx>
      <c:valAx>
        <c:axId val="143061760"/>
        <c:scaling>
          <c:orientation val="minMax"/>
        </c:scaling>
        <c:delete val="0"/>
        <c:axPos val="l"/>
        <c:majorGridlines/>
        <c:numFmt formatCode="0.000" sourceLinked="1"/>
        <c:majorTickMark val="out"/>
        <c:minorTickMark val="none"/>
        <c:tickLblPos val="nextTo"/>
        <c:crossAx val="143059968"/>
        <c:crosses val="autoZero"/>
        <c:crossBetween val="midCat"/>
      </c:valAx>
    </c:plotArea>
    <c:legend>
      <c:legendPos val="r"/>
      <c:layout/>
      <c:overlay val="0"/>
    </c:legend>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manualLayout>
          <c:layoutTarget val="inner"/>
          <c:xMode val="edge"/>
          <c:yMode val="edge"/>
          <c:x val="0.10407317435621009"/>
          <c:y val="7.5592288467654672E-2"/>
          <c:w val="0.82101097942615786"/>
          <c:h val="0.78868020778773651"/>
        </c:manualLayout>
      </c:layout>
      <c:scatterChart>
        <c:scatterStyle val="smoothMarker"/>
        <c:varyColors val="0"/>
        <c:ser>
          <c:idx val="0"/>
          <c:order val="0"/>
          <c:tx>
            <c:strRef>
              <c:f>'model average'!$B$77</c:f>
              <c:strCache>
                <c:ptCount val="1"/>
                <c:pt idx="0">
                  <c:v>2018</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average'!$B$78:$B$145</c:f>
              <c:numCache>
                <c:formatCode>0.00%</c:formatCode>
                <c:ptCount val="68"/>
                <c:pt idx="0">
                  <c:v>1.9572930470528326E-6</c:v>
                </c:pt>
                <c:pt idx="1">
                  <c:v>2.4669709330491471E-6</c:v>
                </c:pt>
                <c:pt idx="2">
                  <c:v>3.1093682092961121E-6</c:v>
                </c:pt>
                <c:pt idx="3">
                  <c:v>3.919044571692126E-6</c:v>
                </c:pt>
                <c:pt idx="4">
                  <c:v>4.9395588051377941E-6</c:v>
                </c:pt>
                <c:pt idx="5">
                  <c:v>6.2258119955462864E-6</c:v>
                </c:pt>
                <c:pt idx="6">
                  <c:v>7.84700082547019E-6</c:v>
                </c:pt>
                <c:pt idx="7">
                  <c:v>9.8903397668447557E-6</c:v>
                </c:pt>
                <c:pt idx="8">
                  <c:v>1.2465752308612508E-5</c:v>
                </c:pt>
                <c:pt idx="9">
                  <c:v>1.5711783423987859E-5</c:v>
                </c:pt>
                <c:pt idx="10">
                  <c:v>1.9803051078592358E-5</c:v>
                </c:pt>
                <c:pt idx="11">
                  <c:v>2.495963721278651E-5</c:v>
                </c:pt>
                <c:pt idx="12">
                  <c:v>3.1458922708434801E-5</c:v>
                </c:pt>
                <c:pt idx="13">
                  <c:v>3.9650501913587503E-5</c:v>
                </c:pt>
                <c:pt idx="14">
                  <c:v>4.9974977307565407E-5</c:v>
                </c:pt>
                <c:pt idx="15">
                  <c:v>6.2987642575463554E-5</c:v>
                </c:pt>
                <c:pt idx="16">
                  <c:v>7.9388323667335236E-5</c:v>
                </c:pt>
                <c:pt idx="17">
                  <c:v>1.0005897603432107E-4</c:v>
                </c:pt>
                <c:pt idx="18">
                  <c:v>1.2611104925836739E-4</c:v>
                </c:pt>
                <c:pt idx="19">
                  <c:v>1.5894514901942751E-4</c:v>
                </c:pt>
                <c:pt idx="20">
                  <c:v>2.0032617721342627E-4</c:v>
                </c:pt>
                <c:pt idx="21">
                  <c:v>2.5247794673322852E-4</c:v>
                </c:pt>
                <c:pt idx="22">
                  <c:v>3.1820228814368314E-4</c:v>
                </c:pt>
                <c:pt idx="23">
                  <c:v>4.0102894027830405E-4</c:v>
                </c:pt>
                <c:pt idx="24">
                  <c:v>5.0540410496298165E-4</c:v>
                </c:pt>
                <c:pt idx="25">
                  <c:v>6.3692751837946644E-4</c:v>
                </c:pt>
                <c:pt idx="26">
                  <c:v>8.0265033087679885E-4</c:v>
                </c:pt>
                <c:pt idx="27">
                  <c:v>1.0114490878061807E-3</c:v>
                </c:pt>
                <c:pt idx="28">
                  <c:v>1.2744947696271423E-3</c:v>
                </c:pt>
                <c:pt idx="29">
                  <c:v>1.6058402859156643E-3</c:v>
                </c:pt>
                <c:pt idx="30">
                  <c:v>2.0231551199461507E-3</c:v>
                </c:pt>
                <c:pt idx="31">
                  <c:v>2.5486420480856664E-3</c:v>
                </c:pt>
                <c:pt idx="32">
                  <c:v>3.2101779941786516E-3</c:v>
                </c:pt>
                <c:pt idx="33">
                  <c:v>4.0427289594171054E-3</c:v>
                </c:pt>
                <c:pt idx="34">
                  <c:v>5.0900971693337094E-3</c:v>
                </c:pt>
                <c:pt idx="35">
                  <c:v>6.4070662414739627E-3</c:v>
                </c:pt>
                <c:pt idx="36">
                  <c:v>8.0620157334055764E-3</c:v>
                </c:pt>
                <c:pt idx="37">
                  <c:v>1.014007720872801E-2</c:v>
                </c:pt>
                <c:pt idx="38">
                  <c:v>1.2746895614020702E-2</c:v>
                </c:pt>
                <c:pt idx="39">
                  <c:v>1.6013035514637217E-2</c:v>
                </c:pt>
                <c:pt idx="40">
                  <c:v>2.0099021446439016E-2</c:v>
                </c:pt>
                <c:pt idx="41">
                  <c:v>2.5200910816831863E-2</c:v>
                </c:pt>
                <c:pt idx="42">
                  <c:v>3.1556146971030666E-2</c:v>
                </c:pt>
                <c:pt idx="43">
                  <c:v>3.9449205341788779E-2</c:v>
                </c:pt>
                <c:pt idx="44">
                  <c:v>4.9216202030919046E-2</c:v>
                </c:pt>
                <c:pt idx="45">
                  <c:v>6.124716436704674E-2</c:v>
                </c:pt>
                <c:pt idx="46">
                  <c:v>7.5984075050165911E-2</c:v>
                </c:pt>
                <c:pt idx="47">
                  <c:v>9.3912159622428382E-2</c:v>
                </c:pt>
                <c:pt idx="48">
                  <c:v>0.11554135520165627</c:v>
                </c:pt>
                <c:pt idx="49">
                  <c:v>0.14137478699597048</c:v>
                </c:pt>
                <c:pt idx="50">
                  <c:v>0.17186186191291047</c:v>
                </c:pt>
                <c:pt idx="51">
                  <c:v>0.20733582827918828</c:v>
                </c:pt>
                <c:pt idx="52">
                  <c:v>0.24793975157048823</c:v>
                </c:pt>
                <c:pt idx="53">
                  <c:v>0.29355060791962412</c:v>
                </c:pt>
                <c:pt idx="54">
                  <c:v>0.34371724460895514</c:v>
                </c:pt>
                <c:pt idx="55">
                  <c:v>0.39763161073620545</c:v>
                </c:pt>
                <c:pt idx="56">
                  <c:v>0.4541506426657137</c:v>
                </c:pt>
                <c:pt idx="57">
                  <c:v>0.51187653171450764</c:v>
                </c:pt>
                <c:pt idx="58">
                  <c:v>0.56928736372039235</c:v>
                </c:pt>
                <c:pt idx="59">
                  <c:v>0.62489399319355865</c:v>
                </c:pt>
                <c:pt idx="60">
                  <c:v>0.67738988716471926</c:v>
                </c:pt>
                <c:pt idx="61">
                  <c:v>0.72576316393978146</c:v>
                </c:pt>
                <c:pt idx="62">
                  <c:v>0.76935287380981887</c:v>
                </c:pt>
                <c:pt idx="63">
                  <c:v>0.80784842465847118</c:v>
                </c:pt>
                <c:pt idx="64">
                  <c:v>0.84124476932687875</c:v>
                </c:pt>
                <c:pt idx="65">
                  <c:v>0.86977243875394039</c:v>
                </c:pt>
                <c:pt idx="66">
                  <c:v>0.89382082763989679</c:v>
                </c:pt>
                <c:pt idx="67">
                  <c:v>0.91386810808397656</c:v>
                </c:pt>
              </c:numCache>
            </c:numRef>
          </c:yVal>
          <c:smooth val="1"/>
        </c:ser>
        <c:ser>
          <c:idx val="1"/>
          <c:order val="1"/>
          <c:tx>
            <c:strRef>
              <c:f>'model average'!$C$77</c:f>
              <c:strCache>
                <c:ptCount val="1"/>
                <c:pt idx="0">
                  <c:v>2017</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average'!$C$78:$C$145</c:f>
              <c:numCache>
                <c:formatCode>0.00%</c:formatCode>
                <c:ptCount val="68"/>
                <c:pt idx="0">
                  <c:v>6.2810268233822917E-4</c:v>
                </c:pt>
                <c:pt idx="1">
                  <c:v>7.2966559960320053E-4</c:v>
                </c:pt>
                <c:pt idx="2">
                  <c:v>8.4763710348795935E-4</c:v>
                </c:pt>
                <c:pt idx="3">
                  <c:v>9.8466331119742329E-4</c:v>
                </c:pt>
                <c:pt idx="4">
                  <c:v>1.14381536358425E-3</c:v>
                </c:pt>
                <c:pt idx="5">
                  <c:v>1.3286570992016391E-3</c:v>
                </c:pt>
                <c:pt idx="6">
                  <c:v>1.5433232960257708E-3</c:v>
                </c:pt>
                <c:pt idx="7">
                  <c:v>1.7926100581472778E-3</c:v>
                </c:pt>
                <c:pt idx="8">
                  <c:v>2.0820791342632487E-3</c:v>
                </c:pt>
                <c:pt idx="9">
                  <c:v>2.4181781826617546E-3</c:v>
                </c:pt>
                <c:pt idx="10">
                  <c:v>2.8083792413261389E-3</c:v>
                </c:pt>
                <c:pt idx="11">
                  <c:v>3.2613379174796378E-3</c:v>
                </c:pt>
                <c:pt idx="12">
                  <c:v>3.7870760711068165E-3</c:v>
                </c:pt>
                <c:pt idx="13">
                  <c:v>4.3971910204306536E-3</c:v>
                </c:pt>
                <c:pt idx="14">
                  <c:v>5.1050945271386566E-3</c:v>
                </c:pt>
                <c:pt idx="15">
                  <c:v>5.9262850009791299E-3</c:v>
                </c:pt>
                <c:pt idx="16">
                  <c:v>6.8786564628367675E-3</c:v>
                </c:pt>
                <c:pt idx="17">
                  <c:v>7.9828477750707172E-3</c:v>
                </c:pt>
                <c:pt idx="18">
                  <c:v>9.2626354233094708E-3</c:v>
                </c:pt>
                <c:pt idx="19">
                  <c:v>1.0745372629015171E-2</c:v>
                </c:pt>
                <c:pt idx="20">
                  <c:v>1.2462476674028592E-2</c:v>
                </c:pt>
                <c:pt idx="21">
                  <c:v>1.4449964881365145E-2</c:v>
                </c:pt>
                <c:pt idx="22">
                  <c:v>1.674903753666766E-2</c:v>
                </c:pt>
                <c:pt idx="23">
                  <c:v>1.9406702924581232E-2</c:v>
                </c:pt>
                <c:pt idx="24">
                  <c:v>2.2476435321096288E-2</c:v>
                </c:pt>
                <c:pt idx="25">
                  <c:v>2.6018850911388943E-2</c:v>
                </c:pt>
                <c:pt idx="26">
                  <c:v>3.0102378847461919E-2</c:v>
                </c:pt>
                <c:pt idx="27">
                  <c:v>3.480389467243887E-2</c:v>
                </c:pt>
                <c:pt idx="28">
                  <c:v>4.020927081666377E-2</c:v>
                </c:pt>
                <c:pt idx="29">
                  <c:v>4.6413783640961097E-2</c:v>
                </c:pt>
                <c:pt idx="30">
                  <c:v>5.3522298643357551E-2</c:v>
                </c:pt>
                <c:pt idx="31">
                  <c:v>6.1649135465821917E-2</c:v>
                </c:pt>
                <c:pt idx="32">
                  <c:v>7.091749340959598E-2</c:v>
                </c:pt>
                <c:pt idx="33">
                  <c:v>8.1458298411023491E-2</c:v>
                </c:pt>
                <c:pt idx="34">
                  <c:v>9.3408317211831279E-2</c:v>
                </c:pt>
                <c:pt idx="35">
                  <c:v>0.10690737864264127</c:v>
                </c:pt>
                <c:pt idx="36">
                  <c:v>0.12209455196183429</c:v>
                </c:pt>
                <c:pt idx="37">
                  <c:v>0.13910316578012397</c:v>
                </c:pt>
                <c:pt idx="38">
                  <c:v>0.15805461640374502</c:v>
                </c:pt>
                <c:pt idx="39">
                  <c:v>0.17905101833573814</c:v>
                </c:pt>
                <c:pt idx="40">
                  <c:v>0.20216689519824338</c:v>
                </c:pt>
                <c:pt idx="41">
                  <c:v>0.22744029222117593</c:v>
                </c:pt>
                <c:pt idx="42">
                  <c:v>0.25486389661814302</c:v>
                </c:pt>
                <c:pt idx="43">
                  <c:v>0.28437695132311863</c:v>
                </c:pt>
                <c:pt idx="44">
                  <c:v>0.31585889953633389</c:v>
                </c:pt>
                <c:pt idx="45">
                  <c:v>0.34912575338390617</c:v>
                </c:pt>
                <c:pt idx="46">
                  <c:v>0.38393009359175845</c:v>
                </c:pt>
                <c:pt idx="47">
                  <c:v>0.41996535004210772</c:v>
                </c:pt>
                <c:pt idx="48">
                  <c:v>0.45687459026730809</c:v>
                </c:pt>
                <c:pt idx="49">
                  <c:v>0.49426350212468062</c:v>
                </c:pt>
                <c:pt idx="50">
                  <c:v>0.53171668653766868</c:v>
                </c:pt>
                <c:pt idx="51">
                  <c:v>0.56881588816227002</c:v>
                </c:pt>
                <c:pt idx="52">
                  <c:v>0.60515849236891317</c:v>
                </c:pt>
                <c:pt idx="53">
                  <c:v>0.64037457503086237</c:v>
                </c:pt>
                <c:pt idx="54">
                  <c:v>0.67414101714376395</c:v>
                </c:pt>
                <c:pt idx="55">
                  <c:v>0.70619163676878882</c:v>
                </c:pt>
                <c:pt idx="56">
                  <c:v>0.73632284821471927</c:v>
                </c:pt>
                <c:pt idx="57">
                  <c:v>0.76439491917175328</c:v>
                </c:pt>
                <c:pt idx="58">
                  <c:v>0.79032936256052932</c:v>
                </c:pt>
                <c:pt idx="59">
                  <c:v>0.81410331001486491</c:v>
                </c:pt>
                <c:pt idx="60">
                  <c:v>0.83574185077619134</c:v>
                </c:pt>
                <c:pt idx="61">
                  <c:v>0.85530930305555208</c:v>
                </c:pt>
                <c:pt idx="62">
                  <c:v>0.87290025703202945</c:v>
                </c:pt>
                <c:pt idx="63">
                  <c:v>0.88863103906188901</c:v>
                </c:pt>
                <c:pt idx="64">
                  <c:v>0.90263203969670491</c:v>
                </c:pt>
                <c:pt idx="65">
                  <c:v>0.91504115622246529</c:v>
                </c:pt>
                <c:pt idx="66">
                  <c:v>0.9259984425905613</c:v>
                </c:pt>
                <c:pt idx="67">
                  <c:v>0.93564194302578907</c:v>
                </c:pt>
              </c:numCache>
            </c:numRef>
          </c:yVal>
          <c:smooth val="1"/>
        </c:ser>
        <c:ser>
          <c:idx val="2"/>
          <c:order val="2"/>
          <c:tx>
            <c:strRef>
              <c:f>'model average'!$D$77</c:f>
              <c:strCache>
                <c:ptCount val="1"/>
                <c:pt idx="0">
                  <c:v>2016</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average'!$D$78:$D$145</c:f>
              <c:numCache>
                <c:formatCode>0.00%</c:formatCode>
                <c:ptCount val="68"/>
                <c:pt idx="0">
                  <c:v>5.4567010890120445E-5</c:v>
                </c:pt>
                <c:pt idx="1">
                  <c:v>6.7373238456564966E-5</c:v>
                </c:pt>
                <c:pt idx="2">
                  <c:v>8.3184685088893813E-5</c:v>
                </c:pt>
                <c:pt idx="3">
                  <c:v>1.0270645011768952E-4</c:v>
                </c:pt>
                <c:pt idx="4">
                  <c:v>1.2680899799840468E-4</c:v>
                </c:pt>
                <c:pt idx="5">
                  <c:v>1.5656690490945612E-4</c:v>
                </c:pt>
                <c:pt idx="6">
                  <c:v>1.9330666513183464E-4</c:v>
                </c:pt>
                <c:pt idx="7">
                  <c:v>2.3866566566067658E-4</c:v>
                </c:pt>
                <c:pt idx="8">
                  <c:v>2.9466492298187109E-4</c:v>
                </c:pt>
                <c:pt idx="9">
                  <c:v>3.637987704705253E-4</c:v>
                </c:pt>
                <c:pt idx="10">
                  <c:v>4.4914541146716158E-4</c:v>
                </c:pt>
                <c:pt idx="11">
                  <c:v>5.5450313887280044E-4</c:v>
                </c:pt>
                <c:pt idx="12">
                  <c:v>6.8455809853298325E-4</c:v>
                </c:pt>
                <c:pt idx="13">
                  <c:v>8.4509077654013206E-4</c:v>
                </c:pt>
                <c:pt idx="14">
                  <c:v>1.0432299594410378E-3</c:v>
                </c:pt>
                <c:pt idx="15">
                  <c:v>1.2877647930757902E-3</c:v>
                </c:pt>
                <c:pt idx="16">
                  <c:v>1.5895277916154621E-3</c:v>
                </c:pt>
                <c:pt idx="17">
                  <c:v>1.96186425844861E-3</c:v>
                </c:pt>
                <c:pt idx="18">
                  <c:v>2.4212065947213633E-3</c:v>
                </c:pt>
                <c:pt idx="19">
                  <c:v>2.9877753789890583E-3</c:v>
                </c:pt>
                <c:pt idx="20">
                  <c:v>3.6864328376781316E-3</c:v>
                </c:pt>
                <c:pt idx="21">
                  <c:v>4.547718234632037E-3</c:v>
                </c:pt>
                <c:pt idx="22">
                  <c:v>5.6090984854155097E-3</c:v>
                </c:pt>
                <c:pt idx="23">
                  <c:v>6.9164704149544112E-3</c:v>
                </c:pt>
                <c:pt idx="24">
                  <c:v>8.5259526435283294E-3</c:v>
                </c:pt>
                <c:pt idx="25">
                  <c:v>1.0506003709638681E-2</c:v>
                </c:pt>
                <c:pt idx="26">
                  <c:v>1.2939896585467332E-2</c:v>
                </c:pt>
                <c:pt idx="27">
                  <c:v>1.5928565059655404E-2</c:v>
                </c:pt>
                <c:pt idx="28">
                  <c:v>1.9593810057528405E-2</c:v>
                </c:pt>
                <c:pt idx="29">
                  <c:v>2.4081807688119922E-2</c:v>
                </c:pt>
                <c:pt idx="30">
                  <c:v>2.9566787669067538E-2</c:v>
                </c:pt>
                <c:pt idx="31">
                  <c:v>3.6254641205059529E-2</c:v>
                </c:pt>
                <c:pt idx="32">
                  <c:v>4.4386061300486328E-2</c:v>
                </c:pt>
                <c:pt idx="33">
                  <c:v>5.4238607982524778E-2</c:v>
                </c:pt>
                <c:pt idx="34">
                  <c:v>6.6126825611814793E-2</c:v>
                </c:pt>
                <c:pt idx="35">
                  <c:v>8.0399235515699191E-2</c:v>
                </c:pt>
                <c:pt idx="36">
                  <c:v>9.7430730590327086E-2</c:v>
                </c:pt>
                <c:pt idx="37">
                  <c:v>0.11760870130683239</c:v>
                </c:pt>
                <c:pt idx="38">
                  <c:v>0.14131127609750577</c:v>
                </c:pt>
                <c:pt idx="39">
                  <c:v>0.16887657171738996</c:v>
                </c:pt>
                <c:pt idx="40">
                  <c:v>0.2005630471679109</c:v>
                </c:pt>
                <c:pt idx="41">
                  <c:v>0.23650308399925971</c:v>
                </c:pt>
                <c:pt idx="42">
                  <c:v>0.27665467849284059</c:v>
                </c:pt>
                <c:pt idx="43">
                  <c:v>0.32075910277177222</c:v>
                </c:pt>
                <c:pt idx="44">
                  <c:v>0.36831454030241551</c:v>
                </c:pt>
                <c:pt idx="45">
                  <c:v>0.41857568394908989</c:v>
                </c:pt>
                <c:pt idx="46">
                  <c:v>0.47058602571885588</c:v>
                </c:pt>
                <c:pt idx="47">
                  <c:v>0.52324305630344725</c:v>
                </c:pt>
                <c:pt idx="48">
                  <c:v>0.57538841127072926</c:v>
                </c:pt>
                <c:pt idx="49">
                  <c:v>0.62590800374534272</c:v>
                </c:pt>
                <c:pt idx="50">
                  <c:v>0.6738242209455565</c:v>
                </c:pt>
                <c:pt idx="51">
                  <c:v>0.71836462327754991</c:v>
                </c:pt>
                <c:pt idx="52">
                  <c:v>0.75899823861070759</c:v>
                </c:pt>
                <c:pt idx="53">
                  <c:v>0.79543874895142319</c:v>
                </c:pt>
                <c:pt idx="54">
                  <c:v>0.82762068736577221</c:v>
                </c:pt>
                <c:pt idx="55">
                  <c:v>0.85565843157518973</c:v>
                </c:pt>
                <c:pt idx="56">
                  <c:v>0.87979813599641254</c:v>
                </c:pt>
                <c:pt idx="57">
                  <c:v>0.90037077875156668</c:v>
                </c:pt>
                <c:pt idx="58">
                  <c:v>0.91775156260729407</c:v>
                </c:pt>
                <c:pt idx="59">
                  <c:v>0.93232808462366246</c:v>
                </c:pt>
                <c:pt idx="60">
                  <c:v>0.94447756221334911</c:v>
                </c:pt>
                <c:pt idx="61">
                  <c:v>0.95455211228380965</c:v>
                </c:pt>
                <c:pt idx="62">
                  <c:v>0.96287049838133665</c:v>
                </c:pt>
                <c:pt idx="63">
                  <c:v>0.96971466500136505</c:v>
                </c:pt>
                <c:pt idx="64">
                  <c:v>0.97532955506085461</c:v>
                </c:pt>
                <c:pt idx="65">
                  <c:v>0.97992499727171689</c:v>
                </c:pt>
                <c:pt idx="66">
                  <c:v>0.98367875635308522</c:v>
                </c:pt>
                <c:pt idx="67">
                  <c:v>0.98674011013199214</c:v>
                </c:pt>
              </c:numCache>
            </c:numRef>
          </c:yVal>
          <c:smooth val="1"/>
        </c:ser>
        <c:ser>
          <c:idx val="3"/>
          <c:order val="3"/>
          <c:tx>
            <c:strRef>
              <c:f>'model average'!$E$77</c:f>
              <c:strCache>
                <c:ptCount val="1"/>
                <c:pt idx="0">
                  <c:v>2015</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average'!$E$78:$E$145</c:f>
              <c:numCache>
                <c:formatCode>0.00%</c:formatCode>
                <c:ptCount val="68"/>
                <c:pt idx="0">
                  <c:v>1.7170216429653574E-5</c:v>
                </c:pt>
                <c:pt idx="1">
                  <c:v>2.1049644832087176E-5</c:v>
                </c:pt>
                <c:pt idx="2">
                  <c:v>2.5805566341741293E-5</c:v>
                </c:pt>
                <c:pt idx="3">
                  <c:v>3.1635998799364258E-5</c:v>
                </c:pt>
                <c:pt idx="4">
                  <c:v>3.8783690632277242E-5</c:v>
                </c:pt>
                <c:pt idx="5">
                  <c:v>4.7546222245428585E-5</c:v>
                </c:pt>
                <c:pt idx="6">
                  <c:v>5.8288387136114664E-5</c:v>
                </c:pt>
                <c:pt idx="7">
                  <c:v>7.1457366502029548E-5</c:v>
                </c:pt>
                <c:pt idx="8">
                  <c:v>8.7601326531770458E-5</c:v>
                </c:pt>
                <c:pt idx="9">
                  <c:v>1.073922087312116E-4</c:v>
                </c:pt>
                <c:pt idx="10">
                  <c:v>1.316536561976944E-4</c:v>
                </c:pt>
                <c:pt idx="11">
                  <c:v>1.6139522954861882E-4</c:v>
                </c:pt>
                <c:pt idx="12">
                  <c:v>1.978543235034611E-4</c:v>
                </c:pt>
                <c:pt idx="13">
                  <c:v>2.425475088477299E-4</c:v>
                </c:pt>
                <c:pt idx="14">
                  <c:v>2.9733340657528011E-4</c:v>
                </c:pt>
                <c:pt idx="15">
                  <c:v>3.6448966557717813E-4</c:v>
                </c:pt>
                <c:pt idx="16">
                  <c:v>4.4680717905035274E-4</c:v>
                </c:pt>
                <c:pt idx="17">
                  <c:v>5.47705357394158E-4</c:v>
                </c:pt>
                <c:pt idx="18">
                  <c:v>6.7137309929851967E-4</c:v>
                </c:pt>
                <c:pt idx="19">
                  <c:v>8.2294109352207961E-4</c:v>
                </c:pt>
                <c:pt idx="20">
                  <c:v>1.0086922696245666E-3</c:v>
                </c:pt>
                <c:pt idx="21">
                  <c:v>1.2363186263959175E-3</c:v>
                </c:pt>
                <c:pt idx="22">
                  <c:v>1.5152343313630965E-3</c:v>
                </c:pt>
                <c:pt idx="23">
                  <c:v>1.8569569292680875E-3</c:v>
                </c:pt>
                <c:pt idx="24">
                  <c:v>2.2755707379901648E-3</c:v>
                </c:pt>
                <c:pt idx="25">
                  <c:v>2.7882890443545636E-3</c:v>
                </c:pt>
                <c:pt idx="26">
                  <c:v>3.4161345034189796E-3</c:v>
                </c:pt>
                <c:pt idx="27">
                  <c:v>4.1847601009758822E-3</c:v>
                </c:pt>
                <c:pt idx="28">
                  <c:v>5.1254359783822296E-3</c:v>
                </c:pt>
                <c:pt idx="29">
                  <c:v>6.2762300207819238E-3</c:v>
                </c:pt>
                <c:pt idx="30">
                  <c:v>7.6834118441578003E-3</c:v>
                </c:pt>
                <c:pt idx="31">
                  <c:v>9.4031098451942668E-3</c:v>
                </c:pt>
                <c:pt idx="32">
                  <c:v>1.1503248021332974E-2</c:v>
                </c:pt>
                <c:pt idx="33">
                  <c:v>1.4065781434915823E-2</c:v>
                </c:pt>
                <c:pt idx="34">
                  <c:v>1.7189233774663696E-2</c:v>
                </c:pt>
                <c:pt idx="35">
                  <c:v>2.0991513711110195E-2</c:v>
                </c:pt>
                <c:pt idx="36">
                  <c:v>2.5612943683085747E-2</c:v>
                </c:pt>
                <c:pt idx="37">
                  <c:v>3.1219369180249767E-2</c:v>
                </c:pt>
                <c:pt idx="38">
                  <c:v>3.8005121391425825E-2</c:v>
                </c:pt>
                <c:pt idx="39">
                  <c:v>4.6195474320518168E-2</c:v>
                </c:pt>
                <c:pt idx="40">
                  <c:v>5.6048064653054508E-2</c:v>
                </c:pt>
                <c:pt idx="41">
                  <c:v>6.785253101900221E-2</c:v>
                </c:pt>
                <c:pt idx="42">
                  <c:v>8.1927394602301376E-2</c:v>
                </c:pt>
                <c:pt idx="43">
                  <c:v>9.8612984121872763E-2</c:v>
                </c:pt>
                <c:pt idx="44">
                  <c:v>0.11825907785428158</c:v>
                </c:pt>
                <c:pt idx="45">
                  <c:v>0.14120600828712895</c:v>
                </c:pt>
                <c:pt idx="46">
                  <c:v>0.16775840377838086</c:v>
                </c:pt>
                <c:pt idx="47">
                  <c:v>0.19815168709175227</c:v>
                </c:pt>
                <c:pt idx="48">
                  <c:v>0.23251301259774254</c:v>
                </c:pt>
                <c:pt idx="49">
                  <c:v>0.27082042958185759</c:v>
                </c:pt>
                <c:pt idx="50">
                  <c:v>0.31286633989770485</c:v>
                </c:pt>
                <c:pt idx="51">
                  <c:v>0.35823305161693619</c:v>
                </c:pt>
                <c:pt idx="52">
                  <c:v>0.40628845838076044</c:v>
                </c:pt>
                <c:pt idx="53">
                  <c:v>0.45620777092293929</c:v>
                </c:pt>
                <c:pt idx="54">
                  <c:v>0.50702263532179892</c:v>
                </c:pt>
                <c:pt idx="55">
                  <c:v>0.55769281621908429</c:v>
                </c:pt>
                <c:pt idx="56">
                  <c:v>0.60718981875056721</c:v>
                </c:pt>
                <c:pt idx="57">
                  <c:v>0.65457853232225205</c:v>
                </c:pt>
                <c:pt idx="58">
                  <c:v>0.69908353422184055</c:v>
                </c:pt>
                <c:pt idx="59">
                  <c:v>0.74013086225137981</c:v>
                </c:pt>
                <c:pt idx="60">
                  <c:v>0.77736219179333366</c:v>
                </c:pt>
                <c:pt idx="61">
                  <c:v>0.81062423529610406</c:v>
                </c:pt>
                <c:pt idx="62">
                  <c:v>0.83994013022149039</c:v>
                </c:pt>
                <c:pt idx="63">
                  <c:v>0.86547098755737129</c:v>
                </c:pt>
                <c:pt idx="64">
                  <c:v>0.88747503251240256</c:v>
                </c:pt>
                <c:pt idx="65">
                  <c:v>0.90626979436277777</c:v>
                </c:pt>
                <c:pt idx="66">
                  <c:v>0.92220051253709923</c:v>
                </c:pt>
                <c:pt idx="67">
                  <c:v>0.93561594809732263</c:v>
                </c:pt>
              </c:numCache>
            </c:numRef>
          </c:yVal>
          <c:smooth val="1"/>
        </c:ser>
        <c:ser>
          <c:idx val="4"/>
          <c:order val="4"/>
          <c:tx>
            <c:strRef>
              <c:f>'model average'!$F$77</c:f>
              <c:strCache>
                <c:ptCount val="1"/>
                <c:pt idx="0">
                  <c:v>2014</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average'!$F$78:$F$145</c:f>
              <c:numCache>
                <c:formatCode>0.00%</c:formatCode>
                <c:ptCount val="68"/>
                <c:pt idx="0">
                  <c:v>2.3411176981798289E-4</c:v>
                </c:pt>
                <c:pt idx="1">
                  <c:v>2.8340826727151088E-4</c:v>
                </c:pt>
                <c:pt idx="2">
                  <c:v>3.4308147807959839E-4</c:v>
                </c:pt>
                <c:pt idx="3">
                  <c:v>4.1531400063546034E-4</c:v>
                </c:pt>
                <c:pt idx="4">
                  <c:v>5.0274674135478853E-4</c:v>
                </c:pt>
                <c:pt idx="5">
                  <c:v>6.0857479252525697E-4</c:v>
                </c:pt>
                <c:pt idx="6">
                  <c:v>7.3666320070702633E-4</c:v>
                </c:pt>
                <c:pt idx="7">
                  <c:v>8.9168667425910237E-4</c:v>
                </c:pt>
                <c:pt idx="8">
                  <c:v>1.0792980661665267E-3</c:v>
                </c:pt>
                <c:pt idx="9">
                  <c:v>1.3063313918701522E-3</c:v>
                </c:pt>
                <c:pt idx="10">
                  <c:v>1.5810462162153941E-3</c:v>
                </c:pt>
                <c:pt idx="11">
                  <c:v>1.9134214809037675E-3</c:v>
                </c:pt>
                <c:pt idx="12">
                  <c:v>2.3155082495920514E-3</c:v>
                </c:pt>
                <c:pt idx="13">
                  <c:v>2.801852416196298E-3</c:v>
                </c:pt>
                <c:pt idx="14">
                  <c:v>3.3900001278880923E-3</c:v>
                </c:pt>
                <c:pt idx="15">
                  <c:v>4.101100461714453E-3</c:v>
                </c:pt>
                <c:pt idx="16">
                  <c:v>4.960621659003208E-3</c:v>
                </c:pt>
                <c:pt idx="17">
                  <c:v>5.9991987892107617E-3</c:v>
                </c:pt>
                <c:pt idx="18">
                  <c:v>7.2536318036214055E-3</c:v>
                </c:pt>
                <c:pt idx="19">
                  <c:v>8.7680531167695416E-3</c:v>
                </c:pt>
                <c:pt idx="20">
                  <c:v>1.0595282474405681E-2</c:v>
                </c:pt>
                <c:pt idx="21">
                  <c:v>1.2798382995327439E-2</c:v>
                </c:pt>
                <c:pt idx="22">
                  <c:v>1.5452424589650317E-2</c:v>
                </c:pt>
                <c:pt idx="23">
                  <c:v>1.864644764878538E-2</c:v>
                </c:pt>
                <c:pt idx="24">
                  <c:v>2.2485598579313124E-2</c:v>
                </c:pt>
                <c:pt idx="25">
                  <c:v>2.7093376387433324E-2</c:v>
                </c:pt>
                <c:pt idx="26">
                  <c:v>3.2613882518552371E-2</c:v>
                </c:pt>
                <c:pt idx="27">
                  <c:v>3.9213900655283261E-2</c:v>
                </c:pt>
                <c:pt idx="28">
                  <c:v>4.7084545759597696E-2</c:v>
                </c:pt>
                <c:pt idx="29">
                  <c:v>5.6442110719466705E-2</c:v>
                </c:pt>
                <c:pt idx="30">
                  <c:v>6.7527607102486259E-2</c:v>
                </c:pt>
                <c:pt idx="31">
                  <c:v>8.060435401777398E-2</c:v>
                </c:pt>
                <c:pt idx="32">
                  <c:v>9.5952838664410234E-2</c:v>
                </c:pt>
                <c:pt idx="33">
                  <c:v>0.11386199412717302</c:v>
                </c:pt>
                <c:pt idx="34">
                  <c:v>0.13461607593232877</c:v>
                </c:pt>
                <c:pt idx="35">
                  <c:v>0.15847654981878281</c:v>
                </c:pt>
                <c:pt idx="36">
                  <c:v>0.18565891661671166</c:v>
                </c:pt>
                <c:pt idx="37">
                  <c:v>0.21630525971395512</c:v>
                </c:pt>
                <c:pt idx="38">
                  <c:v>0.25045449624933086</c:v>
                </c:pt>
                <c:pt idx="39">
                  <c:v>0.28801370069768495</c:v>
                </c:pt>
                <c:pt idx="40">
                  <c:v>0.32873512727698778</c:v>
                </c:pt>
                <c:pt idx="41">
                  <c:v>0.37220420551064748</c:v>
                </c:pt>
                <c:pt idx="42">
                  <c:v>0.41784330704514244</c:v>
                </c:pt>
                <c:pt idx="43">
                  <c:v>0.46493416339222882</c:v>
                </c:pt>
                <c:pt idx="44">
                  <c:v>0.51265858710560919</c:v>
                </c:pt>
                <c:pt idx="45">
                  <c:v>0.56015332200960266</c:v>
                </c:pt>
                <c:pt idx="46">
                  <c:v>0.60657155343516</c:v>
                </c:pt>
                <c:pt idx="47">
                  <c:v>0.65114196868570062</c:v>
                </c:pt>
                <c:pt idx="48">
                  <c:v>0.69321686759508971</c:v>
                </c:pt>
                <c:pt idx="49">
                  <c:v>0.73230345881884595</c:v>
                </c:pt>
                <c:pt idx="50">
                  <c:v>0.76807620704019175</c:v>
                </c:pt>
                <c:pt idx="51">
                  <c:v>0.80037172674720769</c:v>
                </c:pt>
                <c:pt idx="52">
                  <c:v>0.82917030340634412</c:v>
                </c:pt>
                <c:pt idx="53">
                  <c:v>0.85456925965431629</c:v>
                </c:pt>
                <c:pt idx="54">
                  <c:v>0.87675320628420728</c:v>
                </c:pt>
                <c:pt idx="55">
                  <c:v>0.89596518054214846</c:v>
                </c:pt>
                <c:pt idx="56">
                  <c:v>0.91248129649139764</c:v>
                </c:pt>
                <c:pt idx="57">
                  <c:v>0.92659021810226538</c:v>
                </c:pt>
                <c:pt idx="58">
                  <c:v>0.93857774011739092</c:v>
                </c:pt>
                <c:pt idx="59">
                  <c:v>0.94871609038627402</c:v>
                </c:pt>
                <c:pt idx="60">
                  <c:v>0.95725721401262687</c:v>
                </c:pt>
                <c:pt idx="61">
                  <c:v>0.9644291830100955</c:v>
                </c:pt>
                <c:pt idx="62">
                  <c:v>0.97043490859995651</c:v>
                </c:pt>
                <c:pt idx="63">
                  <c:v>0.97545244534588094</c:v>
                </c:pt>
                <c:pt idx="64">
                  <c:v>0.97963631693234787</c:v>
                </c:pt>
                <c:pt idx="65">
                  <c:v>0.98311943217332176</c:v>
                </c:pt>
                <c:pt idx="66">
                  <c:v>0.98601528129691507</c:v>
                </c:pt>
                <c:pt idx="67">
                  <c:v>0.98842020100800998</c:v>
                </c:pt>
              </c:numCache>
            </c:numRef>
          </c:yVal>
          <c:smooth val="1"/>
        </c:ser>
        <c:ser>
          <c:idx val="5"/>
          <c:order val="5"/>
          <c:tx>
            <c:strRef>
              <c:f>'model average'!$G$77</c:f>
              <c:strCache>
                <c:ptCount val="1"/>
                <c:pt idx="0">
                  <c:v>2013</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average'!$G$78:$G$145</c:f>
              <c:numCache>
                <c:formatCode>0.00%</c:formatCode>
                <c:ptCount val="68"/>
                <c:pt idx="0">
                  <c:v>1.6514633949483483E-4</c:v>
                </c:pt>
                <c:pt idx="1">
                  <c:v>2.0124248390877318E-4</c:v>
                </c:pt>
                <c:pt idx="2">
                  <c:v>2.4522625138307812E-4</c:v>
                </c:pt>
                <c:pt idx="3">
                  <c:v>2.9882028383729665E-4</c:v>
                </c:pt>
                <c:pt idx="4">
                  <c:v>3.6412299007382412E-4</c:v>
                </c:pt>
                <c:pt idx="5">
                  <c:v>4.436902928409236E-4</c:v>
                </c:pt>
                <c:pt idx="6">
                  <c:v>5.4063505283763783E-4</c:v>
                </c:pt>
                <c:pt idx="7">
                  <c:v>6.5874794022489089E-4</c:v>
                </c:pt>
                <c:pt idx="8">
                  <c:v>8.0264430321866907E-4</c:v>
                </c:pt>
                <c:pt idx="9">
                  <c:v>9.7794251088522961E-4</c:v>
                </c:pt>
                <c:pt idx="10">
                  <c:v>1.19148034540422E-3</c:v>
                </c:pt>
                <c:pt idx="11">
                  <c:v>1.4515773097888444E-3</c:v>
                </c:pt>
                <c:pt idx="12">
                  <c:v>1.7683522199292421E-3</c:v>
                </c:pt>
                <c:pt idx="13">
                  <c:v>2.1541071781976768E-3</c:v>
                </c:pt>
                <c:pt idx="14">
                  <c:v>2.6237909806921655E-3</c:v>
                </c:pt>
                <c:pt idx="15">
                  <c:v>3.1955571705628975E-3</c:v>
                </c:pt>
                <c:pt idx="16">
                  <c:v>3.8914342584479623E-3</c:v>
                </c:pt>
                <c:pt idx="17">
                  <c:v>4.7381279726284222E-3</c:v>
                </c:pt>
                <c:pt idx="18">
                  <c:v>5.7679775716238009E-3</c:v>
                </c:pt>
                <c:pt idx="19">
                  <c:v>7.0200899120878707E-3</c:v>
                </c:pt>
                <c:pt idx="20">
                  <c:v>8.5416755801183825E-3</c:v>
                </c:pt>
                <c:pt idx="21">
                  <c:v>1.0389610148679944E-2</c:v>
                </c:pt>
                <c:pt idx="22">
                  <c:v>1.263223931108238E-2</c:v>
                </c:pt>
                <c:pt idx="23">
                  <c:v>1.5351437527105454E-2</c:v>
                </c:pt>
                <c:pt idx="24">
                  <c:v>1.8644913491254085E-2</c:v>
                </c:pt>
                <c:pt idx="25">
                  <c:v>2.2628728952144059E-2</c:v>
                </c:pt>
                <c:pt idx="26">
                  <c:v>2.7439956026617411E-2</c:v>
                </c:pt>
                <c:pt idx="27">
                  <c:v>3.3239337178441269E-2</c:v>
                </c:pt>
                <c:pt idx="28">
                  <c:v>4.0213726080353264E-2</c:v>
                </c:pt>
                <c:pt idx="29">
                  <c:v>4.8577971912167145E-2</c:v>
                </c:pt>
                <c:pt idx="30">
                  <c:v>5.8575762266613804E-2</c:v>
                </c:pt>
                <c:pt idx="31">
                  <c:v>7.0478765060004542E-2</c:v>
                </c:pt>
                <c:pt idx="32">
                  <c:v>8.458322376954866E-2</c:v>
                </c:pt>
                <c:pt idx="33">
                  <c:v>0.1012029979928537</c:v>
                </c:pt>
                <c:pt idx="34">
                  <c:v>0.12065796431808783</c:v>
                </c:pt>
                <c:pt idx="35">
                  <c:v>0.14325679323024673</c:v>
                </c:pt>
                <c:pt idx="36">
                  <c:v>0.16927351386641812</c:v>
                </c:pt>
                <c:pt idx="37">
                  <c:v>0.19891808737150862</c:v>
                </c:pt>
                <c:pt idx="38">
                  <c:v>0.23230249502167508</c:v>
                </c:pt>
                <c:pt idx="39">
                  <c:v>0.26940553732402189</c:v>
                </c:pt>
                <c:pt idx="40">
                  <c:v>0.31004134142241851</c:v>
                </c:pt>
                <c:pt idx="41">
                  <c:v>0.35383793526166868</c:v>
                </c:pt>
                <c:pt idx="42">
                  <c:v>0.40023244913820061</c:v>
                </c:pt>
                <c:pt idx="43">
                  <c:v>0.44848792399421938</c:v>
                </c:pt>
                <c:pt idx="44">
                  <c:v>0.49773319182267894</c:v>
                </c:pt>
                <c:pt idx="45">
                  <c:v>0.54702247769245926</c:v>
                </c:pt>
                <c:pt idx="46">
                  <c:v>0.59540663680406558</c:v>
                </c:pt>
                <c:pt idx="47">
                  <c:v>0.64200492795904929</c:v>
                </c:pt>
                <c:pt idx="48">
                  <c:v>0.68606608243321232</c:v>
                </c:pt>
                <c:pt idx="49">
                  <c:v>0.7270102102463335</c:v>
                </c:pt>
                <c:pt idx="50">
                  <c:v>0.76444773045159664</c:v>
                </c:pt>
                <c:pt idx="51">
                  <c:v>0.79817638699971571</c:v>
                </c:pt>
                <c:pt idx="52">
                  <c:v>0.82816108437109193</c:v>
                </c:pt>
                <c:pt idx="53">
                  <c:v>0.85450303975835906</c:v>
                </c:pt>
                <c:pt idx="54">
                  <c:v>0.87740468827985718</c:v>
                </c:pt>
                <c:pt idx="55">
                  <c:v>0.8971354919418093</c:v>
                </c:pt>
                <c:pt idx="56">
                  <c:v>0.91400201566045702</c:v>
                </c:pt>
                <c:pt idx="57">
                  <c:v>0.92832391728718622</c:v>
                </c:pt>
                <c:pt idx="58">
                  <c:v>0.94041617027076585</c:v>
                </c:pt>
                <c:pt idx="59">
                  <c:v>0.95057698620331765</c:v>
                </c:pt>
                <c:pt idx="60">
                  <c:v>0.95908047510394157</c:v>
                </c:pt>
                <c:pt idx="61">
                  <c:v>0.96617295862288388</c:v>
                </c:pt>
                <c:pt idx="62">
                  <c:v>0.97207191636988943</c:v>
                </c:pt>
                <c:pt idx="63">
                  <c:v>0.97696670309022537</c:v>
                </c:pt>
                <c:pt idx="64">
                  <c:v>0.98102036011876015</c:v>
                </c:pt>
                <c:pt idx="65">
                  <c:v>0.98437202125506518</c:v>
                </c:pt>
                <c:pt idx="66">
                  <c:v>0.98713956340918307</c:v>
                </c:pt>
                <c:pt idx="67">
                  <c:v>0.98942227092402102</c:v>
                </c:pt>
              </c:numCache>
            </c:numRef>
          </c:yVal>
          <c:smooth val="1"/>
        </c:ser>
        <c:ser>
          <c:idx val="6"/>
          <c:order val="6"/>
          <c:tx>
            <c:strRef>
              <c:f>'model average'!$H$77</c:f>
              <c:strCache>
                <c:ptCount val="1"/>
                <c:pt idx="0">
                  <c:v>2012</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average'!$H$78:$H$145</c:f>
              <c:numCache>
                <c:formatCode>0.00%</c:formatCode>
                <c:ptCount val="68"/>
                <c:pt idx="0">
                  <c:v>1.3047124400263937E-5</c:v>
                </c:pt>
                <c:pt idx="1">
                  <c:v>1.7293316460842745E-5</c:v>
                </c:pt>
                <c:pt idx="2">
                  <c:v>2.2921401816876036E-5</c:v>
                </c:pt>
                <c:pt idx="3">
                  <c:v>3.0381083934500269E-5</c:v>
                </c:pt>
                <c:pt idx="4">
                  <c:v>4.0268393161481414E-5</c:v>
                </c:pt>
                <c:pt idx="5">
                  <c:v>5.3373285608644894E-5</c:v>
                </c:pt>
                <c:pt idx="6">
                  <c:v>7.0742715149375355E-5</c:v>
                </c:pt>
                <c:pt idx="7">
                  <c:v>9.376420056852192E-5</c:v>
                </c:pt>
                <c:pt idx="8">
                  <c:v>1.2427653391392171E-4</c:v>
                </c:pt>
                <c:pt idx="9">
                  <c:v>1.6471642078997898E-4</c:v>
                </c:pt>
                <c:pt idx="10">
                  <c:v>2.1831267218257427E-4</c:v>
                </c:pt>
                <c:pt idx="11">
                  <c:v>2.8934329263929074E-4</c:v>
                </c:pt>
                <c:pt idx="12">
                  <c:v>3.8347570467222935E-4</c:v>
                </c:pt>
                <c:pt idx="13">
                  <c:v>5.0821676274457185E-4</c:v>
                </c:pt>
                <c:pt idx="14">
                  <c:v>6.7350758018346741E-4</c:v>
                </c:pt>
                <c:pt idx="15">
                  <c:v>8.9250905741042764E-4</c:v>
                </c:pt>
                <c:pt idx="16">
                  <c:v>1.1826380006716123E-3</c:v>
                </c:pt>
                <c:pt idx="17">
                  <c:v>1.5669315790569664E-3</c:v>
                </c:pt>
                <c:pt idx="18">
                  <c:v>2.0758403211665732E-3</c:v>
                </c:pt>
                <c:pt idx="19">
                  <c:v>2.7495774998194159E-3</c:v>
                </c:pt>
                <c:pt idx="20">
                  <c:v>3.6411857399598351E-3</c:v>
                </c:pt>
                <c:pt idx="21">
                  <c:v>4.8205191098368919E-3</c:v>
                </c:pt>
                <c:pt idx="22">
                  <c:v>6.3793777934349673E-3</c:v>
                </c:pt>
                <c:pt idx="23">
                  <c:v>8.4380656815857633E-3</c:v>
                </c:pt>
                <c:pt idx="24">
                  <c:v>1.1153654773175007E-2</c:v>
                </c:pt>
                <c:pt idx="25">
                  <c:v>1.4730208117273366E-2</c:v>
                </c:pt>
                <c:pt idx="26">
                  <c:v>1.9431090047243374E-2</c:v>
                </c:pt>
                <c:pt idx="27">
                  <c:v>2.5593205192476959E-2</c:v>
                </c:pt>
                <c:pt idx="28">
                  <c:v>3.3642444995717141E-2</c:v>
                </c:pt>
                <c:pt idx="29">
                  <c:v>4.4108630611742444E-2</c:v>
                </c:pt>
                <c:pt idx="30">
                  <c:v>5.7636652655196713E-2</c:v>
                </c:pt>
                <c:pt idx="31">
                  <c:v>7.4988206077094277E-2</c:v>
                </c:pt>
                <c:pt idx="32">
                  <c:v>9.7025625185121492E-2</c:v>
                </c:pt>
                <c:pt idx="33">
                  <c:v>0.12466653434235597</c:v>
                </c:pt>
                <c:pt idx="34">
                  <c:v>0.15879706245150543</c:v>
                </c:pt>
                <c:pt idx="35">
                  <c:v>0.20013524384424056</c:v>
                </c:pt>
                <c:pt idx="36">
                  <c:v>0.24904863007932609</c:v>
                </c:pt>
                <c:pt idx="37">
                  <c:v>0.305352827303353</c:v>
                </c:pt>
                <c:pt idx="38">
                  <c:v>0.36814581574831806</c:v>
                </c:pt>
                <c:pt idx="39">
                  <c:v>0.43575141803734668</c:v>
                </c:pt>
                <c:pt idx="40">
                  <c:v>0.50583314045327965</c:v>
                </c:pt>
                <c:pt idx="41">
                  <c:v>0.57568638565895403</c:v>
                </c:pt>
                <c:pt idx="42">
                  <c:v>0.64264132609442637</c:v>
                </c:pt>
                <c:pt idx="43">
                  <c:v>0.70445500599729416</c:v>
                </c:pt>
                <c:pt idx="44">
                  <c:v>0.75957665857936152</c:v>
                </c:pt>
                <c:pt idx="45">
                  <c:v>0.80723088335731508</c:v>
                </c:pt>
                <c:pt idx="46">
                  <c:v>0.84733797197047156</c:v>
                </c:pt>
                <c:pt idx="47">
                  <c:v>0.88033746149866898</c:v>
                </c:pt>
                <c:pt idx="48">
                  <c:v>0.90698678458713511</c:v>
                </c:pt>
                <c:pt idx="49">
                  <c:v>0.92818534536183761</c:v>
                </c:pt>
                <c:pt idx="50">
                  <c:v>0.94484635359283697</c:v>
                </c:pt>
                <c:pt idx="51">
                  <c:v>0.95781767101181692</c:v>
                </c:pt>
                <c:pt idx="52">
                  <c:v>0.96784215671441909</c:v>
                </c:pt>
                <c:pt idx="53">
                  <c:v>0.9755451818333517</c:v>
                </c:pt>
                <c:pt idx="54">
                  <c:v>0.98143842698436556</c:v>
                </c:pt>
                <c:pt idx="55">
                  <c:v>0.98593196828816942</c:v>
                </c:pt>
                <c:pt idx="56">
                  <c:v>0.98934948053865557</c:v>
                </c:pt>
                <c:pt idx="57">
                  <c:v>0.99194356891500257</c:v>
                </c:pt>
                <c:pt idx="58">
                  <c:v>0.99390971890382285</c:v>
                </c:pt>
                <c:pt idx="59">
                  <c:v>0.99539826136330956</c:v>
                </c:pt>
                <c:pt idx="60">
                  <c:v>0.99652425732932814</c:v>
                </c:pt>
                <c:pt idx="61">
                  <c:v>0.997375460642977</c:v>
                </c:pt>
                <c:pt idx="62">
                  <c:v>0.99801862022624632</c:v>
                </c:pt>
                <c:pt idx="63">
                  <c:v>0.99850440592154854</c:v>
                </c:pt>
                <c:pt idx="64">
                  <c:v>0.99887122359333258</c:v>
                </c:pt>
                <c:pt idx="65">
                  <c:v>0.99914815028883153</c:v>
                </c:pt>
                <c:pt idx="66">
                  <c:v>0.99935718130385254</c:v>
                </c:pt>
                <c:pt idx="67">
                  <c:v>0.99951494417545994</c:v>
                </c:pt>
              </c:numCache>
            </c:numRef>
          </c:yVal>
          <c:smooth val="1"/>
        </c:ser>
        <c:ser>
          <c:idx val="7"/>
          <c:order val="7"/>
          <c:tx>
            <c:strRef>
              <c:f>'model average'!$I$77</c:f>
              <c:strCache>
                <c:ptCount val="1"/>
                <c:pt idx="0">
                  <c:v>2011</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average'!$I$78:$I$145</c:f>
              <c:numCache>
                <c:formatCode>0.00%</c:formatCode>
                <c:ptCount val="68"/>
                <c:pt idx="0">
                  <c:v>7.836471740093746E-6</c:v>
                </c:pt>
                <c:pt idx="1">
                  <c:v>1.0064370839566216E-5</c:v>
                </c:pt>
                <c:pt idx="2">
                  <c:v>1.2925650675246917E-5</c:v>
                </c:pt>
                <c:pt idx="3">
                  <c:v>1.6600372952710151E-5</c:v>
                </c:pt>
                <c:pt idx="4">
                  <c:v>2.1319785068892179E-5</c:v>
                </c:pt>
                <c:pt idx="5">
                  <c:v>2.7380868298470043E-5</c:v>
                </c:pt>
                <c:pt idx="6">
                  <c:v>3.5165019463385926E-5</c:v>
                </c:pt>
                <c:pt idx="7">
                  <c:v>4.516203955995761E-5</c:v>
                </c:pt>
                <c:pt idx="8">
                  <c:v>5.8000935347062004E-5</c:v>
                </c:pt>
                <c:pt idx="9">
                  <c:v>7.4489466257937842E-5</c:v>
                </c:pt>
                <c:pt idx="10">
                  <c:v>9.5664915403581588E-5</c:v>
                </c:pt>
                <c:pt idx="11">
                  <c:v>1.2285926325918643E-4</c:v>
                </c:pt>
                <c:pt idx="12">
                  <c:v>1.5778283823492166E-4</c:v>
                </c:pt>
                <c:pt idx="13">
                  <c:v>2.0263166333366929E-4</c:v>
                </c:pt>
                <c:pt idx="14">
                  <c:v>2.6022518000504499E-4</c:v>
                </c:pt>
                <c:pt idx="15">
                  <c:v>3.3418289363510773E-4</c:v>
                </c:pt>
                <c:pt idx="16">
                  <c:v>4.2915085481010497E-4</c:v>
                </c:pt>
                <c:pt idx="17">
                  <c:v>5.510918954265417E-4</c:v>
                </c:pt>
                <c:pt idx="18">
                  <c:v>7.0765733468636032E-4</c:v>
                </c:pt>
                <c:pt idx="19">
                  <c:v>9.0866264120614631E-4</c:v>
                </c:pt>
                <c:pt idx="20">
                  <c:v>1.1666954944441379E-3</c:v>
                </c:pt>
                <c:pt idx="21">
                  <c:v>1.4978920594379374E-3</c:v>
                </c:pt>
                <c:pt idx="22">
                  <c:v>1.9229262974009872E-3</c:v>
                </c:pt>
                <c:pt idx="23">
                  <c:v>2.4682679571534747E-3</c:v>
                </c:pt>
                <c:pt idx="24">
                  <c:v>3.1677775753922201E-3</c:v>
                </c:pt>
                <c:pt idx="25">
                  <c:v>4.0647211308547405E-3</c:v>
                </c:pt>
                <c:pt idx="26">
                  <c:v>5.2143022043441012E-3</c:v>
                </c:pt>
                <c:pt idx="27">
                  <c:v>6.6868239306713288E-3</c:v>
                </c:pt>
                <c:pt idx="28">
                  <c:v>8.5716034717757232E-3</c:v>
                </c:pt>
                <c:pt idx="29">
                  <c:v>1.0981762444047746E-2</c:v>
                </c:pt>
                <c:pt idx="30">
                  <c:v>1.405999799315154E-2</c:v>
                </c:pt>
                <c:pt idx="31">
                  <c:v>1.7985385418392414E-2</c:v>
                </c:pt>
                <c:pt idx="32">
                  <c:v>2.2981150506071208E-2</c:v>
                </c:pt>
                <c:pt idx="33">
                  <c:v>2.9323143517230983E-2</c:v>
                </c:pt>
                <c:pt idx="34">
                  <c:v>3.7348401080151791E-2</c:v>
                </c:pt>
                <c:pt idx="35">
                  <c:v>4.7462643251595896E-2</c:v>
                </c:pt>
                <c:pt idx="36">
                  <c:v>6.0144773203586376E-2</c:v>
                </c:pt>
                <c:pt idx="37">
                  <c:v>7.5945418837501361E-2</c:v>
                </c:pt>
                <c:pt idx="38">
                  <c:v>9.5475376096323186E-2</c:v>
                </c:pt>
                <c:pt idx="39">
                  <c:v>0.1193787848889972</c:v>
                </c:pt>
                <c:pt idx="40">
                  <c:v>0.14828561393161441</c:v>
                </c:pt>
                <c:pt idx="41">
                  <c:v>0.18273954814304952</c:v>
                </c:pt>
                <c:pt idx="42">
                  <c:v>0.22310185221288506</c:v>
                </c:pt>
                <c:pt idx="43">
                  <c:v>0.26943997114703433</c:v>
                </c:pt>
                <c:pt idx="44">
                  <c:v>0.32142065365089911</c:v>
                </c:pt>
                <c:pt idx="45">
                  <c:v>0.37823755968357375</c:v>
                </c:pt>
                <c:pt idx="46">
                  <c:v>0.43860622355042667</c:v>
                </c:pt>
                <c:pt idx="47">
                  <c:v>0.50084862987958612</c:v>
                </c:pt>
                <c:pt idx="48">
                  <c:v>0.56306474570995069</c:v>
                </c:pt>
                <c:pt idx="49">
                  <c:v>0.62335772182421145</c:v>
                </c:pt>
                <c:pt idx="50">
                  <c:v>0.68005830237546694</c:v>
                </c:pt>
                <c:pt idx="51">
                  <c:v>0.73189430501046937</c:v>
                </c:pt>
                <c:pt idx="52">
                  <c:v>0.77807266305660738</c:v>
                </c:pt>
                <c:pt idx="53">
                  <c:v>0.81827218428325044</c:v>
                </c:pt>
                <c:pt idx="54">
                  <c:v>0.8525697763007879</c:v>
                </c:pt>
                <c:pt idx="55">
                  <c:v>0.88133308818064571</c:v>
                </c:pt>
                <c:pt idx="56">
                  <c:v>0.90510931670589412</c:v>
                </c:pt>
                <c:pt idx="57">
                  <c:v>0.92452965133108167</c:v>
                </c:pt>
                <c:pt idx="58">
                  <c:v>0.94023784969367341</c:v>
                </c:pt>
                <c:pt idx="59">
                  <c:v>0.95284334782503577</c:v>
                </c:pt>
                <c:pt idx="60">
                  <c:v>0.96289492364726859</c:v>
                </c:pt>
                <c:pt idx="61">
                  <c:v>0.97086947884688668</c:v>
                </c:pt>
                <c:pt idx="62">
                  <c:v>0.97717079140287</c:v>
                </c:pt>
                <c:pt idx="63">
                  <c:v>0.98213413053687093</c:v>
                </c:pt>
                <c:pt idx="64">
                  <c:v>0.9860338040714024</c:v>
                </c:pt>
                <c:pt idx="65">
                  <c:v>0.98909173021315688</c:v>
                </c:pt>
                <c:pt idx="66">
                  <c:v>0.99148589866036696</c:v>
                </c:pt>
                <c:pt idx="67">
                  <c:v>0.99335811896682091</c:v>
                </c:pt>
              </c:numCache>
            </c:numRef>
          </c:yVal>
          <c:smooth val="1"/>
        </c:ser>
        <c:ser>
          <c:idx val="8"/>
          <c:order val="8"/>
          <c:tx>
            <c:strRef>
              <c:f>'model average'!$J$77</c:f>
              <c:strCache>
                <c:ptCount val="1"/>
                <c:pt idx="0">
                  <c:v>2010</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average'!$J$78:$J$145</c:f>
              <c:numCache>
                <c:formatCode>0.00%</c:formatCode>
                <c:ptCount val="68"/>
                <c:pt idx="0">
                  <c:v>8.5022378766966617E-5</c:v>
                </c:pt>
                <c:pt idx="1">
                  <c:v>1.035310256575905E-4</c:v>
                </c:pt>
                <c:pt idx="2">
                  <c:v>1.2606833916263888E-4</c:v>
                </c:pt>
                <c:pt idx="3">
                  <c:v>1.5351096984987485E-4</c:v>
                </c:pt>
                <c:pt idx="4">
                  <c:v>1.8692621184091302E-4</c:v>
                </c:pt>
                <c:pt idx="5">
                  <c:v>2.2761340456733088E-4</c:v>
                </c:pt>
                <c:pt idx="6">
                  <c:v>2.7715429809603467E-4</c:v>
                </c:pt>
                <c:pt idx="7">
                  <c:v>3.3747430933301909E-4</c:v>
                </c:pt>
                <c:pt idx="8">
                  <c:v>4.1091700437125326E-4</c:v>
                </c:pt>
                <c:pt idx="9">
                  <c:v>5.0033463342563623E-4</c:v>
                </c:pt>
                <c:pt idx="10">
                  <c:v>6.091981346321452E-4</c:v>
                </c:pt>
                <c:pt idx="11">
                  <c:v>7.4173072899810018E-4</c:v>
                </c:pt>
                <c:pt idx="12">
                  <c:v>9.0307007042611108E-4</c:v>
                </c:pt>
                <c:pt idx="13">
                  <c:v>1.0994649129130458E-3</c:v>
                </c:pt>
                <c:pt idx="14">
                  <c:v>1.3385134331574686E-3</c:v>
                </c:pt>
                <c:pt idx="15">
                  <c:v>1.6294517210207725E-3</c:v>
                </c:pt>
                <c:pt idx="16">
                  <c:v>1.9835025384092424E-3</c:v>
                </c:pt>
                <c:pt idx="17">
                  <c:v>2.4142962558322549E-3</c:v>
                </c:pt>
                <c:pt idx="18">
                  <c:v>2.9383778949773321E-3</c:v>
                </c:pt>
                <c:pt idx="19">
                  <c:v>3.5758163964330005E-3</c:v>
                </c:pt>
                <c:pt idx="20">
                  <c:v>4.350934509456012E-3</c:v>
                </c:pt>
                <c:pt idx="21">
                  <c:v>5.2931799089521074E-3</c:v>
                </c:pt>
                <c:pt idx="22">
                  <c:v>6.4381600184477937E-3</c:v>
                </c:pt>
                <c:pt idx="23">
                  <c:v>7.8288641309012582E-3</c:v>
                </c:pt>
                <c:pt idx="24">
                  <c:v>9.5170961139080332E-3</c:v>
                </c:pt>
                <c:pt idx="25">
                  <c:v>1.1565138278020349E-2</c:v>
                </c:pt>
                <c:pt idx="26">
                  <c:v>1.404766044652417E-2</c:v>
                </c:pt>
                <c:pt idx="27">
                  <c:v>1.7053875875314754E-2</c:v>
                </c:pt>
                <c:pt idx="28">
                  <c:v>2.0689924681449409E-2</c:v>
                </c:pt>
                <c:pt idx="29">
                  <c:v>2.5081432246389319E-2</c:v>
                </c:pt>
                <c:pt idx="30">
                  <c:v>3.0376140200346863E-2</c:v>
                </c:pt>
                <c:pt idx="31">
                  <c:v>3.6746435970581054E-2</c:v>
                </c:pt>
                <c:pt idx="32">
                  <c:v>4.4391508453304682E-2</c:v>
                </c:pt>
                <c:pt idx="33">
                  <c:v>5.3538728659080159E-2</c:v>
                </c:pt>
                <c:pt idx="34">
                  <c:v>6.4443695952991653E-2</c:v>
                </c:pt>
                <c:pt idx="35">
                  <c:v>7.7388212137128543E-2</c:v>
                </c:pt>
                <c:pt idx="36">
                  <c:v>9.2675271243984961E-2</c:v>
                </c:pt>
                <c:pt idx="37">
                  <c:v>0.11062002877277062</c:v>
                </c:pt>
                <c:pt idx="38">
                  <c:v>0.13153571480737836</c:v>
                </c:pt>
                <c:pt idx="39">
                  <c:v>0.15571368418841838</c:v>
                </c:pt>
                <c:pt idx="40">
                  <c:v>0.18339737163916756</c:v>
                </c:pt>
                <c:pt idx="41">
                  <c:v>0.21475093590520525</c:v>
                </c:pt>
                <c:pt idx="42">
                  <c:v>0.24982484141927366</c:v>
                </c:pt>
                <c:pt idx="43">
                  <c:v>0.28852237204419506</c:v>
                </c:pt>
                <c:pt idx="44">
                  <c:v>0.33057269179091786</c:v>
                </c:pt>
                <c:pt idx="45">
                  <c:v>0.37551693030931088</c:v>
                </c:pt>
                <c:pt idx="46">
                  <c:v>0.42271318582697831</c:v>
                </c:pt>
                <c:pt idx="47">
                  <c:v>0.47136387704819582</c:v>
                </c:pt>
                <c:pt idx="48">
                  <c:v>0.52056473301063311</c:v>
                </c:pt>
                <c:pt idx="49">
                  <c:v>0.56936987029593977</c:v>
                </c:pt>
                <c:pt idx="50">
                  <c:v>0.61686340572559062</c:v>
                </c:pt>
                <c:pt idx="51">
                  <c:v>0.66222634293750759</c:v>
                </c:pt>
                <c:pt idx="52">
                  <c:v>0.70478871224274076</c:v>
                </c:pt>
                <c:pt idx="53">
                  <c:v>0.74406065435090551</c:v>
                </c:pt>
                <c:pt idx="54">
                  <c:v>0.77974095289698142</c:v>
                </c:pt>
                <c:pt idx="55">
                  <c:v>0.81170586540528222</c:v>
                </c:pt>
                <c:pt idx="56">
                  <c:v>0.83998387387261297</c:v>
                </c:pt>
                <c:pt idx="57">
                  <c:v>0.86472285268482063</c:v>
                </c:pt>
                <c:pt idx="58">
                  <c:v>0.88615548159462798</c:v>
                </c:pt>
                <c:pt idx="59">
                  <c:v>0.90456718771126388</c:v>
                </c:pt>
                <c:pt idx="60">
                  <c:v>0.92026914027090656</c:v>
                </c:pt>
                <c:pt idx="61">
                  <c:v>0.93357729395018618</c:v>
                </c:pt>
                <c:pt idx="62">
                  <c:v>0.94479738358617293</c:v>
                </c:pt>
                <c:pt idx="63">
                  <c:v>0.95421513105735634</c:v>
                </c:pt>
                <c:pt idx="64">
                  <c:v>0.96209064760100416</c:v>
                </c:pt>
                <c:pt idx="65">
                  <c:v>0.96865598441679479</c:v>
                </c:pt>
                <c:pt idx="66">
                  <c:v>0.97411489396191853</c:v>
                </c:pt>
                <c:pt idx="67">
                  <c:v>0.97864403433681935</c:v>
                </c:pt>
              </c:numCache>
            </c:numRef>
          </c:yVal>
          <c:smooth val="1"/>
        </c:ser>
        <c:ser>
          <c:idx val="9"/>
          <c:order val="9"/>
          <c:tx>
            <c:strRef>
              <c:f>'model average'!$K$77</c:f>
              <c:strCache>
                <c:ptCount val="1"/>
                <c:pt idx="0">
                  <c:v>2008</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average'!$K$78:$K$145</c:f>
              <c:numCache>
                <c:formatCode>0.00%</c:formatCode>
                <c:ptCount val="68"/>
                <c:pt idx="0">
                  <c:v>4.9115396781314151E-4</c:v>
                </c:pt>
                <c:pt idx="1">
                  <c:v>5.8721032738094322E-4</c:v>
                </c:pt>
                <c:pt idx="2">
                  <c:v>7.0203950370174926E-4</c:v>
                </c:pt>
                <c:pt idx="3">
                  <c:v>8.3930470637357565E-4</c:v>
                </c:pt>
                <c:pt idx="4">
                  <c:v>1.0033815300921221E-3</c:v>
                </c:pt>
                <c:pt idx="5">
                  <c:v>1.1994954493852676E-3</c:v>
                </c:pt>
                <c:pt idx="6">
                  <c:v>1.433885402874883E-3</c:v>
                </c:pt>
                <c:pt idx="7">
                  <c:v>1.7139982246672178E-3</c:v>
                </c:pt>
                <c:pt idx="8">
                  <c:v>2.0487194641742226E-3</c:v>
                </c:pt>
                <c:pt idx="9">
                  <c:v>2.4486470109403081E-3</c:v>
                </c:pt>
                <c:pt idx="10">
                  <c:v>2.9264149003148288E-3</c:v>
                </c:pt>
                <c:pt idx="11">
                  <c:v>3.4970756997867421E-3</c:v>
                </c:pt>
                <c:pt idx="12">
                  <c:v>4.1785509273186972E-3</c:v>
                </c:pt>
                <c:pt idx="13">
                  <c:v>4.9921599683218926E-3</c:v>
                </c:pt>
                <c:pt idx="14">
                  <c:v>5.9632388345596315E-3</c:v>
                </c:pt>
                <c:pt idx="15">
                  <c:v>7.1218606886827678E-3</c:v>
                </c:pt>
                <c:pt idx="16">
                  <c:v>8.5036701076474583E-3</c:v>
                </c:pt>
                <c:pt idx="17">
                  <c:v>1.0150842236798916E-2</c:v>
                </c:pt>
                <c:pt idx="18">
                  <c:v>1.2113175812640223E-2</c:v>
                </c:pt>
                <c:pt idx="19">
                  <c:v>1.4449324841393623E-2</c:v>
                </c:pt>
                <c:pt idx="20">
                  <c:v>1.7228166617287311E-2</c:v>
                </c:pt>
                <c:pt idx="21">
                  <c:v>2.0530292579226589E-2</c:v>
                </c:pt>
                <c:pt idx="22">
                  <c:v>2.4449591763765832E-2</c:v>
                </c:pt>
                <c:pt idx="23">
                  <c:v>2.9094872550333824E-2</c:v>
                </c:pt>
                <c:pt idx="24">
                  <c:v>3.4591435045107526E-2</c:v>
                </c:pt>
                <c:pt idx="25">
                  <c:v>4.1082461880864354E-2</c:v>
                </c:pt>
                <c:pt idx="26">
                  <c:v>4.8730037991433259E-2</c:v>
                </c:pt>
                <c:pt idx="27">
                  <c:v>5.7715539934368836E-2</c:v>
                </c:pt>
                <c:pt idx="28">
                  <c:v>6.8239055053547118E-2</c:v>
                </c:pt>
                <c:pt idx="29">
                  <c:v>8.0517407052908399E-2</c:v>
                </c:pt>
                <c:pt idx="30">
                  <c:v>9.4780290896444228E-2</c:v>
                </c:pt>
                <c:pt idx="31">
                  <c:v>0.1112639788201478</c:v>
                </c:pt>
                <c:pt idx="32">
                  <c:v>0.13020208350653326</c:v>
                </c:pt>
                <c:pt idx="33">
                  <c:v>0.15181299631758194</c:v>
                </c:pt>
                <c:pt idx="34">
                  <c:v>0.17628390341988612</c:v>
                </c:pt>
                <c:pt idx="35">
                  <c:v>0.2037517561047178</c:v>
                </c:pt>
                <c:pt idx="36">
                  <c:v>0.23428223706447021</c:v>
                </c:pt>
                <c:pt idx="37">
                  <c:v>0.26784856577910376</c:v>
                </c:pt>
                <c:pt idx="38">
                  <c:v>0.30431278437686776</c:v>
                </c:pt>
                <c:pt idx="39">
                  <c:v>0.34341273562500851</c:v>
                </c:pt>
                <c:pt idx="40">
                  <c:v>0.38475801451275982</c:v>
                </c:pt>
                <c:pt idx="41">
                  <c:v>0.42783751117814939</c:v>
                </c:pt>
                <c:pt idx="42">
                  <c:v>0.47203969195019341</c:v>
                </c:pt>
                <c:pt idx="43">
                  <c:v>0.51668467362856962</c:v>
                </c:pt>
                <c:pt idx="44">
                  <c:v>0.56106489451381525</c:v>
                </c:pt>
                <c:pt idx="45">
                  <c:v>0.60448939149149439</c:v>
                </c:pt>
                <c:pt idx="46">
                  <c:v>0.64632590612907959</c:v>
                </c:pt>
                <c:pt idx="47">
                  <c:v>0.68603551843085919</c:v>
                </c:pt>
                <c:pt idx="48">
                  <c:v>0.72319608999712737</c:v>
                </c:pt>
                <c:pt idx="49">
                  <c:v>0.75751299430891816</c:v>
                </c:pt>
                <c:pt idx="50">
                  <c:v>0.78881779673794705</c:v>
                </c:pt>
                <c:pt idx="51">
                  <c:v>0.81705720396776016</c:v>
                </c:pt>
                <c:pt idx="52">
                  <c:v>0.8422754723599416</c:v>
                </c:pt>
                <c:pt idx="53">
                  <c:v>0.86459356260001419</c:v>
                </c:pt>
                <c:pt idx="54">
                  <c:v>0.88418785816453671</c:v>
                </c:pt>
                <c:pt idx="55">
                  <c:v>0.9012705004242717</c:v>
                </c:pt>
                <c:pt idx="56">
                  <c:v>0.91607257588659419</c:v>
                </c:pt>
                <c:pt idx="57">
                  <c:v>0.92883068298874938</c:v>
                </c:pt>
                <c:pt idx="58">
                  <c:v>0.93977688230442102</c:v>
                </c:pt>
                <c:pt idx="59">
                  <c:v>0.94913170393969815</c:v>
                </c:pt>
                <c:pt idx="60">
                  <c:v>0.95709971953486128</c:v>
                </c:pt>
                <c:pt idx="61">
                  <c:v>0.96386713908786181</c:v>
                </c:pt>
                <c:pt idx="62">
                  <c:v>0.96960092092793249</c:v>
                </c:pt>
                <c:pt idx="63">
                  <c:v>0.97444895111855134</c:v>
                </c:pt>
                <c:pt idx="64">
                  <c:v>0.97854093133589115</c:v>
                </c:pt>
                <c:pt idx="65">
                  <c:v>0.98198969628892063</c:v>
                </c:pt>
                <c:pt idx="66">
                  <c:v>0.98489275470738114</c:v>
                </c:pt>
                <c:pt idx="67">
                  <c:v>0.98733390843592017</c:v>
                </c:pt>
              </c:numCache>
            </c:numRef>
          </c:yVal>
          <c:smooth val="1"/>
        </c:ser>
        <c:ser>
          <c:idx val="10"/>
          <c:order val="10"/>
          <c:tx>
            <c:strRef>
              <c:f>'model average'!$L$77</c:f>
              <c:strCache>
                <c:ptCount val="1"/>
                <c:pt idx="0">
                  <c:v>2007</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average'!$L$78:$L$145</c:f>
              <c:numCache>
                <c:formatCode>0.00%</c:formatCode>
                <c:ptCount val="68"/>
                <c:pt idx="0">
                  <c:v>1.3692230767313023E-5</c:v>
                </c:pt>
                <c:pt idx="1">
                  <c:v>1.7848748479884167E-5</c:v>
                </c:pt>
                <c:pt idx="2">
                  <c:v>2.3267020964710778E-5</c:v>
                </c:pt>
                <c:pt idx="3">
                  <c:v>3.0330046655473192E-5</c:v>
                </c:pt>
                <c:pt idx="4">
                  <c:v>3.9537066610860712E-5</c:v>
                </c:pt>
                <c:pt idx="5">
                  <c:v>5.1538834902200428E-5</c:v>
                </c:pt>
                <c:pt idx="6">
                  <c:v>6.7183583738013395E-5</c:v>
                </c:pt>
                <c:pt idx="7">
                  <c:v>8.7576921290056169E-5</c:v>
                </c:pt>
                <c:pt idx="8">
                  <c:v>1.1415987708567967E-4</c:v>
                </c:pt>
                <c:pt idx="9">
                  <c:v>1.4881057906022496E-4</c:v>
                </c:pt>
                <c:pt idx="10">
                  <c:v>1.939766937100772E-4</c:v>
                </c:pt>
                <c:pt idx="11">
                  <c:v>2.5284789602608666E-4</c:v>
                </c:pt>
                <c:pt idx="12">
                  <c:v>3.2958039862729708E-4</c:v>
                </c:pt>
                <c:pt idx="13">
                  <c:v>4.2958913583540827E-4</c:v>
                </c:pt>
                <c:pt idx="14">
                  <c:v>5.5992778785911323E-4</c:v>
                </c:pt>
                <c:pt idx="15">
                  <c:v>7.2978271205669562E-4</c:v>
                </c:pt>
                <c:pt idx="16">
                  <c:v>9.5111434488672039E-4</c:v>
                </c:pt>
                <c:pt idx="17">
                  <c:v>1.2394891219668987E-3</c:v>
                </c:pt>
                <c:pt idx="18">
                  <c:v>1.6151568393420366E-3</c:v>
                </c:pt>
                <c:pt idx="19">
                  <c:v>2.1044430392726981E-3</c:v>
                </c:pt>
                <c:pt idx="20">
                  <c:v>2.7415437359551219E-3</c:v>
                </c:pt>
                <c:pt idx="21">
                  <c:v>3.5708306040285677E-3</c:v>
                </c:pt>
                <c:pt idx="22">
                  <c:v>4.6497980319720284E-3</c:v>
                </c:pt>
                <c:pt idx="23">
                  <c:v>6.0528074226192984E-3</c:v>
                </c:pt>
                <c:pt idx="24">
                  <c:v>7.8758049291703502E-3</c:v>
                </c:pt>
                <c:pt idx="25">
                  <c:v>1.0242198961466395E-2</c:v>
                </c:pt>
                <c:pt idx="26">
                  <c:v>1.3310069869533399E-2</c:v>
                </c:pt>
                <c:pt idx="27">
                  <c:v>1.7280823514453189E-2</c:v>
                </c:pt>
                <c:pt idx="28">
                  <c:v>2.24092565924069E-2</c:v>
                </c:pt>
                <c:pt idx="29">
                  <c:v>2.9014719722937614E-2</c:v>
                </c:pt>
                <c:pt idx="30">
                  <c:v>3.7492568163758913E-2</c:v>
                </c:pt>
                <c:pt idx="31">
                  <c:v>4.8324286376203736E-2</c:v>
                </c:pt>
                <c:pt idx="32">
                  <c:v>6.208347468090588E-2</c:v>
                </c:pt>
                <c:pt idx="33">
                  <c:v>7.9433274394375253E-2</c:v>
                </c:pt>
                <c:pt idx="34">
                  <c:v>0.10110895273016507</c:v>
                </c:pt>
                <c:pt idx="35">
                  <c:v>0.12787782757069291</c:v>
                </c:pt>
                <c:pt idx="36">
                  <c:v>0.16046865181814796</c:v>
                </c:pt>
                <c:pt idx="37">
                  <c:v>0.19946583619099989</c:v>
                </c:pt>
                <c:pt idx="38">
                  <c:v>0.24517248913047268</c:v>
                </c:pt>
                <c:pt idx="39">
                  <c:v>0.29746089667686176</c:v>
                </c:pt>
                <c:pt idx="40">
                  <c:v>0.35564671011639831</c:v>
                </c:pt>
                <c:pt idx="41">
                  <c:v>0.41843520615117785</c:v>
                </c:pt>
                <c:pt idx="42">
                  <c:v>0.4839826418282222</c:v>
                </c:pt>
                <c:pt idx="43">
                  <c:v>0.55008586029864304</c:v>
                </c:pt>
                <c:pt idx="44">
                  <c:v>0.61446656253299436</c:v>
                </c:pt>
                <c:pt idx="45">
                  <c:v>0.67507634930060689</c:v>
                </c:pt>
                <c:pt idx="46">
                  <c:v>0.73033926388266468</c:v>
                </c:pt>
                <c:pt idx="47">
                  <c:v>0.77927621990047291</c:v>
                </c:pt>
                <c:pt idx="48">
                  <c:v>0.82150280779247842</c:v>
                </c:pt>
                <c:pt idx="49">
                  <c:v>0.85713208000135932</c:v>
                </c:pt>
                <c:pt idx="50">
                  <c:v>0.88663095293159155</c:v>
                </c:pt>
                <c:pt idx="51">
                  <c:v>0.91067375773721004</c:v>
                </c:pt>
                <c:pt idx="52">
                  <c:v>0.93002011570184584</c:v>
                </c:pt>
                <c:pt idx="53">
                  <c:v>0.94542751255360591</c:v>
                </c:pt>
                <c:pt idx="54">
                  <c:v>0.95759734206023794</c:v>
                </c:pt>
                <c:pt idx="55">
                  <c:v>0.96714756779345812</c:v>
                </c:pt>
                <c:pt idx="56">
                  <c:v>0.97460386948012367</c:v>
                </c:pt>
                <c:pt idx="57">
                  <c:v>0.98040215530753172</c:v>
                </c:pt>
                <c:pt idx="58">
                  <c:v>0.98489712734969304</c:v>
                </c:pt>
                <c:pt idx="59">
                  <c:v>0.98837335654317438</c:v>
                </c:pt>
                <c:pt idx="60">
                  <c:v>0.99105672728955652</c:v>
                </c:pt>
                <c:pt idx="61">
                  <c:v>0.99312509735404841</c:v>
                </c:pt>
                <c:pt idx="62">
                  <c:v>0.99471765143631297</c:v>
                </c:pt>
                <c:pt idx="63">
                  <c:v>0.99594280143738134</c:v>
                </c:pt>
                <c:pt idx="64">
                  <c:v>0.99688468886752846</c:v>
                </c:pt>
                <c:pt idx="65">
                  <c:v>0.99760844016325889</c:v>
                </c:pt>
                <c:pt idx="66">
                  <c:v>0.99816435865745046</c:v>
                </c:pt>
                <c:pt idx="67">
                  <c:v>0.99859123628391133</c:v>
                </c:pt>
              </c:numCache>
            </c:numRef>
          </c:yVal>
          <c:smooth val="1"/>
        </c:ser>
        <c:ser>
          <c:idx val="12"/>
          <c:order val="11"/>
          <c:tx>
            <c:strRef>
              <c:f>'model average'!$M$77</c:f>
              <c:strCache>
                <c:ptCount val="1"/>
                <c:pt idx="0">
                  <c:v>2006</c:v>
                </c:pt>
              </c:strCache>
            </c:strRef>
          </c:tx>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average'!$M$78:$M$145</c:f>
              <c:numCache>
                <c:formatCode>0.00%</c:formatCode>
                <c:ptCount val="68"/>
                <c:pt idx="0">
                  <c:v>1.2136687818076173E-4</c:v>
                </c:pt>
                <c:pt idx="1">
                  <c:v>1.454767462997331E-4</c:v>
                </c:pt>
                <c:pt idx="2">
                  <c:v>1.7437527154875112E-4</c:v>
                </c:pt>
                <c:pt idx="3">
                  <c:v>2.0901320330298033E-4</c:v>
                </c:pt>
                <c:pt idx="4">
                  <c:v>2.5052989527816132E-4</c:v>
                </c:pt>
                <c:pt idx="5">
                  <c:v>3.0029065023805794E-4</c:v>
                </c:pt>
                <c:pt idx="6">
                  <c:v>3.599314287779756E-4</c:v>
                </c:pt>
                <c:pt idx="7">
                  <c:v>4.3141236104103273E-4</c:v>
                </c:pt>
                <c:pt idx="8">
                  <c:v>5.1708177554267367E-4</c:v>
                </c:pt>
                <c:pt idx="9">
                  <c:v>6.1975278471460764E-4</c:v>
                </c:pt>
                <c:pt idx="10">
                  <c:v>7.4279485030652231E-4</c:v>
                </c:pt>
                <c:pt idx="11">
                  <c:v>8.9024320210936362E-4</c:v>
                </c:pt>
                <c:pt idx="12">
                  <c:v>1.0669295098102768E-3</c:v>
                </c:pt>
                <c:pt idx="13">
                  <c:v>1.2786378194842444E-3</c:v>
                </c:pt>
                <c:pt idx="14">
                  <c:v>1.5322904720000579E-3</c:v>
                </c:pt>
                <c:pt idx="15">
                  <c:v>1.8361695274595857E-3</c:v>
                </c:pt>
                <c:pt idx="16">
                  <c:v>2.2001801311776078E-3</c:v>
                </c:pt>
                <c:pt idx="17">
                  <c:v>2.6361632699189656E-3</c:v>
                </c:pt>
                <c:pt idx="18">
                  <c:v>3.1582664692195958E-3</c:v>
                </c:pt>
                <c:pt idx="19">
                  <c:v>3.7833821446993888E-3</c:v>
                </c:pt>
                <c:pt idx="20">
                  <c:v>4.531664489069576E-3</c:v>
                </c:pt>
                <c:pt idx="21">
                  <c:v>5.4271368627399966E-3</c:v>
                </c:pt>
                <c:pt idx="22">
                  <c:v>6.4984025179808729E-3</c:v>
                </c:pt>
                <c:pt idx="23">
                  <c:v>7.7794719086979602E-3</c:v>
                </c:pt>
                <c:pt idx="24">
                  <c:v>9.3107195009323306E-3</c:v>
                </c:pt>
                <c:pt idx="25">
                  <c:v>1.1139981443457733E-2</c:v>
                </c:pt>
                <c:pt idx="26">
                  <c:v>1.3323802037039761E-2</c:v>
                </c:pt>
                <c:pt idx="27">
                  <c:v>1.5928830769191979E-2</c:v>
                </c:pt>
                <c:pt idx="28">
                  <c:v>1.9033361578084801E-2</c:v>
                </c:pt>
                <c:pt idx="29">
                  <c:v>2.2728990453749348E-2</c:v>
                </c:pt>
                <c:pt idx="30">
                  <c:v>2.7122344601640591E-2</c:v>
                </c:pt>
                <c:pt idx="31">
                  <c:v>3.2336804010024853E-2</c:v>
                </c:pt>
                <c:pt idx="32">
                  <c:v>3.8514092097830847E-2</c:v>
                </c:pt>
                <c:pt idx="33">
                  <c:v>4.5815554201554094E-2</c:v>
                </c:pt>
                <c:pt idx="34">
                  <c:v>5.4422870092997587E-2</c:v>
                </c:pt>
                <c:pt idx="35">
                  <c:v>6.4537860947374764E-2</c:v>
                </c:pt>
                <c:pt idx="36">
                  <c:v>7.6380957860502405E-2</c:v>
                </c:pt>
                <c:pt idx="37">
                  <c:v>9.0187810496828433E-2</c:v>
                </c:pt>
                <c:pt idx="38">
                  <c:v>0.10620345257063696</c:v>
                </c:pt>
                <c:pt idx="39">
                  <c:v>0.12467343917118223</c:v>
                </c:pt>
                <c:pt idx="40">
                  <c:v>0.14583147470835986</c:v>
                </c:pt>
                <c:pt idx="41">
                  <c:v>0.16988331162664985</c:v>
                </c:pt>
                <c:pt idx="42">
                  <c:v>0.19698716524640092</c:v>
                </c:pt>
                <c:pt idx="43">
                  <c:v>0.22723157660467003</c:v>
                </c:pt>
                <c:pt idx="44">
                  <c:v>0.26061252043374916</c:v>
                </c:pt>
                <c:pt idx="45">
                  <c:v>0.29701246632256512</c:v>
                </c:pt>
                <c:pt idx="46">
                  <c:v>0.33618482244321546</c:v>
                </c:pt>
                <c:pt idx="47">
                  <c:v>0.37774741683009083</c:v>
                </c:pt>
                <c:pt idx="48">
                  <c:v>0.42118811358400887</c:v>
                </c:pt>
                <c:pt idx="49">
                  <c:v>0.46588418781569113</c:v>
                </c:pt>
                <c:pt idx="50">
                  <c:v>0.51113484507702922</c:v>
                </c:pt>
                <c:pt idx="51">
                  <c:v>0.55620374520928839</c:v>
                </c:pt>
                <c:pt idx="52">
                  <c:v>0.6003662690137247</c:v>
                </c:pt>
                <c:pt idx="53">
                  <c:v>0.64295520834022113</c:v>
                </c:pt>
                <c:pt idx="54">
                  <c:v>0.68339891531991881</c:v>
                </c:pt>
                <c:pt idx="55">
                  <c:v>0.72124759593279253</c:v>
                </c:pt>
                <c:pt idx="56">
                  <c:v>0.75618584470199735</c:v>
                </c:pt>
                <c:pt idx="57">
                  <c:v>0.78803197927653146</c:v>
                </c:pt>
                <c:pt idx="58">
                  <c:v>0.8167266358806099</c:v>
                </c:pt>
                <c:pt idx="59">
                  <c:v>0.84231410872063994</c:v>
                </c:pt>
                <c:pt idx="60">
                  <c:v>0.86492005933119276</c:v>
                </c:pt>
                <c:pt idx="61">
                  <c:v>0.88472871263514363</c:v>
                </c:pt>
                <c:pt idx="62">
                  <c:v>0.9019618067218419</c:v>
                </c:pt>
                <c:pt idx="63">
                  <c:v>0.91686065171343734</c:v>
                </c:pt>
                <c:pt idx="64">
                  <c:v>0.92967186529921186</c:v>
                </c:pt>
                <c:pt idx="65">
                  <c:v>0.94063677400441748</c:v>
                </c:pt>
                <c:pt idx="66">
                  <c:v>0.94998410888829909</c:v>
                </c:pt>
                <c:pt idx="67">
                  <c:v>0.95792544703602911</c:v>
                </c:pt>
              </c:numCache>
            </c:numRef>
          </c:yVal>
          <c:smooth val="1"/>
        </c:ser>
        <c:ser>
          <c:idx val="11"/>
          <c:order val="12"/>
          <c:tx>
            <c:strRef>
              <c:f>'model average'!$N$77</c:f>
              <c:strCache>
                <c:ptCount val="1"/>
                <c:pt idx="0">
                  <c:v>Avg</c:v>
                </c:pt>
              </c:strCache>
            </c:strRef>
          </c:tx>
          <c:spPr>
            <a:ln w="79375" cmpd="sng">
              <a:solidFill>
                <a:srgbClr val="FF0000"/>
              </a:solidFill>
              <a:prstDash val="solid"/>
            </a:ln>
          </c:spPr>
          <c:marker>
            <c:symbol val="none"/>
          </c:marker>
          <c:xVal>
            <c:numRef>
              <c:f>'model average'!$A$78:$A$145</c:f>
              <c:numCache>
                <c:formatCode>d\-mmm</c:formatCode>
                <c:ptCount val="68"/>
                <c:pt idx="0">
                  <c:v>42149</c:v>
                </c:pt>
                <c:pt idx="1">
                  <c:v>42150</c:v>
                </c:pt>
                <c:pt idx="2">
                  <c:v>42151</c:v>
                </c:pt>
                <c:pt idx="3">
                  <c:v>42152</c:v>
                </c:pt>
                <c:pt idx="4">
                  <c:v>42153</c:v>
                </c:pt>
                <c:pt idx="5">
                  <c:v>42154</c:v>
                </c:pt>
                <c:pt idx="6">
                  <c:v>42155</c:v>
                </c:pt>
                <c:pt idx="7">
                  <c:v>42156</c:v>
                </c:pt>
                <c:pt idx="8">
                  <c:v>42157</c:v>
                </c:pt>
                <c:pt idx="9">
                  <c:v>42158</c:v>
                </c:pt>
                <c:pt idx="10">
                  <c:v>42159</c:v>
                </c:pt>
                <c:pt idx="11">
                  <c:v>42160</c:v>
                </c:pt>
                <c:pt idx="12">
                  <c:v>42161</c:v>
                </c:pt>
                <c:pt idx="13">
                  <c:v>42162</c:v>
                </c:pt>
                <c:pt idx="14">
                  <c:v>42163</c:v>
                </c:pt>
                <c:pt idx="15">
                  <c:v>42164</c:v>
                </c:pt>
                <c:pt idx="16">
                  <c:v>42165</c:v>
                </c:pt>
                <c:pt idx="17">
                  <c:v>42166</c:v>
                </c:pt>
                <c:pt idx="18">
                  <c:v>42167</c:v>
                </c:pt>
                <c:pt idx="19">
                  <c:v>42168</c:v>
                </c:pt>
                <c:pt idx="20">
                  <c:v>42169</c:v>
                </c:pt>
                <c:pt idx="21">
                  <c:v>42170</c:v>
                </c:pt>
                <c:pt idx="22">
                  <c:v>42171</c:v>
                </c:pt>
                <c:pt idx="23">
                  <c:v>42172</c:v>
                </c:pt>
                <c:pt idx="24">
                  <c:v>42173</c:v>
                </c:pt>
                <c:pt idx="25">
                  <c:v>42174</c:v>
                </c:pt>
                <c:pt idx="26">
                  <c:v>42175</c:v>
                </c:pt>
                <c:pt idx="27">
                  <c:v>42176</c:v>
                </c:pt>
                <c:pt idx="28">
                  <c:v>42177</c:v>
                </c:pt>
                <c:pt idx="29">
                  <c:v>42178</c:v>
                </c:pt>
                <c:pt idx="30">
                  <c:v>42179</c:v>
                </c:pt>
                <c:pt idx="31">
                  <c:v>42180</c:v>
                </c:pt>
                <c:pt idx="32">
                  <c:v>42181</c:v>
                </c:pt>
                <c:pt idx="33">
                  <c:v>42182</c:v>
                </c:pt>
                <c:pt idx="34">
                  <c:v>42183</c:v>
                </c:pt>
                <c:pt idx="35">
                  <c:v>42184</c:v>
                </c:pt>
                <c:pt idx="36">
                  <c:v>42185</c:v>
                </c:pt>
                <c:pt idx="37">
                  <c:v>42186</c:v>
                </c:pt>
                <c:pt idx="38">
                  <c:v>42187</c:v>
                </c:pt>
                <c:pt idx="39">
                  <c:v>42188</c:v>
                </c:pt>
                <c:pt idx="40">
                  <c:v>42189</c:v>
                </c:pt>
                <c:pt idx="41">
                  <c:v>42190</c:v>
                </c:pt>
                <c:pt idx="42">
                  <c:v>42191</c:v>
                </c:pt>
                <c:pt idx="43">
                  <c:v>42192</c:v>
                </c:pt>
                <c:pt idx="44">
                  <c:v>42193</c:v>
                </c:pt>
                <c:pt idx="45">
                  <c:v>42194</c:v>
                </c:pt>
                <c:pt idx="46">
                  <c:v>42195</c:v>
                </c:pt>
                <c:pt idx="47">
                  <c:v>42196</c:v>
                </c:pt>
                <c:pt idx="48">
                  <c:v>42197</c:v>
                </c:pt>
                <c:pt idx="49">
                  <c:v>42198</c:v>
                </c:pt>
                <c:pt idx="50">
                  <c:v>42199</c:v>
                </c:pt>
                <c:pt idx="51">
                  <c:v>42200</c:v>
                </c:pt>
                <c:pt idx="52">
                  <c:v>42201</c:v>
                </c:pt>
                <c:pt idx="53">
                  <c:v>42202</c:v>
                </c:pt>
                <c:pt idx="54">
                  <c:v>42203</c:v>
                </c:pt>
                <c:pt idx="55">
                  <c:v>42204</c:v>
                </c:pt>
                <c:pt idx="56">
                  <c:v>42205</c:v>
                </c:pt>
                <c:pt idx="57">
                  <c:v>42206</c:v>
                </c:pt>
                <c:pt idx="58">
                  <c:v>42207</c:v>
                </c:pt>
                <c:pt idx="59">
                  <c:v>42208</c:v>
                </c:pt>
                <c:pt idx="60">
                  <c:v>42209</c:v>
                </c:pt>
                <c:pt idx="61">
                  <c:v>42210</c:v>
                </c:pt>
                <c:pt idx="62">
                  <c:v>42211</c:v>
                </c:pt>
                <c:pt idx="63">
                  <c:v>42212</c:v>
                </c:pt>
                <c:pt idx="64">
                  <c:v>42213</c:v>
                </c:pt>
                <c:pt idx="65">
                  <c:v>42214</c:v>
                </c:pt>
                <c:pt idx="66">
                  <c:v>42215</c:v>
                </c:pt>
                <c:pt idx="67">
                  <c:v>42216</c:v>
                </c:pt>
              </c:numCache>
            </c:numRef>
          </c:xVal>
          <c:yVal>
            <c:numRef>
              <c:f>'model average'!$N$78:$N$145</c:f>
              <c:numCache>
                <c:formatCode>0.00%</c:formatCode>
                <c:ptCount val="68"/>
                <c:pt idx="0">
                  <c:v>1.6647427914903286E-4</c:v>
                </c:pt>
                <c:pt idx="1">
                  <c:v>1.9856034265369968E-4</c:v>
                </c:pt>
                <c:pt idx="2">
                  <c:v>2.3695747929556763E-4</c:v>
                </c:pt>
                <c:pt idx="3">
                  <c:v>2.8293458433239534E-4</c:v>
                </c:pt>
                <c:pt idx="4">
                  <c:v>3.3802187869963409E-4</c:v>
                </c:pt>
                <c:pt idx="5">
                  <c:v>4.0406616406569784E-4</c:v>
                </c:pt>
                <c:pt idx="6">
                  <c:v>4.8329809544891381E-4</c:v>
                </c:pt>
                <c:pt idx="7">
                  <c:v>5.7841416011398031E-4</c:v>
                </c:pt>
                <c:pt idx="8">
                  <c:v>6.9267666759971805E-4</c:v>
                </c:pt>
                <c:pt idx="9">
                  <c:v>8.3003581452796061E-4</c:v>
                </c:pt>
                <c:pt idx="10">
                  <c:v>9.9527882156003077E-4</c:v>
                </c:pt>
                <c:pt idx="11">
                  <c:v>1.1942122872193128E-3</c:v>
                </c:pt>
                <c:pt idx="12">
                  <c:v>1.4338853101594628E-3</c:v>
                </c:pt>
                <c:pt idx="13">
                  <c:v>1.7228626511677566E-3</c:v>
                </c:pt>
                <c:pt idx="14">
                  <c:v>2.0715592990454561E-3</c:v>
                </c:pt>
                <c:pt idx="15">
                  <c:v>2.492650335652255E-3</c:v>
                </c:pt>
                <c:pt idx="16">
                  <c:v>3.0015730298687728E-3</c:v>
                </c:pt>
                <c:pt idx="17">
                  <c:v>3.617141682886656E-3</c:v>
                </c:pt>
                <c:pt idx="18">
                  <c:v>4.3622999240551527E-3</c:v>
                </c:pt>
                <c:pt idx="19">
                  <c:v>5.265039881200727E-3</c:v>
                </c:pt>
                <c:pt idx="20">
                  <c:v>6.3595227656388503E-3</c:v>
                </c:pt>
                <c:pt idx="21">
                  <c:v>7.6874405464202348E-3</c:v>
                </c:pt>
                <c:pt idx="22">
                  <c:v>9.2996627888346766E-3</c:v>
                </c:pt>
                <c:pt idx="23">
                  <c:v>1.1258215008726013E-2</c:v>
                </c:pt>
                <c:pt idx="24">
                  <c:v>1.3638632610078858E-2</c:v>
                </c:pt>
                <c:pt idx="25">
                  <c:v>1.653272352880877E-2</c:v>
                </c:pt>
                <c:pt idx="26">
                  <c:v>2.0051746461603279E-2</c:v>
                </c:pt>
                <c:pt idx="27">
                  <c:v>2.4329959716661072E-2</c:v>
                </c:pt>
                <c:pt idx="28">
                  <c:v>2.9528403187773309E-2</c:v>
                </c:pt>
                <c:pt idx="29">
                  <c:v>3.5838622410297429E-2</c:v>
                </c:pt>
                <c:pt idx="30">
                  <c:v>4.3485805639656532E-2</c:v>
                </c:pt>
                <c:pt idx="31">
                  <c:v>5.2730463842390767E-2</c:v>
                </c:pt>
                <c:pt idx="32">
                  <c:v>6.386734541774014E-2</c:v>
                </c:pt>
                <c:pt idx="33">
                  <c:v>7.721981012551539E-2</c:v>
                </c:pt>
                <c:pt idx="34">
                  <c:v>9.3127572961493099E-2</c:v>
                </c:pt>
                <c:pt idx="35">
                  <c:v>0.11192591043402098</c:v>
                </c:pt>
                <c:pt idx="36">
                  <c:v>0.1339155616353086</c:v>
                </c:pt>
                <c:pt idx="37">
                  <c:v>0.15932500643029335</c:v>
                </c:pt>
                <c:pt idx="38">
                  <c:v>0.18827033071760724</c:v>
                </c:pt>
                <c:pt idx="39">
                  <c:v>0.2207212055439243</c:v>
                </c:pt>
                <c:pt idx="40">
                  <c:v>0.25648243646183588</c:v>
                </c:pt>
                <c:pt idx="41">
                  <c:v>0.2951973587886309</c:v>
                </c:pt>
                <c:pt idx="42">
                  <c:v>0.33637265860436633</c:v>
                </c:pt>
                <c:pt idx="43">
                  <c:v>0.3794173259385108</c:v>
                </c:pt>
                <c:pt idx="44">
                  <c:v>0.42368529801118698</c:v>
                </c:pt>
                <c:pt idx="45">
                  <c:v>0.46851334779882292</c:v>
                </c:pt>
                <c:pt idx="46">
                  <c:v>0.51325091701191428</c:v>
                </c:pt>
                <c:pt idx="47">
                  <c:v>0.5572832830609028</c:v>
                </c:pt>
                <c:pt idx="48">
                  <c:v>0.60005111262231059</c:v>
                </c:pt>
                <c:pt idx="49">
                  <c:v>0.64106798219318339</c:v>
                </c:pt>
                <c:pt idx="50">
                  <c:v>0.67993480375574367</c:v>
                </c:pt>
                <c:pt idx="51">
                  <c:v>0.7163486093343393</c:v>
                </c:pt>
                <c:pt idx="52">
                  <c:v>0.75010381511155433</c:v>
                </c:pt>
                <c:pt idx="53">
                  <c:v>0.78108615438902262</c:v>
                </c:pt>
                <c:pt idx="54">
                  <c:v>0.80926140964747517</c:v>
                </c:pt>
                <c:pt idx="55">
                  <c:v>0.83466183118833104</c:v>
                </c:pt>
                <c:pt idx="56">
                  <c:v>0.85737264329994833</c:v>
                </c:pt>
                <c:pt idx="57">
                  <c:v>0.87751993237624926</c:v>
                </c:pt>
                <c:pt idx="58">
                  <c:v>0.89526018777315175</c:v>
                </c:pt>
                <c:pt idx="59">
                  <c:v>0.9107712090529656</c:v>
                </c:pt>
                <c:pt idx="60">
                  <c:v>0.92424401102750509</c:v>
                </c:pt>
                <c:pt idx="61">
                  <c:v>0.93587554316232269</c:v>
                </c:pt>
                <c:pt idx="62">
                  <c:v>0.9458622622641889</c:v>
                </c:pt>
                <c:pt idx="63">
                  <c:v>0.95439471925835262</c:v>
                </c:pt>
                <c:pt idx="64">
                  <c:v>0.961653315008131</c:v>
                </c:pt>
                <c:pt idx="65">
                  <c:v>0.96780528878733874</c:v>
                </c:pt>
                <c:pt idx="66">
                  <c:v>0.97300288657873757</c:v>
                </c:pt>
                <c:pt idx="67">
                  <c:v>0.97738256022019054</c:v>
                </c:pt>
              </c:numCache>
            </c:numRef>
          </c:yVal>
          <c:smooth val="1"/>
        </c:ser>
        <c:dLbls>
          <c:showLegendKey val="0"/>
          <c:showVal val="0"/>
          <c:showCatName val="0"/>
          <c:showSerName val="0"/>
          <c:showPercent val="0"/>
          <c:showBubbleSize val="0"/>
        </c:dLbls>
        <c:axId val="155535232"/>
        <c:axId val="155545600"/>
      </c:scatterChart>
      <c:valAx>
        <c:axId val="155535232"/>
        <c:scaling>
          <c:orientation val="minMax"/>
          <c:max val="42218"/>
          <c:min val="42149"/>
        </c:scaling>
        <c:delete val="0"/>
        <c:axPos val="b"/>
        <c:title>
          <c:tx>
            <c:rich>
              <a:bodyPr/>
              <a:lstStyle/>
              <a:p>
                <a:pPr>
                  <a:defRPr/>
                </a:pPr>
                <a:r>
                  <a:rPr lang="en-US"/>
                  <a:t>Date</a:t>
                </a:r>
              </a:p>
            </c:rich>
          </c:tx>
          <c:layout>
            <c:manualLayout>
              <c:xMode val="edge"/>
              <c:yMode val="edge"/>
              <c:x val="0.4859012089489278"/>
              <c:y val="0.93102332446283287"/>
            </c:manualLayout>
          </c:layout>
          <c:overlay val="0"/>
        </c:title>
        <c:numFmt formatCode="m/d;@" sourceLinked="0"/>
        <c:majorTickMark val="out"/>
        <c:minorTickMark val="none"/>
        <c:tickLblPos val="nextTo"/>
        <c:crossAx val="155545600"/>
        <c:crosses val="autoZero"/>
        <c:crossBetween val="midCat"/>
        <c:majorUnit val="4"/>
        <c:minorUnit val="4"/>
      </c:valAx>
      <c:valAx>
        <c:axId val="155545600"/>
        <c:scaling>
          <c:orientation val="minMax"/>
          <c:max val="1"/>
        </c:scaling>
        <c:delete val="0"/>
        <c:axPos val="l"/>
        <c:title>
          <c:tx>
            <c:rich>
              <a:bodyPr rot="-5400000" vert="horz"/>
              <a:lstStyle/>
              <a:p>
                <a:pPr>
                  <a:defRPr/>
                </a:pPr>
                <a:r>
                  <a:rPr lang="en-US"/>
                  <a:t>Chignik Lake/ Black Lake stock composition </a:t>
                </a:r>
              </a:p>
            </c:rich>
          </c:tx>
          <c:layout>
            <c:manualLayout>
              <c:xMode val="edge"/>
              <c:yMode val="edge"/>
              <c:x val="3.0206122776329905E-2"/>
              <c:y val="0.26501888386442152"/>
            </c:manualLayout>
          </c:layout>
          <c:overlay val="0"/>
        </c:title>
        <c:numFmt formatCode="0%" sourceLinked="0"/>
        <c:majorTickMark val="out"/>
        <c:minorTickMark val="none"/>
        <c:tickLblPos val="nextTo"/>
        <c:crossAx val="155535232"/>
        <c:crosses val="autoZero"/>
        <c:crossBetween val="midCat"/>
      </c:valAx>
    </c:plotArea>
    <c:legend>
      <c:legendPos val="r"/>
      <c:layout>
        <c:manualLayout>
          <c:xMode val="edge"/>
          <c:yMode val="edge"/>
          <c:x val="0.83930342682992498"/>
          <c:y val="0.33062170027205323"/>
          <c:w val="6.503722095897943E-2"/>
          <c:h val="0.47824267870999898"/>
        </c:manualLayout>
      </c:layout>
      <c:overlay val="0"/>
    </c:legend>
    <c:plotVisOnly val="1"/>
    <c:dispBlanksAs val="gap"/>
    <c:showDLblsOverMax val="0"/>
  </c:chart>
  <c:spPr>
    <a:ln>
      <a:noFill/>
    </a:ln>
  </c:spPr>
  <c:txPr>
    <a:bodyPr/>
    <a:lstStyle/>
    <a:p>
      <a:pPr>
        <a:defRPr sz="1200" b="0">
          <a:latin typeface="Times New Roman" pitchFamily="18" charset="0"/>
          <a:cs typeface="Times New Roman" pitchFamily="18" charset="0"/>
        </a:defRPr>
      </a:pPr>
      <a:endParaRPr lang="en-US"/>
    </a:p>
  </c:txPr>
  <c:printSettings>
    <c:headerFooter/>
    <c:pageMargins b="0.75000000000000144" l="0.70000000000000062" r="0.70000000000000062" t="0.75000000000000144"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Logistic2014!$AE$11:$AE$76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Logistic2014!$AF$11:$AF$76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Logistic2014!$AE$11:$AE$76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Logistic2014!$AH$11:$AH$76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Logistic2014!$AE$11:$AE$76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Logistic2014!$AI$11:$AI$76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Logistic2014!$AE$11:$AE$76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Logistic2014!$AJ$11:$AJ$76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52767872"/>
        <c:axId val="152769664"/>
      </c:lineChart>
      <c:catAx>
        <c:axId val="152767872"/>
        <c:scaling>
          <c:orientation val="minMax"/>
        </c:scaling>
        <c:delete val="0"/>
        <c:axPos val="b"/>
        <c:majorTickMark val="out"/>
        <c:minorTickMark val="none"/>
        <c:tickLblPos val="nextTo"/>
        <c:crossAx val="152769664"/>
        <c:crosses val="autoZero"/>
        <c:auto val="1"/>
        <c:lblAlgn val="ctr"/>
        <c:lblOffset val="100"/>
        <c:noMultiLvlLbl val="0"/>
      </c:catAx>
      <c:valAx>
        <c:axId val="152769664"/>
        <c:scaling>
          <c:orientation val="minMax"/>
        </c:scaling>
        <c:delete val="0"/>
        <c:axPos val="l"/>
        <c:majorGridlines/>
        <c:numFmt formatCode="General" sourceLinked="1"/>
        <c:majorTickMark val="out"/>
        <c:minorTickMark val="none"/>
        <c:tickLblPos val="nextTo"/>
        <c:crossAx val="152767872"/>
        <c:crosses val="autoZero"/>
        <c:crossBetween val="between"/>
      </c:valAx>
    </c:plotArea>
    <c:legend>
      <c:legendPos val="r"/>
      <c:overlay val="0"/>
    </c:legend>
    <c:plotVisOnly val="1"/>
    <c:dispBlanksAs val="gap"/>
    <c:showDLblsOverMax val="0"/>
  </c:chart>
  <c:printSettings>
    <c:headerFooter/>
    <c:pageMargins b="0.75000000000000699" l="0.70000000000000062" r="0.70000000000000062" t="0.75000000000000699"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Logistic2014!$K$9:$K$107</c:f>
              <c:numCache>
                <c:formatCode>0.0</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xVal>
          <c:yVal>
            <c:numRef>
              <c:f>Logistic2014!$L$9:$L$107</c:f>
              <c:numCache>
                <c:formatCode>0.00%</c:formatCode>
                <c:ptCount val="99"/>
                <c:pt idx="0">
                  <c:v>2.3411176981798289E-4</c:v>
                </c:pt>
                <c:pt idx="1">
                  <c:v>2.8340826727151088E-4</c:v>
                </c:pt>
                <c:pt idx="2">
                  <c:v>3.4308147807959839E-4</c:v>
                </c:pt>
                <c:pt idx="3">
                  <c:v>4.1531400063546034E-4</c:v>
                </c:pt>
                <c:pt idx="4">
                  <c:v>5.0274674135478853E-4</c:v>
                </c:pt>
                <c:pt idx="5">
                  <c:v>6.0857479252525697E-4</c:v>
                </c:pt>
                <c:pt idx="6">
                  <c:v>7.3666320070702633E-4</c:v>
                </c:pt>
                <c:pt idx="7">
                  <c:v>8.9168667425910237E-4</c:v>
                </c:pt>
                <c:pt idx="8">
                  <c:v>1.0792980661665267E-3</c:v>
                </c:pt>
                <c:pt idx="9">
                  <c:v>1.3063313918701522E-3</c:v>
                </c:pt>
                <c:pt idx="10">
                  <c:v>1.5810462162153941E-3</c:v>
                </c:pt>
                <c:pt idx="11">
                  <c:v>1.9134214809037675E-3</c:v>
                </c:pt>
                <c:pt idx="12">
                  <c:v>2.3155082495920514E-3</c:v>
                </c:pt>
                <c:pt idx="13">
                  <c:v>2.801852416196298E-3</c:v>
                </c:pt>
                <c:pt idx="14">
                  <c:v>3.3900001278880923E-3</c:v>
                </c:pt>
                <c:pt idx="15">
                  <c:v>4.101100461714453E-3</c:v>
                </c:pt>
                <c:pt idx="16">
                  <c:v>4.960621659003208E-3</c:v>
                </c:pt>
                <c:pt idx="17">
                  <c:v>5.9991987892107617E-3</c:v>
                </c:pt>
                <c:pt idx="18">
                  <c:v>7.2536318036214055E-3</c:v>
                </c:pt>
                <c:pt idx="19">
                  <c:v>8.7680531167695416E-3</c:v>
                </c:pt>
                <c:pt idx="20">
                  <c:v>1.0595282474405681E-2</c:v>
                </c:pt>
                <c:pt idx="21">
                  <c:v>1.2798382995327439E-2</c:v>
                </c:pt>
                <c:pt idx="22">
                  <c:v>1.5452424589650317E-2</c:v>
                </c:pt>
                <c:pt idx="23">
                  <c:v>1.864644764878538E-2</c:v>
                </c:pt>
                <c:pt idx="24">
                  <c:v>2.2485598579313124E-2</c:v>
                </c:pt>
                <c:pt idx="25">
                  <c:v>2.7093376387433324E-2</c:v>
                </c:pt>
                <c:pt idx="26">
                  <c:v>3.2613882518552371E-2</c:v>
                </c:pt>
                <c:pt idx="27">
                  <c:v>3.9213900655283261E-2</c:v>
                </c:pt>
                <c:pt idx="28">
                  <c:v>4.7084545759597696E-2</c:v>
                </c:pt>
                <c:pt idx="29">
                  <c:v>5.6442110719466705E-2</c:v>
                </c:pt>
                <c:pt idx="30">
                  <c:v>6.7527607102486259E-2</c:v>
                </c:pt>
                <c:pt idx="31">
                  <c:v>8.060435401777398E-2</c:v>
                </c:pt>
                <c:pt idx="32">
                  <c:v>9.5952838664410234E-2</c:v>
                </c:pt>
                <c:pt idx="33">
                  <c:v>0.11386199412717302</c:v>
                </c:pt>
                <c:pt idx="34">
                  <c:v>0.13461607593232877</c:v>
                </c:pt>
                <c:pt idx="35">
                  <c:v>0.15847654981878281</c:v>
                </c:pt>
                <c:pt idx="36">
                  <c:v>0.18565891661671166</c:v>
                </c:pt>
                <c:pt idx="37">
                  <c:v>0.21630525971395512</c:v>
                </c:pt>
                <c:pt idx="38">
                  <c:v>0.25045449624933086</c:v>
                </c:pt>
                <c:pt idx="39">
                  <c:v>0.28801370069768495</c:v>
                </c:pt>
                <c:pt idx="40">
                  <c:v>0.32873512727698778</c:v>
                </c:pt>
                <c:pt idx="41">
                  <c:v>0.37220420551064748</c:v>
                </c:pt>
                <c:pt idx="42">
                  <c:v>0.41784330704514244</c:v>
                </c:pt>
                <c:pt idx="43">
                  <c:v>0.46493416339222882</c:v>
                </c:pt>
                <c:pt idx="44">
                  <c:v>0.51265858710560919</c:v>
                </c:pt>
                <c:pt idx="45">
                  <c:v>0.56015332200960266</c:v>
                </c:pt>
                <c:pt idx="46">
                  <c:v>0.60657155343516</c:v>
                </c:pt>
                <c:pt idx="47">
                  <c:v>0.65114196868570062</c:v>
                </c:pt>
                <c:pt idx="48">
                  <c:v>0.69321686759508971</c:v>
                </c:pt>
                <c:pt idx="49">
                  <c:v>0.73230345881884595</c:v>
                </c:pt>
                <c:pt idx="50">
                  <c:v>0.76807620704019175</c:v>
                </c:pt>
                <c:pt idx="51">
                  <c:v>0.80037172674720769</c:v>
                </c:pt>
                <c:pt idx="52">
                  <c:v>0.82917030340634412</c:v>
                </c:pt>
                <c:pt idx="53">
                  <c:v>0.85456925965431629</c:v>
                </c:pt>
                <c:pt idx="54">
                  <c:v>0.87675320628420728</c:v>
                </c:pt>
                <c:pt idx="55">
                  <c:v>0.89596518054214846</c:v>
                </c:pt>
                <c:pt idx="56">
                  <c:v>0.91248129649139764</c:v>
                </c:pt>
                <c:pt idx="57">
                  <c:v>0.92659021810226538</c:v>
                </c:pt>
                <c:pt idx="58">
                  <c:v>0.93857774011739092</c:v>
                </c:pt>
                <c:pt idx="59">
                  <c:v>0.94871609038627402</c:v>
                </c:pt>
                <c:pt idx="60">
                  <c:v>0.95725721401262687</c:v>
                </c:pt>
                <c:pt idx="61">
                  <c:v>0.9644291830100955</c:v>
                </c:pt>
                <c:pt idx="62">
                  <c:v>0.97043490859995651</c:v>
                </c:pt>
                <c:pt idx="63">
                  <c:v>0.97545244534588094</c:v>
                </c:pt>
                <c:pt idx="64">
                  <c:v>0.97963631693234787</c:v>
                </c:pt>
                <c:pt idx="65">
                  <c:v>0.98311943217332176</c:v>
                </c:pt>
                <c:pt idx="66">
                  <c:v>0.98601528129691507</c:v>
                </c:pt>
                <c:pt idx="67">
                  <c:v>0.98842020100800998</c:v>
                </c:pt>
                <c:pt idx="68">
                  <c:v>0.9904155722782505</c:v>
                </c:pt>
                <c:pt idx="69">
                  <c:v>0.99206987003396918</c:v>
                </c:pt>
                <c:pt idx="70">
                  <c:v>0.99344052268361127</c:v>
                </c:pt>
                <c:pt idx="71">
                  <c:v>0.9945755655248707</c:v>
                </c:pt>
                <c:pt idx="72">
                  <c:v>0.99551508881056627</c:v>
                </c:pt>
                <c:pt idx="73">
                  <c:v>0.99629249132097453</c:v>
                </c:pt>
                <c:pt idx="74">
                  <c:v>0.99693555576245541</c:v>
                </c:pt>
                <c:pt idx="75">
                  <c:v>0.99746736472518405</c:v>
                </c:pt>
                <c:pt idx="76">
                  <c:v>0.99790707639091525</c:v>
                </c:pt>
                <c:pt idx="77">
                  <c:v>0.99827057845609635</c:v>
                </c:pt>
                <c:pt idx="78">
                  <c:v>0.99857103735017461</c:v>
                </c:pt>
                <c:pt idx="79">
                  <c:v>0.99881935812927936</c:v>
                </c:pt>
                <c:pt idx="80">
                  <c:v>0.99902456863181976</c:v>
                </c:pt>
                <c:pt idx="81">
                  <c:v>0.99919413972886517</c:v>
                </c:pt>
                <c:pt idx="82">
                  <c:v>0.99933425186442948</c:v>
                </c:pt>
                <c:pt idx="83">
                  <c:v>0.99945001659688004</c:v>
                </c:pt>
                <c:pt idx="84">
                  <c:v>0.99954566053636251</c:v>
                </c:pt>
                <c:pt idx="85">
                  <c:v>0.99962467792336895</c:v>
                </c:pt>
                <c:pt idx="86">
                  <c:v>0.99968995710086572</c:v>
                </c:pt>
                <c:pt idx="87">
                  <c:v>0.99974388528285707</c:v>
                </c:pt>
                <c:pt idx="88">
                  <c:v>0.99978843530025419</c:v>
                </c:pt>
                <c:pt idx="89">
                  <c:v>0.99982523739464535</c:v>
                </c:pt>
                <c:pt idx="90">
                  <c:v>0.99985563861691718</c:v>
                </c:pt>
                <c:pt idx="91">
                  <c:v>0.99988075195691395</c:v>
                </c:pt>
                <c:pt idx="92">
                  <c:v>0.99990149697001118</c:v>
                </c:pt>
                <c:pt idx="93">
                  <c:v>0.99991863336583897</c:v>
                </c:pt>
                <c:pt idx="94">
                  <c:v>0.99993278877394409</c:v>
                </c:pt>
                <c:pt idx="95">
                  <c:v>0.99994448169290651</c:v>
                </c:pt>
                <c:pt idx="96">
                  <c:v>0.99995414045639597</c:v>
                </c:pt>
                <c:pt idx="97">
                  <c:v>0.99996211890607833</c:v>
                </c:pt>
                <c:pt idx="98">
                  <c:v>0.9999687093422216</c:v>
                </c:pt>
              </c:numCache>
            </c:numRef>
          </c:yVal>
          <c:smooth val="0"/>
        </c:ser>
        <c:ser>
          <c:idx val="1"/>
          <c:order val="1"/>
          <c:spPr>
            <a:ln w="28575">
              <a:noFill/>
            </a:ln>
          </c:spPr>
          <c:xVal>
            <c:numRef>
              <c:f>Logistic2014!$D$9:$D$13</c:f>
              <c:numCache>
                <c:formatCode>0.0</c:formatCode>
                <c:ptCount val="5"/>
                <c:pt idx="0">
                  <c:v>35</c:v>
                </c:pt>
                <c:pt idx="1">
                  <c:v>39</c:v>
                </c:pt>
                <c:pt idx="2">
                  <c:v>43</c:v>
                </c:pt>
                <c:pt idx="3">
                  <c:v>47</c:v>
                </c:pt>
                <c:pt idx="4">
                  <c:v>51</c:v>
                </c:pt>
              </c:numCache>
            </c:numRef>
          </c:xVal>
          <c:yVal>
            <c:numRef>
              <c:f>Logistic2014!$E$9:$E$13</c:f>
              <c:numCache>
                <c:formatCode>0.0%</c:formatCode>
                <c:ptCount val="5"/>
                <c:pt idx="0">
                  <c:v>0.17499999999999999</c:v>
                </c:pt>
                <c:pt idx="1">
                  <c:v>0.215</c:v>
                </c:pt>
                <c:pt idx="2">
                  <c:v>0.38200000000000001</c:v>
                </c:pt>
                <c:pt idx="3">
                  <c:v>0.64300000000000002</c:v>
                </c:pt>
                <c:pt idx="4">
                  <c:v>0.78</c:v>
                </c:pt>
              </c:numCache>
            </c:numRef>
          </c:yVal>
          <c:smooth val="0"/>
        </c:ser>
        <c:dLbls>
          <c:showLegendKey val="0"/>
          <c:showVal val="0"/>
          <c:showCatName val="0"/>
          <c:showSerName val="0"/>
          <c:showPercent val="0"/>
          <c:showBubbleSize val="0"/>
        </c:dLbls>
        <c:axId val="152806912"/>
        <c:axId val="152808448"/>
      </c:scatterChart>
      <c:valAx>
        <c:axId val="152806912"/>
        <c:scaling>
          <c:orientation val="minMax"/>
        </c:scaling>
        <c:delete val="0"/>
        <c:axPos val="b"/>
        <c:numFmt formatCode="0.0" sourceLinked="1"/>
        <c:majorTickMark val="out"/>
        <c:minorTickMark val="none"/>
        <c:tickLblPos val="nextTo"/>
        <c:crossAx val="152808448"/>
        <c:crosses val="autoZero"/>
        <c:crossBetween val="midCat"/>
      </c:valAx>
      <c:valAx>
        <c:axId val="152808448"/>
        <c:scaling>
          <c:orientation val="minMax"/>
        </c:scaling>
        <c:delete val="0"/>
        <c:axPos val="l"/>
        <c:majorGridlines/>
        <c:numFmt formatCode="0.00%" sourceLinked="1"/>
        <c:majorTickMark val="out"/>
        <c:minorTickMark val="none"/>
        <c:tickLblPos val="nextTo"/>
        <c:crossAx val="152806912"/>
        <c:crosses val="autoZero"/>
        <c:crossBetween val="midCat"/>
      </c:valAx>
    </c:plotArea>
    <c:legend>
      <c:legendPos val="r"/>
      <c:overlay val="0"/>
    </c:legend>
    <c:plotVisOnly val="1"/>
    <c:dispBlanksAs val="gap"/>
    <c:showDLblsOverMax val="0"/>
  </c:chart>
  <c:printSettings>
    <c:headerFooter/>
    <c:pageMargins b="0.75000000000000699" l="0.70000000000000062" r="0.70000000000000062" t="0.75000000000000699"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Estimated transition from Black Lake (Early Run) to Chignik Lake (Late Run) Stock Composition from Genetic Analysis</a:t>
            </a:r>
          </a:p>
          <a:p>
            <a:pPr>
              <a:defRPr/>
            </a:pPr>
            <a:r>
              <a:rPr lang="en-US" sz="1800" b="1" i="0" baseline="0"/>
              <a:t> and Logistic fit, 2010 to 2014.</a:t>
            </a:r>
          </a:p>
        </c:rich>
      </c:tx>
      <c:layout/>
      <c:overlay val="1"/>
    </c:title>
    <c:autoTitleDeleted val="0"/>
    <c:plotArea>
      <c:layout>
        <c:manualLayout>
          <c:layoutTarget val="inner"/>
          <c:xMode val="edge"/>
          <c:yMode val="edge"/>
          <c:x val="6.4473978099472556E-2"/>
          <c:y val="0.20471229327344717"/>
          <c:w val="0.77807905912306419"/>
          <c:h val="0.73718054729184079"/>
        </c:manualLayout>
      </c:layout>
      <c:scatterChart>
        <c:scatterStyle val="smoothMarker"/>
        <c:varyColors val="0"/>
        <c:ser>
          <c:idx val="5"/>
          <c:order val="0"/>
          <c:tx>
            <c:v>2014</c:v>
          </c:tx>
          <c:spPr>
            <a:ln>
              <a:solidFill>
                <a:schemeClr val="tx1"/>
              </a:solidFill>
            </a:ln>
          </c:spPr>
          <c:xVal>
            <c:numRef>
              <c:f>Logistic2014!$AE$12:$AE$76</c:f>
              <c:numCache>
                <c:formatCode>m/d/yyyy</c:formatCode>
                <c:ptCount val="65"/>
                <c:pt idx="0">
                  <c:v>37769.5</c:v>
                </c:pt>
                <c:pt idx="1">
                  <c:v>37770.5</c:v>
                </c:pt>
                <c:pt idx="2">
                  <c:v>37771.5</c:v>
                </c:pt>
                <c:pt idx="3">
                  <c:v>37772.5</c:v>
                </c:pt>
                <c:pt idx="4">
                  <c:v>37773.5</c:v>
                </c:pt>
                <c:pt idx="5">
                  <c:v>37774.5</c:v>
                </c:pt>
                <c:pt idx="6">
                  <c:v>37775.5</c:v>
                </c:pt>
                <c:pt idx="7">
                  <c:v>37776.5</c:v>
                </c:pt>
                <c:pt idx="8">
                  <c:v>37777.5</c:v>
                </c:pt>
                <c:pt idx="9">
                  <c:v>37778.5</c:v>
                </c:pt>
                <c:pt idx="10">
                  <c:v>37779.5</c:v>
                </c:pt>
                <c:pt idx="11">
                  <c:v>37780.5</c:v>
                </c:pt>
                <c:pt idx="12">
                  <c:v>37781.5</c:v>
                </c:pt>
                <c:pt idx="13">
                  <c:v>37782.5</c:v>
                </c:pt>
                <c:pt idx="14">
                  <c:v>37783.5</c:v>
                </c:pt>
                <c:pt idx="15">
                  <c:v>37784.5</c:v>
                </c:pt>
                <c:pt idx="16">
                  <c:v>37785.5</c:v>
                </c:pt>
                <c:pt idx="17">
                  <c:v>37786.5</c:v>
                </c:pt>
                <c:pt idx="18">
                  <c:v>37787.5</c:v>
                </c:pt>
                <c:pt idx="19">
                  <c:v>37788.5</c:v>
                </c:pt>
                <c:pt idx="20">
                  <c:v>37789.5</c:v>
                </c:pt>
                <c:pt idx="21">
                  <c:v>37790.5</c:v>
                </c:pt>
                <c:pt idx="22">
                  <c:v>37791.5</c:v>
                </c:pt>
                <c:pt idx="23">
                  <c:v>37792.5</c:v>
                </c:pt>
                <c:pt idx="24">
                  <c:v>37793.5</c:v>
                </c:pt>
                <c:pt idx="25">
                  <c:v>37794.5</c:v>
                </c:pt>
                <c:pt idx="26">
                  <c:v>37795.5</c:v>
                </c:pt>
                <c:pt idx="27">
                  <c:v>37796.5</c:v>
                </c:pt>
                <c:pt idx="28">
                  <c:v>37797.5</c:v>
                </c:pt>
                <c:pt idx="29">
                  <c:v>37798.5</c:v>
                </c:pt>
                <c:pt idx="30">
                  <c:v>37799.5</c:v>
                </c:pt>
                <c:pt idx="31">
                  <c:v>37800.5</c:v>
                </c:pt>
                <c:pt idx="32">
                  <c:v>37801.5</c:v>
                </c:pt>
                <c:pt idx="33">
                  <c:v>37802.5</c:v>
                </c:pt>
                <c:pt idx="34">
                  <c:v>37803.5</c:v>
                </c:pt>
                <c:pt idx="35">
                  <c:v>37804.5</c:v>
                </c:pt>
                <c:pt idx="36">
                  <c:v>37805.5</c:v>
                </c:pt>
                <c:pt idx="37">
                  <c:v>37806.5</c:v>
                </c:pt>
                <c:pt idx="38">
                  <c:v>37807.5</c:v>
                </c:pt>
                <c:pt idx="39">
                  <c:v>37808.5</c:v>
                </c:pt>
                <c:pt idx="40">
                  <c:v>37809.5</c:v>
                </c:pt>
                <c:pt idx="41">
                  <c:v>37810.5</c:v>
                </c:pt>
                <c:pt idx="42">
                  <c:v>37811.5</c:v>
                </c:pt>
                <c:pt idx="43">
                  <c:v>37812.5</c:v>
                </c:pt>
                <c:pt idx="44">
                  <c:v>37813.5</c:v>
                </c:pt>
                <c:pt idx="45">
                  <c:v>37814.5</c:v>
                </c:pt>
                <c:pt idx="46">
                  <c:v>37815.5</c:v>
                </c:pt>
                <c:pt idx="47">
                  <c:v>37816.5</c:v>
                </c:pt>
                <c:pt idx="48">
                  <c:v>37817.5</c:v>
                </c:pt>
                <c:pt idx="49">
                  <c:v>37818.5</c:v>
                </c:pt>
                <c:pt idx="50">
                  <c:v>37819.5</c:v>
                </c:pt>
                <c:pt idx="51">
                  <c:v>37820.5</c:v>
                </c:pt>
                <c:pt idx="52">
                  <c:v>37821.5</c:v>
                </c:pt>
                <c:pt idx="53">
                  <c:v>37822.5</c:v>
                </c:pt>
                <c:pt idx="54">
                  <c:v>37823.5</c:v>
                </c:pt>
                <c:pt idx="55">
                  <c:v>37824.5</c:v>
                </c:pt>
                <c:pt idx="56">
                  <c:v>37825.5</c:v>
                </c:pt>
                <c:pt idx="57">
                  <c:v>37826.5</c:v>
                </c:pt>
                <c:pt idx="58">
                  <c:v>37827.5</c:v>
                </c:pt>
                <c:pt idx="59">
                  <c:v>37828.5</c:v>
                </c:pt>
                <c:pt idx="60">
                  <c:v>37829.5</c:v>
                </c:pt>
                <c:pt idx="61">
                  <c:v>37830.5</c:v>
                </c:pt>
                <c:pt idx="62">
                  <c:v>37831.5</c:v>
                </c:pt>
                <c:pt idx="63">
                  <c:v>37832.5</c:v>
                </c:pt>
                <c:pt idx="64">
                  <c:v>37833.5</c:v>
                </c:pt>
              </c:numCache>
            </c:numRef>
          </c:xVal>
          <c:yVal>
            <c:numRef>
              <c:f>Logistic2014!$AK$12:$AK$76</c:f>
              <c:numCache>
                <c:formatCode>0.00%</c:formatCode>
                <c:ptCount val="65"/>
                <c:pt idx="0">
                  <c:v>4.1531400063546034E-4</c:v>
                </c:pt>
                <c:pt idx="1">
                  <c:v>5.0274674135478853E-4</c:v>
                </c:pt>
                <c:pt idx="2">
                  <c:v>6.0857479252525697E-4</c:v>
                </c:pt>
                <c:pt idx="3">
                  <c:v>7.3666320070702633E-4</c:v>
                </c:pt>
                <c:pt idx="4">
                  <c:v>8.9168667425910237E-4</c:v>
                </c:pt>
                <c:pt idx="5">
                  <c:v>1.0792980661665267E-3</c:v>
                </c:pt>
                <c:pt idx="6">
                  <c:v>1.3063313918701522E-3</c:v>
                </c:pt>
                <c:pt idx="7">
                  <c:v>1.5810462162153941E-3</c:v>
                </c:pt>
                <c:pt idx="8">
                  <c:v>1.9134214809037675E-3</c:v>
                </c:pt>
                <c:pt idx="9">
                  <c:v>2.3155082495920514E-3</c:v>
                </c:pt>
                <c:pt idx="10">
                  <c:v>2.801852416196298E-3</c:v>
                </c:pt>
                <c:pt idx="11">
                  <c:v>3.3900001278880923E-3</c:v>
                </c:pt>
                <c:pt idx="12">
                  <c:v>4.101100461714453E-3</c:v>
                </c:pt>
                <c:pt idx="13">
                  <c:v>4.960621659003208E-3</c:v>
                </c:pt>
                <c:pt idx="14">
                  <c:v>5.9991987892107617E-3</c:v>
                </c:pt>
                <c:pt idx="15">
                  <c:v>7.2536318036214055E-3</c:v>
                </c:pt>
                <c:pt idx="16">
                  <c:v>8.7680531167695416E-3</c:v>
                </c:pt>
                <c:pt idx="17">
                  <c:v>1.0595282474405681E-2</c:v>
                </c:pt>
                <c:pt idx="18">
                  <c:v>1.2798382995327439E-2</c:v>
                </c:pt>
                <c:pt idx="19">
                  <c:v>1.5452424589650317E-2</c:v>
                </c:pt>
                <c:pt idx="20">
                  <c:v>1.864644764878538E-2</c:v>
                </c:pt>
                <c:pt idx="21">
                  <c:v>2.2485598579313124E-2</c:v>
                </c:pt>
                <c:pt idx="22">
                  <c:v>2.7093376387433324E-2</c:v>
                </c:pt>
                <c:pt idx="23">
                  <c:v>3.2613882518552371E-2</c:v>
                </c:pt>
                <c:pt idx="24">
                  <c:v>3.9213900655283261E-2</c:v>
                </c:pt>
                <c:pt idx="25">
                  <c:v>4.7084545759597696E-2</c:v>
                </c:pt>
                <c:pt idx="26">
                  <c:v>5.6442110719466705E-2</c:v>
                </c:pt>
                <c:pt idx="27">
                  <c:v>6.7527607102486259E-2</c:v>
                </c:pt>
                <c:pt idx="28">
                  <c:v>8.060435401777398E-2</c:v>
                </c:pt>
                <c:pt idx="29">
                  <c:v>9.5952838664410234E-2</c:v>
                </c:pt>
                <c:pt idx="30">
                  <c:v>0.11386199412717302</c:v>
                </c:pt>
                <c:pt idx="31">
                  <c:v>0.13461607593232877</c:v>
                </c:pt>
                <c:pt idx="32">
                  <c:v>0.15847654981878281</c:v>
                </c:pt>
                <c:pt idx="33">
                  <c:v>0.18565891661671166</c:v>
                </c:pt>
                <c:pt idx="34">
                  <c:v>0.21630525971395512</c:v>
                </c:pt>
                <c:pt idx="35">
                  <c:v>0.25045449624933086</c:v>
                </c:pt>
                <c:pt idx="36">
                  <c:v>0.28801370069768495</c:v>
                </c:pt>
                <c:pt idx="37">
                  <c:v>0.32873512727698778</c:v>
                </c:pt>
                <c:pt idx="38">
                  <c:v>0.37220420551064748</c:v>
                </c:pt>
                <c:pt idx="39">
                  <c:v>0.41784330704514244</c:v>
                </c:pt>
                <c:pt idx="40">
                  <c:v>0.46493416339222882</c:v>
                </c:pt>
                <c:pt idx="41">
                  <c:v>0.51265858710560919</c:v>
                </c:pt>
                <c:pt idx="42">
                  <c:v>0.56015332200960266</c:v>
                </c:pt>
                <c:pt idx="43">
                  <c:v>0.60657155343516</c:v>
                </c:pt>
                <c:pt idx="44">
                  <c:v>0.65114196868570062</c:v>
                </c:pt>
                <c:pt idx="45">
                  <c:v>0.69321686759508971</c:v>
                </c:pt>
                <c:pt idx="46">
                  <c:v>0.73230345881884595</c:v>
                </c:pt>
                <c:pt idx="47">
                  <c:v>0.76807620704019175</c:v>
                </c:pt>
                <c:pt idx="48">
                  <c:v>0.80037172674720769</c:v>
                </c:pt>
                <c:pt idx="49">
                  <c:v>0.82917030340634412</c:v>
                </c:pt>
                <c:pt idx="50">
                  <c:v>0.85456925965431629</c:v>
                </c:pt>
                <c:pt idx="51">
                  <c:v>0.87675320628420728</c:v>
                </c:pt>
                <c:pt idx="52">
                  <c:v>0.89596518054214846</c:v>
                </c:pt>
                <c:pt idx="53">
                  <c:v>0.91248129649139764</c:v>
                </c:pt>
                <c:pt idx="54">
                  <c:v>0.92659021810226538</c:v>
                </c:pt>
                <c:pt idx="55">
                  <c:v>0.93857774011739092</c:v>
                </c:pt>
                <c:pt idx="56">
                  <c:v>0.94871609038627402</c:v>
                </c:pt>
                <c:pt idx="57">
                  <c:v>0.95725721401262687</c:v>
                </c:pt>
                <c:pt idx="58">
                  <c:v>0.9644291830100955</c:v>
                </c:pt>
                <c:pt idx="59">
                  <c:v>0.97043490859995651</c:v>
                </c:pt>
                <c:pt idx="60">
                  <c:v>0.97545244534588094</c:v>
                </c:pt>
                <c:pt idx="61">
                  <c:v>0.97963631693234787</c:v>
                </c:pt>
                <c:pt idx="62">
                  <c:v>0.98311943217332176</c:v>
                </c:pt>
                <c:pt idx="63">
                  <c:v>0.98601528129691507</c:v>
                </c:pt>
                <c:pt idx="64">
                  <c:v>0.98842020100800998</c:v>
                </c:pt>
              </c:numCache>
            </c:numRef>
          </c:yVal>
          <c:smooth val="1"/>
        </c:ser>
        <c:ser>
          <c:idx val="0"/>
          <c:order val="1"/>
          <c:spPr>
            <a:ln>
              <a:noFill/>
            </a:ln>
          </c:spPr>
          <c:xVal>
            <c:numRef>
              <c:f>Logistic2014!$B$9:$B$14</c:f>
              <c:numCache>
                <c:formatCode>m/d;@</c:formatCode>
                <c:ptCount val="6"/>
                <c:pt idx="0">
                  <c:v>37800.5</c:v>
                </c:pt>
                <c:pt idx="1">
                  <c:v>37804.5</c:v>
                </c:pt>
                <c:pt idx="2">
                  <c:v>37808.5</c:v>
                </c:pt>
                <c:pt idx="3">
                  <c:v>37812.5</c:v>
                </c:pt>
                <c:pt idx="4">
                  <c:v>37816.5</c:v>
                </c:pt>
                <c:pt idx="5">
                  <c:v>37820.5</c:v>
                </c:pt>
              </c:numCache>
            </c:numRef>
          </c:xVal>
          <c:yVal>
            <c:numRef>
              <c:f>Logistic2014!$E$9:$E$14</c:f>
              <c:numCache>
                <c:formatCode>0.0%</c:formatCode>
                <c:ptCount val="6"/>
                <c:pt idx="0">
                  <c:v>0.17499999999999999</c:v>
                </c:pt>
                <c:pt idx="1">
                  <c:v>0.215</c:v>
                </c:pt>
                <c:pt idx="2">
                  <c:v>0.38200000000000001</c:v>
                </c:pt>
                <c:pt idx="3">
                  <c:v>0.64300000000000002</c:v>
                </c:pt>
                <c:pt idx="4">
                  <c:v>0.78</c:v>
                </c:pt>
                <c:pt idx="5">
                  <c:v>0.85699999999999998</c:v>
                </c:pt>
              </c:numCache>
            </c:numRef>
          </c:yVal>
          <c:smooth val="1"/>
        </c:ser>
        <c:dLbls>
          <c:showLegendKey val="0"/>
          <c:showVal val="0"/>
          <c:showCatName val="0"/>
          <c:showSerName val="0"/>
          <c:showPercent val="0"/>
          <c:showBubbleSize val="0"/>
        </c:dLbls>
        <c:axId val="152829312"/>
        <c:axId val="153093248"/>
      </c:scatterChart>
      <c:valAx>
        <c:axId val="152829312"/>
        <c:scaling>
          <c:orientation val="minMax"/>
          <c:max val="37830"/>
          <c:min val="37790"/>
        </c:scaling>
        <c:delete val="0"/>
        <c:axPos val="b"/>
        <c:numFmt formatCode="m/d;@" sourceLinked="0"/>
        <c:majorTickMark val="out"/>
        <c:minorTickMark val="none"/>
        <c:tickLblPos val="nextTo"/>
        <c:crossAx val="153093248"/>
        <c:crosses val="autoZero"/>
        <c:crossBetween val="midCat"/>
      </c:valAx>
      <c:valAx>
        <c:axId val="153093248"/>
        <c:scaling>
          <c:orientation val="minMax"/>
          <c:max val="1"/>
          <c:min val="0"/>
        </c:scaling>
        <c:delete val="0"/>
        <c:axPos val="l"/>
        <c:majorGridlines/>
        <c:numFmt formatCode="0.00%" sourceLinked="1"/>
        <c:majorTickMark val="out"/>
        <c:minorTickMark val="none"/>
        <c:tickLblPos val="nextTo"/>
        <c:crossAx val="152829312"/>
        <c:crosses val="autoZero"/>
        <c:crossBetween val="midCat"/>
      </c:valAx>
    </c:plotArea>
    <c:legend>
      <c:legendPos val="r"/>
      <c:layout/>
      <c:overlay val="0"/>
    </c:legend>
    <c:plotVisOnly val="1"/>
    <c:dispBlanksAs val="gap"/>
    <c:showDLblsOverMax val="0"/>
  </c:chart>
  <c:printSettings>
    <c:headerFooter/>
    <c:pageMargins b="0.75000000000000822" l="0.70000000000000062" r="0.70000000000000062" t="0.75000000000000822"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Logistic2013!$AA$11:$AA$76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Logistic2013!$AB$11:$AB$76</c:f>
              <c:numCache>
                <c:formatCode>0.0%</c:formatCode>
                <c:ptCount val="66"/>
                <c:pt idx="0" formatCode="General">
                  <c:v>2010</c:v>
                </c:pt>
                <c:pt idx="1">
                  <c:v>1.3958317686261709E-4</c:v>
                </c:pt>
                <c:pt idx="2">
                  <c:v>1.7045928901654236E-4</c:v>
                </c:pt>
                <c:pt idx="3">
                  <c:v>2.0816384458125417E-4</c:v>
                </c:pt>
                <c:pt idx="4">
                  <c:v>2.542062975332477E-4</c:v>
                </c:pt>
                <c:pt idx="5">
                  <c:v>3.1042942936064727E-4</c:v>
                </c:pt>
                <c:pt idx="6">
                  <c:v>3.7908278806435145E-4</c:v>
                </c:pt>
                <c:pt idx="7">
                  <c:v>4.6291222449000769E-4</c:v>
                </c:pt>
                <c:pt idx="8">
                  <c:v>5.6526901369757224E-4</c:v>
                </c:pt>
                <c:pt idx="9">
                  <c:v>6.9024278465830858E-4</c:v>
                </c:pt>
                <c:pt idx="10">
                  <c:v>8.428233623178356E-4</c:v>
                </c:pt>
                <c:pt idx="11">
                  <c:v>1.0290976755680944E-3</c:v>
                </c:pt>
                <c:pt idx="12">
                  <c:v>1.2564891276397731E-3</c:v>
                </c:pt>
                <c:pt idx="13">
                  <c:v>1.5340482859932569E-3</c:v>
                </c:pt>
                <c:pt idx="14">
                  <c:v>1.8728054475450151E-3</c:v>
                </c:pt>
                <c:pt idx="15">
                  <c:v>2.2861975841660187E-3</c:v>
                </c:pt>
                <c:pt idx="16">
                  <c:v>2.7905843687065831E-3</c:v>
                </c:pt>
                <c:pt idx="17">
                  <c:v>3.4058703908046778E-3</c:v>
                </c:pt>
                <c:pt idx="18">
                  <c:v>4.156253215078223E-3</c:v>
                </c:pt>
                <c:pt idx="19">
                  <c:v>5.0711194585093189E-3</c:v>
                </c:pt>
                <c:pt idx="20">
                  <c:v>6.18611330154804E-3</c:v>
                </c:pt>
                <c:pt idx="21">
                  <c:v>7.5444033609171311E-3</c:v>
                </c:pt>
                <c:pt idx="22">
                  <c:v>9.1981739546595914E-3</c:v>
                </c:pt>
                <c:pt idx="23">
                  <c:v>1.1210364440860094E-2</c:v>
                </c:pt>
                <c:pt idx="24">
                  <c:v>1.3656673980419356E-2</c:v>
                </c:pt>
                <c:pt idx="25">
                  <c:v>1.6627836578475143E-2</c:v>
                </c:pt>
                <c:pt idx="26">
                  <c:v>2.0232149587218227E-2</c:v>
                </c:pt>
                <c:pt idx="27">
                  <c:v>2.4598204014952465E-2</c:v>
                </c:pt>
                <c:pt idx="28">
                  <c:v>2.9877711971165448E-2</c:v>
                </c:pt>
                <c:pt idx="29">
                  <c:v>3.624824956962025E-2</c:v>
                </c:pt>
                <c:pt idx="30">
                  <c:v>4.3915626721520266E-2</c:v>
                </c:pt>
                <c:pt idx="31">
                  <c:v>5.3115454143665003E-2</c:v>
                </c:pt>
                <c:pt idx="32">
                  <c:v>6.4113302836932173E-2</c:v>
                </c:pt>
                <c:pt idx="33">
                  <c:v>7.72026520734653E-2</c:v>
                </c:pt>
                <c:pt idx="34">
                  <c:v>9.2699625095272714E-2</c:v>
                </c:pt>
                <c:pt idx="35">
                  <c:v>0.11093336918210217</c:v>
                </c:pt>
                <c:pt idx="36">
                  <c:v>0.13223093333791724</c:v>
                </c:pt>
                <c:pt idx="37">
                  <c:v>0.15689575096130998</c:v>
                </c:pt>
                <c:pt idx="38">
                  <c:v>0.1851794824455581</c:v>
                </c:pt>
                <c:pt idx="39">
                  <c:v>0.21724812306999194</c:v>
                </c:pt>
                <c:pt idx="40">
                  <c:v>0.25314493902860469</c:v>
                </c:pt>
                <c:pt idx="41">
                  <c:v>0.29275475741502793</c:v>
                </c:pt>
                <c:pt idx="42">
                  <c:v>0.33577592018640684</c:v>
                </c:pt>
                <c:pt idx="43">
                  <c:v>0.3817070776941604</c:v>
                </c:pt>
                <c:pt idx="44">
                  <c:v>0.42985515834963317</c:v>
                </c:pt>
                <c:pt idx="45">
                  <c:v>0.47936786629286093</c:v>
                </c:pt>
                <c:pt idx="46">
                  <c:v>0.52928924873066352</c:v>
                </c:pt>
                <c:pt idx="47">
                  <c:v>0.57863147408369076</c:v>
                </c:pt>
                <c:pt idx="48">
                  <c:v>0.62645177427350185</c:v>
                </c:pt>
                <c:pt idx="49">
                  <c:v>0.6719221112063114</c:v>
                </c:pt>
                <c:pt idx="50">
                  <c:v>0.71438108258813315</c:v>
                </c:pt>
                <c:pt idx="51">
                  <c:v>0.75336211213144844</c:v>
                </c:pt>
                <c:pt idx="52">
                  <c:v>0.78859738904460508</c:v>
                </c:pt>
                <c:pt idx="53">
                  <c:v>0.82000157910537541</c:v>
                </c:pt>
                <c:pt idx="54">
                  <c:v>0.84764193896050799</c:v>
                </c:pt>
                <c:pt idx="55">
                  <c:v>0.8717019610426997</c:v>
                </c:pt>
                <c:pt idx="56">
                  <c:v>0.89244459206165738</c:v>
                </c:pt>
                <c:pt idx="57">
                  <c:v>0.91017920532930874</c:v>
                </c:pt>
                <c:pt idx="58">
                  <c:v>0.92523457092805417</c:v>
                </c:pt>
                <c:pt idx="59">
                  <c:v>0.93793849093008874</c:v>
                </c:pt>
                <c:pt idx="60">
                  <c:v>0.94860370829645768</c:v>
                </c:pt>
                <c:pt idx="61">
                  <c:v>0.95751912825764318</c:v>
                </c:pt>
                <c:pt idx="62">
                  <c:v>0.96494519123476252</c:v>
                </c:pt>
                <c:pt idx="63">
                  <c:v>0.97111227157250635</c:v>
                </c:pt>
                <c:pt idx="64">
                  <c:v>0.97622113342645345</c:v>
                </c:pt>
                <c:pt idx="65">
                  <c:v>0.98044467529540402</c:v>
                </c:pt>
              </c:numCache>
            </c:numRef>
          </c:val>
          <c:smooth val="0"/>
        </c:ser>
        <c:ser>
          <c:idx val="1"/>
          <c:order val="1"/>
          <c:marker>
            <c:symbol val="none"/>
          </c:marker>
          <c:cat>
            <c:strRef>
              <c:f>Logistic2013!$AA$11:$AA$76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Logistic2013!$AD$11:$AD$76</c:f>
              <c:numCache>
                <c:formatCode>0.0%</c:formatCode>
                <c:ptCount val="66"/>
                <c:pt idx="0" formatCode="General">
                  <c:v>2011</c:v>
                </c:pt>
                <c:pt idx="1">
                  <c:v>1.3958317686261709E-4</c:v>
                </c:pt>
                <c:pt idx="2">
                  <c:v>1.7045928901654236E-4</c:v>
                </c:pt>
                <c:pt idx="3">
                  <c:v>2.0816384458125417E-4</c:v>
                </c:pt>
                <c:pt idx="4">
                  <c:v>3.5888786587624556E-5</c:v>
                </c:pt>
                <c:pt idx="5">
                  <c:v>4.6160789501698919E-5</c:v>
                </c:pt>
                <c:pt idx="6">
                  <c:v>5.9372646030949961E-5</c:v>
                </c:pt>
                <c:pt idx="7">
                  <c:v>7.6365629883993208E-5</c:v>
                </c:pt>
                <c:pt idx="8">
                  <c:v>9.8221680405067934E-5</c:v>
                </c:pt>
                <c:pt idx="9">
                  <c:v>1.2633220159905076E-4</c:v>
                </c:pt>
                <c:pt idx="10">
                  <c:v>1.624864967222617E-4</c:v>
                </c:pt>
                <c:pt idx="11">
                  <c:v>2.0898542158394941E-4</c:v>
                </c:pt>
                <c:pt idx="12">
                  <c:v>2.6878741349269233E-4</c:v>
                </c:pt>
                <c:pt idx="13">
                  <c:v>3.4569606119318159E-4</c:v>
                </c:pt>
                <c:pt idx="14">
                  <c:v>4.4460093825327419E-4</c:v>
                </c:pt>
                <c:pt idx="15">
                  <c:v>5.7178666821399956E-4</c:v>
                </c:pt>
                <c:pt idx="16">
                  <c:v>7.3532929350053459E-4</c:v>
                </c:pt>
                <c:pt idx="17">
                  <c:v>9.4560418099634688E-4</c:v>
                </c:pt>
                <c:pt idx="18">
                  <c:v>1.2159361420781157E-3</c:v>
                </c:pt>
                <c:pt idx="19">
                  <c:v>1.5634304169464023E-3</c:v>
                </c:pt>
                <c:pt idx="20">
                  <c:v>2.0100329059479318E-3</c:v>
                </c:pt>
                <c:pt idx="21">
                  <c:v>2.5838796966125908E-3</c:v>
                </c:pt>
                <c:pt idx="22">
                  <c:v>3.3210095492913049E-3</c:v>
                </c:pt>
                <c:pt idx="23">
                  <c:v>4.2675282552662704E-3</c:v>
                </c:pt>
                <c:pt idx="24">
                  <c:v>5.4823297455268887E-3</c:v>
                </c:pt>
                <c:pt idx="25">
                  <c:v>7.0404935024234346E-3</c:v>
                </c:pt>
                <c:pt idx="26">
                  <c:v>9.0374873855469922E-3</c:v>
                </c:pt>
                <c:pt idx="27">
                  <c:v>1.1594302653630432E-2</c:v>
                </c:pt>
                <c:pt idx="28">
                  <c:v>1.4863622388293144E-2</c:v>
                </c:pt>
                <c:pt idx="29">
                  <c:v>1.9037057560494706E-2</c:v>
                </c:pt>
                <c:pt idx="30">
                  <c:v>2.4353349085554369E-2</c:v>
                </c:pt>
                <c:pt idx="31">
                  <c:v>3.1107190112750017E-2</c:v>
                </c:pt>
                <c:pt idx="32">
                  <c:v>3.9657919254324193E-2</c:v>
                </c:pt>
                <c:pt idx="33">
                  <c:v>5.0436715072649276E-2</c:v>
                </c:pt>
                <c:pt idx="34">
                  <c:v>6.3950040299436198E-2</c:v>
                </c:pt>
                <c:pt idx="35">
                  <c:v>8.0775952050874497E-2</c:v>
                </c:pt>
                <c:pt idx="36">
                  <c:v>0.10154865709169383</c:v>
                </c:pt>
                <c:pt idx="37">
                  <c:v>0.12692574439278323</c:v>
                </c:pt>
                <c:pt idx="38">
                  <c:v>0.15753263507351994</c:v>
                </c:pt>
                <c:pt idx="39">
                  <c:v>0.19388109788722835</c:v>
                </c:pt>
                <c:pt idx="40">
                  <c:v>0.2362644112915534</c:v>
                </c:pt>
                <c:pt idx="41">
                  <c:v>0.28464136726106892</c:v>
                </c:pt>
                <c:pt idx="42">
                  <c:v>0.33853314511451504</c:v>
                </c:pt>
                <c:pt idx="43">
                  <c:v>0.39696628169175319</c:v>
                </c:pt>
                <c:pt idx="44">
                  <c:v>0.45849431667616858</c:v>
                </c:pt>
                <c:pt idx="45">
                  <c:v>0.52131468367366807</c:v>
                </c:pt>
                <c:pt idx="46">
                  <c:v>0.58346805352827824</c:v>
                </c:pt>
                <c:pt idx="47">
                  <c:v>0.64307659747584256</c:v>
                </c:pt>
                <c:pt idx="48">
                  <c:v>0.69856182420049406</c:v>
                </c:pt>
                <c:pt idx="49">
                  <c:v>0.74879103833236005</c:v>
                </c:pt>
                <c:pt idx="50">
                  <c:v>0.79312907861690396</c:v>
                </c:pt>
                <c:pt idx="51">
                  <c:v>0.83140351438424964</c:v>
                </c:pt>
                <c:pt idx="52">
                  <c:v>0.86381250435994517</c:v>
                </c:pt>
                <c:pt idx="53">
                  <c:v>0.89080976473363638</c:v>
                </c:pt>
                <c:pt idx="54">
                  <c:v>0.91299424895614467</c:v>
                </c:pt>
                <c:pt idx="55">
                  <c:v>0.93102046958550611</c:v>
                </c:pt>
                <c:pt idx="56">
                  <c:v>0.94553474019587147</c:v>
                </c:pt>
                <c:pt idx="57">
                  <c:v>0.95713560982756274</c:v>
                </c:pt>
                <c:pt idx="58">
                  <c:v>0.96635347078003297</c:v>
                </c:pt>
                <c:pt idx="59">
                  <c:v>0.97364364314605079</c:v>
                </c:pt>
                <c:pt idx="60">
                  <c:v>0.97938794995342149</c:v>
                </c:pt>
                <c:pt idx="61">
                  <c:v>0.98390099930162234</c:v>
                </c:pt>
                <c:pt idx="62">
                  <c:v>0.98743858120527517</c:v>
                </c:pt>
                <c:pt idx="63">
                  <c:v>0.9902065550659539</c:v>
                </c:pt>
                <c:pt idx="64">
                  <c:v>0.99236930496689024</c:v>
                </c:pt>
                <c:pt idx="65">
                  <c:v>0.99405730717928753</c:v>
                </c:pt>
              </c:numCache>
            </c:numRef>
          </c:val>
          <c:smooth val="0"/>
        </c:ser>
        <c:ser>
          <c:idx val="2"/>
          <c:order val="2"/>
          <c:marker>
            <c:symbol val="none"/>
          </c:marker>
          <c:cat>
            <c:strRef>
              <c:f>Logistic2013!$AA$11:$AA$76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Logistic2013!$AE$11:$AE$76</c:f>
              <c:numCache>
                <c:formatCode>0.0%</c:formatCode>
                <c:ptCount val="66"/>
                <c:pt idx="0" formatCode="General">
                  <c:v>2012</c:v>
                </c:pt>
                <c:pt idx="1">
                  <c:v>1.3958317686261709E-4</c:v>
                </c:pt>
                <c:pt idx="2">
                  <c:v>1.7045928901654236E-4</c:v>
                </c:pt>
                <c:pt idx="3">
                  <c:v>0</c:v>
                </c:pt>
                <c:pt idx="4">
                  <c:v>6.2104077545281245E-5</c:v>
                </c:pt>
                <c:pt idx="5">
                  <c:v>8.271689671114933E-5</c:v>
                </c:pt>
                <c:pt idx="6">
                  <c:v>1.1017051470513796E-4</c:v>
                </c:pt>
                <c:pt idx="7">
                  <c:v>1.4673461154601208E-4</c:v>
                </c:pt>
                <c:pt idx="8">
                  <c:v>1.9543146345089269E-4</c:v>
                </c:pt>
                <c:pt idx="9">
                  <c:v>2.6028514457293443E-4</c:v>
                </c:pt>
                <c:pt idx="10">
                  <c:v>3.4665297481631412E-4</c:v>
                </c:pt>
                <c:pt idx="11">
                  <c:v>4.6166614885428784E-4</c:v>
                </c:pt>
                <c:pt idx="12">
                  <c:v>6.1481514040778599E-4</c:v>
                </c:pt>
                <c:pt idx="13">
                  <c:v>8.1872679212602632E-4</c:v>
                </c:pt>
                <c:pt idx="14">
                  <c:v>1.0901946909765959E-3</c:v>
                </c:pt>
                <c:pt idx="15">
                  <c:v>1.4515433191966043E-3</c:v>
                </c:pt>
                <c:pt idx="16">
                  <c:v>1.9324304426046567E-3</c:v>
                </c:pt>
                <c:pt idx="17">
                  <c:v>2.5722220404043386E-3</c:v>
                </c:pt>
                <c:pt idx="18">
                  <c:v>3.4231101794941045E-3</c:v>
                </c:pt>
                <c:pt idx="19">
                  <c:v>4.5541859663405402E-3</c:v>
                </c:pt>
                <c:pt idx="20">
                  <c:v>6.0567243090960737E-3</c:v>
                </c:pt>
                <c:pt idx="21">
                  <c:v>8.0509778061675936E-3</c:v>
                </c:pt>
                <c:pt idx="22">
                  <c:v>1.0694799271914295E-2</c:v>
                </c:pt>
                <c:pt idx="23">
                  <c:v>1.4194388945639416E-2</c:v>
                </c:pt>
                <c:pt idx="24">
                  <c:v>1.8817345014281332E-2</c:v>
                </c:pt>
                <c:pt idx="25">
                  <c:v>2.4907904460513997E-2</c:v>
                </c:pt>
                <c:pt idx="26">
                  <c:v>3.2903671432563369E-2</c:v>
                </c:pt>
                <c:pt idx="27">
                  <c:v>4.3352069231991391E-2</c:v>
                </c:pt>
                <c:pt idx="28">
                  <c:v>5.6923017026269736E-2</c:v>
                </c:pt>
                <c:pt idx="29">
                  <c:v>7.4411773683001156E-2</c:v>
                </c:pt>
                <c:pt idx="30">
                  <c:v>9.6722617460862401E-2</c:v>
                </c:pt>
                <c:pt idx="31">
                  <c:v>0.12482080008468176</c:v>
                </c:pt>
                <c:pt idx="32">
                  <c:v>0.15963897994445775</c:v>
                </c:pt>
                <c:pt idx="33">
                  <c:v>0.20192861027500136</c:v>
                </c:pt>
                <c:pt idx="34">
                  <c:v>0.25206087357123486</c:v>
                </c:pt>
                <c:pt idx="35">
                  <c:v>0.30980777704027063</c:v>
                </c:pt>
                <c:pt idx="36">
                  <c:v>0.37416608438208854</c:v>
                </c:pt>
                <c:pt idx="37">
                  <c:v>0.44330675299696459</c:v>
                </c:pt>
                <c:pt idx="38">
                  <c:v>0.51471586655781365</c:v>
                </c:pt>
                <c:pt idx="39">
                  <c:v>0.58552915257129856</c:v>
                </c:pt>
                <c:pt idx="40">
                  <c:v>0.65297594566306583</c:v>
                </c:pt>
                <c:pt idx="41">
                  <c:v>0.71479326435445212</c:v>
                </c:pt>
                <c:pt idx="42">
                  <c:v>0.76948613379160047</c:v>
                </c:pt>
                <c:pt idx="43">
                  <c:v>0.81638498403003179</c:v>
                </c:pt>
                <c:pt idx="44">
                  <c:v>0.85553350414652685</c:v>
                </c:pt>
                <c:pt idx="45">
                  <c:v>0.88748554172196392</c:v>
                </c:pt>
                <c:pt idx="46">
                  <c:v>0.91308857223820117</c:v>
                </c:pt>
                <c:pt idx="47">
                  <c:v>0.93330339143718788</c:v>
                </c:pt>
                <c:pt idx="48">
                  <c:v>0.94907863528681002</c:v>
                </c:pt>
                <c:pt idx="49">
                  <c:v>0.96127748661561918</c:v>
                </c:pt>
                <c:pt idx="50">
                  <c:v>0.97064434164342128</c:v>
                </c:pt>
                <c:pt idx="51">
                  <c:v>0.97779771637475388</c:v>
                </c:pt>
                <c:pt idx="52">
                  <c:v>0.98323806162233796</c:v>
                </c:pt>
                <c:pt idx="53">
                  <c:v>0.98736255895680802</c:v>
                </c:pt>
                <c:pt idx="54">
                  <c:v>0.99048199337810516</c:v>
                </c:pt>
                <c:pt idx="55">
                  <c:v>0.99283701063466723</c:v>
                </c:pt>
                <c:pt idx="56">
                  <c:v>0.99461250113431077</c:v>
                </c:pt>
                <c:pt idx="57">
                  <c:v>0.99594969608518535</c:v>
                </c:pt>
                <c:pt idx="58">
                  <c:v>0.99695601060889649</c:v>
                </c:pt>
                <c:pt idx="59">
                  <c:v>0.99771287634461936</c:v>
                </c:pt>
                <c:pt idx="60">
                  <c:v>0.99828187726084372</c:v>
                </c:pt>
                <c:pt idx="61">
                  <c:v>0.99870950266811021</c:v>
                </c:pt>
                <c:pt idx="62">
                  <c:v>0.99903079926177196</c:v>
                </c:pt>
                <c:pt idx="63">
                  <c:v>0.99927216057350388</c:v>
                </c:pt>
                <c:pt idx="64">
                  <c:v>0.99945344824920912</c:v>
                </c:pt>
                <c:pt idx="65">
                  <c:v>0.99958959997534225</c:v>
                </c:pt>
              </c:numCache>
            </c:numRef>
          </c:val>
          <c:smooth val="0"/>
        </c:ser>
        <c:ser>
          <c:idx val="3"/>
          <c:order val="3"/>
          <c:marker>
            <c:symbol val="none"/>
          </c:marker>
          <c:cat>
            <c:strRef>
              <c:f>Logistic2013!$AA$11:$AA$76</c:f>
              <c:strCache>
                <c:ptCount val="66"/>
                <c:pt idx="0">
                  <c:v>Date</c:v>
                </c:pt>
                <c:pt idx="1">
                  <c:v>5/28/2003</c:v>
                </c:pt>
                <c:pt idx="2">
                  <c:v>5/29/2003</c:v>
                </c:pt>
                <c:pt idx="3">
                  <c:v>5/30/2003</c:v>
                </c:pt>
                <c:pt idx="4">
                  <c:v>5/31/2003</c:v>
                </c:pt>
                <c:pt idx="5">
                  <c:v>6/1/2003</c:v>
                </c:pt>
                <c:pt idx="6">
                  <c:v>6/2/2003</c:v>
                </c:pt>
                <c:pt idx="7">
                  <c:v>6/3/2003</c:v>
                </c:pt>
                <c:pt idx="8">
                  <c:v>6/4/2003</c:v>
                </c:pt>
                <c:pt idx="9">
                  <c:v>6/5/2003</c:v>
                </c:pt>
                <c:pt idx="10">
                  <c:v>6/6/2003</c:v>
                </c:pt>
                <c:pt idx="11">
                  <c:v>6/7/2003</c:v>
                </c:pt>
                <c:pt idx="12">
                  <c:v>6/8/2003</c:v>
                </c:pt>
                <c:pt idx="13">
                  <c:v>6/9/2003</c:v>
                </c:pt>
                <c:pt idx="14">
                  <c:v>6/10/2003</c:v>
                </c:pt>
                <c:pt idx="15">
                  <c:v>6/11/2003</c:v>
                </c:pt>
                <c:pt idx="16">
                  <c:v>6/12/2003</c:v>
                </c:pt>
                <c:pt idx="17">
                  <c:v>6/13/2003</c:v>
                </c:pt>
                <c:pt idx="18">
                  <c:v>6/14/2003</c:v>
                </c:pt>
                <c:pt idx="19">
                  <c:v>6/15/2003</c:v>
                </c:pt>
                <c:pt idx="20">
                  <c:v>6/16/2003</c:v>
                </c:pt>
                <c:pt idx="21">
                  <c:v>6/17/2003</c:v>
                </c:pt>
                <c:pt idx="22">
                  <c:v>6/18/2003</c:v>
                </c:pt>
                <c:pt idx="23">
                  <c:v>6/19/2003</c:v>
                </c:pt>
                <c:pt idx="24">
                  <c:v>6/20/2003</c:v>
                </c:pt>
                <c:pt idx="25">
                  <c:v>6/21/2003</c:v>
                </c:pt>
                <c:pt idx="26">
                  <c:v>6/22/2003</c:v>
                </c:pt>
                <c:pt idx="27">
                  <c:v>6/23/2003</c:v>
                </c:pt>
                <c:pt idx="28">
                  <c:v>6/24/2003</c:v>
                </c:pt>
                <c:pt idx="29">
                  <c:v>6/25/2003</c:v>
                </c:pt>
                <c:pt idx="30">
                  <c:v>6/26/2003</c:v>
                </c:pt>
                <c:pt idx="31">
                  <c:v>6/27/2003</c:v>
                </c:pt>
                <c:pt idx="32">
                  <c:v>6/28/2003</c:v>
                </c:pt>
                <c:pt idx="33">
                  <c:v>6/29/2003</c:v>
                </c:pt>
                <c:pt idx="34">
                  <c:v>6/30/2003</c:v>
                </c:pt>
                <c:pt idx="35">
                  <c:v>7/1/2003</c:v>
                </c:pt>
                <c:pt idx="36">
                  <c:v>7/2/2003</c:v>
                </c:pt>
                <c:pt idx="37">
                  <c:v>7/3/2003</c:v>
                </c:pt>
                <c:pt idx="38">
                  <c:v>7/4/2003</c:v>
                </c:pt>
                <c:pt idx="39">
                  <c:v>7/5/2003</c:v>
                </c:pt>
                <c:pt idx="40">
                  <c:v>7/6/2003</c:v>
                </c:pt>
                <c:pt idx="41">
                  <c:v>7/7/2003</c:v>
                </c:pt>
                <c:pt idx="42">
                  <c:v>7/8/2003</c:v>
                </c:pt>
                <c:pt idx="43">
                  <c:v>7/9/2003</c:v>
                </c:pt>
                <c:pt idx="44">
                  <c:v>7/10/2003</c:v>
                </c:pt>
                <c:pt idx="45">
                  <c:v>7/11/2003</c:v>
                </c:pt>
                <c:pt idx="46">
                  <c:v>7/12/2003</c:v>
                </c:pt>
                <c:pt idx="47">
                  <c:v>7/13/2003</c:v>
                </c:pt>
                <c:pt idx="48">
                  <c:v>7/14/2003</c:v>
                </c:pt>
                <c:pt idx="49">
                  <c:v>7/15/2003</c:v>
                </c:pt>
                <c:pt idx="50">
                  <c:v>7/16/2003</c:v>
                </c:pt>
                <c:pt idx="51">
                  <c:v>7/17/2003</c:v>
                </c:pt>
                <c:pt idx="52">
                  <c:v>7/18/2003</c:v>
                </c:pt>
                <c:pt idx="53">
                  <c:v>7/19/2003</c:v>
                </c:pt>
                <c:pt idx="54">
                  <c:v>7/20/2003</c:v>
                </c:pt>
                <c:pt idx="55">
                  <c:v>7/21/2003</c:v>
                </c:pt>
                <c:pt idx="56">
                  <c:v>7/22/2003</c:v>
                </c:pt>
                <c:pt idx="57">
                  <c:v>7/23/2003</c:v>
                </c:pt>
                <c:pt idx="58">
                  <c:v>7/24/2003</c:v>
                </c:pt>
                <c:pt idx="59">
                  <c:v>7/25/2003</c:v>
                </c:pt>
                <c:pt idx="60">
                  <c:v>7/26/2003</c:v>
                </c:pt>
                <c:pt idx="61">
                  <c:v>7/27/2003</c:v>
                </c:pt>
                <c:pt idx="62">
                  <c:v>7/28/2003</c:v>
                </c:pt>
                <c:pt idx="63">
                  <c:v>7/29/2003</c:v>
                </c:pt>
                <c:pt idx="64">
                  <c:v>7/30/2003</c:v>
                </c:pt>
                <c:pt idx="65">
                  <c:v>7/31/2003</c:v>
                </c:pt>
              </c:strCache>
            </c:strRef>
          </c:cat>
          <c:val>
            <c:numRef>
              <c:f>Logistic2013!$AF$11:$AF$76</c:f>
              <c:numCache>
                <c:formatCode>0.0%</c:formatCode>
                <c:ptCount val="66"/>
                <c:pt idx="0" formatCode="General">
                  <c:v>2013</c:v>
                </c:pt>
                <c:pt idx="1">
                  <c:v>2.9882028383729665E-4</c:v>
                </c:pt>
                <c:pt idx="2">
                  <c:v>3.6412299007382412E-4</c:v>
                </c:pt>
                <c:pt idx="3">
                  <c:v>4.436902928409236E-4</c:v>
                </c:pt>
                <c:pt idx="4">
                  <c:v>5.4063505283763783E-4</c:v>
                </c:pt>
                <c:pt idx="5">
                  <c:v>6.5874794022489089E-4</c:v>
                </c:pt>
                <c:pt idx="6">
                  <c:v>8.0264430321866907E-4</c:v>
                </c:pt>
                <c:pt idx="7">
                  <c:v>9.7794251088522961E-4</c:v>
                </c:pt>
                <c:pt idx="8">
                  <c:v>1.19148034540422E-3</c:v>
                </c:pt>
                <c:pt idx="9">
                  <c:v>1.4515773097888444E-3</c:v>
                </c:pt>
                <c:pt idx="10">
                  <c:v>1.7683522199292421E-3</c:v>
                </c:pt>
                <c:pt idx="11">
                  <c:v>2.1541071781976768E-3</c:v>
                </c:pt>
                <c:pt idx="12">
                  <c:v>2.6237909806921655E-3</c:v>
                </c:pt>
                <c:pt idx="13">
                  <c:v>3.1955571705628975E-3</c:v>
                </c:pt>
                <c:pt idx="14">
                  <c:v>3.8914342584479623E-3</c:v>
                </c:pt>
                <c:pt idx="15">
                  <c:v>4.7381279726284222E-3</c:v>
                </c:pt>
                <c:pt idx="16">
                  <c:v>5.7679775716238009E-3</c:v>
                </c:pt>
                <c:pt idx="17">
                  <c:v>7.0200899120878707E-3</c:v>
                </c:pt>
                <c:pt idx="18">
                  <c:v>8.5416755801183825E-3</c:v>
                </c:pt>
                <c:pt idx="19">
                  <c:v>1.0389610148679944E-2</c:v>
                </c:pt>
                <c:pt idx="20">
                  <c:v>1.263223931108238E-2</c:v>
                </c:pt>
                <c:pt idx="21">
                  <c:v>1.5351437527105454E-2</c:v>
                </c:pt>
                <c:pt idx="22">
                  <c:v>1.8644913491254085E-2</c:v>
                </c:pt>
                <c:pt idx="23">
                  <c:v>2.2628728952144059E-2</c:v>
                </c:pt>
                <c:pt idx="24">
                  <c:v>2.7439956026617411E-2</c:v>
                </c:pt>
                <c:pt idx="25">
                  <c:v>3.3239337178441269E-2</c:v>
                </c:pt>
                <c:pt idx="26">
                  <c:v>4.0213726080353264E-2</c:v>
                </c:pt>
                <c:pt idx="27">
                  <c:v>4.8577971912167145E-2</c:v>
                </c:pt>
                <c:pt idx="28">
                  <c:v>5.8575762266613804E-2</c:v>
                </c:pt>
                <c:pt idx="29">
                  <c:v>7.0478765060004542E-2</c:v>
                </c:pt>
                <c:pt idx="30">
                  <c:v>8.458322376954866E-2</c:v>
                </c:pt>
                <c:pt idx="31">
                  <c:v>0.1012029979928537</c:v>
                </c:pt>
                <c:pt idx="32">
                  <c:v>0.12065796431808783</c:v>
                </c:pt>
                <c:pt idx="33">
                  <c:v>0.14325679323024673</c:v>
                </c:pt>
                <c:pt idx="34">
                  <c:v>0.16927351386641812</c:v>
                </c:pt>
                <c:pt idx="35">
                  <c:v>0.19891808737150862</c:v>
                </c:pt>
                <c:pt idx="36">
                  <c:v>0.23230249502167508</c:v>
                </c:pt>
                <c:pt idx="37">
                  <c:v>0.26940553732402189</c:v>
                </c:pt>
                <c:pt idx="38">
                  <c:v>0.31004134142241851</c:v>
                </c:pt>
                <c:pt idx="39">
                  <c:v>0.35383793526166868</c:v>
                </c:pt>
                <c:pt idx="40">
                  <c:v>0.40023244913820061</c:v>
                </c:pt>
                <c:pt idx="41">
                  <c:v>0.44848792399421938</c:v>
                </c:pt>
                <c:pt idx="42">
                  <c:v>0.49773319182267894</c:v>
                </c:pt>
                <c:pt idx="43">
                  <c:v>0.54702247769245926</c:v>
                </c:pt>
                <c:pt idx="44">
                  <c:v>0.59540663680406558</c:v>
                </c:pt>
                <c:pt idx="45">
                  <c:v>0.64200492795904929</c:v>
                </c:pt>
                <c:pt idx="46">
                  <c:v>0.68606608243321232</c:v>
                </c:pt>
                <c:pt idx="47">
                  <c:v>0.7270102102463335</c:v>
                </c:pt>
                <c:pt idx="48">
                  <c:v>0.76444773045159664</c:v>
                </c:pt>
                <c:pt idx="49">
                  <c:v>0.79817638699971571</c:v>
                </c:pt>
                <c:pt idx="50">
                  <c:v>0.82816108437109193</c:v>
                </c:pt>
                <c:pt idx="51">
                  <c:v>0.85450303975835906</c:v>
                </c:pt>
                <c:pt idx="52">
                  <c:v>0.87740468827985718</c:v>
                </c:pt>
                <c:pt idx="53">
                  <c:v>0.8971354919418093</c:v>
                </c:pt>
                <c:pt idx="54">
                  <c:v>0.91400201566045702</c:v>
                </c:pt>
                <c:pt idx="55">
                  <c:v>0.92832391728718622</c:v>
                </c:pt>
                <c:pt idx="56">
                  <c:v>0.94041617027076585</c:v>
                </c:pt>
                <c:pt idx="57">
                  <c:v>0.95057698620331765</c:v>
                </c:pt>
                <c:pt idx="58">
                  <c:v>0.95908047510394157</c:v>
                </c:pt>
                <c:pt idx="59">
                  <c:v>0.96617295862288388</c:v>
                </c:pt>
                <c:pt idx="60">
                  <c:v>0.97207191636988943</c:v>
                </c:pt>
                <c:pt idx="61">
                  <c:v>0.97696670309022537</c:v>
                </c:pt>
                <c:pt idx="62">
                  <c:v>0.98102036011876015</c:v>
                </c:pt>
                <c:pt idx="63">
                  <c:v>0.98437202125506518</c:v>
                </c:pt>
                <c:pt idx="64">
                  <c:v>0.98713956340918307</c:v>
                </c:pt>
                <c:pt idx="65">
                  <c:v>0.98942227092402102</c:v>
                </c:pt>
              </c:numCache>
            </c:numRef>
          </c:val>
          <c:smooth val="0"/>
        </c:ser>
        <c:dLbls>
          <c:showLegendKey val="0"/>
          <c:showVal val="0"/>
          <c:showCatName val="0"/>
          <c:showSerName val="0"/>
          <c:showPercent val="0"/>
          <c:showBubbleSize val="0"/>
        </c:dLbls>
        <c:marker val="1"/>
        <c:smooth val="0"/>
        <c:axId val="153212416"/>
        <c:axId val="153213952"/>
      </c:lineChart>
      <c:catAx>
        <c:axId val="153212416"/>
        <c:scaling>
          <c:orientation val="minMax"/>
        </c:scaling>
        <c:delete val="0"/>
        <c:axPos val="b"/>
        <c:majorTickMark val="out"/>
        <c:minorTickMark val="none"/>
        <c:tickLblPos val="nextTo"/>
        <c:crossAx val="153213952"/>
        <c:crosses val="autoZero"/>
        <c:auto val="1"/>
        <c:lblAlgn val="ctr"/>
        <c:lblOffset val="100"/>
        <c:noMultiLvlLbl val="0"/>
      </c:catAx>
      <c:valAx>
        <c:axId val="153213952"/>
        <c:scaling>
          <c:orientation val="minMax"/>
        </c:scaling>
        <c:delete val="0"/>
        <c:axPos val="l"/>
        <c:majorGridlines/>
        <c:numFmt formatCode="General" sourceLinked="1"/>
        <c:majorTickMark val="out"/>
        <c:minorTickMark val="none"/>
        <c:tickLblPos val="nextTo"/>
        <c:crossAx val="153212416"/>
        <c:crosses val="autoZero"/>
        <c:crossBetween val="between"/>
      </c:valAx>
    </c:plotArea>
    <c:legend>
      <c:legendPos val="r"/>
      <c:overlay val="0"/>
    </c:legend>
    <c:plotVisOnly val="1"/>
    <c:dispBlanksAs val="gap"/>
    <c:showDLblsOverMax val="0"/>
  </c:chart>
  <c:printSettings>
    <c:headerFooter/>
    <c:pageMargins b="0.75000000000000677" l="0.70000000000000062" r="0.70000000000000062" t="0.75000000000000677"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98656527797179"/>
          <c:y val="8.4289755104447237E-2"/>
          <c:w val="0.78232821793263352"/>
          <c:h val="0.78668434013315902"/>
        </c:manualLayout>
      </c:layout>
      <c:scatterChart>
        <c:scatterStyle val="smoothMarker"/>
        <c:varyColors val="0"/>
        <c:ser>
          <c:idx val="3"/>
          <c:order val="0"/>
          <c:tx>
            <c:v>2013</c:v>
          </c:tx>
          <c:spPr>
            <a:ln w="98425">
              <a:solidFill>
                <a:schemeClr val="tx1"/>
              </a:solidFill>
            </a:ln>
          </c:spPr>
          <c:marker>
            <c:symbol val="none"/>
          </c:marker>
          <c:xVal>
            <c:numRef>
              <c:f>Logistic2013!$AA$12:$AA$76</c:f>
              <c:numCache>
                <c:formatCode>m/d/yyyy</c:formatCode>
                <c:ptCount val="65"/>
                <c:pt idx="0">
                  <c:v>37769</c:v>
                </c:pt>
                <c:pt idx="1">
                  <c:v>37770</c:v>
                </c:pt>
                <c:pt idx="2">
                  <c:v>37771</c:v>
                </c:pt>
                <c:pt idx="3">
                  <c:v>37772</c:v>
                </c:pt>
                <c:pt idx="4">
                  <c:v>37773</c:v>
                </c:pt>
                <c:pt idx="5">
                  <c:v>37774</c:v>
                </c:pt>
                <c:pt idx="6">
                  <c:v>37775</c:v>
                </c:pt>
                <c:pt idx="7">
                  <c:v>37776</c:v>
                </c:pt>
                <c:pt idx="8">
                  <c:v>37777</c:v>
                </c:pt>
                <c:pt idx="9">
                  <c:v>37778</c:v>
                </c:pt>
                <c:pt idx="10">
                  <c:v>37779</c:v>
                </c:pt>
                <c:pt idx="11">
                  <c:v>37780</c:v>
                </c:pt>
                <c:pt idx="12">
                  <c:v>37781</c:v>
                </c:pt>
                <c:pt idx="13">
                  <c:v>37782</c:v>
                </c:pt>
                <c:pt idx="14">
                  <c:v>37783</c:v>
                </c:pt>
                <c:pt idx="15">
                  <c:v>37784</c:v>
                </c:pt>
                <c:pt idx="16">
                  <c:v>37785</c:v>
                </c:pt>
                <c:pt idx="17">
                  <c:v>37786</c:v>
                </c:pt>
                <c:pt idx="18">
                  <c:v>37787</c:v>
                </c:pt>
                <c:pt idx="19">
                  <c:v>37788</c:v>
                </c:pt>
                <c:pt idx="20">
                  <c:v>37789</c:v>
                </c:pt>
                <c:pt idx="21">
                  <c:v>37790</c:v>
                </c:pt>
                <c:pt idx="22">
                  <c:v>37791</c:v>
                </c:pt>
                <c:pt idx="23">
                  <c:v>37792</c:v>
                </c:pt>
                <c:pt idx="24">
                  <c:v>37793</c:v>
                </c:pt>
                <c:pt idx="25">
                  <c:v>37794</c:v>
                </c:pt>
                <c:pt idx="26">
                  <c:v>37795</c:v>
                </c:pt>
                <c:pt idx="27">
                  <c:v>37796</c:v>
                </c:pt>
                <c:pt idx="28">
                  <c:v>37797</c:v>
                </c:pt>
                <c:pt idx="29">
                  <c:v>37798</c:v>
                </c:pt>
                <c:pt idx="30">
                  <c:v>37799</c:v>
                </c:pt>
                <c:pt idx="31">
                  <c:v>37800</c:v>
                </c:pt>
                <c:pt idx="32">
                  <c:v>37801</c:v>
                </c:pt>
                <c:pt idx="33">
                  <c:v>37802</c:v>
                </c:pt>
                <c:pt idx="34">
                  <c:v>37803</c:v>
                </c:pt>
                <c:pt idx="35">
                  <c:v>37804</c:v>
                </c:pt>
                <c:pt idx="36">
                  <c:v>37805</c:v>
                </c:pt>
                <c:pt idx="37">
                  <c:v>37806</c:v>
                </c:pt>
                <c:pt idx="38">
                  <c:v>37807</c:v>
                </c:pt>
                <c:pt idx="39">
                  <c:v>37808</c:v>
                </c:pt>
                <c:pt idx="40">
                  <c:v>37809</c:v>
                </c:pt>
                <c:pt idx="41">
                  <c:v>37810</c:v>
                </c:pt>
                <c:pt idx="42">
                  <c:v>37811</c:v>
                </c:pt>
                <c:pt idx="43">
                  <c:v>37812</c:v>
                </c:pt>
                <c:pt idx="44">
                  <c:v>37813</c:v>
                </c:pt>
                <c:pt idx="45">
                  <c:v>37814</c:v>
                </c:pt>
                <c:pt idx="46">
                  <c:v>37815</c:v>
                </c:pt>
                <c:pt idx="47">
                  <c:v>37816</c:v>
                </c:pt>
                <c:pt idx="48">
                  <c:v>37817</c:v>
                </c:pt>
                <c:pt idx="49">
                  <c:v>37818</c:v>
                </c:pt>
                <c:pt idx="50">
                  <c:v>37819</c:v>
                </c:pt>
                <c:pt idx="51">
                  <c:v>37820</c:v>
                </c:pt>
                <c:pt idx="52">
                  <c:v>37821</c:v>
                </c:pt>
                <c:pt idx="53">
                  <c:v>37822</c:v>
                </c:pt>
                <c:pt idx="54">
                  <c:v>37823</c:v>
                </c:pt>
                <c:pt idx="55">
                  <c:v>37824</c:v>
                </c:pt>
                <c:pt idx="56">
                  <c:v>37825</c:v>
                </c:pt>
                <c:pt idx="57">
                  <c:v>37826</c:v>
                </c:pt>
                <c:pt idx="58">
                  <c:v>37827</c:v>
                </c:pt>
                <c:pt idx="59">
                  <c:v>37828</c:v>
                </c:pt>
                <c:pt idx="60">
                  <c:v>37829</c:v>
                </c:pt>
                <c:pt idx="61">
                  <c:v>37830</c:v>
                </c:pt>
                <c:pt idx="62">
                  <c:v>37831</c:v>
                </c:pt>
                <c:pt idx="63">
                  <c:v>37832</c:v>
                </c:pt>
                <c:pt idx="64">
                  <c:v>37833</c:v>
                </c:pt>
              </c:numCache>
            </c:numRef>
          </c:xVal>
          <c:yVal>
            <c:numRef>
              <c:f>Logistic2013!$AF$12:$AF$76</c:f>
              <c:numCache>
                <c:formatCode>0.0%</c:formatCode>
                <c:ptCount val="65"/>
                <c:pt idx="0">
                  <c:v>2.9882028383729665E-4</c:v>
                </c:pt>
                <c:pt idx="1">
                  <c:v>3.6412299007382412E-4</c:v>
                </c:pt>
                <c:pt idx="2">
                  <c:v>4.436902928409236E-4</c:v>
                </c:pt>
                <c:pt idx="3">
                  <c:v>5.4063505283763783E-4</c:v>
                </c:pt>
                <c:pt idx="4">
                  <c:v>6.5874794022489089E-4</c:v>
                </c:pt>
                <c:pt idx="5">
                  <c:v>8.0264430321866907E-4</c:v>
                </c:pt>
                <c:pt idx="6">
                  <c:v>9.7794251088522961E-4</c:v>
                </c:pt>
                <c:pt idx="7">
                  <c:v>1.19148034540422E-3</c:v>
                </c:pt>
                <c:pt idx="8">
                  <c:v>1.4515773097888444E-3</c:v>
                </c:pt>
                <c:pt idx="9">
                  <c:v>1.7683522199292421E-3</c:v>
                </c:pt>
                <c:pt idx="10">
                  <c:v>2.1541071781976768E-3</c:v>
                </c:pt>
                <c:pt idx="11">
                  <c:v>2.6237909806921655E-3</c:v>
                </c:pt>
                <c:pt idx="12">
                  <c:v>3.1955571705628975E-3</c:v>
                </c:pt>
                <c:pt idx="13">
                  <c:v>3.8914342584479623E-3</c:v>
                </c:pt>
                <c:pt idx="14">
                  <c:v>4.7381279726284222E-3</c:v>
                </c:pt>
                <c:pt idx="15">
                  <c:v>5.7679775716238009E-3</c:v>
                </c:pt>
                <c:pt idx="16">
                  <c:v>7.0200899120878707E-3</c:v>
                </c:pt>
                <c:pt idx="17">
                  <c:v>8.5416755801183825E-3</c:v>
                </c:pt>
                <c:pt idx="18">
                  <c:v>1.0389610148679944E-2</c:v>
                </c:pt>
                <c:pt idx="19">
                  <c:v>1.263223931108238E-2</c:v>
                </c:pt>
                <c:pt idx="20">
                  <c:v>1.5351437527105454E-2</c:v>
                </c:pt>
                <c:pt idx="21">
                  <c:v>1.8644913491254085E-2</c:v>
                </c:pt>
                <c:pt idx="22">
                  <c:v>2.2628728952144059E-2</c:v>
                </c:pt>
                <c:pt idx="23">
                  <c:v>2.7439956026617411E-2</c:v>
                </c:pt>
                <c:pt idx="24">
                  <c:v>3.3239337178441269E-2</c:v>
                </c:pt>
                <c:pt idx="25">
                  <c:v>4.0213726080353264E-2</c:v>
                </c:pt>
                <c:pt idx="26">
                  <c:v>4.8577971912167145E-2</c:v>
                </c:pt>
                <c:pt idx="27">
                  <c:v>5.8575762266613804E-2</c:v>
                </c:pt>
                <c:pt idx="28">
                  <c:v>7.0478765060004542E-2</c:v>
                </c:pt>
                <c:pt idx="29">
                  <c:v>8.458322376954866E-2</c:v>
                </c:pt>
                <c:pt idx="30">
                  <c:v>0.1012029979928537</c:v>
                </c:pt>
                <c:pt idx="31">
                  <c:v>0.12065796431808783</c:v>
                </c:pt>
                <c:pt idx="32">
                  <c:v>0.14325679323024673</c:v>
                </c:pt>
                <c:pt idx="33">
                  <c:v>0.16927351386641812</c:v>
                </c:pt>
                <c:pt idx="34">
                  <c:v>0.19891808737150862</c:v>
                </c:pt>
                <c:pt idx="35">
                  <c:v>0.23230249502167508</c:v>
                </c:pt>
                <c:pt idx="36">
                  <c:v>0.26940553732402189</c:v>
                </c:pt>
                <c:pt idx="37">
                  <c:v>0.31004134142241851</c:v>
                </c:pt>
                <c:pt idx="38">
                  <c:v>0.35383793526166868</c:v>
                </c:pt>
                <c:pt idx="39">
                  <c:v>0.40023244913820061</c:v>
                </c:pt>
                <c:pt idx="40">
                  <c:v>0.44848792399421938</c:v>
                </c:pt>
                <c:pt idx="41">
                  <c:v>0.49773319182267894</c:v>
                </c:pt>
                <c:pt idx="42">
                  <c:v>0.54702247769245926</c:v>
                </c:pt>
                <c:pt idx="43">
                  <c:v>0.59540663680406558</c:v>
                </c:pt>
                <c:pt idx="44">
                  <c:v>0.64200492795904929</c:v>
                </c:pt>
                <c:pt idx="45">
                  <c:v>0.68606608243321232</c:v>
                </c:pt>
                <c:pt idx="46">
                  <c:v>0.7270102102463335</c:v>
                </c:pt>
                <c:pt idx="47">
                  <c:v>0.76444773045159664</c:v>
                </c:pt>
                <c:pt idx="48">
                  <c:v>0.79817638699971571</c:v>
                </c:pt>
                <c:pt idx="49">
                  <c:v>0.82816108437109193</c:v>
                </c:pt>
                <c:pt idx="50">
                  <c:v>0.85450303975835906</c:v>
                </c:pt>
                <c:pt idx="51">
                  <c:v>0.87740468827985718</c:v>
                </c:pt>
                <c:pt idx="52">
                  <c:v>0.8971354919418093</c:v>
                </c:pt>
                <c:pt idx="53">
                  <c:v>0.91400201566045702</c:v>
                </c:pt>
                <c:pt idx="54">
                  <c:v>0.92832391728718622</c:v>
                </c:pt>
                <c:pt idx="55">
                  <c:v>0.94041617027076585</c:v>
                </c:pt>
                <c:pt idx="56">
                  <c:v>0.95057698620331765</c:v>
                </c:pt>
                <c:pt idx="57">
                  <c:v>0.95908047510394157</c:v>
                </c:pt>
                <c:pt idx="58">
                  <c:v>0.96617295862288388</c:v>
                </c:pt>
                <c:pt idx="59">
                  <c:v>0.97207191636988943</c:v>
                </c:pt>
                <c:pt idx="60">
                  <c:v>0.97696670309022537</c:v>
                </c:pt>
                <c:pt idx="61">
                  <c:v>0.98102036011876015</c:v>
                </c:pt>
                <c:pt idx="62">
                  <c:v>0.98437202125506518</c:v>
                </c:pt>
                <c:pt idx="63">
                  <c:v>0.98713956340918307</c:v>
                </c:pt>
                <c:pt idx="64">
                  <c:v>0.98942227092402102</c:v>
                </c:pt>
              </c:numCache>
            </c:numRef>
          </c:yVal>
          <c:smooth val="1"/>
        </c:ser>
        <c:ser>
          <c:idx val="0"/>
          <c:order val="1"/>
          <c:spPr>
            <a:ln>
              <a:noFill/>
            </a:ln>
          </c:spPr>
          <c:xVal>
            <c:numRef>
              <c:f>Logistic2013!$B$9:$B$13</c:f>
              <c:numCache>
                <c:formatCode>[$-409]m/d/yy\ h:mm\ AM/PM;@</c:formatCode>
                <c:ptCount val="5"/>
                <c:pt idx="0">
                  <c:v>37799.408333333333</c:v>
                </c:pt>
                <c:pt idx="1">
                  <c:v>37803.402777777781</c:v>
                </c:pt>
                <c:pt idx="2">
                  <c:v>37807.429166666669</c:v>
                </c:pt>
                <c:pt idx="3">
                  <c:v>37811.083333333336</c:v>
                </c:pt>
                <c:pt idx="4">
                  <c:v>37816.472222222219</c:v>
                </c:pt>
              </c:numCache>
            </c:numRef>
          </c:xVal>
          <c:yVal>
            <c:numRef>
              <c:f>Logistic2013!$E$9:$E$13</c:f>
              <c:numCache>
                <c:formatCode>0.0%</c:formatCode>
                <c:ptCount val="5"/>
                <c:pt idx="0">
                  <c:v>8.8999999999999996E-2</c:v>
                </c:pt>
                <c:pt idx="1">
                  <c:v>0.14199999999999999</c:v>
                </c:pt>
                <c:pt idx="2">
                  <c:v>0.38800000000000001</c:v>
                </c:pt>
                <c:pt idx="3">
                  <c:v>0.57099999999999995</c:v>
                </c:pt>
                <c:pt idx="4">
                  <c:v>0.71199999999999997</c:v>
                </c:pt>
              </c:numCache>
            </c:numRef>
          </c:yVal>
          <c:smooth val="1"/>
        </c:ser>
        <c:dLbls>
          <c:showLegendKey val="0"/>
          <c:showVal val="0"/>
          <c:showCatName val="0"/>
          <c:showSerName val="0"/>
          <c:showPercent val="0"/>
          <c:showBubbleSize val="0"/>
        </c:dLbls>
        <c:axId val="156729344"/>
        <c:axId val="156730880"/>
      </c:scatterChart>
      <c:valAx>
        <c:axId val="156729344"/>
        <c:scaling>
          <c:orientation val="minMax"/>
          <c:max val="37830"/>
          <c:min val="37790"/>
        </c:scaling>
        <c:delete val="0"/>
        <c:axPos val="b"/>
        <c:numFmt formatCode="m/d;@" sourceLinked="0"/>
        <c:majorTickMark val="none"/>
        <c:minorTickMark val="none"/>
        <c:tickLblPos val="nextTo"/>
        <c:crossAx val="156730880"/>
        <c:crosses val="autoZero"/>
        <c:crossBetween val="midCat"/>
      </c:valAx>
      <c:valAx>
        <c:axId val="156730880"/>
        <c:scaling>
          <c:orientation val="minMax"/>
          <c:max val="1"/>
          <c:min val="0"/>
        </c:scaling>
        <c:delete val="0"/>
        <c:axPos val="l"/>
        <c:numFmt formatCode="0.00" sourceLinked="0"/>
        <c:majorTickMark val="none"/>
        <c:minorTickMark val="none"/>
        <c:tickLblPos val="nextTo"/>
        <c:crossAx val="156729344"/>
        <c:crosses val="autoZero"/>
        <c:crossBetween val="midCat"/>
      </c:valAx>
    </c:plotArea>
    <c:legend>
      <c:legendPos val="r"/>
      <c:layout>
        <c:manualLayout>
          <c:xMode val="edge"/>
          <c:yMode val="edge"/>
          <c:x val="0.18327181208053692"/>
          <c:y val="0.25849450636852211"/>
          <c:w val="9.3805587620597985E-2"/>
          <c:h val="9.5111105591161413E-2"/>
        </c:manualLayout>
      </c:layout>
      <c:overlay val="0"/>
    </c:legend>
    <c:plotVisOnly val="1"/>
    <c:dispBlanksAs val="gap"/>
    <c:showDLblsOverMax val="0"/>
  </c:chart>
  <c:spPr>
    <a:ln>
      <a:noFill/>
    </a:ln>
  </c:spPr>
  <c:txPr>
    <a:bodyPr/>
    <a:lstStyle/>
    <a:p>
      <a:pPr>
        <a:defRPr sz="1100"/>
      </a:pPr>
      <a:endParaRPr lang="en-US"/>
    </a:p>
  </c:txPr>
  <c:printSettings>
    <c:headerFooter/>
    <c:pageMargins b="0.75000000000000677" l="0.70000000000000062" r="0.70000000000000062" t="0.75000000000000677"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Logistic2013!$K$9:$K$107</c:f>
              <c:numCache>
                <c:formatCode>0.0</c:formatCode>
                <c:ptCount val="99"/>
                <c:pt idx="0">
                  <c:v>1.5</c:v>
                </c:pt>
                <c:pt idx="1">
                  <c:v>2.5</c:v>
                </c:pt>
                <c:pt idx="2">
                  <c:v>3.5</c:v>
                </c:pt>
                <c:pt idx="3">
                  <c:v>4.5</c:v>
                </c:pt>
                <c:pt idx="4">
                  <c:v>5.5</c:v>
                </c:pt>
                <c:pt idx="5">
                  <c:v>6.5</c:v>
                </c:pt>
                <c:pt idx="6">
                  <c:v>7.5</c:v>
                </c:pt>
                <c:pt idx="7">
                  <c:v>8.5</c:v>
                </c:pt>
                <c:pt idx="8">
                  <c:v>9.5</c:v>
                </c:pt>
                <c:pt idx="9">
                  <c:v>10.5</c:v>
                </c:pt>
                <c:pt idx="10">
                  <c:v>11.5</c:v>
                </c:pt>
                <c:pt idx="11">
                  <c:v>12.5</c:v>
                </c:pt>
                <c:pt idx="12">
                  <c:v>13.5</c:v>
                </c:pt>
                <c:pt idx="13">
                  <c:v>14.5</c:v>
                </c:pt>
                <c:pt idx="14">
                  <c:v>15.5</c:v>
                </c:pt>
                <c:pt idx="15">
                  <c:v>16.5</c:v>
                </c:pt>
                <c:pt idx="16">
                  <c:v>17.5</c:v>
                </c:pt>
                <c:pt idx="17">
                  <c:v>18.5</c:v>
                </c:pt>
                <c:pt idx="18">
                  <c:v>19.5</c:v>
                </c:pt>
                <c:pt idx="19">
                  <c:v>20.5</c:v>
                </c:pt>
                <c:pt idx="20">
                  <c:v>21.5</c:v>
                </c:pt>
                <c:pt idx="21">
                  <c:v>22.5</c:v>
                </c:pt>
                <c:pt idx="22">
                  <c:v>23.5</c:v>
                </c:pt>
                <c:pt idx="23">
                  <c:v>24.5</c:v>
                </c:pt>
                <c:pt idx="24">
                  <c:v>25.5</c:v>
                </c:pt>
                <c:pt idx="25">
                  <c:v>26.5</c:v>
                </c:pt>
                <c:pt idx="26">
                  <c:v>27.5</c:v>
                </c:pt>
                <c:pt idx="27">
                  <c:v>28.5</c:v>
                </c:pt>
                <c:pt idx="28">
                  <c:v>29.5</c:v>
                </c:pt>
                <c:pt idx="29">
                  <c:v>30.5</c:v>
                </c:pt>
                <c:pt idx="30">
                  <c:v>31.5</c:v>
                </c:pt>
                <c:pt idx="31">
                  <c:v>32.5</c:v>
                </c:pt>
                <c:pt idx="32">
                  <c:v>33.5</c:v>
                </c:pt>
                <c:pt idx="33">
                  <c:v>34.5</c:v>
                </c:pt>
                <c:pt idx="34">
                  <c:v>35.5</c:v>
                </c:pt>
                <c:pt idx="35">
                  <c:v>36.5</c:v>
                </c:pt>
                <c:pt idx="36">
                  <c:v>37.5</c:v>
                </c:pt>
                <c:pt idx="37">
                  <c:v>38.5</c:v>
                </c:pt>
                <c:pt idx="38">
                  <c:v>39.5</c:v>
                </c:pt>
                <c:pt idx="39">
                  <c:v>40.5</c:v>
                </c:pt>
                <c:pt idx="40">
                  <c:v>41.5</c:v>
                </c:pt>
                <c:pt idx="41">
                  <c:v>42.5</c:v>
                </c:pt>
                <c:pt idx="42">
                  <c:v>43.5</c:v>
                </c:pt>
                <c:pt idx="43">
                  <c:v>44.5</c:v>
                </c:pt>
                <c:pt idx="44">
                  <c:v>45.5</c:v>
                </c:pt>
                <c:pt idx="45">
                  <c:v>46.5</c:v>
                </c:pt>
                <c:pt idx="46">
                  <c:v>47.5</c:v>
                </c:pt>
                <c:pt idx="47">
                  <c:v>48.5</c:v>
                </c:pt>
                <c:pt idx="48">
                  <c:v>49.5</c:v>
                </c:pt>
                <c:pt idx="49">
                  <c:v>50.5</c:v>
                </c:pt>
                <c:pt idx="50">
                  <c:v>51.5</c:v>
                </c:pt>
                <c:pt idx="51">
                  <c:v>52.5</c:v>
                </c:pt>
                <c:pt idx="52">
                  <c:v>53.5</c:v>
                </c:pt>
                <c:pt idx="53">
                  <c:v>54.5</c:v>
                </c:pt>
                <c:pt idx="54">
                  <c:v>55.5</c:v>
                </c:pt>
                <c:pt idx="55">
                  <c:v>56.5</c:v>
                </c:pt>
                <c:pt idx="56">
                  <c:v>57.5</c:v>
                </c:pt>
                <c:pt idx="57">
                  <c:v>58.5</c:v>
                </c:pt>
                <c:pt idx="58">
                  <c:v>59.5</c:v>
                </c:pt>
                <c:pt idx="59">
                  <c:v>60.5</c:v>
                </c:pt>
                <c:pt idx="60">
                  <c:v>61.5</c:v>
                </c:pt>
                <c:pt idx="61">
                  <c:v>62.5</c:v>
                </c:pt>
                <c:pt idx="62">
                  <c:v>63.5</c:v>
                </c:pt>
                <c:pt idx="63">
                  <c:v>64.5</c:v>
                </c:pt>
                <c:pt idx="64">
                  <c:v>65.5</c:v>
                </c:pt>
                <c:pt idx="65">
                  <c:v>66.5</c:v>
                </c:pt>
                <c:pt idx="66">
                  <c:v>67.5</c:v>
                </c:pt>
                <c:pt idx="67">
                  <c:v>68.5</c:v>
                </c:pt>
                <c:pt idx="68">
                  <c:v>69.5</c:v>
                </c:pt>
                <c:pt idx="69">
                  <c:v>70.5</c:v>
                </c:pt>
                <c:pt idx="70">
                  <c:v>71.5</c:v>
                </c:pt>
                <c:pt idx="71">
                  <c:v>72.5</c:v>
                </c:pt>
                <c:pt idx="72">
                  <c:v>73.5</c:v>
                </c:pt>
                <c:pt idx="73">
                  <c:v>74.5</c:v>
                </c:pt>
                <c:pt idx="74">
                  <c:v>75.5</c:v>
                </c:pt>
                <c:pt idx="75">
                  <c:v>76.5</c:v>
                </c:pt>
                <c:pt idx="76">
                  <c:v>77.5</c:v>
                </c:pt>
                <c:pt idx="77">
                  <c:v>78.5</c:v>
                </c:pt>
                <c:pt idx="78">
                  <c:v>79.5</c:v>
                </c:pt>
                <c:pt idx="79">
                  <c:v>80.5</c:v>
                </c:pt>
                <c:pt idx="80">
                  <c:v>81.5</c:v>
                </c:pt>
                <c:pt idx="81">
                  <c:v>82.5</c:v>
                </c:pt>
                <c:pt idx="82">
                  <c:v>83.5</c:v>
                </c:pt>
                <c:pt idx="83">
                  <c:v>84.5</c:v>
                </c:pt>
                <c:pt idx="84">
                  <c:v>85.5</c:v>
                </c:pt>
                <c:pt idx="85">
                  <c:v>86.5</c:v>
                </c:pt>
                <c:pt idx="86">
                  <c:v>87.5</c:v>
                </c:pt>
                <c:pt idx="87">
                  <c:v>88.5</c:v>
                </c:pt>
                <c:pt idx="88">
                  <c:v>89.5</c:v>
                </c:pt>
                <c:pt idx="89">
                  <c:v>90.5</c:v>
                </c:pt>
                <c:pt idx="90">
                  <c:v>91.5</c:v>
                </c:pt>
                <c:pt idx="91">
                  <c:v>92.5</c:v>
                </c:pt>
                <c:pt idx="92">
                  <c:v>93.5</c:v>
                </c:pt>
                <c:pt idx="93">
                  <c:v>94.5</c:v>
                </c:pt>
                <c:pt idx="94">
                  <c:v>95.5</c:v>
                </c:pt>
                <c:pt idx="95">
                  <c:v>96.5</c:v>
                </c:pt>
                <c:pt idx="96">
                  <c:v>97.5</c:v>
                </c:pt>
                <c:pt idx="97">
                  <c:v>98.5</c:v>
                </c:pt>
                <c:pt idx="98">
                  <c:v>99.5</c:v>
                </c:pt>
              </c:numCache>
            </c:numRef>
          </c:xVal>
          <c:yVal>
            <c:numRef>
              <c:f>Logistic2013!$L$9:$L$107</c:f>
              <c:numCache>
                <c:formatCode>0.00%</c:formatCode>
                <c:ptCount val="99"/>
                <c:pt idx="0">
                  <c:v>1.6514633949483483E-4</c:v>
                </c:pt>
                <c:pt idx="1">
                  <c:v>2.0124248390877318E-4</c:v>
                </c:pt>
                <c:pt idx="2">
                  <c:v>2.4522625138307812E-4</c:v>
                </c:pt>
                <c:pt idx="3">
                  <c:v>2.9882028383729665E-4</c:v>
                </c:pt>
                <c:pt idx="4">
                  <c:v>3.6412299007382412E-4</c:v>
                </c:pt>
                <c:pt idx="5">
                  <c:v>4.436902928409236E-4</c:v>
                </c:pt>
                <c:pt idx="6">
                  <c:v>5.4063505283763783E-4</c:v>
                </c:pt>
                <c:pt idx="7">
                  <c:v>6.5874794022489089E-4</c:v>
                </c:pt>
                <c:pt idx="8">
                  <c:v>8.0264430321866907E-4</c:v>
                </c:pt>
                <c:pt idx="9">
                  <c:v>9.7794251088522961E-4</c:v>
                </c:pt>
                <c:pt idx="10">
                  <c:v>1.19148034540422E-3</c:v>
                </c:pt>
                <c:pt idx="11">
                  <c:v>1.4515773097888444E-3</c:v>
                </c:pt>
                <c:pt idx="12">
                  <c:v>1.7683522199292421E-3</c:v>
                </c:pt>
                <c:pt idx="13">
                  <c:v>2.1541071781976768E-3</c:v>
                </c:pt>
                <c:pt idx="14">
                  <c:v>2.6237909806921655E-3</c:v>
                </c:pt>
                <c:pt idx="15">
                  <c:v>3.1955571705628975E-3</c:v>
                </c:pt>
                <c:pt idx="16">
                  <c:v>3.8914342584479623E-3</c:v>
                </c:pt>
                <c:pt idx="17">
                  <c:v>4.7381279726284222E-3</c:v>
                </c:pt>
                <c:pt idx="18">
                  <c:v>5.7679775716238009E-3</c:v>
                </c:pt>
                <c:pt idx="19">
                  <c:v>7.0200899120878707E-3</c:v>
                </c:pt>
                <c:pt idx="20">
                  <c:v>8.5416755801183825E-3</c:v>
                </c:pt>
                <c:pt idx="21">
                  <c:v>1.0389610148679944E-2</c:v>
                </c:pt>
                <c:pt idx="22">
                  <c:v>1.263223931108238E-2</c:v>
                </c:pt>
                <c:pt idx="23">
                  <c:v>1.5351437527105454E-2</c:v>
                </c:pt>
                <c:pt idx="24">
                  <c:v>1.8644913491254085E-2</c:v>
                </c:pt>
                <c:pt idx="25">
                  <c:v>2.2628728952144059E-2</c:v>
                </c:pt>
                <c:pt idx="26">
                  <c:v>2.7439956026617411E-2</c:v>
                </c:pt>
                <c:pt idx="27">
                  <c:v>3.3239337178441269E-2</c:v>
                </c:pt>
                <c:pt idx="28">
                  <c:v>4.0213726080353264E-2</c:v>
                </c:pt>
                <c:pt idx="29">
                  <c:v>4.8577971912167145E-2</c:v>
                </c:pt>
                <c:pt idx="30">
                  <c:v>5.8575762266613804E-2</c:v>
                </c:pt>
                <c:pt idx="31">
                  <c:v>7.0478765060004542E-2</c:v>
                </c:pt>
                <c:pt idx="32">
                  <c:v>8.458322376954866E-2</c:v>
                </c:pt>
                <c:pt idx="33">
                  <c:v>0.1012029979928537</c:v>
                </c:pt>
                <c:pt idx="34">
                  <c:v>0.12065796431808783</c:v>
                </c:pt>
                <c:pt idx="35">
                  <c:v>0.14325679323024673</c:v>
                </c:pt>
                <c:pt idx="36">
                  <c:v>0.16927351386641812</c:v>
                </c:pt>
                <c:pt idx="37">
                  <c:v>0.19891808737150862</c:v>
                </c:pt>
                <c:pt idx="38">
                  <c:v>0.23230249502167508</c:v>
                </c:pt>
                <c:pt idx="39">
                  <c:v>0.26940553732402189</c:v>
                </c:pt>
                <c:pt idx="40">
                  <c:v>0.31004134142241851</c:v>
                </c:pt>
                <c:pt idx="41">
                  <c:v>0.35383793526166868</c:v>
                </c:pt>
                <c:pt idx="42">
                  <c:v>0.40023244913820061</c:v>
                </c:pt>
                <c:pt idx="43">
                  <c:v>0.44848792399421938</c:v>
                </c:pt>
                <c:pt idx="44">
                  <c:v>0.49773319182267894</c:v>
                </c:pt>
                <c:pt idx="45">
                  <c:v>0.54702247769245926</c:v>
                </c:pt>
                <c:pt idx="46">
                  <c:v>0.59540663680406558</c:v>
                </c:pt>
                <c:pt idx="47">
                  <c:v>0.64200492795904929</c:v>
                </c:pt>
                <c:pt idx="48">
                  <c:v>0.68606608243321232</c:v>
                </c:pt>
                <c:pt idx="49">
                  <c:v>0.7270102102463335</c:v>
                </c:pt>
                <c:pt idx="50">
                  <c:v>0.76444773045159664</c:v>
                </c:pt>
                <c:pt idx="51">
                  <c:v>0.79817638699971571</c:v>
                </c:pt>
                <c:pt idx="52">
                  <c:v>0.82816108437109193</c:v>
                </c:pt>
                <c:pt idx="53">
                  <c:v>0.85450303975835906</c:v>
                </c:pt>
                <c:pt idx="54">
                  <c:v>0.87740468827985718</c:v>
                </c:pt>
                <c:pt idx="55">
                  <c:v>0.8971354919418093</c:v>
                </c:pt>
                <c:pt idx="56">
                  <c:v>0.91400201566045702</c:v>
                </c:pt>
                <c:pt idx="57">
                  <c:v>0.92832391728718622</c:v>
                </c:pt>
                <c:pt idx="58">
                  <c:v>0.94041617027076585</c:v>
                </c:pt>
                <c:pt idx="59">
                  <c:v>0.95057698620331765</c:v>
                </c:pt>
                <c:pt idx="60">
                  <c:v>0.95908047510394157</c:v>
                </c:pt>
                <c:pt idx="61">
                  <c:v>0.96617295862288388</c:v>
                </c:pt>
                <c:pt idx="62">
                  <c:v>0.97207191636988943</c:v>
                </c:pt>
                <c:pt idx="63">
                  <c:v>0.97696670309022537</c:v>
                </c:pt>
                <c:pt idx="64">
                  <c:v>0.98102036011876015</c:v>
                </c:pt>
                <c:pt idx="65">
                  <c:v>0.98437202125506518</c:v>
                </c:pt>
                <c:pt idx="66">
                  <c:v>0.98713956340918307</c:v>
                </c:pt>
                <c:pt idx="67">
                  <c:v>0.98942227092402102</c:v>
                </c:pt>
                <c:pt idx="68">
                  <c:v>0.99130337098214805</c:v>
                </c:pt>
                <c:pt idx="69">
                  <c:v>0.99285236054475878</c:v>
                </c:pt>
                <c:pt idx="70">
                  <c:v>0.99412708823440876</c:v>
                </c:pt>
                <c:pt idx="71">
                  <c:v>0.99517558250634286</c:v>
                </c:pt>
                <c:pt idx="72">
                  <c:v>0.99603763459068995</c:v>
                </c:pt>
                <c:pt idx="73">
                  <c:v>0.99674615435072378</c:v>
                </c:pt>
                <c:pt idx="74">
                  <c:v>0.99732832187411258</c:v>
                </c:pt>
                <c:pt idx="75">
                  <c:v>0.99780655908362637</c:v>
                </c:pt>
                <c:pt idx="76">
                  <c:v>0.99819934517016595</c:v>
                </c:pt>
                <c:pt idx="77">
                  <c:v>0.99852189806080827</c:v>
                </c:pt>
                <c:pt idx="78">
                  <c:v>0.99878674199467044</c:v>
                </c:pt>
                <c:pt idx="79">
                  <c:v>0.99900417894335802</c:v>
                </c:pt>
                <c:pt idx="80">
                  <c:v>0.99918267929525939</c:v>
                </c:pt>
                <c:pt idx="81">
                  <c:v>0.99932920504591038</c:v>
                </c:pt>
                <c:pt idx="82">
                  <c:v>0.99944947676165208</c:v>
                </c:pt>
                <c:pt idx="83">
                  <c:v>0.99954819383446303</c:v>
                </c:pt>
                <c:pt idx="84">
                  <c:v>0.99962921602269295</c:v>
                </c:pt>
                <c:pt idx="85">
                  <c:v>0.99969571296301307</c:v>
                </c:pt>
                <c:pt idx="86">
                  <c:v>0.99975028722397752</c:v>
                </c:pt>
                <c:pt idx="87">
                  <c:v>0.99979507552933011</c:v>
                </c:pt>
                <c:pt idx="88">
                  <c:v>0.99983183198745273</c:v>
                </c:pt>
                <c:pt idx="89">
                  <c:v>0.99986199650112284</c:v>
                </c:pt>
                <c:pt idx="90">
                  <c:v>0.99988675097985924</c:v>
                </c:pt>
                <c:pt idx="91">
                  <c:v>0.99990706551855202</c:v>
                </c:pt>
                <c:pt idx="92">
                  <c:v>0.99992373632588427</c:v>
                </c:pt>
                <c:pt idx="93">
                  <c:v>0.99993741687149329</c:v>
                </c:pt>
                <c:pt idx="94">
                  <c:v>0.99994864346090562</c:v>
                </c:pt>
                <c:pt idx="95">
                  <c:v>0.9999578562328425</c:v>
                </c:pt>
                <c:pt idx="96">
                  <c:v>0.99996541639670222</c:v>
                </c:pt>
                <c:pt idx="97">
                  <c:v>0.99997162038242915</c:v>
                </c:pt>
                <c:pt idx="98">
                  <c:v>0.99997671145513289</c:v>
                </c:pt>
              </c:numCache>
            </c:numRef>
          </c:yVal>
          <c:smooth val="0"/>
        </c:ser>
        <c:ser>
          <c:idx val="1"/>
          <c:order val="1"/>
          <c:spPr>
            <a:ln w="28575">
              <a:noFill/>
            </a:ln>
          </c:spPr>
          <c:xVal>
            <c:numRef>
              <c:f>Logistic2013!$D$9:$D$13</c:f>
              <c:numCache>
                <c:formatCode>0.0</c:formatCode>
                <c:ptCount val="5"/>
                <c:pt idx="0">
                  <c:v>34.408333333332848</c:v>
                </c:pt>
                <c:pt idx="1">
                  <c:v>38.402777777781012</c:v>
                </c:pt>
                <c:pt idx="2">
                  <c:v>42.429166666668607</c:v>
                </c:pt>
                <c:pt idx="3" formatCode="0.00">
                  <c:v>46.083333333335759</c:v>
                </c:pt>
                <c:pt idx="4" formatCode="0.00">
                  <c:v>51.472222222218988</c:v>
                </c:pt>
              </c:numCache>
            </c:numRef>
          </c:xVal>
          <c:yVal>
            <c:numRef>
              <c:f>Logistic2013!$E$9:$E$13</c:f>
              <c:numCache>
                <c:formatCode>0.0%</c:formatCode>
                <c:ptCount val="5"/>
                <c:pt idx="0">
                  <c:v>8.8999999999999996E-2</c:v>
                </c:pt>
                <c:pt idx="1">
                  <c:v>0.14199999999999999</c:v>
                </c:pt>
                <c:pt idx="2">
                  <c:v>0.38800000000000001</c:v>
                </c:pt>
                <c:pt idx="3">
                  <c:v>0.57099999999999995</c:v>
                </c:pt>
                <c:pt idx="4">
                  <c:v>0.71199999999999997</c:v>
                </c:pt>
              </c:numCache>
            </c:numRef>
          </c:yVal>
          <c:smooth val="0"/>
        </c:ser>
        <c:dLbls>
          <c:showLegendKey val="0"/>
          <c:showVal val="0"/>
          <c:showCatName val="0"/>
          <c:showSerName val="0"/>
          <c:showPercent val="0"/>
          <c:showBubbleSize val="0"/>
        </c:dLbls>
        <c:axId val="156747648"/>
        <c:axId val="156749184"/>
      </c:scatterChart>
      <c:valAx>
        <c:axId val="156747648"/>
        <c:scaling>
          <c:orientation val="minMax"/>
        </c:scaling>
        <c:delete val="0"/>
        <c:axPos val="b"/>
        <c:numFmt formatCode="0.0" sourceLinked="1"/>
        <c:majorTickMark val="out"/>
        <c:minorTickMark val="none"/>
        <c:tickLblPos val="nextTo"/>
        <c:crossAx val="156749184"/>
        <c:crosses val="autoZero"/>
        <c:crossBetween val="midCat"/>
      </c:valAx>
      <c:valAx>
        <c:axId val="156749184"/>
        <c:scaling>
          <c:orientation val="minMax"/>
        </c:scaling>
        <c:delete val="0"/>
        <c:axPos val="l"/>
        <c:majorGridlines/>
        <c:numFmt formatCode="0.00%" sourceLinked="1"/>
        <c:majorTickMark val="out"/>
        <c:minorTickMark val="none"/>
        <c:tickLblPos val="nextTo"/>
        <c:crossAx val="156747648"/>
        <c:crosses val="autoZero"/>
        <c:crossBetween val="midCat"/>
      </c:valAx>
    </c:plotArea>
    <c:legend>
      <c:legendPos val="r"/>
      <c:overlay val="0"/>
    </c:legend>
    <c:plotVisOnly val="1"/>
    <c:dispBlanksAs val="gap"/>
    <c:showDLblsOverMax val="0"/>
  </c:chart>
  <c:printSettings>
    <c:headerFooter/>
    <c:pageMargins b="0.75000000000000677" l="0.70000000000000062" r="0.70000000000000062" t="0.75000000000000677"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90233074361818E-2"/>
          <c:y val="3.7520391517128882E-2"/>
          <c:w val="0.88901220865704556"/>
          <c:h val="0.73083197389886601"/>
        </c:manualLayout>
      </c:layout>
      <c:scatterChart>
        <c:scatterStyle val="lineMarker"/>
        <c:varyColors val="0"/>
        <c:ser>
          <c:idx val="0"/>
          <c:order val="0"/>
          <c:tx>
            <c:strRef>
              <c:f>Logistic2012!$O$8</c:f>
              <c:strCache>
                <c:ptCount val="1"/>
                <c:pt idx="0">
                  <c:v>Logistic Curve</c:v>
                </c:pt>
              </c:strCache>
            </c:strRef>
          </c:tx>
          <c:spPr>
            <a:ln w="38100">
              <a:solidFill>
                <a:srgbClr val="000080"/>
              </a:solidFill>
              <a:prstDash val="solid"/>
            </a:ln>
          </c:spPr>
          <c:marker>
            <c:symbol val="none"/>
          </c:marker>
          <c:xVal>
            <c:numRef>
              <c:f>Logistic2012!$J$9:$J$80</c:f>
              <c:numCache>
                <c:formatCode>m/d/yyyy</c:formatCode>
                <c:ptCount val="72"/>
                <c:pt idx="0">
                  <c:v>37766</c:v>
                </c:pt>
                <c:pt idx="1">
                  <c:v>37767</c:v>
                </c:pt>
                <c:pt idx="2">
                  <c:v>37768</c:v>
                </c:pt>
                <c:pt idx="3">
                  <c:v>37769</c:v>
                </c:pt>
                <c:pt idx="4">
                  <c:v>37770</c:v>
                </c:pt>
                <c:pt idx="5">
                  <c:v>37771</c:v>
                </c:pt>
                <c:pt idx="6">
                  <c:v>37772</c:v>
                </c:pt>
                <c:pt idx="7">
                  <c:v>37773</c:v>
                </c:pt>
                <c:pt idx="8">
                  <c:v>37774</c:v>
                </c:pt>
                <c:pt idx="9">
                  <c:v>37775</c:v>
                </c:pt>
                <c:pt idx="10">
                  <c:v>37776</c:v>
                </c:pt>
                <c:pt idx="11">
                  <c:v>37777</c:v>
                </c:pt>
                <c:pt idx="12">
                  <c:v>37778</c:v>
                </c:pt>
                <c:pt idx="13">
                  <c:v>37779</c:v>
                </c:pt>
                <c:pt idx="14">
                  <c:v>37780</c:v>
                </c:pt>
                <c:pt idx="15">
                  <c:v>37781</c:v>
                </c:pt>
                <c:pt idx="16">
                  <c:v>37782</c:v>
                </c:pt>
                <c:pt idx="17">
                  <c:v>37783</c:v>
                </c:pt>
                <c:pt idx="18">
                  <c:v>37784</c:v>
                </c:pt>
                <c:pt idx="19">
                  <c:v>37785</c:v>
                </c:pt>
                <c:pt idx="20">
                  <c:v>37786</c:v>
                </c:pt>
                <c:pt idx="21">
                  <c:v>37787</c:v>
                </c:pt>
                <c:pt idx="22">
                  <c:v>37788</c:v>
                </c:pt>
                <c:pt idx="23">
                  <c:v>37789</c:v>
                </c:pt>
                <c:pt idx="24">
                  <c:v>37790</c:v>
                </c:pt>
                <c:pt idx="25">
                  <c:v>37791</c:v>
                </c:pt>
                <c:pt idx="26">
                  <c:v>37792</c:v>
                </c:pt>
                <c:pt idx="27">
                  <c:v>37793</c:v>
                </c:pt>
                <c:pt idx="28">
                  <c:v>37794</c:v>
                </c:pt>
                <c:pt idx="29">
                  <c:v>37795</c:v>
                </c:pt>
                <c:pt idx="30">
                  <c:v>37796</c:v>
                </c:pt>
                <c:pt idx="31">
                  <c:v>37797</c:v>
                </c:pt>
                <c:pt idx="32">
                  <c:v>37798</c:v>
                </c:pt>
                <c:pt idx="33">
                  <c:v>37799</c:v>
                </c:pt>
                <c:pt idx="34">
                  <c:v>37800</c:v>
                </c:pt>
                <c:pt idx="35">
                  <c:v>37801</c:v>
                </c:pt>
                <c:pt idx="36">
                  <c:v>37802</c:v>
                </c:pt>
                <c:pt idx="37">
                  <c:v>37803</c:v>
                </c:pt>
                <c:pt idx="38">
                  <c:v>37804</c:v>
                </c:pt>
                <c:pt idx="39">
                  <c:v>37805</c:v>
                </c:pt>
                <c:pt idx="40">
                  <c:v>37806</c:v>
                </c:pt>
                <c:pt idx="41">
                  <c:v>37807</c:v>
                </c:pt>
                <c:pt idx="42">
                  <c:v>37808</c:v>
                </c:pt>
                <c:pt idx="43">
                  <c:v>37809</c:v>
                </c:pt>
                <c:pt idx="44">
                  <c:v>37810</c:v>
                </c:pt>
                <c:pt idx="45">
                  <c:v>37811</c:v>
                </c:pt>
                <c:pt idx="46">
                  <c:v>37812</c:v>
                </c:pt>
                <c:pt idx="47">
                  <c:v>37813</c:v>
                </c:pt>
                <c:pt idx="48">
                  <c:v>37814</c:v>
                </c:pt>
                <c:pt idx="49">
                  <c:v>37815</c:v>
                </c:pt>
                <c:pt idx="50">
                  <c:v>37816</c:v>
                </c:pt>
                <c:pt idx="51">
                  <c:v>37817</c:v>
                </c:pt>
                <c:pt idx="52">
                  <c:v>37818</c:v>
                </c:pt>
                <c:pt idx="53">
                  <c:v>37819</c:v>
                </c:pt>
                <c:pt idx="54">
                  <c:v>37820</c:v>
                </c:pt>
                <c:pt idx="55">
                  <c:v>37821</c:v>
                </c:pt>
                <c:pt idx="56">
                  <c:v>37822</c:v>
                </c:pt>
                <c:pt idx="57">
                  <c:v>37823</c:v>
                </c:pt>
                <c:pt idx="58">
                  <c:v>37824</c:v>
                </c:pt>
                <c:pt idx="59">
                  <c:v>37825</c:v>
                </c:pt>
                <c:pt idx="60">
                  <c:v>37826</c:v>
                </c:pt>
                <c:pt idx="61">
                  <c:v>37827</c:v>
                </c:pt>
                <c:pt idx="62">
                  <c:v>37828</c:v>
                </c:pt>
                <c:pt idx="63">
                  <c:v>37829</c:v>
                </c:pt>
                <c:pt idx="64">
                  <c:v>37830</c:v>
                </c:pt>
                <c:pt idx="65">
                  <c:v>37831</c:v>
                </c:pt>
                <c:pt idx="66">
                  <c:v>37832</c:v>
                </c:pt>
                <c:pt idx="67">
                  <c:v>37833</c:v>
                </c:pt>
                <c:pt idx="68">
                  <c:v>37834</c:v>
                </c:pt>
                <c:pt idx="69">
                  <c:v>37835</c:v>
                </c:pt>
                <c:pt idx="70">
                  <c:v>37836</c:v>
                </c:pt>
                <c:pt idx="71">
                  <c:v>37837</c:v>
                </c:pt>
              </c:numCache>
            </c:numRef>
          </c:xVal>
          <c:yVal>
            <c:numRef>
              <c:f>Logistic2012!$L$9:$L$80</c:f>
              <c:numCache>
                <c:formatCode>0.00%</c:formatCode>
                <c:ptCount val="72"/>
                <c:pt idx="0">
                  <c:v>1.3047124400263937E-5</c:v>
                </c:pt>
                <c:pt idx="1">
                  <c:v>1.7293316460842745E-5</c:v>
                </c:pt>
                <c:pt idx="2">
                  <c:v>2.2921401816876036E-5</c:v>
                </c:pt>
                <c:pt idx="3">
                  <c:v>3.0381083934500269E-5</c:v>
                </c:pt>
                <c:pt idx="4">
                  <c:v>4.0268393161481414E-5</c:v>
                </c:pt>
                <c:pt idx="5">
                  <c:v>5.3373285608644894E-5</c:v>
                </c:pt>
                <c:pt idx="6">
                  <c:v>7.0742715149375355E-5</c:v>
                </c:pt>
                <c:pt idx="7">
                  <c:v>9.376420056852192E-5</c:v>
                </c:pt>
                <c:pt idx="8">
                  <c:v>1.2427653391392171E-4</c:v>
                </c:pt>
                <c:pt idx="9">
                  <c:v>1.6471642078997898E-4</c:v>
                </c:pt>
                <c:pt idx="10">
                  <c:v>2.1831267218257427E-4</c:v>
                </c:pt>
                <c:pt idx="11">
                  <c:v>2.8934329263929074E-4</c:v>
                </c:pt>
                <c:pt idx="12">
                  <c:v>3.8347570467222935E-4</c:v>
                </c:pt>
                <c:pt idx="13">
                  <c:v>5.0821676274457185E-4</c:v>
                </c:pt>
                <c:pt idx="14">
                  <c:v>6.7350758018346741E-4</c:v>
                </c:pt>
                <c:pt idx="15">
                  <c:v>8.9250905741042764E-4</c:v>
                </c:pt>
                <c:pt idx="16">
                  <c:v>1.1826380006716123E-3</c:v>
                </c:pt>
                <c:pt idx="17">
                  <c:v>1.5669315790569664E-3</c:v>
                </c:pt>
                <c:pt idx="18">
                  <c:v>2.0758403211665732E-3</c:v>
                </c:pt>
                <c:pt idx="19">
                  <c:v>2.7495774998194159E-3</c:v>
                </c:pt>
                <c:pt idx="20">
                  <c:v>3.6411857399598351E-3</c:v>
                </c:pt>
                <c:pt idx="21">
                  <c:v>4.8205191098368919E-3</c:v>
                </c:pt>
                <c:pt idx="22">
                  <c:v>6.3793777934349673E-3</c:v>
                </c:pt>
                <c:pt idx="23">
                  <c:v>8.4380656815857633E-3</c:v>
                </c:pt>
                <c:pt idx="24">
                  <c:v>1.1153654773175007E-2</c:v>
                </c:pt>
                <c:pt idx="25">
                  <c:v>1.4730208117273366E-2</c:v>
                </c:pt>
                <c:pt idx="26">
                  <c:v>1.9431090047243374E-2</c:v>
                </c:pt>
                <c:pt idx="27">
                  <c:v>2.5593205192476959E-2</c:v>
                </c:pt>
                <c:pt idx="28">
                  <c:v>3.3642444995717141E-2</c:v>
                </c:pt>
                <c:pt idx="29">
                  <c:v>4.4108630611742444E-2</c:v>
                </c:pt>
                <c:pt idx="30">
                  <c:v>5.7636652655196713E-2</c:v>
                </c:pt>
                <c:pt idx="31">
                  <c:v>7.4988206077094277E-2</c:v>
                </c:pt>
                <c:pt idx="32">
                  <c:v>9.7025625185121492E-2</c:v>
                </c:pt>
                <c:pt idx="33">
                  <c:v>0.12466653434235597</c:v>
                </c:pt>
                <c:pt idx="34">
                  <c:v>0.15879706245150543</c:v>
                </c:pt>
                <c:pt idx="35">
                  <c:v>0.20013524384424056</c:v>
                </c:pt>
                <c:pt idx="36">
                  <c:v>0.24904863007932609</c:v>
                </c:pt>
                <c:pt idx="37">
                  <c:v>0.305352827303353</c:v>
                </c:pt>
                <c:pt idx="38">
                  <c:v>0.36814581574831806</c:v>
                </c:pt>
                <c:pt idx="39">
                  <c:v>0.43575141803734668</c:v>
                </c:pt>
                <c:pt idx="40">
                  <c:v>0.50583314045327965</c:v>
                </c:pt>
                <c:pt idx="41">
                  <c:v>0.57568638565895403</c:v>
                </c:pt>
                <c:pt idx="42">
                  <c:v>0.64264132609442637</c:v>
                </c:pt>
                <c:pt idx="43">
                  <c:v>0.70445500599729416</c:v>
                </c:pt>
                <c:pt idx="44">
                  <c:v>0.75957665857936152</c:v>
                </c:pt>
                <c:pt idx="45">
                  <c:v>0.80723088335731508</c:v>
                </c:pt>
                <c:pt idx="46">
                  <c:v>0.84733797197047156</c:v>
                </c:pt>
                <c:pt idx="47">
                  <c:v>0.88033746149866898</c:v>
                </c:pt>
                <c:pt idx="48">
                  <c:v>0.90698678458713511</c:v>
                </c:pt>
                <c:pt idx="49">
                  <c:v>0.92818534536183761</c:v>
                </c:pt>
                <c:pt idx="50">
                  <c:v>0.94484635359283697</c:v>
                </c:pt>
                <c:pt idx="51">
                  <c:v>0.95781767101181692</c:v>
                </c:pt>
                <c:pt idx="52">
                  <c:v>0.96784215671441909</c:v>
                </c:pt>
                <c:pt idx="53">
                  <c:v>0.9755451818333517</c:v>
                </c:pt>
                <c:pt idx="54">
                  <c:v>0.98143842698436556</c:v>
                </c:pt>
                <c:pt idx="55">
                  <c:v>0.98593196828816942</c:v>
                </c:pt>
                <c:pt idx="56">
                  <c:v>0.98934948053865557</c:v>
                </c:pt>
                <c:pt idx="57">
                  <c:v>0.99194356891500257</c:v>
                </c:pt>
                <c:pt idx="58">
                  <c:v>0.99390971890382285</c:v>
                </c:pt>
                <c:pt idx="59">
                  <c:v>0.99539826136330956</c:v>
                </c:pt>
                <c:pt idx="60">
                  <c:v>0.99652425732932814</c:v>
                </c:pt>
                <c:pt idx="61">
                  <c:v>0.997375460642977</c:v>
                </c:pt>
                <c:pt idx="62">
                  <c:v>0.99801862022624632</c:v>
                </c:pt>
                <c:pt idx="63">
                  <c:v>0.99850440592154854</c:v>
                </c:pt>
                <c:pt idx="64">
                  <c:v>0.99887122359333258</c:v>
                </c:pt>
                <c:pt idx="65">
                  <c:v>0.99914815028883153</c:v>
                </c:pt>
                <c:pt idx="66">
                  <c:v>0.99935718130385254</c:v>
                </c:pt>
                <c:pt idx="67">
                  <c:v>0.99951494417545994</c:v>
                </c:pt>
                <c:pt idx="68">
                  <c:v>0.99963400249695022</c:v>
                </c:pt>
                <c:pt idx="69">
                  <c:v>0.99972384569134753</c:v>
                </c:pt>
                <c:pt idx="70">
                  <c:v>0.99979163923499548</c:v>
                </c:pt>
                <c:pt idx="71">
                  <c:v>0.99984279265499731</c:v>
                </c:pt>
              </c:numCache>
            </c:numRef>
          </c:yVal>
          <c:smooth val="1"/>
        </c:ser>
        <c:ser>
          <c:idx val="1"/>
          <c:order val="1"/>
          <c:tx>
            <c:strRef>
              <c:f>Logistic2012!$E$8</c:f>
              <c:strCache>
                <c:ptCount val="1"/>
                <c:pt idx="0">
                  <c:v>Run apportionment estimates</c:v>
                </c:pt>
              </c:strCache>
            </c:strRef>
          </c:tx>
          <c:spPr>
            <a:ln w="28575">
              <a:noFill/>
            </a:ln>
          </c:spPr>
          <c:marker>
            <c:symbol val="circle"/>
            <c:size val="7"/>
            <c:spPr>
              <a:solidFill>
                <a:srgbClr val="99CC00"/>
              </a:solidFill>
              <a:ln>
                <a:solidFill>
                  <a:srgbClr val="000000"/>
                </a:solidFill>
                <a:prstDash val="solid"/>
              </a:ln>
            </c:spPr>
          </c:marker>
          <c:dPt>
            <c:idx val="56"/>
            <c:marker>
              <c:symbol val="none"/>
            </c:marker>
            <c:bubble3D val="0"/>
          </c:dPt>
          <c:xVal>
            <c:numRef>
              <c:f>Logistic2012!$B$9:$B$65</c:f>
              <c:numCache>
                <c:formatCode>m/d/yyyy</c:formatCode>
                <c:ptCount val="57"/>
                <c:pt idx="0">
                  <c:v>37783</c:v>
                </c:pt>
                <c:pt idx="1">
                  <c:v>37790</c:v>
                </c:pt>
                <c:pt idx="2">
                  <c:v>37797</c:v>
                </c:pt>
                <c:pt idx="3">
                  <c:v>37803</c:v>
                </c:pt>
                <c:pt idx="4">
                  <c:v>37807</c:v>
                </c:pt>
                <c:pt idx="5">
                  <c:v>37810</c:v>
                </c:pt>
                <c:pt idx="6">
                  <c:v>37813</c:v>
                </c:pt>
                <c:pt idx="7">
                  <c:v>37816</c:v>
                </c:pt>
                <c:pt idx="8">
                  <c:v>37819</c:v>
                </c:pt>
                <c:pt idx="9">
                  <c:v>37823</c:v>
                </c:pt>
                <c:pt idx="10">
                  <c:v>37830</c:v>
                </c:pt>
                <c:pt idx="56">
                  <c:v>37833</c:v>
                </c:pt>
              </c:numCache>
            </c:numRef>
          </c:xVal>
          <c:yVal>
            <c:numRef>
              <c:f>Logistic2012!$E$9:$E$65</c:f>
              <c:numCache>
                <c:formatCode>0.0%</c:formatCode>
                <c:ptCount val="57"/>
                <c:pt idx="0">
                  <c:v>2.4E-2</c:v>
                </c:pt>
                <c:pt idx="1">
                  <c:v>3.5999999999999997E-2</c:v>
                </c:pt>
                <c:pt idx="2">
                  <c:v>7.0000000000000001E-3</c:v>
                </c:pt>
                <c:pt idx="3">
                  <c:v>0.35599999999999998</c:v>
                </c:pt>
                <c:pt idx="4">
                  <c:v>0.51500000000000001</c:v>
                </c:pt>
                <c:pt idx="5">
                  <c:v>0.90137308332499999</c:v>
                </c:pt>
                <c:pt idx="6">
                  <c:v>0.77536357529</c:v>
                </c:pt>
                <c:pt idx="7">
                  <c:v>0.93005344240999999</c:v>
                </c:pt>
                <c:pt idx="8">
                  <c:v>0.99689491875000003</c:v>
                </c:pt>
                <c:pt idx="9">
                  <c:v>0.99354700465000001</c:v>
                </c:pt>
                <c:pt idx="10">
                  <c:v>0.99986735576999997</c:v>
                </c:pt>
                <c:pt idx="56">
                  <c:v>1</c:v>
                </c:pt>
              </c:numCache>
            </c:numRef>
          </c:yVal>
          <c:smooth val="0"/>
        </c:ser>
        <c:ser>
          <c:idx val="2"/>
          <c:order val="2"/>
          <c:marker>
            <c:symbol val="none"/>
          </c:marker>
          <c:xVal>
            <c:numRef>
              <c:f>Logistic2012!$J$9:$J$107</c:f>
              <c:numCache>
                <c:formatCode>m/d/yyyy</c:formatCode>
                <c:ptCount val="99"/>
                <c:pt idx="0">
                  <c:v>37766</c:v>
                </c:pt>
                <c:pt idx="1">
                  <c:v>37767</c:v>
                </c:pt>
                <c:pt idx="2">
                  <c:v>37768</c:v>
                </c:pt>
                <c:pt idx="3">
                  <c:v>37769</c:v>
                </c:pt>
                <c:pt idx="4">
                  <c:v>37770</c:v>
                </c:pt>
                <c:pt idx="5">
                  <c:v>37771</c:v>
                </c:pt>
                <c:pt idx="6">
                  <c:v>37772</c:v>
                </c:pt>
                <c:pt idx="7">
                  <c:v>37773</c:v>
                </c:pt>
                <c:pt idx="8">
                  <c:v>37774</c:v>
                </c:pt>
                <c:pt idx="9">
                  <c:v>37775</c:v>
                </c:pt>
                <c:pt idx="10">
                  <c:v>37776</c:v>
                </c:pt>
                <c:pt idx="11">
                  <c:v>37777</c:v>
                </c:pt>
                <c:pt idx="12">
                  <c:v>37778</c:v>
                </c:pt>
                <c:pt idx="13">
                  <c:v>37779</c:v>
                </c:pt>
                <c:pt idx="14">
                  <c:v>37780</c:v>
                </c:pt>
                <c:pt idx="15">
                  <c:v>37781</c:v>
                </c:pt>
                <c:pt idx="16">
                  <c:v>37782</c:v>
                </c:pt>
                <c:pt idx="17">
                  <c:v>37783</c:v>
                </c:pt>
                <c:pt idx="18">
                  <c:v>37784</c:v>
                </c:pt>
                <c:pt idx="19">
                  <c:v>37785</c:v>
                </c:pt>
                <c:pt idx="20">
                  <c:v>37786</c:v>
                </c:pt>
                <c:pt idx="21">
                  <c:v>37787</c:v>
                </c:pt>
                <c:pt idx="22">
                  <c:v>37788</c:v>
                </c:pt>
                <c:pt idx="23">
                  <c:v>37789</c:v>
                </c:pt>
                <c:pt idx="24">
                  <c:v>37790</c:v>
                </c:pt>
                <c:pt idx="25">
                  <c:v>37791</c:v>
                </c:pt>
                <c:pt idx="26">
                  <c:v>37792</c:v>
                </c:pt>
                <c:pt idx="27">
                  <c:v>37793</c:v>
                </c:pt>
                <c:pt idx="28">
                  <c:v>37794</c:v>
                </c:pt>
                <c:pt idx="29">
                  <c:v>37795</c:v>
                </c:pt>
                <c:pt idx="30">
                  <c:v>37796</c:v>
                </c:pt>
                <c:pt idx="31">
                  <c:v>37797</c:v>
                </c:pt>
                <c:pt idx="32">
                  <c:v>37798</c:v>
                </c:pt>
                <c:pt idx="33">
                  <c:v>37799</c:v>
                </c:pt>
                <c:pt idx="34">
                  <c:v>37800</c:v>
                </c:pt>
                <c:pt idx="35">
                  <c:v>37801</c:v>
                </c:pt>
                <c:pt idx="36">
                  <c:v>37802</c:v>
                </c:pt>
                <c:pt idx="37">
                  <c:v>37803</c:v>
                </c:pt>
                <c:pt idx="38">
                  <c:v>37804</c:v>
                </c:pt>
                <c:pt idx="39">
                  <c:v>37805</c:v>
                </c:pt>
                <c:pt idx="40">
                  <c:v>37806</c:v>
                </c:pt>
                <c:pt idx="41">
                  <c:v>37807</c:v>
                </c:pt>
                <c:pt idx="42">
                  <c:v>37808</c:v>
                </c:pt>
                <c:pt idx="43">
                  <c:v>37809</c:v>
                </c:pt>
                <c:pt idx="44">
                  <c:v>37810</c:v>
                </c:pt>
                <c:pt idx="45">
                  <c:v>37811</c:v>
                </c:pt>
                <c:pt idx="46">
                  <c:v>37812</c:v>
                </c:pt>
                <c:pt idx="47">
                  <c:v>37813</c:v>
                </c:pt>
                <c:pt idx="48">
                  <c:v>37814</c:v>
                </c:pt>
                <c:pt idx="49">
                  <c:v>37815</c:v>
                </c:pt>
                <c:pt idx="50">
                  <c:v>37816</c:v>
                </c:pt>
                <c:pt idx="51">
                  <c:v>37817</c:v>
                </c:pt>
                <c:pt idx="52">
                  <c:v>37818</c:v>
                </c:pt>
                <c:pt idx="53">
                  <c:v>37819</c:v>
                </c:pt>
                <c:pt idx="54">
                  <c:v>37820</c:v>
                </c:pt>
                <c:pt idx="55">
                  <c:v>37821</c:v>
                </c:pt>
                <c:pt idx="56">
                  <c:v>37822</c:v>
                </c:pt>
                <c:pt idx="57">
                  <c:v>37823</c:v>
                </c:pt>
                <c:pt idx="58">
                  <c:v>37824</c:v>
                </c:pt>
                <c:pt idx="59">
                  <c:v>37825</c:v>
                </c:pt>
                <c:pt idx="60">
                  <c:v>37826</c:v>
                </c:pt>
                <c:pt idx="61">
                  <c:v>37827</c:v>
                </c:pt>
                <c:pt idx="62">
                  <c:v>37828</c:v>
                </c:pt>
                <c:pt idx="63">
                  <c:v>37829</c:v>
                </c:pt>
                <c:pt idx="64">
                  <c:v>37830</c:v>
                </c:pt>
                <c:pt idx="65">
                  <c:v>37831</c:v>
                </c:pt>
                <c:pt idx="66">
                  <c:v>37832</c:v>
                </c:pt>
                <c:pt idx="67">
                  <c:v>37833</c:v>
                </c:pt>
                <c:pt idx="68">
                  <c:v>37834</c:v>
                </c:pt>
                <c:pt idx="69">
                  <c:v>37835</c:v>
                </c:pt>
                <c:pt idx="70">
                  <c:v>37836</c:v>
                </c:pt>
                <c:pt idx="71">
                  <c:v>37837</c:v>
                </c:pt>
                <c:pt idx="72">
                  <c:v>37838</c:v>
                </c:pt>
                <c:pt idx="73">
                  <c:v>37839</c:v>
                </c:pt>
                <c:pt idx="74">
                  <c:v>37840</c:v>
                </c:pt>
                <c:pt idx="75">
                  <c:v>37841</c:v>
                </c:pt>
                <c:pt idx="76">
                  <c:v>37842</c:v>
                </c:pt>
                <c:pt idx="77">
                  <c:v>37843</c:v>
                </c:pt>
                <c:pt idx="78">
                  <c:v>37844</c:v>
                </c:pt>
                <c:pt idx="79">
                  <c:v>37845</c:v>
                </c:pt>
                <c:pt idx="80">
                  <c:v>37846</c:v>
                </c:pt>
                <c:pt idx="81">
                  <c:v>37847</c:v>
                </c:pt>
                <c:pt idx="82">
                  <c:v>37848</c:v>
                </c:pt>
                <c:pt idx="83">
                  <c:v>37849</c:v>
                </c:pt>
                <c:pt idx="84">
                  <c:v>37850</c:v>
                </c:pt>
                <c:pt idx="85">
                  <c:v>37851</c:v>
                </c:pt>
                <c:pt idx="86">
                  <c:v>37852</c:v>
                </c:pt>
                <c:pt idx="87">
                  <c:v>37853</c:v>
                </c:pt>
                <c:pt idx="88">
                  <c:v>37854</c:v>
                </c:pt>
                <c:pt idx="89">
                  <c:v>37855</c:v>
                </c:pt>
                <c:pt idx="90">
                  <c:v>37856</c:v>
                </c:pt>
                <c:pt idx="91">
                  <c:v>37857</c:v>
                </c:pt>
                <c:pt idx="92">
                  <c:v>37858</c:v>
                </c:pt>
                <c:pt idx="93">
                  <c:v>37859</c:v>
                </c:pt>
                <c:pt idx="94">
                  <c:v>37860</c:v>
                </c:pt>
                <c:pt idx="95">
                  <c:v>37861</c:v>
                </c:pt>
                <c:pt idx="96">
                  <c:v>37862</c:v>
                </c:pt>
                <c:pt idx="97">
                  <c:v>37863</c:v>
                </c:pt>
                <c:pt idx="98">
                  <c:v>37864</c:v>
                </c:pt>
              </c:numCache>
            </c:numRef>
          </c:xVal>
          <c:yVal>
            <c:numRef>
              <c:f>Logistic2012!$Q$9:$Q$107</c:f>
              <c:numCache>
                <c:formatCode>General</c:formatCode>
                <c:ptCount val="99"/>
                <c:pt idx="3" formatCode="0.0%">
                  <c:v>1.3958317686261709E-4</c:v>
                </c:pt>
                <c:pt idx="4" formatCode="0.0%">
                  <c:v>1.7045928901654236E-4</c:v>
                </c:pt>
                <c:pt idx="5" formatCode="0.0%">
                  <c:v>0</c:v>
                </c:pt>
                <c:pt idx="6" formatCode="0.0%">
                  <c:v>6.2104077545281245E-5</c:v>
                </c:pt>
                <c:pt idx="7" formatCode="0.0%">
                  <c:v>8.271689671114933E-5</c:v>
                </c:pt>
                <c:pt idx="8" formatCode="0.0%">
                  <c:v>1.1017051470513796E-4</c:v>
                </c:pt>
                <c:pt idx="9" formatCode="0.0%">
                  <c:v>1.4673461154601208E-4</c:v>
                </c:pt>
                <c:pt idx="10" formatCode="0.0%">
                  <c:v>1.9543146345089269E-4</c:v>
                </c:pt>
                <c:pt idx="11" formatCode="0.0%">
                  <c:v>2.6028514457293443E-4</c:v>
                </c:pt>
                <c:pt idx="12" formatCode="0.0%">
                  <c:v>3.4665297481631412E-4</c:v>
                </c:pt>
                <c:pt idx="13" formatCode="0.0%">
                  <c:v>4.6166614885428784E-4</c:v>
                </c:pt>
                <c:pt idx="14" formatCode="0.0%">
                  <c:v>6.1481514040778599E-4</c:v>
                </c:pt>
                <c:pt idx="15" formatCode="0.0%">
                  <c:v>8.1872679212602632E-4</c:v>
                </c:pt>
                <c:pt idx="16" formatCode="0.0%">
                  <c:v>1.0901946909765959E-3</c:v>
                </c:pt>
                <c:pt idx="17" formatCode="0.0%">
                  <c:v>1.4515433191966043E-3</c:v>
                </c:pt>
                <c:pt idx="18" formatCode="0.0%">
                  <c:v>1.9324304426046567E-3</c:v>
                </c:pt>
                <c:pt idx="19" formatCode="0.0%">
                  <c:v>2.5722220404043386E-3</c:v>
                </c:pt>
                <c:pt idx="20" formatCode="0.0%">
                  <c:v>3.4231101794941045E-3</c:v>
                </c:pt>
                <c:pt idx="21" formatCode="0.0%">
                  <c:v>4.5541859663405402E-3</c:v>
                </c:pt>
                <c:pt idx="22" formatCode="0.0%">
                  <c:v>6.0567243090960737E-3</c:v>
                </c:pt>
                <c:pt idx="23" formatCode="0.0%">
                  <c:v>8.0509778061675936E-3</c:v>
                </c:pt>
                <c:pt idx="24" formatCode="0.0%">
                  <c:v>1.0694799271914295E-2</c:v>
                </c:pt>
                <c:pt idx="25" formatCode="0.0%">
                  <c:v>1.4194388945639416E-2</c:v>
                </c:pt>
                <c:pt idx="26" formatCode="0.0%">
                  <c:v>1.8817345014281332E-2</c:v>
                </c:pt>
                <c:pt idx="27" formatCode="0.0%">
                  <c:v>2.4907904460513997E-2</c:v>
                </c:pt>
                <c:pt idx="28" formatCode="0.0%">
                  <c:v>3.2903671432563369E-2</c:v>
                </c:pt>
                <c:pt idx="29" formatCode="0.0%">
                  <c:v>4.3352069231991391E-2</c:v>
                </c:pt>
                <c:pt idx="30" formatCode="0.0%">
                  <c:v>5.6923017026269736E-2</c:v>
                </c:pt>
                <c:pt idx="31" formatCode="0.0%">
                  <c:v>7.4411773683001156E-2</c:v>
                </c:pt>
                <c:pt idx="32" formatCode="0.0%">
                  <c:v>9.6722617460862401E-2</c:v>
                </c:pt>
                <c:pt idx="33" formatCode="0.0%">
                  <c:v>0.12482080008468176</c:v>
                </c:pt>
                <c:pt idx="34" formatCode="0.0%">
                  <c:v>0.15963897994445775</c:v>
                </c:pt>
                <c:pt idx="35" formatCode="0.0%">
                  <c:v>0.20192861027500136</c:v>
                </c:pt>
                <c:pt idx="36" formatCode="0.0%">
                  <c:v>0.25206087357123486</c:v>
                </c:pt>
                <c:pt idx="37" formatCode="0.0%">
                  <c:v>0.30980777704027063</c:v>
                </c:pt>
                <c:pt idx="38" formatCode="0.0%">
                  <c:v>0.37416608438208854</c:v>
                </c:pt>
                <c:pt idx="39" formatCode="0.0%">
                  <c:v>0.44330675299696459</c:v>
                </c:pt>
                <c:pt idx="40">
                  <c:v>0.51471586655781365</c:v>
                </c:pt>
                <c:pt idx="41">
                  <c:v>0.58552915257129856</c:v>
                </c:pt>
                <c:pt idx="42">
                  <c:v>0.65297594566306583</c:v>
                </c:pt>
                <c:pt idx="43">
                  <c:v>0.71479326435445212</c:v>
                </c:pt>
                <c:pt idx="44">
                  <c:v>0.76948613379160047</c:v>
                </c:pt>
                <c:pt idx="45">
                  <c:v>0.81638498403003179</c:v>
                </c:pt>
                <c:pt idx="46">
                  <c:v>0.85553350414652685</c:v>
                </c:pt>
                <c:pt idx="47">
                  <c:v>0.88748554172196392</c:v>
                </c:pt>
                <c:pt idx="48">
                  <c:v>0.91308857223820117</c:v>
                </c:pt>
                <c:pt idx="49">
                  <c:v>0.93330339143718788</c:v>
                </c:pt>
                <c:pt idx="50">
                  <c:v>0.94907863528681002</c:v>
                </c:pt>
                <c:pt idx="51">
                  <c:v>0.96127748661561918</c:v>
                </c:pt>
                <c:pt idx="52">
                  <c:v>0.97064434164342128</c:v>
                </c:pt>
                <c:pt idx="53">
                  <c:v>0.97779771637475388</c:v>
                </c:pt>
                <c:pt idx="54">
                  <c:v>0.98323806162233796</c:v>
                </c:pt>
                <c:pt idx="55">
                  <c:v>0.98736255895680802</c:v>
                </c:pt>
                <c:pt idx="56">
                  <c:v>0.99048199337810516</c:v>
                </c:pt>
                <c:pt idx="57">
                  <c:v>0.99283701063466723</c:v>
                </c:pt>
                <c:pt idx="58">
                  <c:v>0.99461250113431077</c:v>
                </c:pt>
                <c:pt idx="59">
                  <c:v>0.99594969608518535</c:v>
                </c:pt>
                <c:pt idx="60">
                  <c:v>0.99695601060889649</c:v>
                </c:pt>
                <c:pt idx="61">
                  <c:v>0.99771287634461936</c:v>
                </c:pt>
                <c:pt idx="62">
                  <c:v>0.99828187726084372</c:v>
                </c:pt>
                <c:pt idx="63">
                  <c:v>0.99870950266811021</c:v>
                </c:pt>
                <c:pt idx="64">
                  <c:v>0.99903079926177196</c:v>
                </c:pt>
                <c:pt idx="65">
                  <c:v>0.99927216057350388</c:v>
                </c:pt>
                <c:pt idx="66">
                  <c:v>0.99945344824920912</c:v>
                </c:pt>
                <c:pt idx="67">
                  <c:v>0.99958959997534225</c:v>
                </c:pt>
                <c:pt idx="68">
                  <c:v>0.999691845347639</c:v>
                </c:pt>
                <c:pt idx="69">
                  <c:v>0.99976862362515118</c:v>
                </c:pt>
                <c:pt idx="70">
                  <c:v>0.99982627553397851</c:v>
                </c:pt>
                <c:pt idx="71">
                  <c:v>0.99986956422634365</c:v>
                </c:pt>
                <c:pt idx="72">
                  <c:v>0.99990206729144204</c:v>
                </c:pt>
                <c:pt idx="73">
                  <c:v>0.99992647156951309</c:v>
                </c:pt>
                <c:pt idx="74">
                  <c:v>0.99994479477502707</c:v>
                </c:pt>
                <c:pt idx="75">
                  <c:v>0.99995855204677475</c:v>
                </c:pt>
                <c:pt idx="76">
                  <c:v>0.99996888108077731</c:v>
                </c:pt>
                <c:pt idx="77">
                  <c:v>0.99997663612879639</c:v>
                </c:pt>
                <c:pt idx="78">
                  <c:v>0.99998245859958268</c:v>
                </c:pt>
                <c:pt idx="79">
                  <c:v>0.99998683008139233</c:v>
                </c:pt>
                <c:pt idx="80">
                  <c:v>0.99999011215963096</c:v>
                </c:pt>
                <c:pt idx="81">
                  <c:v>0.9999925763165205</c:v>
                </c:pt>
                <c:pt idx="82">
                  <c:v>0.99999442638225311</c:v>
                </c:pt>
                <c:pt idx="83">
                  <c:v>0.99999581539264815</c:v>
                </c:pt>
                <c:pt idx="84">
                  <c:v>0.99999685824657825</c:v>
                </c:pt>
                <c:pt idx="85">
                  <c:v>0.99999764120951673</c:v>
                </c:pt>
                <c:pt idx="86">
                  <c:v>0.99999822904897007</c:v>
                </c:pt>
                <c:pt idx="87">
                  <c:v>0.99999867039183277</c:v>
                </c:pt>
                <c:pt idx="88">
                  <c:v>0.99999900174671486</c:v>
                </c:pt>
                <c:pt idx="89">
                  <c:v>0.99999925052390337</c:v>
                </c:pt>
                <c:pt idx="90">
                  <c:v>0.99999943730274388</c:v>
                </c:pt>
                <c:pt idx="91">
                  <c:v>0.99999957753397495</c:v>
                </c:pt>
                <c:pt idx="92">
                  <c:v>0.99999968281783125</c:v>
                </c:pt>
                <c:pt idx="93">
                  <c:v>0.99999976186363015</c:v>
                </c:pt>
                <c:pt idx="94">
                  <c:v>0.99999982121022213</c:v>
                </c:pt>
                <c:pt idx="95">
                  <c:v>0.99999986576689559</c:v>
                </c:pt>
                <c:pt idx="96">
                  <c:v>0.99999989921948373</c:v>
                </c:pt>
                <c:pt idx="97">
                  <c:v>0.99999992433526419</c:v>
                </c:pt>
                <c:pt idx="98">
                  <c:v>0.99999994319187457</c:v>
                </c:pt>
              </c:numCache>
            </c:numRef>
          </c:yVal>
          <c:smooth val="0"/>
        </c:ser>
        <c:ser>
          <c:idx val="3"/>
          <c:order val="3"/>
          <c:spPr>
            <a:ln>
              <a:noFill/>
            </a:ln>
          </c:spPr>
          <c:marker>
            <c:spPr>
              <a:solidFill>
                <a:srgbClr val="4F81BD"/>
              </a:solidFill>
            </c:spPr>
          </c:marker>
          <c:xVal>
            <c:numRef>
              <c:f>Logistic2012!$Y$61:$Y$66</c:f>
              <c:numCache>
                <c:formatCode>m/d/yyyy</c:formatCode>
                <c:ptCount val="6"/>
                <c:pt idx="0">
                  <c:v>37783</c:v>
                </c:pt>
                <c:pt idx="1">
                  <c:v>37810</c:v>
                </c:pt>
                <c:pt idx="2">
                  <c:v>37813</c:v>
                </c:pt>
                <c:pt idx="3">
                  <c:v>37816</c:v>
                </c:pt>
                <c:pt idx="4">
                  <c:v>37819</c:v>
                </c:pt>
                <c:pt idx="5">
                  <c:v>37823</c:v>
                </c:pt>
              </c:numCache>
            </c:numRef>
          </c:xVal>
          <c:yVal>
            <c:numRef>
              <c:f>Logistic2012!$Z$61:$Z$66</c:f>
              <c:numCache>
                <c:formatCode>0.00%</c:formatCode>
                <c:ptCount val="6"/>
                <c:pt idx="1">
                  <c:v>0.90100000000000002</c:v>
                </c:pt>
                <c:pt idx="2">
                  <c:v>0.77500000000000002</c:v>
                </c:pt>
                <c:pt idx="3">
                  <c:v>0.93</c:v>
                </c:pt>
                <c:pt idx="4">
                  <c:v>0.997</c:v>
                </c:pt>
                <c:pt idx="5">
                  <c:v>0.99399999999999999</c:v>
                </c:pt>
              </c:numCache>
            </c:numRef>
          </c:yVal>
          <c:smooth val="0"/>
        </c:ser>
        <c:dLbls>
          <c:showLegendKey val="0"/>
          <c:showVal val="0"/>
          <c:showCatName val="0"/>
          <c:showSerName val="0"/>
          <c:showPercent val="0"/>
          <c:showBubbleSize val="0"/>
        </c:dLbls>
        <c:axId val="159103616"/>
        <c:axId val="159110272"/>
      </c:scatterChart>
      <c:valAx>
        <c:axId val="159103616"/>
        <c:scaling>
          <c:orientation val="minMax"/>
        </c:scaling>
        <c:delete val="0"/>
        <c:axPos val="b"/>
        <c:title>
          <c:tx>
            <c:rich>
              <a:bodyPr/>
              <a:lstStyle/>
              <a:p>
                <a:pPr>
                  <a:defRPr sz="850" b="0" i="0" u="none" strike="noStrike" baseline="0">
                    <a:solidFill>
                      <a:srgbClr val="000000"/>
                    </a:solidFill>
                    <a:latin typeface="Times New Roman"/>
                    <a:ea typeface="Times New Roman"/>
                    <a:cs typeface="Times New Roman"/>
                  </a:defRPr>
                </a:pPr>
                <a:r>
                  <a:rPr lang="en-US"/>
                  <a:t>Date</a:t>
                </a:r>
              </a:p>
            </c:rich>
          </c:tx>
          <c:layout>
            <c:manualLayout>
              <c:xMode val="edge"/>
              <c:yMode val="edge"/>
              <c:x val="0.51831298557158656"/>
              <c:y val="0.81239804241435565"/>
            </c:manualLayout>
          </c:layout>
          <c:overlay val="0"/>
          <c:spPr>
            <a:noFill/>
            <a:ln w="25400">
              <a:noFill/>
            </a:ln>
          </c:spPr>
        </c:title>
        <c:numFmt formatCode="m/d"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Times New Roman"/>
                <a:ea typeface="Times New Roman"/>
                <a:cs typeface="Times New Roman"/>
              </a:defRPr>
            </a:pPr>
            <a:endParaRPr lang="en-US"/>
          </a:p>
        </c:txPr>
        <c:crossAx val="159110272"/>
        <c:crosses val="autoZero"/>
        <c:crossBetween val="midCat"/>
      </c:valAx>
      <c:valAx>
        <c:axId val="159110272"/>
        <c:scaling>
          <c:orientation val="minMax"/>
          <c:max val="1"/>
          <c:min val="0"/>
        </c:scaling>
        <c:delete val="0"/>
        <c:axPos val="l"/>
        <c:title>
          <c:tx>
            <c:rich>
              <a:bodyPr/>
              <a:lstStyle/>
              <a:p>
                <a:pPr>
                  <a:defRPr sz="850" b="0" i="0" u="none" strike="noStrike" baseline="0">
                    <a:solidFill>
                      <a:srgbClr val="000000"/>
                    </a:solidFill>
                    <a:latin typeface="Times New Roman"/>
                    <a:ea typeface="Times New Roman"/>
                    <a:cs typeface="Times New Roman"/>
                  </a:defRPr>
                </a:pPr>
                <a:r>
                  <a:rPr lang="en-US"/>
                  <a:t>Percent</a:t>
                </a:r>
              </a:p>
            </c:rich>
          </c:tx>
          <c:layout>
            <c:manualLayout>
              <c:xMode val="edge"/>
              <c:yMode val="edge"/>
              <c:x val="2.4417314095449602E-2"/>
              <c:y val="0.370309951060363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Times New Roman"/>
                <a:ea typeface="Times New Roman"/>
                <a:cs typeface="Times New Roman"/>
              </a:defRPr>
            </a:pPr>
            <a:endParaRPr lang="en-US"/>
          </a:p>
        </c:txPr>
        <c:crossAx val="159103616"/>
        <c:crosses val="autoZero"/>
        <c:crossBetween val="midCat"/>
        <c:majorUnit val="0.2"/>
      </c:valAx>
      <c:spPr>
        <a:solidFill>
          <a:srgbClr val="FFFFFF"/>
        </a:solidFill>
        <a:ln w="12700">
          <a:solidFill>
            <a:srgbClr val="808080"/>
          </a:solidFill>
          <a:prstDash val="solid"/>
        </a:ln>
      </c:spPr>
    </c:plotArea>
    <c:legend>
      <c:legendPos val="r"/>
      <c:layout>
        <c:manualLayout>
          <c:xMode val="edge"/>
          <c:yMode val="edge"/>
          <c:x val="0.16870144284129035"/>
          <c:y val="0.25774877650897227"/>
          <c:w val="0.18745098039215957"/>
          <c:h val="0.1308852380401879"/>
        </c:manualLayout>
      </c:layout>
      <c:overlay val="0"/>
      <c:spPr>
        <a:noFill/>
        <a:ln w="25400">
          <a:noFill/>
        </a:ln>
      </c:spPr>
      <c:txPr>
        <a:bodyPr/>
        <a:lstStyle/>
        <a:p>
          <a:pPr>
            <a:defRPr sz="825" b="0" i="0" u="none" strike="noStrike" baseline="0">
              <a:solidFill>
                <a:srgbClr val="000000"/>
              </a:solidFill>
              <a:latin typeface="Times New Roman"/>
              <a:ea typeface="Times New Roman"/>
              <a:cs typeface="Times New Roman"/>
            </a:defRPr>
          </a:pPr>
          <a:endParaRPr lang="en-US"/>
        </a:p>
      </c:txPr>
    </c:legend>
    <c:plotVisOnly val="1"/>
    <c:dispBlanksAs val="gap"/>
    <c:showDLblsOverMax val="0"/>
  </c:chart>
  <c:spPr>
    <a:noFill/>
    <a:ln w="9525">
      <a:noFill/>
    </a:ln>
  </c:spPr>
  <c:txPr>
    <a:bodyPr/>
    <a:lstStyle/>
    <a:p>
      <a:pPr>
        <a:defRPr sz="1200" b="0" i="0" u="none" strike="noStrike" baseline="0">
          <a:solidFill>
            <a:srgbClr val="000000"/>
          </a:solidFill>
          <a:latin typeface="Times New Roman"/>
          <a:ea typeface="Times New Roman"/>
          <a:cs typeface="Times New Roman"/>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90233074361818E-2"/>
          <c:y val="3.7520391517128882E-2"/>
          <c:w val="0.88901220865704556"/>
          <c:h val="0.73083197389886589"/>
        </c:manualLayout>
      </c:layout>
      <c:scatterChart>
        <c:scatterStyle val="lineMarker"/>
        <c:varyColors val="0"/>
        <c:ser>
          <c:idx val="0"/>
          <c:order val="0"/>
          <c:tx>
            <c:strRef>
              <c:f>Logistic2011!$O$8</c:f>
              <c:strCache>
                <c:ptCount val="1"/>
                <c:pt idx="0">
                  <c:v>Logistic Curve</c:v>
                </c:pt>
              </c:strCache>
            </c:strRef>
          </c:tx>
          <c:spPr>
            <a:ln w="38100">
              <a:solidFill>
                <a:srgbClr val="000080"/>
              </a:solidFill>
              <a:prstDash val="solid"/>
            </a:ln>
          </c:spPr>
          <c:marker>
            <c:symbol val="none"/>
          </c:marker>
          <c:xVal>
            <c:numRef>
              <c:f>Logistic2011!$J$9:$J$80</c:f>
              <c:numCache>
                <c:formatCode>m/d/yyyy</c:formatCode>
                <c:ptCount val="72"/>
                <c:pt idx="0">
                  <c:v>37766</c:v>
                </c:pt>
                <c:pt idx="1">
                  <c:v>37767</c:v>
                </c:pt>
                <c:pt idx="2">
                  <c:v>37768</c:v>
                </c:pt>
                <c:pt idx="3">
                  <c:v>37769</c:v>
                </c:pt>
                <c:pt idx="4">
                  <c:v>37770</c:v>
                </c:pt>
                <c:pt idx="5">
                  <c:v>37771</c:v>
                </c:pt>
                <c:pt idx="6">
                  <c:v>37772</c:v>
                </c:pt>
                <c:pt idx="7">
                  <c:v>37773</c:v>
                </c:pt>
                <c:pt idx="8">
                  <c:v>37774</c:v>
                </c:pt>
                <c:pt idx="9">
                  <c:v>37775</c:v>
                </c:pt>
                <c:pt idx="10">
                  <c:v>37776</c:v>
                </c:pt>
                <c:pt idx="11">
                  <c:v>37777</c:v>
                </c:pt>
                <c:pt idx="12">
                  <c:v>37778</c:v>
                </c:pt>
                <c:pt idx="13">
                  <c:v>37779</c:v>
                </c:pt>
                <c:pt idx="14">
                  <c:v>37780</c:v>
                </c:pt>
                <c:pt idx="15">
                  <c:v>37781</c:v>
                </c:pt>
                <c:pt idx="16">
                  <c:v>37782</c:v>
                </c:pt>
                <c:pt idx="17">
                  <c:v>37783</c:v>
                </c:pt>
                <c:pt idx="18">
                  <c:v>37784</c:v>
                </c:pt>
                <c:pt idx="19">
                  <c:v>37785</c:v>
                </c:pt>
                <c:pt idx="20">
                  <c:v>37786</c:v>
                </c:pt>
                <c:pt idx="21">
                  <c:v>37787</c:v>
                </c:pt>
                <c:pt idx="22">
                  <c:v>37788</c:v>
                </c:pt>
                <c:pt idx="23">
                  <c:v>37789</c:v>
                </c:pt>
                <c:pt idx="24">
                  <c:v>37790</c:v>
                </c:pt>
                <c:pt idx="25">
                  <c:v>37791</c:v>
                </c:pt>
                <c:pt idx="26">
                  <c:v>37792</c:v>
                </c:pt>
                <c:pt idx="27">
                  <c:v>37793</c:v>
                </c:pt>
                <c:pt idx="28">
                  <c:v>37794</c:v>
                </c:pt>
                <c:pt idx="29">
                  <c:v>37795</c:v>
                </c:pt>
                <c:pt idx="30">
                  <c:v>37796</c:v>
                </c:pt>
                <c:pt idx="31">
                  <c:v>37797</c:v>
                </c:pt>
                <c:pt idx="32">
                  <c:v>37798</c:v>
                </c:pt>
                <c:pt idx="33">
                  <c:v>37799</c:v>
                </c:pt>
                <c:pt idx="34">
                  <c:v>37800</c:v>
                </c:pt>
                <c:pt idx="35">
                  <c:v>37801</c:v>
                </c:pt>
                <c:pt idx="36">
                  <c:v>37802</c:v>
                </c:pt>
                <c:pt idx="37">
                  <c:v>37803</c:v>
                </c:pt>
                <c:pt idx="38">
                  <c:v>37804</c:v>
                </c:pt>
                <c:pt idx="39">
                  <c:v>37805</c:v>
                </c:pt>
                <c:pt idx="40">
                  <c:v>37806</c:v>
                </c:pt>
                <c:pt idx="41">
                  <c:v>37807</c:v>
                </c:pt>
                <c:pt idx="42">
                  <c:v>37808</c:v>
                </c:pt>
                <c:pt idx="43">
                  <c:v>37809</c:v>
                </c:pt>
                <c:pt idx="44">
                  <c:v>37810</c:v>
                </c:pt>
                <c:pt idx="45">
                  <c:v>37811</c:v>
                </c:pt>
                <c:pt idx="46">
                  <c:v>37812</c:v>
                </c:pt>
                <c:pt idx="47">
                  <c:v>37813</c:v>
                </c:pt>
                <c:pt idx="48">
                  <c:v>37814</c:v>
                </c:pt>
                <c:pt idx="49">
                  <c:v>37815</c:v>
                </c:pt>
                <c:pt idx="50">
                  <c:v>37816</c:v>
                </c:pt>
                <c:pt idx="51">
                  <c:v>37817</c:v>
                </c:pt>
                <c:pt idx="52">
                  <c:v>37818</c:v>
                </c:pt>
                <c:pt idx="53">
                  <c:v>37819</c:v>
                </c:pt>
                <c:pt idx="54">
                  <c:v>37820</c:v>
                </c:pt>
                <c:pt idx="55">
                  <c:v>37821</c:v>
                </c:pt>
                <c:pt idx="56">
                  <c:v>37822</c:v>
                </c:pt>
                <c:pt idx="57">
                  <c:v>37823</c:v>
                </c:pt>
                <c:pt idx="58">
                  <c:v>37824</c:v>
                </c:pt>
                <c:pt idx="59">
                  <c:v>37825</c:v>
                </c:pt>
                <c:pt idx="60">
                  <c:v>37826</c:v>
                </c:pt>
                <c:pt idx="61">
                  <c:v>37827</c:v>
                </c:pt>
                <c:pt idx="62">
                  <c:v>37828</c:v>
                </c:pt>
                <c:pt idx="63">
                  <c:v>37829</c:v>
                </c:pt>
                <c:pt idx="64">
                  <c:v>37830</c:v>
                </c:pt>
                <c:pt idx="65">
                  <c:v>37831</c:v>
                </c:pt>
                <c:pt idx="66">
                  <c:v>37832</c:v>
                </c:pt>
                <c:pt idx="67">
                  <c:v>37833</c:v>
                </c:pt>
                <c:pt idx="68">
                  <c:v>37834</c:v>
                </c:pt>
                <c:pt idx="69">
                  <c:v>37835</c:v>
                </c:pt>
                <c:pt idx="70">
                  <c:v>37836</c:v>
                </c:pt>
                <c:pt idx="71">
                  <c:v>37837</c:v>
                </c:pt>
              </c:numCache>
            </c:numRef>
          </c:xVal>
          <c:yVal>
            <c:numRef>
              <c:f>Logistic2011!$L$9:$L$80</c:f>
              <c:numCache>
                <c:formatCode>0.00%</c:formatCode>
                <c:ptCount val="72"/>
                <c:pt idx="0">
                  <c:v>7.836471740093746E-6</c:v>
                </c:pt>
                <c:pt idx="1">
                  <c:v>1.0064370839566216E-5</c:v>
                </c:pt>
                <c:pt idx="2">
                  <c:v>1.2925650675246917E-5</c:v>
                </c:pt>
                <c:pt idx="3">
                  <c:v>1.6600372952710151E-5</c:v>
                </c:pt>
                <c:pt idx="4">
                  <c:v>2.1319785068892179E-5</c:v>
                </c:pt>
                <c:pt idx="5">
                  <c:v>2.7380868298470043E-5</c:v>
                </c:pt>
                <c:pt idx="6">
                  <c:v>3.5165019463385926E-5</c:v>
                </c:pt>
                <c:pt idx="7">
                  <c:v>4.516203955995761E-5</c:v>
                </c:pt>
                <c:pt idx="8">
                  <c:v>5.8000935347062004E-5</c:v>
                </c:pt>
                <c:pt idx="9">
                  <c:v>7.4489466257937842E-5</c:v>
                </c:pt>
                <c:pt idx="10">
                  <c:v>9.5664915403581588E-5</c:v>
                </c:pt>
                <c:pt idx="11">
                  <c:v>1.2285926325918643E-4</c:v>
                </c:pt>
                <c:pt idx="12">
                  <c:v>1.5778283823492166E-4</c:v>
                </c:pt>
                <c:pt idx="13">
                  <c:v>2.0263166333366929E-4</c:v>
                </c:pt>
                <c:pt idx="14">
                  <c:v>2.6022518000504499E-4</c:v>
                </c:pt>
                <c:pt idx="15">
                  <c:v>3.3418289363510773E-4</c:v>
                </c:pt>
                <c:pt idx="16">
                  <c:v>4.2915085481010497E-4</c:v>
                </c:pt>
                <c:pt idx="17">
                  <c:v>5.510918954265417E-4</c:v>
                </c:pt>
                <c:pt idx="18">
                  <c:v>7.0765733468636032E-4</c:v>
                </c:pt>
                <c:pt idx="19">
                  <c:v>9.0866264120614631E-4</c:v>
                </c:pt>
                <c:pt idx="20">
                  <c:v>1.1666954944441379E-3</c:v>
                </c:pt>
                <c:pt idx="21">
                  <c:v>1.4978920594379374E-3</c:v>
                </c:pt>
                <c:pt idx="22">
                  <c:v>1.9229262974009872E-3</c:v>
                </c:pt>
                <c:pt idx="23">
                  <c:v>2.4682679571534747E-3</c:v>
                </c:pt>
                <c:pt idx="24">
                  <c:v>3.1677775753922201E-3</c:v>
                </c:pt>
                <c:pt idx="25">
                  <c:v>4.0647211308547405E-3</c:v>
                </c:pt>
                <c:pt idx="26">
                  <c:v>5.2143022043441012E-3</c:v>
                </c:pt>
                <c:pt idx="27">
                  <c:v>6.6868239306713288E-3</c:v>
                </c:pt>
                <c:pt idx="28">
                  <c:v>8.5716034717757232E-3</c:v>
                </c:pt>
                <c:pt idx="29">
                  <c:v>1.0981762444047746E-2</c:v>
                </c:pt>
                <c:pt idx="30">
                  <c:v>1.405999799315154E-2</c:v>
                </c:pt>
                <c:pt idx="31">
                  <c:v>1.7985385418392414E-2</c:v>
                </c:pt>
                <c:pt idx="32">
                  <c:v>2.2981150506071208E-2</c:v>
                </c:pt>
                <c:pt idx="33">
                  <c:v>2.9323143517230983E-2</c:v>
                </c:pt>
                <c:pt idx="34">
                  <c:v>3.7348401080151791E-2</c:v>
                </c:pt>
                <c:pt idx="35">
                  <c:v>4.7462643251595896E-2</c:v>
                </c:pt>
                <c:pt idx="36">
                  <c:v>6.0144773203586376E-2</c:v>
                </c:pt>
                <c:pt idx="37">
                  <c:v>7.5945418837501361E-2</c:v>
                </c:pt>
                <c:pt idx="38">
                  <c:v>9.5475376096323186E-2</c:v>
                </c:pt>
                <c:pt idx="39">
                  <c:v>0.1193787848889972</c:v>
                </c:pt>
                <c:pt idx="40">
                  <c:v>0.14828561393161441</c:v>
                </c:pt>
                <c:pt idx="41">
                  <c:v>0.18273954814304952</c:v>
                </c:pt>
                <c:pt idx="42">
                  <c:v>0.22310185221288506</c:v>
                </c:pt>
                <c:pt idx="43">
                  <c:v>0.26943997114703433</c:v>
                </c:pt>
                <c:pt idx="44">
                  <c:v>0.32142065365089911</c:v>
                </c:pt>
                <c:pt idx="45">
                  <c:v>0.37823755968357375</c:v>
                </c:pt>
                <c:pt idx="46">
                  <c:v>0.43860622355042667</c:v>
                </c:pt>
                <c:pt idx="47">
                  <c:v>0.50084862987958612</c:v>
                </c:pt>
                <c:pt idx="48">
                  <c:v>0.56306474570995069</c:v>
                </c:pt>
                <c:pt idx="49">
                  <c:v>0.62335772182421145</c:v>
                </c:pt>
                <c:pt idx="50">
                  <c:v>0.68005830237546694</c:v>
                </c:pt>
                <c:pt idx="51">
                  <c:v>0.73189430501046937</c:v>
                </c:pt>
                <c:pt idx="52">
                  <c:v>0.77807266305660738</c:v>
                </c:pt>
                <c:pt idx="53">
                  <c:v>0.81827218428325044</c:v>
                </c:pt>
                <c:pt idx="54">
                  <c:v>0.8525697763007879</c:v>
                </c:pt>
                <c:pt idx="55">
                  <c:v>0.88133308818064571</c:v>
                </c:pt>
                <c:pt idx="56">
                  <c:v>0.90510931670589412</c:v>
                </c:pt>
                <c:pt idx="57">
                  <c:v>0.92452965133108167</c:v>
                </c:pt>
                <c:pt idx="58">
                  <c:v>0.94023784969367341</c:v>
                </c:pt>
                <c:pt idx="59">
                  <c:v>0.95284334782503577</c:v>
                </c:pt>
                <c:pt idx="60">
                  <c:v>0.96289492364726859</c:v>
                </c:pt>
                <c:pt idx="61">
                  <c:v>0.97086947884688668</c:v>
                </c:pt>
                <c:pt idx="62">
                  <c:v>0.97717079140287</c:v>
                </c:pt>
                <c:pt idx="63">
                  <c:v>0.98213413053687093</c:v>
                </c:pt>
                <c:pt idx="64">
                  <c:v>0.9860338040714024</c:v>
                </c:pt>
                <c:pt idx="65">
                  <c:v>0.98909173021315688</c:v>
                </c:pt>
                <c:pt idx="66">
                  <c:v>0.99148589866036696</c:v>
                </c:pt>
                <c:pt idx="67">
                  <c:v>0.99335811896682091</c:v>
                </c:pt>
                <c:pt idx="68">
                  <c:v>0.99482079531219003</c:v>
                </c:pt>
                <c:pt idx="69">
                  <c:v>0.99596266994877114</c:v>
                </c:pt>
                <c:pt idx="70">
                  <c:v>0.99685358833442972</c:v>
                </c:pt>
                <c:pt idx="71">
                  <c:v>0.99754839152940378</c:v>
                </c:pt>
              </c:numCache>
            </c:numRef>
          </c:yVal>
          <c:smooth val="1"/>
        </c:ser>
        <c:ser>
          <c:idx val="1"/>
          <c:order val="1"/>
          <c:tx>
            <c:strRef>
              <c:f>Logistic2011!$E$8</c:f>
              <c:strCache>
                <c:ptCount val="1"/>
                <c:pt idx="0">
                  <c:v>Run apportionment estimates</c:v>
                </c:pt>
              </c:strCache>
            </c:strRef>
          </c:tx>
          <c:spPr>
            <a:ln w="28575">
              <a:noFill/>
            </a:ln>
          </c:spPr>
          <c:marker>
            <c:symbol val="circle"/>
            <c:size val="7"/>
            <c:spPr>
              <a:solidFill>
                <a:srgbClr val="99CC00"/>
              </a:solidFill>
              <a:ln>
                <a:solidFill>
                  <a:srgbClr val="000000"/>
                </a:solidFill>
                <a:prstDash val="solid"/>
              </a:ln>
            </c:spPr>
          </c:marker>
          <c:dPt>
            <c:idx val="56"/>
            <c:marker>
              <c:symbol val="none"/>
            </c:marker>
            <c:bubble3D val="0"/>
          </c:dPt>
          <c:xVal>
            <c:numRef>
              <c:f>Logistic2011!$B$9:$B$65</c:f>
              <c:numCache>
                <c:formatCode>m/d/yyyy</c:formatCode>
                <c:ptCount val="57"/>
                <c:pt idx="0">
                  <c:v>37782</c:v>
                </c:pt>
                <c:pt idx="1">
                  <c:v>37789</c:v>
                </c:pt>
                <c:pt idx="2">
                  <c:v>37796</c:v>
                </c:pt>
                <c:pt idx="3">
                  <c:v>37800</c:v>
                </c:pt>
                <c:pt idx="4">
                  <c:v>37804</c:v>
                </c:pt>
                <c:pt idx="5">
                  <c:v>37807</c:v>
                </c:pt>
                <c:pt idx="6">
                  <c:v>37811</c:v>
                </c:pt>
                <c:pt idx="7">
                  <c:v>37814</c:v>
                </c:pt>
                <c:pt idx="8">
                  <c:v>37816</c:v>
                </c:pt>
                <c:pt idx="9">
                  <c:v>37823</c:v>
                </c:pt>
                <c:pt idx="10">
                  <c:v>37830</c:v>
                </c:pt>
                <c:pt idx="56">
                  <c:v>37833</c:v>
                </c:pt>
              </c:numCache>
            </c:numRef>
          </c:xVal>
          <c:yVal>
            <c:numRef>
              <c:f>Logistic2011!$E$9:$E$65</c:f>
              <c:numCache>
                <c:formatCode>0.0%</c:formatCode>
                <c:ptCount val="57"/>
                <c:pt idx="0">
                  <c:v>2E-3</c:v>
                </c:pt>
                <c:pt idx="1">
                  <c:v>0</c:v>
                </c:pt>
                <c:pt idx="2">
                  <c:v>2.4E-2</c:v>
                </c:pt>
                <c:pt idx="3">
                  <c:v>0.16800000000000001</c:v>
                </c:pt>
                <c:pt idx="4">
                  <c:v>4.7E-2</c:v>
                </c:pt>
                <c:pt idx="5">
                  <c:v>0.215</c:v>
                </c:pt>
                <c:pt idx="6">
                  <c:v>0.28100000000000003</c:v>
                </c:pt>
                <c:pt idx="7">
                  <c:v>0.7</c:v>
                </c:pt>
                <c:pt idx="8">
                  <c:v>0.69199999999999995</c:v>
                </c:pt>
                <c:pt idx="9">
                  <c:v>0.877</c:v>
                </c:pt>
                <c:pt idx="10">
                  <c:v>0.96399999999999997</c:v>
                </c:pt>
                <c:pt idx="56">
                  <c:v>1</c:v>
                </c:pt>
              </c:numCache>
            </c:numRef>
          </c:yVal>
          <c:smooth val="0"/>
        </c:ser>
        <c:ser>
          <c:idx val="2"/>
          <c:order val="2"/>
          <c:marker>
            <c:symbol val="none"/>
          </c:marker>
          <c:xVal>
            <c:numRef>
              <c:f>Logistic2011!$J$9:$J$107</c:f>
              <c:numCache>
                <c:formatCode>m/d/yyyy</c:formatCode>
                <c:ptCount val="99"/>
                <c:pt idx="0">
                  <c:v>37766</c:v>
                </c:pt>
                <c:pt idx="1">
                  <c:v>37767</c:v>
                </c:pt>
                <c:pt idx="2">
                  <c:v>37768</c:v>
                </c:pt>
                <c:pt idx="3">
                  <c:v>37769</c:v>
                </c:pt>
                <c:pt idx="4">
                  <c:v>37770</c:v>
                </c:pt>
                <c:pt idx="5">
                  <c:v>37771</c:v>
                </c:pt>
                <c:pt idx="6">
                  <c:v>37772</c:v>
                </c:pt>
                <c:pt idx="7">
                  <c:v>37773</c:v>
                </c:pt>
                <c:pt idx="8">
                  <c:v>37774</c:v>
                </c:pt>
                <c:pt idx="9">
                  <c:v>37775</c:v>
                </c:pt>
                <c:pt idx="10">
                  <c:v>37776</c:v>
                </c:pt>
                <c:pt idx="11">
                  <c:v>37777</c:v>
                </c:pt>
                <c:pt idx="12">
                  <c:v>37778</c:v>
                </c:pt>
                <c:pt idx="13">
                  <c:v>37779</c:v>
                </c:pt>
                <c:pt idx="14">
                  <c:v>37780</c:v>
                </c:pt>
                <c:pt idx="15">
                  <c:v>37781</c:v>
                </c:pt>
                <c:pt idx="16">
                  <c:v>37782</c:v>
                </c:pt>
                <c:pt idx="17">
                  <c:v>37783</c:v>
                </c:pt>
                <c:pt idx="18">
                  <c:v>37784</c:v>
                </c:pt>
                <c:pt idx="19">
                  <c:v>37785</c:v>
                </c:pt>
                <c:pt idx="20">
                  <c:v>37786</c:v>
                </c:pt>
                <c:pt idx="21">
                  <c:v>37787</c:v>
                </c:pt>
                <c:pt idx="22">
                  <c:v>37788</c:v>
                </c:pt>
                <c:pt idx="23">
                  <c:v>37789</c:v>
                </c:pt>
                <c:pt idx="24">
                  <c:v>37790</c:v>
                </c:pt>
                <c:pt idx="25">
                  <c:v>37791</c:v>
                </c:pt>
                <c:pt idx="26">
                  <c:v>37792</c:v>
                </c:pt>
                <c:pt idx="27">
                  <c:v>37793</c:v>
                </c:pt>
                <c:pt idx="28">
                  <c:v>37794</c:v>
                </c:pt>
                <c:pt idx="29">
                  <c:v>37795</c:v>
                </c:pt>
                <c:pt idx="30">
                  <c:v>37796</c:v>
                </c:pt>
                <c:pt idx="31">
                  <c:v>37797</c:v>
                </c:pt>
                <c:pt idx="32">
                  <c:v>37798</c:v>
                </c:pt>
                <c:pt idx="33">
                  <c:v>37799</c:v>
                </c:pt>
                <c:pt idx="34">
                  <c:v>37800</c:v>
                </c:pt>
                <c:pt idx="35">
                  <c:v>37801</c:v>
                </c:pt>
                <c:pt idx="36">
                  <c:v>37802</c:v>
                </c:pt>
                <c:pt idx="37">
                  <c:v>37803</c:v>
                </c:pt>
                <c:pt idx="38">
                  <c:v>37804</c:v>
                </c:pt>
                <c:pt idx="39">
                  <c:v>37805</c:v>
                </c:pt>
                <c:pt idx="40">
                  <c:v>37806</c:v>
                </c:pt>
                <c:pt idx="41">
                  <c:v>37807</c:v>
                </c:pt>
                <c:pt idx="42">
                  <c:v>37808</c:v>
                </c:pt>
                <c:pt idx="43">
                  <c:v>37809</c:v>
                </c:pt>
                <c:pt idx="44">
                  <c:v>37810</c:v>
                </c:pt>
                <c:pt idx="45">
                  <c:v>37811</c:v>
                </c:pt>
                <c:pt idx="46">
                  <c:v>37812</c:v>
                </c:pt>
                <c:pt idx="47">
                  <c:v>37813</c:v>
                </c:pt>
                <c:pt idx="48">
                  <c:v>37814</c:v>
                </c:pt>
                <c:pt idx="49">
                  <c:v>37815</c:v>
                </c:pt>
                <c:pt idx="50">
                  <c:v>37816</c:v>
                </c:pt>
                <c:pt idx="51">
                  <c:v>37817</c:v>
                </c:pt>
                <c:pt idx="52">
                  <c:v>37818</c:v>
                </c:pt>
                <c:pt idx="53">
                  <c:v>37819</c:v>
                </c:pt>
                <c:pt idx="54">
                  <c:v>37820</c:v>
                </c:pt>
                <c:pt idx="55">
                  <c:v>37821</c:v>
                </c:pt>
                <c:pt idx="56">
                  <c:v>37822</c:v>
                </c:pt>
                <c:pt idx="57">
                  <c:v>37823</c:v>
                </c:pt>
                <c:pt idx="58">
                  <c:v>37824</c:v>
                </c:pt>
                <c:pt idx="59">
                  <c:v>37825</c:v>
                </c:pt>
                <c:pt idx="60">
                  <c:v>37826</c:v>
                </c:pt>
                <c:pt idx="61">
                  <c:v>37827</c:v>
                </c:pt>
                <c:pt idx="62">
                  <c:v>37828</c:v>
                </c:pt>
                <c:pt idx="63">
                  <c:v>37829</c:v>
                </c:pt>
                <c:pt idx="64">
                  <c:v>37830</c:v>
                </c:pt>
                <c:pt idx="65">
                  <c:v>37831</c:v>
                </c:pt>
                <c:pt idx="66">
                  <c:v>37832</c:v>
                </c:pt>
                <c:pt idx="67">
                  <c:v>37833</c:v>
                </c:pt>
                <c:pt idx="68">
                  <c:v>37834</c:v>
                </c:pt>
                <c:pt idx="69">
                  <c:v>37835</c:v>
                </c:pt>
                <c:pt idx="70">
                  <c:v>37836</c:v>
                </c:pt>
                <c:pt idx="71">
                  <c:v>37837</c:v>
                </c:pt>
                <c:pt idx="72">
                  <c:v>37838</c:v>
                </c:pt>
                <c:pt idx="73">
                  <c:v>37839</c:v>
                </c:pt>
                <c:pt idx="74">
                  <c:v>37840</c:v>
                </c:pt>
                <c:pt idx="75">
                  <c:v>37841</c:v>
                </c:pt>
                <c:pt idx="76">
                  <c:v>37842</c:v>
                </c:pt>
                <c:pt idx="77">
                  <c:v>37843</c:v>
                </c:pt>
                <c:pt idx="78">
                  <c:v>37844</c:v>
                </c:pt>
                <c:pt idx="79">
                  <c:v>37845</c:v>
                </c:pt>
                <c:pt idx="80">
                  <c:v>37846</c:v>
                </c:pt>
                <c:pt idx="81">
                  <c:v>37847</c:v>
                </c:pt>
                <c:pt idx="82">
                  <c:v>37848</c:v>
                </c:pt>
                <c:pt idx="83">
                  <c:v>37849</c:v>
                </c:pt>
                <c:pt idx="84">
                  <c:v>37850</c:v>
                </c:pt>
                <c:pt idx="85">
                  <c:v>37851</c:v>
                </c:pt>
                <c:pt idx="86">
                  <c:v>37852</c:v>
                </c:pt>
                <c:pt idx="87">
                  <c:v>37853</c:v>
                </c:pt>
                <c:pt idx="88">
                  <c:v>37854</c:v>
                </c:pt>
                <c:pt idx="89">
                  <c:v>37855</c:v>
                </c:pt>
                <c:pt idx="90">
                  <c:v>37856</c:v>
                </c:pt>
                <c:pt idx="91">
                  <c:v>37857</c:v>
                </c:pt>
                <c:pt idx="92">
                  <c:v>37858</c:v>
                </c:pt>
                <c:pt idx="93">
                  <c:v>37859</c:v>
                </c:pt>
                <c:pt idx="94">
                  <c:v>37860</c:v>
                </c:pt>
                <c:pt idx="95">
                  <c:v>37861</c:v>
                </c:pt>
                <c:pt idx="96">
                  <c:v>37862</c:v>
                </c:pt>
                <c:pt idx="97">
                  <c:v>37863</c:v>
                </c:pt>
                <c:pt idx="98">
                  <c:v>37864</c:v>
                </c:pt>
              </c:numCache>
            </c:numRef>
          </c:xVal>
          <c:yVal>
            <c:numRef>
              <c:f>Logistic2011!$Q$9:$Q$107</c:f>
              <c:numCache>
                <c:formatCode>General</c:formatCode>
                <c:ptCount val="99"/>
                <c:pt idx="3" formatCode="0.0%">
                  <c:v>1.3958317686261709E-4</c:v>
                </c:pt>
                <c:pt idx="4" formatCode="0.0%">
                  <c:v>1.7045928901654236E-4</c:v>
                </c:pt>
                <c:pt idx="5" formatCode="0.0%">
                  <c:v>2.0816384458125417E-4</c:v>
                </c:pt>
                <c:pt idx="6" formatCode="0.0%">
                  <c:v>3.5888786587624556E-5</c:v>
                </c:pt>
                <c:pt idx="7" formatCode="0.0%">
                  <c:v>4.6160789501698919E-5</c:v>
                </c:pt>
                <c:pt idx="8" formatCode="0.0%">
                  <c:v>5.9372646030949961E-5</c:v>
                </c:pt>
                <c:pt idx="9" formatCode="0.0%">
                  <c:v>7.6365629883993208E-5</c:v>
                </c:pt>
                <c:pt idx="10" formatCode="0.0%">
                  <c:v>9.8221680405067934E-5</c:v>
                </c:pt>
                <c:pt idx="11" formatCode="0.0%">
                  <c:v>1.2633220159905076E-4</c:v>
                </c:pt>
                <c:pt idx="12" formatCode="0.0%">
                  <c:v>1.624864967222617E-4</c:v>
                </c:pt>
                <c:pt idx="13" formatCode="0.0%">
                  <c:v>2.0898542158394941E-4</c:v>
                </c:pt>
                <c:pt idx="14" formatCode="0.0%">
                  <c:v>2.6878741349269233E-4</c:v>
                </c:pt>
                <c:pt idx="15" formatCode="0.0%">
                  <c:v>3.4569606119318159E-4</c:v>
                </c:pt>
                <c:pt idx="16" formatCode="0.0%">
                  <c:v>4.4460093825327419E-4</c:v>
                </c:pt>
                <c:pt idx="17" formatCode="0.0%">
                  <c:v>5.7178666821399956E-4</c:v>
                </c:pt>
                <c:pt idx="18" formatCode="0.0%">
                  <c:v>7.3532929350053459E-4</c:v>
                </c:pt>
                <c:pt idx="19" formatCode="0.0%">
                  <c:v>9.4560418099634688E-4</c:v>
                </c:pt>
                <c:pt idx="20" formatCode="0.0%">
                  <c:v>1.2159361420781157E-3</c:v>
                </c:pt>
                <c:pt idx="21" formatCode="0.0%">
                  <c:v>1.5634304169464023E-3</c:v>
                </c:pt>
                <c:pt idx="22" formatCode="0.0%">
                  <c:v>2.0100329059479318E-3</c:v>
                </c:pt>
                <c:pt idx="23" formatCode="0.0%">
                  <c:v>2.5838796966125908E-3</c:v>
                </c:pt>
                <c:pt idx="24" formatCode="0.0%">
                  <c:v>3.3210095492913049E-3</c:v>
                </c:pt>
                <c:pt idx="25" formatCode="0.0%">
                  <c:v>4.2675282552662704E-3</c:v>
                </c:pt>
                <c:pt idx="26" formatCode="0.0%">
                  <c:v>5.4823297455268887E-3</c:v>
                </c:pt>
                <c:pt idx="27" formatCode="0.0%">
                  <c:v>7.0404935024234346E-3</c:v>
                </c:pt>
                <c:pt idx="28" formatCode="0.0%">
                  <c:v>9.0374873855469922E-3</c:v>
                </c:pt>
                <c:pt idx="29" formatCode="0.0%">
                  <c:v>1.1594302653630432E-2</c:v>
                </c:pt>
                <c:pt idx="30" formatCode="0.0%">
                  <c:v>1.4863622388293144E-2</c:v>
                </c:pt>
                <c:pt idx="31" formatCode="0.0%">
                  <c:v>1.9037057560494706E-2</c:v>
                </c:pt>
                <c:pt idx="32" formatCode="0.0%">
                  <c:v>2.4353349085554369E-2</c:v>
                </c:pt>
                <c:pt idx="33" formatCode="0.0%">
                  <c:v>3.1107190112750017E-2</c:v>
                </c:pt>
                <c:pt idx="34" formatCode="0.0%">
                  <c:v>3.9657919254324193E-2</c:v>
                </c:pt>
                <c:pt idx="35" formatCode="0.0%">
                  <c:v>5.0436715072649276E-2</c:v>
                </c:pt>
                <c:pt idx="36" formatCode="0.0%">
                  <c:v>6.3950040299436198E-2</c:v>
                </c:pt>
                <c:pt idx="37" formatCode="0.0%">
                  <c:v>8.0775952050874497E-2</c:v>
                </c:pt>
                <c:pt idx="38" formatCode="0.0%">
                  <c:v>0.10154865709169383</c:v>
                </c:pt>
                <c:pt idx="39" formatCode="0.0%">
                  <c:v>0.12692574439278323</c:v>
                </c:pt>
                <c:pt idx="40">
                  <c:v>0.15753263507351994</c:v>
                </c:pt>
                <c:pt idx="41">
                  <c:v>0.19388109788722835</c:v>
                </c:pt>
                <c:pt idx="42">
                  <c:v>0.2362644112915534</c:v>
                </c:pt>
                <c:pt idx="43">
                  <c:v>0.28464136726106892</c:v>
                </c:pt>
                <c:pt idx="44">
                  <c:v>0.33853314511451504</c:v>
                </c:pt>
                <c:pt idx="45">
                  <c:v>0.39696628169175319</c:v>
                </c:pt>
                <c:pt idx="46">
                  <c:v>0.45849431667616858</c:v>
                </c:pt>
                <c:pt idx="47">
                  <c:v>0.52131468367366807</c:v>
                </c:pt>
                <c:pt idx="48">
                  <c:v>0.58346805352827824</c:v>
                </c:pt>
                <c:pt idx="49">
                  <c:v>0.64307659747584256</c:v>
                </c:pt>
                <c:pt idx="50">
                  <c:v>0.69856182420049406</c:v>
                </c:pt>
                <c:pt idx="51">
                  <c:v>0.74879103833236005</c:v>
                </c:pt>
                <c:pt idx="52">
                  <c:v>0.79312907861690396</c:v>
                </c:pt>
                <c:pt idx="53">
                  <c:v>0.83140351438424964</c:v>
                </c:pt>
                <c:pt idx="54">
                  <c:v>0.86381250435994517</c:v>
                </c:pt>
                <c:pt idx="55">
                  <c:v>0.89080976473363638</c:v>
                </c:pt>
                <c:pt idx="56">
                  <c:v>0.91299424895614467</c:v>
                </c:pt>
                <c:pt idx="57">
                  <c:v>0.93102046958550611</c:v>
                </c:pt>
                <c:pt idx="58">
                  <c:v>0.94553474019587147</c:v>
                </c:pt>
                <c:pt idx="59">
                  <c:v>0.95713560982756274</c:v>
                </c:pt>
                <c:pt idx="60">
                  <c:v>0.96635347078003297</c:v>
                </c:pt>
                <c:pt idx="61">
                  <c:v>0.97364364314605079</c:v>
                </c:pt>
                <c:pt idx="62">
                  <c:v>0.97938794995342149</c:v>
                </c:pt>
                <c:pt idx="63">
                  <c:v>0.98390099930162234</c:v>
                </c:pt>
                <c:pt idx="64">
                  <c:v>0.98743858120527517</c:v>
                </c:pt>
                <c:pt idx="65">
                  <c:v>0.9902065550659539</c:v>
                </c:pt>
                <c:pt idx="66">
                  <c:v>0.99236930496689024</c:v>
                </c:pt>
                <c:pt idx="67">
                  <c:v>0.99405730717928753</c:v>
                </c:pt>
                <c:pt idx="68">
                  <c:v>0.99537364364180214</c:v>
                </c:pt>
                <c:pt idx="69">
                  <c:v>0.99639946103598354</c:v>
                </c:pt>
                <c:pt idx="70">
                  <c:v>0.9971984607189307</c:v>
                </c:pt>
                <c:pt idx="71">
                  <c:v>0.99782054130603282</c:v>
                </c:pt>
                <c:pt idx="72">
                  <c:v>0.99830472399848957</c:v>
                </c:pt>
                <c:pt idx="73">
                  <c:v>0.99868148409941315</c:v>
                </c:pt>
                <c:pt idx="74">
                  <c:v>0.99897459860369453</c:v>
                </c:pt>
                <c:pt idx="75">
                  <c:v>0.99920260390985383</c:v>
                </c:pt>
                <c:pt idx="76">
                  <c:v>0.99937994208005521</c:v>
                </c:pt>
                <c:pt idx="77">
                  <c:v>0.99951785987667141</c:v>
                </c:pt>
                <c:pt idx="78">
                  <c:v>0.99962511250035302</c:v>
                </c:pt>
                <c:pt idx="79">
                  <c:v>0.99970851361259971</c:v>
                </c:pt>
                <c:pt idx="80">
                  <c:v>0.99977336471045031</c:v>
                </c:pt>
                <c:pt idx="81">
                  <c:v>0.99982379001080945</c:v>
                </c:pt>
                <c:pt idx="82">
                  <c:v>0.99986299745324125</c:v>
                </c:pt>
                <c:pt idx="83">
                  <c:v>0.99989348200897243</c:v>
                </c:pt>
                <c:pt idx="84">
                  <c:v>0.99991718398154761</c:v>
                </c:pt>
                <c:pt idx="85">
                  <c:v>0.99993561222221428</c:v>
                </c:pt>
                <c:pt idx="86">
                  <c:v>0.99994994001155957</c:v>
                </c:pt>
                <c:pt idx="87">
                  <c:v>0.99996107965613146</c:v>
                </c:pt>
                <c:pt idx="88">
                  <c:v>0.99996974051615084</c:v>
                </c:pt>
                <c:pt idx="89">
                  <c:v>0.99997647413904767</c:v>
                </c:pt>
                <c:pt idx="90">
                  <c:v>0.99998170936070985</c:v>
                </c:pt>
                <c:pt idx="91">
                  <c:v>0.99998577960243129</c:v>
                </c:pt>
                <c:pt idx="92">
                  <c:v>0.99998894409754413</c:v>
                </c:pt>
                <c:pt idx="93">
                  <c:v>0.99999140439692724</c:v>
                </c:pt>
                <c:pt idx="94">
                  <c:v>0.99999331720300311</c:v>
                </c:pt>
                <c:pt idx="95">
                  <c:v>0.99999480434865184</c:v>
                </c:pt>
                <c:pt idx="96">
                  <c:v>0.99999596055603512</c:v>
                </c:pt>
                <c:pt idx="97">
                  <c:v>0.99999685946914973</c:v>
                </c:pt>
                <c:pt idx="98">
                  <c:v>0.99999755834413473</c:v>
                </c:pt>
              </c:numCache>
            </c:numRef>
          </c:yVal>
          <c:smooth val="0"/>
        </c:ser>
        <c:ser>
          <c:idx val="3"/>
          <c:order val="3"/>
          <c:spPr>
            <a:ln>
              <a:noFill/>
            </a:ln>
          </c:spPr>
          <c:marker>
            <c:spPr>
              <a:solidFill>
                <a:srgbClr val="4F81BD"/>
              </a:solidFill>
            </c:spPr>
          </c:marker>
          <c:xVal>
            <c:numRef>
              <c:f>Logistic2011!$X$72:$X$77</c:f>
              <c:numCache>
                <c:formatCode>m/d/yyyy</c:formatCode>
                <c:ptCount val="6"/>
                <c:pt idx="0">
                  <c:v>37779</c:v>
                </c:pt>
                <c:pt idx="1">
                  <c:v>37811</c:v>
                </c:pt>
                <c:pt idx="2">
                  <c:v>37814</c:v>
                </c:pt>
                <c:pt idx="3">
                  <c:v>37816</c:v>
                </c:pt>
                <c:pt idx="4">
                  <c:v>37823</c:v>
                </c:pt>
                <c:pt idx="5">
                  <c:v>37830</c:v>
                </c:pt>
              </c:numCache>
            </c:numRef>
          </c:xVal>
          <c:yVal>
            <c:numRef>
              <c:f>Logistic2011!$Y$72:$Y$77</c:f>
              <c:numCache>
                <c:formatCode>0.0%</c:formatCode>
                <c:ptCount val="6"/>
                <c:pt idx="0">
                  <c:v>0</c:v>
                </c:pt>
                <c:pt idx="1">
                  <c:v>0.28100000000000003</c:v>
                </c:pt>
                <c:pt idx="2">
                  <c:v>0.70299999999999996</c:v>
                </c:pt>
                <c:pt idx="3">
                  <c:v>0.69199999999999995</c:v>
                </c:pt>
                <c:pt idx="4">
                  <c:v>0.877</c:v>
                </c:pt>
                <c:pt idx="5">
                  <c:v>0.96399999999999997</c:v>
                </c:pt>
              </c:numCache>
            </c:numRef>
          </c:yVal>
          <c:smooth val="0"/>
        </c:ser>
        <c:dLbls>
          <c:showLegendKey val="0"/>
          <c:showVal val="0"/>
          <c:showCatName val="0"/>
          <c:showSerName val="0"/>
          <c:showPercent val="0"/>
          <c:showBubbleSize val="0"/>
        </c:dLbls>
        <c:axId val="160554368"/>
        <c:axId val="142676736"/>
      </c:scatterChart>
      <c:valAx>
        <c:axId val="160554368"/>
        <c:scaling>
          <c:orientation val="minMax"/>
        </c:scaling>
        <c:delete val="0"/>
        <c:axPos val="b"/>
        <c:title>
          <c:tx>
            <c:rich>
              <a:bodyPr/>
              <a:lstStyle/>
              <a:p>
                <a:pPr>
                  <a:defRPr sz="850" b="0" i="0" u="none" strike="noStrike" baseline="0">
                    <a:solidFill>
                      <a:srgbClr val="000000"/>
                    </a:solidFill>
                    <a:latin typeface="Times New Roman"/>
                    <a:ea typeface="Times New Roman"/>
                    <a:cs typeface="Times New Roman"/>
                  </a:defRPr>
                </a:pPr>
                <a:r>
                  <a:rPr lang="en-US"/>
                  <a:t>Date</a:t>
                </a:r>
              </a:p>
            </c:rich>
          </c:tx>
          <c:layout>
            <c:manualLayout>
              <c:xMode val="edge"/>
              <c:yMode val="edge"/>
              <c:x val="0.51831298557158656"/>
              <c:y val="0.81239804241435565"/>
            </c:manualLayout>
          </c:layout>
          <c:overlay val="0"/>
          <c:spPr>
            <a:noFill/>
            <a:ln w="25400">
              <a:noFill/>
            </a:ln>
          </c:spPr>
        </c:title>
        <c:numFmt formatCode="m/d"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Times New Roman"/>
                <a:ea typeface="Times New Roman"/>
                <a:cs typeface="Times New Roman"/>
              </a:defRPr>
            </a:pPr>
            <a:endParaRPr lang="en-US"/>
          </a:p>
        </c:txPr>
        <c:crossAx val="142676736"/>
        <c:crosses val="autoZero"/>
        <c:crossBetween val="midCat"/>
      </c:valAx>
      <c:valAx>
        <c:axId val="142676736"/>
        <c:scaling>
          <c:orientation val="minMax"/>
          <c:max val="1"/>
          <c:min val="0"/>
        </c:scaling>
        <c:delete val="0"/>
        <c:axPos val="l"/>
        <c:title>
          <c:tx>
            <c:rich>
              <a:bodyPr/>
              <a:lstStyle/>
              <a:p>
                <a:pPr>
                  <a:defRPr sz="850" b="0" i="0" u="none" strike="noStrike" baseline="0">
                    <a:solidFill>
                      <a:srgbClr val="000000"/>
                    </a:solidFill>
                    <a:latin typeface="Times New Roman"/>
                    <a:ea typeface="Times New Roman"/>
                    <a:cs typeface="Times New Roman"/>
                  </a:defRPr>
                </a:pPr>
                <a:r>
                  <a:rPr lang="en-US"/>
                  <a:t>Percent</a:t>
                </a:r>
              </a:p>
            </c:rich>
          </c:tx>
          <c:layout>
            <c:manualLayout>
              <c:xMode val="edge"/>
              <c:yMode val="edge"/>
              <c:x val="2.4417314095449602E-2"/>
              <c:y val="0.370309951060363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Times New Roman"/>
                <a:ea typeface="Times New Roman"/>
                <a:cs typeface="Times New Roman"/>
              </a:defRPr>
            </a:pPr>
            <a:endParaRPr lang="en-US"/>
          </a:p>
        </c:txPr>
        <c:crossAx val="160554368"/>
        <c:crosses val="autoZero"/>
        <c:crossBetween val="midCat"/>
        <c:majorUnit val="0.2"/>
      </c:valAx>
      <c:spPr>
        <a:solidFill>
          <a:srgbClr val="FFFFFF"/>
        </a:solidFill>
        <a:ln w="12700">
          <a:solidFill>
            <a:srgbClr val="808080"/>
          </a:solidFill>
          <a:prstDash val="solid"/>
        </a:ln>
      </c:spPr>
    </c:plotArea>
    <c:legend>
      <c:legendPos val="r"/>
      <c:layout>
        <c:manualLayout>
          <c:xMode val="edge"/>
          <c:yMode val="edge"/>
          <c:x val="0.16870144284129035"/>
          <c:y val="0.25774877650897227"/>
          <c:w val="0.18745098039215957"/>
          <c:h val="0.1308852380401879"/>
        </c:manualLayout>
      </c:layout>
      <c:overlay val="0"/>
      <c:spPr>
        <a:noFill/>
        <a:ln w="25400">
          <a:noFill/>
        </a:ln>
      </c:spPr>
      <c:txPr>
        <a:bodyPr/>
        <a:lstStyle/>
        <a:p>
          <a:pPr>
            <a:defRPr sz="825" b="0" i="0" u="none" strike="noStrike" baseline="0">
              <a:solidFill>
                <a:srgbClr val="000000"/>
              </a:solidFill>
              <a:latin typeface="Times New Roman"/>
              <a:ea typeface="Times New Roman"/>
              <a:cs typeface="Times New Roman"/>
            </a:defRPr>
          </a:pPr>
          <a:endParaRPr lang="en-US"/>
        </a:p>
      </c:txPr>
    </c:legend>
    <c:plotVisOnly val="1"/>
    <c:dispBlanksAs val="gap"/>
    <c:showDLblsOverMax val="0"/>
  </c:chart>
  <c:spPr>
    <a:noFill/>
    <a:ln w="9525">
      <a:noFill/>
    </a:ln>
  </c:spPr>
  <c:txPr>
    <a:bodyPr/>
    <a:lstStyle/>
    <a:p>
      <a:pPr>
        <a:defRPr sz="1200" b="0" i="0" u="none" strike="noStrike" baseline="0">
          <a:solidFill>
            <a:srgbClr val="000000"/>
          </a:solidFill>
          <a:latin typeface="Times New Roman"/>
          <a:ea typeface="Times New Roman"/>
          <a:cs typeface="Times New Roman"/>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270070292267898E-2"/>
          <c:y val="3.9695486677542142E-2"/>
          <c:w val="0.88901220865704556"/>
          <c:h val="0.73083197389886578"/>
        </c:manualLayout>
      </c:layout>
      <c:scatterChart>
        <c:scatterStyle val="lineMarker"/>
        <c:varyColors val="0"/>
        <c:ser>
          <c:idx val="0"/>
          <c:order val="0"/>
          <c:tx>
            <c:strRef>
              <c:f>Logistic2010!$O$8</c:f>
              <c:strCache>
                <c:ptCount val="1"/>
                <c:pt idx="0">
                  <c:v>Logistic Curve</c:v>
                </c:pt>
              </c:strCache>
            </c:strRef>
          </c:tx>
          <c:spPr>
            <a:ln w="38100">
              <a:solidFill>
                <a:srgbClr val="000080"/>
              </a:solidFill>
              <a:prstDash val="solid"/>
            </a:ln>
          </c:spPr>
          <c:marker>
            <c:symbol val="none"/>
          </c:marker>
          <c:xVal>
            <c:numRef>
              <c:f>Logistic2010!$J$9:$J$80</c:f>
              <c:numCache>
                <c:formatCode>m/d/yyyy</c:formatCode>
                <c:ptCount val="72"/>
                <c:pt idx="0">
                  <c:v>37766</c:v>
                </c:pt>
                <c:pt idx="1">
                  <c:v>37767</c:v>
                </c:pt>
                <c:pt idx="2">
                  <c:v>37768</c:v>
                </c:pt>
                <c:pt idx="3">
                  <c:v>37769</c:v>
                </c:pt>
                <c:pt idx="4">
                  <c:v>37770</c:v>
                </c:pt>
                <c:pt idx="5">
                  <c:v>37771</c:v>
                </c:pt>
                <c:pt idx="6">
                  <c:v>37772</c:v>
                </c:pt>
                <c:pt idx="7">
                  <c:v>37773</c:v>
                </c:pt>
                <c:pt idx="8">
                  <c:v>37774</c:v>
                </c:pt>
                <c:pt idx="9">
                  <c:v>37775</c:v>
                </c:pt>
                <c:pt idx="10">
                  <c:v>37776</c:v>
                </c:pt>
                <c:pt idx="11">
                  <c:v>37777</c:v>
                </c:pt>
                <c:pt idx="12">
                  <c:v>37778</c:v>
                </c:pt>
                <c:pt idx="13">
                  <c:v>37779</c:v>
                </c:pt>
                <c:pt idx="14">
                  <c:v>37780</c:v>
                </c:pt>
                <c:pt idx="15">
                  <c:v>37781</c:v>
                </c:pt>
                <c:pt idx="16">
                  <c:v>37782</c:v>
                </c:pt>
                <c:pt idx="17">
                  <c:v>37783</c:v>
                </c:pt>
                <c:pt idx="18">
                  <c:v>37784</c:v>
                </c:pt>
                <c:pt idx="19">
                  <c:v>37785</c:v>
                </c:pt>
                <c:pt idx="20">
                  <c:v>37786</c:v>
                </c:pt>
                <c:pt idx="21">
                  <c:v>37787</c:v>
                </c:pt>
                <c:pt idx="22">
                  <c:v>37788</c:v>
                </c:pt>
                <c:pt idx="23">
                  <c:v>37789</c:v>
                </c:pt>
                <c:pt idx="24">
                  <c:v>37790</c:v>
                </c:pt>
                <c:pt idx="25">
                  <c:v>37791</c:v>
                </c:pt>
                <c:pt idx="26">
                  <c:v>37792</c:v>
                </c:pt>
                <c:pt idx="27">
                  <c:v>37793</c:v>
                </c:pt>
                <c:pt idx="28">
                  <c:v>37794</c:v>
                </c:pt>
                <c:pt idx="29">
                  <c:v>37795</c:v>
                </c:pt>
                <c:pt idx="30">
                  <c:v>37796</c:v>
                </c:pt>
                <c:pt idx="31">
                  <c:v>37797</c:v>
                </c:pt>
                <c:pt idx="32">
                  <c:v>37798</c:v>
                </c:pt>
                <c:pt idx="33">
                  <c:v>37799</c:v>
                </c:pt>
                <c:pt idx="34">
                  <c:v>37800</c:v>
                </c:pt>
                <c:pt idx="35">
                  <c:v>37801</c:v>
                </c:pt>
                <c:pt idx="36">
                  <c:v>37802</c:v>
                </c:pt>
                <c:pt idx="37">
                  <c:v>37803</c:v>
                </c:pt>
                <c:pt idx="38">
                  <c:v>37804</c:v>
                </c:pt>
                <c:pt idx="39">
                  <c:v>37805</c:v>
                </c:pt>
                <c:pt idx="40">
                  <c:v>37806</c:v>
                </c:pt>
                <c:pt idx="41">
                  <c:v>37807</c:v>
                </c:pt>
                <c:pt idx="42">
                  <c:v>37808</c:v>
                </c:pt>
                <c:pt idx="43">
                  <c:v>37809</c:v>
                </c:pt>
                <c:pt idx="44">
                  <c:v>37810</c:v>
                </c:pt>
                <c:pt idx="45">
                  <c:v>37811</c:v>
                </c:pt>
                <c:pt idx="46">
                  <c:v>37812</c:v>
                </c:pt>
                <c:pt idx="47">
                  <c:v>37813</c:v>
                </c:pt>
                <c:pt idx="48">
                  <c:v>37814</c:v>
                </c:pt>
                <c:pt idx="49">
                  <c:v>37815</c:v>
                </c:pt>
                <c:pt idx="50">
                  <c:v>37816</c:v>
                </c:pt>
                <c:pt idx="51">
                  <c:v>37817</c:v>
                </c:pt>
                <c:pt idx="52">
                  <c:v>37818</c:v>
                </c:pt>
                <c:pt idx="53">
                  <c:v>37819</c:v>
                </c:pt>
                <c:pt idx="54">
                  <c:v>37820</c:v>
                </c:pt>
                <c:pt idx="55">
                  <c:v>37821</c:v>
                </c:pt>
                <c:pt idx="56">
                  <c:v>37822</c:v>
                </c:pt>
                <c:pt idx="57">
                  <c:v>37823</c:v>
                </c:pt>
                <c:pt idx="58">
                  <c:v>37824</c:v>
                </c:pt>
                <c:pt idx="59">
                  <c:v>37825</c:v>
                </c:pt>
                <c:pt idx="60">
                  <c:v>37826</c:v>
                </c:pt>
                <c:pt idx="61">
                  <c:v>37827</c:v>
                </c:pt>
                <c:pt idx="62">
                  <c:v>37828</c:v>
                </c:pt>
                <c:pt idx="63">
                  <c:v>37829</c:v>
                </c:pt>
                <c:pt idx="64">
                  <c:v>37830</c:v>
                </c:pt>
                <c:pt idx="65">
                  <c:v>37831</c:v>
                </c:pt>
                <c:pt idx="66">
                  <c:v>37832</c:v>
                </c:pt>
                <c:pt idx="67">
                  <c:v>37833</c:v>
                </c:pt>
                <c:pt idx="68">
                  <c:v>37834</c:v>
                </c:pt>
                <c:pt idx="69">
                  <c:v>37835</c:v>
                </c:pt>
                <c:pt idx="70">
                  <c:v>37836</c:v>
                </c:pt>
                <c:pt idx="71">
                  <c:v>37837</c:v>
                </c:pt>
              </c:numCache>
            </c:numRef>
          </c:xVal>
          <c:yVal>
            <c:numRef>
              <c:f>Logistic2010!$L$9:$L$80</c:f>
              <c:numCache>
                <c:formatCode>0.00%</c:formatCode>
                <c:ptCount val="72"/>
                <c:pt idx="0">
                  <c:v>8.5022378766966617E-5</c:v>
                </c:pt>
                <c:pt idx="1">
                  <c:v>1.035310256575905E-4</c:v>
                </c:pt>
                <c:pt idx="2">
                  <c:v>1.2606833916263888E-4</c:v>
                </c:pt>
                <c:pt idx="3">
                  <c:v>1.5351096984987485E-4</c:v>
                </c:pt>
                <c:pt idx="4">
                  <c:v>1.8692621184091302E-4</c:v>
                </c:pt>
                <c:pt idx="5">
                  <c:v>2.2761340456733088E-4</c:v>
                </c:pt>
                <c:pt idx="6">
                  <c:v>2.7715429809603467E-4</c:v>
                </c:pt>
                <c:pt idx="7">
                  <c:v>3.3747430933301909E-4</c:v>
                </c:pt>
                <c:pt idx="8">
                  <c:v>4.1091700437125326E-4</c:v>
                </c:pt>
                <c:pt idx="9">
                  <c:v>5.0033463342563623E-4</c:v>
                </c:pt>
                <c:pt idx="10">
                  <c:v>6.091981346321452E-4</c:v>
                </c:pt>
                <c:pt idx="11">
                  <c:v>7.4173072899810018E-4</c:v>
                </c:pt>
                <c:pt idx="12">
                  <c:v>9.0307007042611108E-4</c:v>
                </c:pt>
                <c:pt idx="13">
                  <c:v>1.0994649129130458E-3</c:v>
                </c:pt>
                <c:pt idx="14">
                  <c:v>1.3385134331574686E-3</c:v>
                </c:pt>
                <c:pt idx="15">
                  <c:v>1.6294517210207725E-3</c:v>
                </c:pt>
                <c:pt idx="16">
                  <c:v>1.9835025384092424E-3</c:v>
                </c:pt>
                <c:pt idx="17">
                  <c:v>2.4142962558322549E-3</c:v>
                </c:pt>
                <c:pt idx="18">
                  <c:v>2.9383778949773321E-3</c:v>
                </c:pt>
                <c:pt idx="19">
                  <c:v>3.5758163964330005E-3</c:v>
                </c:pt>
                <c:pt idx="20">
                  <c:v>4.350934509456012E-3</c:v>
                </c:pt>
                <c:pt idx="21">
                  <c:v>5.2931799089521074E-3</c:v>
                </c:pt>
                <c:pt idx="22">
                  <c:v>6.4381600184477937E-3</c:v>
                </c:pt>
                <c:pt idx="23">
                  <c:v>7.8288641309012582E-3</c:v>
                </c:pt>
                <c:pt idx="24">
                  <c:v>9.5170961139080332E-3</c:v>
                </c:pt>
                <c:pt idx="25">
                  <c:v>1.1565138278020349E-2</c:v>
                </c:pt>
                <c:pt idx="26">
                  <c:v>1.404766044652417E-2</c:v>
                </c:pt>
                <c:pt idx="27">
                  <c:v>1.7053875875314754E-2</c:v>
                </c:pt>
                <c:pt idx="28">
                  <c:v>2.0689924681449409E-2</c:v>
                </c:pt>
                <c:pt idx="29">
                  <c:v>2.5081432246389319E-2</c:v>
                </c:pt>
                <c:pt idx="30">
                  <c:v>3.0376140200346863E-2</c:v>
                </c:pt>
                <c:pt idx="31">
                  <c:v>3.6746435970581054E-2</c:v>
                </c:pt>
                <c:pt idx="32">
                  <c:v>4.4391508453304682E-2</c:v>
                </c:pt>
                <c:pt idx="33">
                  <c:v>5.3538728659080159E-2</c:v>
                </c:pt>
                <c:pt idx="34">
                  <c:v>6.4443695952991653E-2</c:v>
                </c:pt>
                <c:pt idx="35">
                  <c:v>7.7388212137128543E-2</c:v>
                </c:pt>
                <c:pt idx="36">
                  <c:v>9.2675271243984961E-2</c:v>
                </c:pt>
                <c:pt idx="37">
                  <c:v>0.11062002877277062</c:v>
                </c:pt>
                <c:pt idx="38">
                  <c:v>0.13153571480737836</c:v>
                </c:pt>
                <c:pt idx="39">
                  <c:v>0.15571368418841838</c:v>
                </c:pt>
                <c:pt idx="40">
                  <c:v>0.18339737163916756</c:v>
                </c:pt>
                <c:pt idx="41">
                  <c:v>0.21475093590520525</c:v>
                </c:pt>
                <c:pt idx="42">
                  <c:v>0.24982484141927366</c:v>
                </c:pt>
                <c:pt idx="43">
                  <c:v>0.28852237204419506</c:v>
                </c:pt>
                <c:pt idx="44">
                  <c:v>0.33057269179091786</c:v>
                </c:pt>
                <c:pt idx="45">
                  <c:v>0.37551693030931088</c:v>
                </c:pt>
                <c:pt idx="46">
                  <c:v>0.42271318582697831</c:v>
                </c:pt>
                <c:pt idx="47">
                  <c:v>0.47136387704819582</c:v>
                </c:pt>
                <c:pt idx="48">
                  <c:v>0.52056473301063311</c:v>
                </c:pt>
                <c:pt idx="49">
                  <c:v>0.56936987029593977</c:v>
                </c:pt>
                <c:pt idx="50">
                  <c:v>0.61686340572559062</c:v>
                </c:pt>
                <c:pt idx="51">
                  <c:v>0.66222634293750759</c:v>
                </c:pt>
                <c:pt idx="52">
                  <c:v>0.70478871224274076</c:v>
                </c:pt>
                <c:pt idx="53">
                  <c:v>0.74406065435090551</c:v>
                </c:pt>
                <c:pt idx="54">
                  <c:v>0.77974095289698142</c:v>
                </c:pt>
                <c:pt idx="55">
                  <c:v>0.81170586540528222</c:v>
                </c:pt>
                <c:pt idx="56">
                  <c:v>0.83998387387261297</c:v>
                </c:pt>
                <c:pt idx="57">
                  <c:v>0.86472285268482063</c:v>
                </c:pt>
                <c:pt idx="58">
                  <c:v>0.88615548159462798</c:v>
                </c:pt>
                <c:pt idx="59">
                  <c:v>0.90456718771126388</c:v>
                </c:pt>
                <c:pt idx="60">
                  <c:v>0.92026914027090656</c:v>
                </c:pt>
                <c:pt idx="61">
                  <c:v>0.93357729395018618</c:v>
                </c:pt>
                <c:pt idx="62">
                  <c:v>0.94479738358617293</c:v>
                </c:pt>
                <c:pt idx="63">
                  <c:v>0.95421513105735634</c:v>
                </c:pt>
                <c:pt idx="64">
                  <c:v>0.96209064760100416</c:v>
                </c:pt>
                <c:pt idx="65">
                  <c:v>0.96865598441679479</c:v>
                </c:pt>
                <c:pt idx="66">
                  <c:v>0.97411489396191853</c:v>
                </c:pt>
                <c:pt idx="67">
                  <c:v>0.97864403433681935</c:v>
                </c:pt>
                <c:pt idx="68">
                  <c:v>0.98239502903239084</c:v>
                </c:pt>
                <c:pt idx="69">
                  <c:v>0.98549695680056892</c:v>
                </c:pt>
                <c:pt idx="70">
                  <c:v>0.98805898018934513</c:v>
                </c:pt>
                <c:pt idx="71">
                  <c:v>0.99017292451587846</c:v>
                </c:pt>
              </c:numCache>
            </c:numRef>
          </c:yVal>
          <c:smooth val="1"/>
        </c:ser>
        <c:ser>
          <c:idx val="1"/>
          <c:order val="1"/>
          <c:tx>
            <c:strRef>
              <c:f>Logistic2010!$E$8</c:f>
              <c:strCache>
                <c:ptCount val="1"/>
                <c:pt idx="0">
                  <c:v>Run apportionment estimates</c:v>
                </c:pt>
              </c:strCache>
            </c:strRef>
          </c:tx>
          <c:spPr>
            <a:ln w="28575">
              <a:noFill/>
            </a:ln>
          </c:spPr>
          <c:marker>
            <c:symbol val="circle"/>
            <c:size val="7"/>
            <c:spPr>
              <a:solidFill>
                <a:srgbClr val="99CC00"/>
              </a:solidFill>
              <a:ln>
                <a:solidFill>
                  <a:srgbClr val="000000"/>
                </a:solidFill>
                <a:prstDash val="solid"/>
              </a:ln>
            </c:spPr>
          </c:marker>
          <c:dPt>
            <c:idx val="56"/>
            <c:marker>
              <c:symbol val="none"/>
            </c:marker>
            <c:bubble3D val="0"/>
          </c:dPt>
          <c:xVal>
            <c:numRef>
              <c:f>Logistic2010!$B$9:$B$65</c:f>
              <c:numCache>
                <c:formatCode>m/d/yyyy</c:formatCode>
                <c:ptCount val="57"/>
                <c:pt idx="0">
                  <c:v>37786</c:v>
                </c:pt>
                <c:pt idx="1">
                  <c:v>37793</c:v>
                </c:pt>
                <c:pt idx="2">
                  <c:v>37799</c:v>
                </c:pt>
                <c:pt idx="3">
                  <c:v>37803</c:v>
                </c:pt>
                <c:pt idx="4">
                  <c:v>37807</c:v>
                </c:pt>
                <c:pt idx="5">
                  <c:v>37810</c:v>
                </c:pt>
                <c:pt idx="6">
                  <c:v>37813</c:v>
                </c:pt>
                <c:pt idx="7">
                  <c:v>37816</c:v>
                </c:pt>
                <c:pt idx="8">
                  <c:v>37820</c:v>
                </c:pt>
                <c:pt idx="9">
                  <c:v>37825</c:v>
                </c:pt>
                <c:pt idx="10">
                  <c:v>37832</c:v>
                </c:pt>
                <c:pt idx="56">
                  <c:v>37833</c:v>
                </c:pt>
              </c:numCache>
            </c:numRef>
          </c:xVal>
          <c:yVal>
            <c:numRef>
              <c:f>Logistic2010!$E$9:$E$65</c:f>
              <c:numCache>
                <c:formatCode>0.0%</c:formatCode>
                <c:ptCount val="57"/>
                <c:pt idx="0">
                  <c:v>4.1000000000000002E-2</c:v>
                </c:pt>
                <c:pt idx="1">
                  <c:v>5.0000000000000001E-3</c:v>
                </c:pt>
                <c:pt idx="2">
                  <c:v>7.5999999999999998E-2</c:v>
                </c:pt>
                <c:pt idx="3">
                  <c:v>0.17699999999999999</c:v>
                </c:pt>
                <c:pt idx="4">
                  <c:v>0.21199999999999999</c:v>
                </c:pt>
                <c:pt idx="5">
                  <c:v>0.216</c:v>
                </c:pt>
                <c:pt idx="6">
                  <c:v>0.48099999999999998</c:v>
                </c:pt>
                <c:pt idx="7">
                  <c:v>0.77300000000000002</c:v>
                </c:pt>
                <c:pt idx="8">
                  <c:v>0.70699999999999996</c:v>
                </c:pt>
                <c:pt idx="9">
                  <c:v>0.89200000000000002</c:v>
                </c:pt>
                <c:pt idx="10">
                  <c:v>0.98699999999999999</c:v>
                </c:pt>
                <c:pt idx="56">
                  <c:v>1</c:v>
                </c:pt>
              </c:numCache>
            </c:numRef>
          </c:yVal>
          <c:smooth val="0"/>
        </c:ser>
        <c:ser>
          <c:idx val="2"/>
          <c:order val="2"/>
          <c:tx>
            <c:v>Postseason Logistic</c:v>
          </c:tx>
          <c:marker>
            <c:symbol val="none"/>
          </c:marker>
          <c:xVal>
            <c:numRef>
              <c:f>Logistic2010!$J$9:$J$107</c:f>
              <c:numCache>
                <c:formatCode>m/d/yyyy</c:formatCode>
                <c:ptCount val="99"/>
                <c:pt idx="0">
                  <c:v>37766</c:v>
                </c:pt>
                <c:pt idx="1">
                  <c:v>37767</c:v>
                </c:pt>
                <c:pt idx="2">
                  <c:v>37768</c:v>
                </c:pt>
                <c:pt idx="3">
                  <c:v>37769</c:v>
                </c:pt>
                <c:pt idx="4">
                  <c:v>37770</c:v>
                </c:pt>
                <c:pt idx="5">
                  <c:v>37771</c:v>
                </c:pt>
                <c:pt idx="6">
                  <c:v>37772</c:v>
                </c:pt>
                <c:pt idx="7">
                  <c:v>37773</c:v>
                </c:pt>
                <c:pt idx="8">
                  <c:v>37774</c:v>
                </c:pt>
                <c:pt idx="9">
                  <c:v>37775</c:v>
                </c:pt>
                <c:pt idx="10">
                  <c:v>37776</c:v>
                </c:pt>
                <c:pt idx="11">
                  <c:v>37777</c:v>
                </c:pt>
                <c:pt idx="12">
                  <c:v>37778</c:v>
                </c:pt>
                <c:pt idx="13">
                  <c:v>37779</c:v>
                </c:pt>
                <c:pt idx="14">
                  <c:v>37780</c:v>
                </c:pt>
                <c:pt idx="15">
                  <c:v>37781</c:v>
                </c:pt>
                <c:pt idx="16">
                  <c:v>37782</c:v>
                </c:pt>
                <c:pt idx="17">
                  <c:v>37783</c:v>
                </c:pt>
                <c:pt idx="18">
                  <c:v>37784</c:v>
                </c:pt>
                <c:pt idx="19">
                  <c:v>37785</c:v>
                </c:pt>
                <c:pt idx="20">
                  <c:v>37786</c:v>
                </c:pt>
                <c:pt idx="21">
                  <c:v>37787</c:v>
                </c:pt>
                <c:pt idx="22">
                  <c:v>37788</c:v>
                </c:pt>
                <c:pt idx="23">
                  <c:v>37789</c:v>
                </c:pt>
                <c:pt idx="24">
                  <c:v>37790</c:v>
                </c:pt>
                <c:pt idx="25">
                  <c:v>37791</c:v>
                </c:pt>
                <c:pt idx="26">
                  <c:v>37792</c:v>
                </c:pt>
                <c:pt idx="27">
                  <c:v>37793</c:v>
                </c:pt>
                <c:pt idx="28">
                  <c:v>37794</c:v>
                </c:pt>
                <c:pt idx="29">
                  <c:v>37795</c:v>
                </c:pt>
                <c:pt idx="30">
                  <c:v>37796</c:v>
                </c:pt>
                <c:pt idx="31">
                  <c:v>37797</c:v>
                </c:pt>
                <c:pt idx="32">
                  <c:v>37798</c:v>
                </c:pt>
                <c:pt idx="33">
                  <c:v>37799</c:v>
                </c:pt>
                <c:pt idx="34">
                  <c:v>37800</c:v>
                </c:pt>
                <c:pt idx="35">
                  <c:v>37801</c:v>
                </c:pt>
                <c:pt idx="36">
                  <c:v>37802</c:v>
                </c:pt>
                <c:pt idx="37">
                  <c:v>37803</c:v>
                </c:pt>
                <c:pt idx="38">
                  <c:v>37804</c:v>
                </c:pt>
                <c:pt idx="39">
                  <c:v>37805</c:v>
                </c:pt>
                <c:pt idx="40">
                  <c:v>37806</c:v>
                </c:pt>
                <c:pt idx="41">
                  <c:v>37807</c:v>
                </c:pt>
                <c:pt idx="42">
                  <c:v>37808</c:v>
                </c:pt>
                <c:pt idx="43">
                  <c:v>37809</c:v>
                </c:pt>
                <c:pt idx="44">
                  <c:v>37810</c:v>
                </c:pt>
                <c:pt idx="45">
                  <c:v>37811</c:v>
                </c:pt>
                <c:pt idx="46">
                  <c:v>37812</c:v>
                </c:pt>
                <c:pt idx="47">
                  <c:v>37813</c:v>
                </c:pt>
                <c:pt idx="48">
                  <c:v>37814</c:v>
                </c:pt>
                <c:pt idx="49">
                  <c:v>37815</c:v>
                </c:pt>
                <c:pt idx="50">
                  <c:v>37816</c:v>
                </c:pt>
                <c:pt idx="51">
                  <c:v>37817</c:v>
                </c:pt>
                <c:pt idx="52">
                  <c:v>37818</c:v>
                </c:pt>
                <c:pt idx="53">
                  <c:v>37819</c:v>
                </c:pt>
                <c:pt idx="54">
                  <c:v>37820</c:v>
                </c:pt>
                <c:pt idx="55">
                  <c:v>37821</c:v>
                </c:pt>
                <c:pt idx="56">
                  <c:v>37822</c:v>
                </c:pt>
                <c:pt idx="57">
                  <c:v>37823</c:v>
                </c:pt>
                <c:pt idx="58">
                  <c:v>37824</c:v>
                </c:pt>
                <c:pt idx="59">
                  <c:v>37825</c:v>
                </c:pt>
                <c:pt idx="60">
                  <c:v>37826</c:v>
                </c:pt>
                <c:pt idx="61">
                  <c:v>37827</c:v>
                </c:pt>
                <c:pt idx="62">
                  <c:v>37828</c:v>
                </c:pt>
                <c:pt idx="63">
                  <c:v>37829</c:v>
                </c:pt>
                <c:pt idx="64">
                  <c:v>37830</c:v>
                </c:pt>
                <c:pt idx="65">
                  <c:v>37831</c:v>
                </c:pt>
                <c:pt idx="66">
                  <c:v>37832</c:v>
                </c:pt>
                <c:pt idx="67">
                  <c:v>37833</c:v>
                </c:pt>
                <c:pt idx="68">
                  <c:v>37834</c:v>
                </c:pt>
                <c:pt idx="69">
                  <c:v>37835</c:v>
                </c:pt>
                <c:pt idx="70">
                  <c:v>37836</c:v>
                </c:pt>
                <c:pt idx="71">
                  <c:v>37837</c:v>
                </c:pt>
                <c:pt idx="72">
                  <c:v>37838</c:v>
                </c:pt>
                <c:pt idx="73">
                  <c:v>37839</c:v>
                </c:pt>
                <c:pt idx="74">
                  <c:v>37840</c:v>
                </c:pt>
                <c:pt idx="75">
                  <c:v>37841</c:v>
                </c:pt>
                <c:pt idx="76">
                  <c:v>37842</c:v>
                </c:pt>
                <c:pt idx="77">
                  <c:v>37843</c:v>
                </c:pt>
                <c:pt idx="78">
                  <c:v>37844</c:v>
                </c:pt>
                <c:pt idx="79">
                  <c:v>37845</c:v>
                </c:pt>
                <c:pt idx="80">
                  <c:v>37846</c:v>
                </c:pt>
                <c:pt idx="81">
                  <c:v>37847</c:v>
                </c:pt>
                <c:pt idx="82">
                  <c:v>37848</c:v>
                </c:pt>
                <c:pt idx="83">
                  <c:v>37849</c:v>
                </c:pt>
                <c:pt idx="84">
                  <c:v>37850</c:v>
                </c:pt>
                <c:pt idx="85">
                  <c:v>37851</c:v>
                </c:pt>
                <c:pt idx="86">
                  <c:v>37852</c:v>
                </c:pt>
                <c:pt idx="87">
                  <c:v>37853</c:v>
                </c:pt>
                <c:pt idx="88">
                  <c:v>37854</c:v>
                </c:pt>
                <c:pt idx="89">
                  <c:v>37855</c:v>
                </c:pt>
                <c:pt idx="90">
                  <c:v>37856</c:v>
                </c:pt>
                <c:pt idx="91">
                  <c:v>37857</c:v>
                </c:pt>
                <c:pt idx="92">
                  <c:v>37858</c:v>
                </c:pt>
                <c:pt idx="93">
                  <c:v>37859</c:v>
                </c:pt>
                <c:pt idx="94">
                  <c:v>37860</c:v>
                </c:pt>
                <c:pt idx="95">
                  <c:v>37861</c:v>
                </c:pt>
                <c:pt idx="96">
                  <c:v>37862</c:v>
                </c:pt>
                <c:pt idx="97">
                  <c:v>37863</c:v>
                </c:pt>
                <c:pt idx="98">
                  <c:v>37864</c:v>
                </c:pt>
              </c:numCache>
            </c:numRef>
          </c:xVal>
          <c:yVal>
            <c:numRef>
              <c:f>Logistic2010!$Q$9:$Q$107</c:f>
              <c:numCache>
                <c:formatCode>0.0%</c:formatCode>
                <c:ptCount val="99"/>
                <c:pt idx="3">
                  <c:v>1.3958317686261709E-4</c:v>
                </c:pt>
                <c:pt idx="4">
                  <c:v>1.7045928901654236E-4</c:v>
                </c:pt>
                <c:pt idx="5">
                  <c:v>2.0816384458125417E-4</c:v>
                </c:pt>
                <c:pt idx="6">
                  <c:v>2.542062975332477E-4</c:v>
                </c:pt>
                <c:pt idx="7">
                  <c:v>3.1042942936064727E-4</c:v>
                </c:pt>
                <c:pt idx="8">
                  <c:v>3.7908278806435145E-4</c:v>
                </c:pt>
                <c:pt idx="9">
                  <c:v>4.6291222449000769E-4</c:v>
                </c:pt>
                <c:pt idx="10">
                  <c:v>5.6526901369757224E-4</c:v>
                </c:pt>
                <c:pt idx="11">
                  <c:v>6.9024278465830858E-4</c:v>
                </c:pt>
                <c:pt idx="12">
                  <c:v>8.428233623178356E-4</c:v>
                </c:pt>
                <c:pt idx="13">
                  <c:v>1.0290976755680944E-3</c:v>
                </c:pt>
                <c:pt idx="14">
                  <c:v>1.2564891276397731E-3</c:v>
                </c:pt>
                <c:pt idx="15">
                  <c:v>1.5340482859932569E-3</c:v>
                </c:pt>
                <c:pt idx="16">
                  <c:v>1.8728054475450151E-3</c:v>
                </c:pt>
                <c:pt idx="17">
                  <c:v>2.2861975841660187E-3</c:v>
                </c:pt>
                <c:pt idx="18">
                  <c:v>2.7905843687065831E-3</c:v>
                </c:pt>
                <c:pt idx="19">
                  <c:v>3.4058703908046778E-3</c:v>
                </c:pt>
                <c:pt idx="20">
                  <c:v>4.156253215078223E-3</c:v>
                </c:pt>
                <c:pt idx="21">
                  <c:v>5.0711194585093189E-3</c:v>
                </c:pt>
                <c:pt idx="22">
                  <c:v>6.18611330154804E-3</c:v>
                </c:pt>
                <c:pt idx="23">
                  <c:v>7.5444033609171311E-3</c:v>
                </c:pt>
                <c:pt idx="24">
                  <c:v>9.1981739546595914E-3</c:v>
                </c:pt>
                <c:pt idx="25">
                  <c:v>1.1210364440860094E-2</c:v>
                </c:pt>
                <c:pt idx="26">
                  <c:v>1.3656673980419356E-2</c:v>
                </c:pt>
                <c:pt idx="27">
                  <c:v>1.6627836578475143E-2</c:v>
                </c:pt>
                <c:pt idx="28">
                  <c:v>2.0232149587218227E-2</c:v>
                </c:pt>
                <c:pt idx="29">
                  <c:v>2.4598204014952465E-2</c:v>
                </c:pt>
                <c:pt idx="30">
                  <c:v>2.9877711971165448E-2</c:v>
                </c:pt>
                <c:pt idx="31">
                  <c:v>3.624824956962025E-2</c:v>
                </c:pt>
                <c:pt idx="32">
                  <c:v>4.3915626721520266E-2</c:v>
                </c:pt>
                <c:pt idx="33">
                  <c:v>5.3115454143665003E-2</c:v>
                </c:pt>
                <c:pt idx="34">
                  <c:v>6.4113302836932173E-2</c:v>
                </c:pt>
                <c:pt idx="35">
                  <c:v>7.72026520734653E-2</c:v>
                </c:pt>
                <c:pt idx="36">
                  <c:v>9.2699625095272714E-2</c:v>
                </c:pt>
                <c:pt idx="37" formatCode="General">
                  <c:v>0.11093336918210217</c:v>
                </c:pt>
                <c:pt idx="38" formatCode="General">
                  <c:v>0.13223093333791724</c:v>
                </c:pt>
                <c:pt idx="39" formatCode="General">
                  <c:v>0.15689575096130998</c:v>
                </c:pt>
                <c:pt idx="40" formatCode="General">
                  <c:v>0.1851794824455581</c:v>
                </c:pt>
                <c:pt idx="41" formatCode="General">
                  <c:v>0.21724812306999194</c:v>
                </c:pt>
                <c:pt idx="42" formatCode="General">
                  <c:v>0.25314493902860469</c:v>
                </c:pt>
                <c:pt idx="43" formatCode="General">
                  <c:v>0.29275475741502793</c:v>
                </c:pt>
                <c:pt idx="44" formatCode="General">
                  <c:v>0.33577592018640684</c:v>
                </c:pt>
                <c:pt idx="45" formatCode="General">
                  <c:v>0.3817070776941604</c:v>
                </c:pt>
                <c:pt idx="46" formatCode="General">
                  <c:v>0.42985515834963317</c:v>
                </c:pt>
                <c:pt idx="47" formatCode="General">
                  <c:v>0.47936786629286093</c:v>
                </c:pt>
                <c:pt idx="48" formatCode="General">
                  <c:v>0.52928924873066352</c:v>
                </c:pt>
                <c:pt idx="49" formatCode="General">
                  <c:v>0.57863147408369076</c:v>
                </c:pt>
                <c:pt idx="50" formatCode="General">
                  <c:v>0.62645177427350185</c:v>
                </c:pt>
                <c:pt idx="51" formatCode="General">
                  <c:v>0.6719221112063114</c:v>
                </c:pt>
                <c:pt idx="52" formatCode="General">
                  <c:v>0.71438108258813315</c:v>
                </c:pt>
                <c:pt idx="53" formatCode="General">
                  <c:v>0.75336211213144844</c:v>
                </c:pt>
                <c:pt idx="54" formatCode="General">
                  <c:v>0.78859738904460508</c:v>
                </c:pt>
                <c:pt idx="55" formatCode="General">
                  <c:v>0.82000157910537541</c:v>
                </c:pt>
                <c:pt idx="56" formatCode="General">
                  <c:v>0.84764193896050799</c:v>
                </c:pt>
                <c:pt idx="57" formatCode="General">
                  <c:v>0.8717019610426997</c:v>
                </c:pt>
                <c:pt idx="58" formatCode="General">
                  <c:v>0.89244459206165738</c:v>
                </c:pt>
                <c:pt idx="59" formatCode="General">
                  <c:v>0.91017920532930874</c:v>
                </c:pt>
                <c:pt idx="60" formatCode="General">
                  <c:v>0.92523457092805417</c:v>
                </c:pt>
                <c:pt idx="61" formatCode="General">
                  <c:v>0.93793849093008874</c:v>
                </c:pt>
                <c:pt idx="62" formatCode="General">
                  <c:v>0.94860370829645768</c:v>
                </c:pt>
                <c:pt idx="63" formatCode="General">
                  <c:v>0.95751912825764318</c:v>
                </c:pt>
                <c:pt idx="64" formatCode="General">
                  <c:v>0.96494519123476252</c:v>
                </c:pt>
                <c:pt idx="65" formatCode="General">
                  <c:v>0.97111227157250635</c:v>
                </c:pt>
                <c:pt idx="66" formatCode="General">
                  <c:v>0.97622113342645345</c:v>
                </c:pt>
                <c:pt idx="67" formatCode="General">
                  <c:v>0.98044467529540402</c:v>
                </c:pt>
                <c:pt idx="68" formatCode="General">
                  <c:v>0.98393039104005531</c:v>
                </c:pt>
                <c:pt idx="69" formatCode="General">
                  <c:v>0.98680314475603537</c:v>
                </c:pt>
                <c:pt idx="70" formatCode="General">
                  <c:v>0.98916799187083293</c:v>
                </c:pt>
                <c:pt idx="71" formatCode="General">
                  <c:v>0.99111288014938492</c:v>
                </c:pt>
                <c:pt idx="72" formatCode="General">
                  <c:v>0.99271113669820843</c:v>
                </c:pt>
                <c:pt idx="73" formatCode="General">
                  <c:v>0.99402369651534783</c:v>
                </c:pt>
                <c:pt idx="74" formatCode="General">
                  <c:v>0.99510106035268198</c:v>
                </c:pt>
                <c:pt idx="75" formatCode="General">
                  <c:v>0.99598498947773206</c:v>
                </c:pt>
                <c:pt idx="76" formatCode="General">
                  <c:v>0.9967099561564875</c:v>
                </c:pt>
                <c:pt idx="77" formatCode="General">
                  <c:v>0.99730437418211093</c:v>
                </c:pt>
                <c:pt idx="78" formatCode="General">
                  <c:v>0.99779163560352191</c:v>
                </c:pt>
                <c:pt idx="79" formatCode="General">
                  <c:v>0.9981909793970638</c:v>
                </c:pt>
                <c:pt idx="80" formatCode="General">
                  <c:v>0.99851821614408998</c:v>
                </c:pt>
                <c:pt idx="81" formatCode="General">
                  <c:v>0.99878633046407328</c:v>
                </c:pt>
                <c:pt idx="82" formatCode="General">
                  <c:v>0.99900598040993738</c:v>
                </c:pt>
                <c:pt idx="83" formatCode="General">
                  <c:v>0.99918591050379724</c:v>
                </c:pt>
                <c:pt idx="84" formatCode="General">
                  <c:v>0.99933329271531912</c:v>
                </c:pt>
                <c:pt idx="85" formatCode="General">
                  <c:v>0.99945400753102387</c:v>
                </c:pt>
                <c:pt idx="86" formatCode="General">
                  <c:v>0.99955287535751991</c:v>
                </c:pt>
                <c:pt idx="87" formatCode="General">
                  <c:v>0.99963384684546752</c:v>
                </c:pt>
                <c:pt idx="88" formatCode="General">
                  <c:v>0.99970015929991929</c:v>
                </c:pt>
                <c:pt idx="89" formatCode="General">
                  <c:v>0.9997544651351058</c:v>
                </c:pt>
                <c:pt idx="90" formatCode="General">
                  <c:v>0.99979893731329395</c:v>
                </c:pt>
                <c:pt idx="91" formatCode="General">
                  <c:v>0.99983535585345951</c:v>
                </c:pt>
                <c:pt idx="92" formatCode="General">
                  <c:v>0.99986517878287884</c:v>
                </c:pt>
                <c:pt idx="93" formatCode="General">
                  <c:v>0.99988960031217933</c:v>
                </c:pt>
                <c:pt idx="94" formatCode="General">
                  <c:v>0.99990959852308525</c:v>
                </c:pt>
                <c:pt idx="95" formatCode="General">
                  <c:v>0.99992597445172626</c:v>
                </c:pt>
                <c:pt idx="96" formatCode="General">
                  <c:v>0.99993938411486893</c:v>
                </c:pt>
                <c:pt idx="97" formatCode="General">
                  <c:v>0.99995036474987509</c:v>
                </c:pt>
                <c:pt idx="98" formatCode="General">
                  <c:v>0.99995935631148924</c:v>
                </c:pt>
              </c:numCache>
            </c:numRef>
          </c:yVal>
          <c:smooth val="0"/>
        </c:ser>
        <c:ser>
          <c:idx val="3"/>
          <c:order val="3"/>
          <c:spPr>
            <a:ln>
              <a:noFill/>
            </a:ln>
          </c:spPr>
          <c:xVal>
            <c:numRef>
              <c:f>Logistic2010!$X$44:$X$49</c:f>
              <c:numCache>
                <c:formatCode>m/d/yyyy</c:formatCode>
                <c:ptCount val="6"/>
                <c:pt idx="0">
                  <c:v>37810</c:v>
                </c:pt>
                <c:pt idx="1">
                  <c:v>37813</c:v>
                </c:pt>
                <c:pt idx="2">
                  <c:v>37816</c:v>
                </c:pt>
                <c:pt idx="3">
                  <c:v>37820</c:v>
                </c:pt>
                <c:pt idx="4">
                  <c:v>37825</c:v>
                </c:pt>
                <c:pt idx="5">
                  <c:v>37832</c:v>
                </c:pt>
              </c:numCache>
            </c:numRef>
          </c:xVal>
          <c:yVal>
            <c:numRef>
              <c:f>Logistic2010!$Y$44:$Y$49</c:f>
              <c:numCache>
                <c:formatCode>0%</c:formatCode>
                <c:ptCount val="6"/>
                <c:pt idx="0">
                  <c:v>0.216</c:v>
                </c:pt>
                <c:pt idx="1">
                  <c:v>0.48099999999999998</c:v>
                </c:pt>
                <c:pt idx="2">
                  <c:v>0.77300000000000002</c:v>
                </c:pt>
                <c:pt idx="3">
                  <c:v>0.70699999999999996</c:v>
                </c:pt>
                <c:pt idx="4">
                  <c:v>0.89200000000000002</c:v>
                </c:pt>
                <c:pt idx="5">
                  <c:v>0.98699999999999999</c:v>
                </c:pt>
              </c:numCache>
            </c:numRef>
          </c:yVal>
          <c:smooth val="0"/>
        </c:ser>
        <c:dLbls>
          <c:showLegendKey val="0"/>
          <c:showVal val="0"/>
          <c:showCatName val="0"/>
          <c:showSerName val="0"/>
          <c:showPercent val="0"/>
          <c:showBubbleSize val="0"/>
        </c:dLbls>
        <c:axId val="161237248"/>
        <c:axId val="161247616"/>
      </c:scatterChart>
      <c:valAx>
        <c:axId val="161237248"/>
        <c:scaling>
          <c:orientation val="minMax"/>
        </c:scaling>
        <c:delete val="0"/>
        <c:axPos val="b"/>
        <c:title>
          <c:tx>
            <c:rich>
              <a:bodyPr/>
              <a:lstStyle/>
              <a:p>
                <a:pPr>
                  <a:defRPr sz="850" b="0" i="0" u="none" strike="noStrike" baseline="0">
                    <a:solidFill>
                      <a:srgbClr val="000000"/>
                    </a:solidFill>
                    <a:latin typeface="Times New Roman"/>
                    <a:ea typeface="Times New Roman"/>
                    <a:cs typeface="Times New Roman"/>
                  </a:defRPr>
                </a:pPr>
                <a:r>
                  <a:rPr lang="en-US"/>
                  <a:t>Date</a:t>
                </a:r>
              </a:p>
            </c:rich>
          </c:tx>
          <c:layout>
            <c:manualLayout>
              <c:xMode val="edge"/>
              <c:yMode val="edge"/>
              <c:x val="0.51831298557158656"/>
              <c:y val="0.81239804241435565"/>
            </c:manualLayout>
          </c:layout>
          <c:overlay val="0"/>
          <c:spPr>
            <a:noFill/>
            <a:ln w="25400">
              <a:noFill/>
            </a:ln>
          </c:spPr>
        </c:title>
        <c:numFmt formatCode="m/d"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Times New Roman"/>
                <a:ea typeface="Times New Roman"/>
                <a:cs typeface="Times New Roman"/>
              </a:defRPr>
            </a:pPr>
            <a:endParaRPr lang="en-US"/>
          </a:p>
        </c:txPr>
        <c:crossAx val="161247616"/>
        <c:crosses val="autoZero"/>
        <c:crossBetween val="midCat"/>
      </c:valAx>
      <c:valAx>
        <c:axId val="161247616"/>
        <c:scaling>
          <c:orientation val="minMax"/>
          <c:max val="1"/>
          <c:min val="0"/>
        </c:scaling>
        <c:delete val="0"/>
        <c:axPos val="l"/>
        <c:title>
          <c:tx>
            <c:rich>
              <a:bodyPr/>
              <a:lstStyle/>
              <a:p>
                <a:pPr>
                  <a:defRPr sz="850" b="0" i="0" u="none" strike="noStrike" baseline="0">
                    <a:solidFill>
                      <a:srgbClr val="000000"/>
                    </a:solidFill>
                    <a:latin typeface="Times New Roman"/>
                    <a:ea typeface="Times New Roman"/>
                    <a:cs typeface="Times New Roman"/>
                  </a:defRPr>
                </a:pPr>
                <a:r>
                  <a:rPr lang="en-US"/>
                  <a:t>Percent</a:t>
                </a:r>
              </a:p>
            </c:rich>
          </c:tx>
          <c:layout>
            <c:manualLayout>
              <c:xMode val="edge"/>
              <c:yMode val="edge"/>
              <c:x val="2.4417314095449602E-2"/>
              <c:y val="0.370309951060363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Times New Roman"/>
                <a:ea typeface="Times New Roman"/>
                <a:cs typeface="Times New Roman"/>
              </a:defRPr>
            </a:pPr>
            <a:endParaRPr lang="en-US"/>
          </a:p>
        </c:txPr>
        <c:crossAx val="161237248"/>
        <c:crosses val="autoZero"/>
        <c:crossBetween val="midCat"/>
        <c:majorUnit val="0.2"/>
      </c:valAx>
      <c:spPr>
        <a:solidFill>
          <a:srgbClr val="FFFFFF"/>
        </a:solidFill>
        <a:ln w="12700">
          <a:solidFill>
            <a:srgbClr val="808080"/>
          </a:solidFill>
          <a:prstDash val="solid"/>
        </a:ln>
      </c:spPr>
    </c:plotArea>
    <c:legend>
      <c:legendPos val="r"/>
      <c:layout>
        <c:manualLayout>
          <c:xMode val="edge"/>
          <c:yMode val="edge"/>
          <c:x val="0.16870144284129035"/>
          <c:y val="0.25774877650897227"/>
          <c:w val="0.18745098039215957"/>
          <c:h val="0.1308852380401879"/>
        </c:manualLayout>
      </c:layout>
      <c:overlay val="0"/>
      <c:spPr>
        <a:noFill/>
        <a:ln w="25400">
          <a:noFill/>
        </a:ln>
      </c:spPr>
      <c:txPr>
        <a:bodyPr/>
        <a:lstStyle/>
        <a:p>
          <a:pPr>
            <a:defRPr sz="825" b="0" i="0" u="none" strike="noStrike" baseline="0">
              <a:solidFill>
                <a:srgbClr val="000000"/>
              </a:solidFill>
              <a:latin typeface="Times New Roman"/>
              <a:ea typeface="Times New Roman"/>
              <a:cs typeface="Times New Roman"/>
            </a:defRPr>
          </a:pPr>
          <a:endParaRPr lang="en-US"/>
        </a:p>
      </c:txPr>
    </c:legend>
    <c:plotVisOnly val="1"/>
    <c:dispBlanksAs val="gap"/>
    <c:showDLblsOverMax val="0"/>
  </c:chart>
  <c:spPr>
    <a:noFill/>
    <a:ln w="9525">
      <a:noFill/>
    </a:ln>
  </c:spPr>
  <c:txPr>
    <a:bodyPr/>
    <a:lstStyle/>
    <a:p>
      <a:pPr>
        <a:defRPr sz="1200" b="0" i="0" u="none" strike="noStrike" baseline="0">
          <a:solidFill>
            <a:srgbClr val="000000"/>
          </a:solidFill>
          <a:latin typeface="Times New Roman"/>
          <a:ea typeface="Times New Roman"/>
          <a:cs typeface="Times New Roman"/>
        </a:defRPr>
      </a:pPr>
      <a:endParaRPr lang="en-US"/>
    </a:p>
  </c:txPr>
  <c:userShapes r:id="rId1"/>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6.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9.xml"/></Relationships>
</file>

<file path=xl/chartsheets/sheet1.xml><?xml version="1.0" encoding="utf-8"?>
<chartsheet xmlns="http://schemas.openxmlformats.org/spreadsheetml/2006/main" xmlns:r="http://schemas.openxmlformats.org/officeDocument/2006/relationships">
  <sheetPr codeName="Chart3"/>
  <sheetViews>
    <sheetView zoomScale="130" workbookViewId="0"/>
  </sheetViews>
  <pageMargins left="0.75" right="0.75" top="1" bottom="1" header="0.5" footer="0.5"/>
  <headerFooter alignWithMargins="0"/>
  <drawing r:id="rId1"/>
</chartsheet>
</file>

<file path=xl/chartsheets/sheet2.xml><?xml version="1.0" encoding="utf-8"?>
<chartsheet xmlns="http://schemas.openxmlformats.org/spreadsheetml/2006/main" xmlns:r="http://schemas.openxmlformats.org/officeDocument/2006/relationships">
  <sheetPr codeName="Chart2"/>
  <sheetViews>
    <sheetView zoomScale="130" workbookViewId="0"/>
  </sheetViews>
  <pageMargins left="0.75" right="0.75" top="1" bottom="1" header="0.5" footer="0.5"/>
  <headerFooter alignWithMargins="0"/>
  <drawing r:id="rId1"/>
</chartsheet>
</file>

<file path=xl/chartsheets/sheet3.xml><?xml version="1.0" encoding="utf-8"?>
<chartsheet xmlns="http://schemas.openxmlformats.org/spreadsheetml/2006/main" xmlns:r="http://schemas.openxmlformats.org/officeDocument/2006/relationships">
  <sheetPr codeName="Chart1"/>
  <sheetViews>
    <sheetView zoomScale="130" workbookViewId="0"/>
  </sheetViews>
  <pageMargins left="0.75" right="0.75" top="1" bottom="1" header="0.5" footer="0.5"/>
  <headerFooter alignWithMargins="0"/>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1.emf"/></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image" Target="../media/image1.emf"/></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image" Target="../media/image1.emf"/></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image" Target="../media/image1.emf"/></Relationships>
</file>

<file path=xl/drawings/_rels/drawing8.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6.xml"/></Relationships>
</file>

<file path=xl/drawings/_rels/vmlDrawing9.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200023</xdr:colOff>
      <xdr:row>16</xdr:row>
      <xdr:rowOff>47625</xdr:rowOff>
    </xdr:from>
    <xdr:to>
      <xdr:col>8</xdr:col>
      <xdr:colOff>190499</xdr:colOff>
      <xdr:row>42</xdr:row>
      <xdr:rowOff>152401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467364</xdr:colOff>
      <xdr:row>114</xdr:row>
      <xdr:rowOff>167786</xdr:rowOff>
    </xdr:from>
    <xdr:to>
      <xdr:col>15</xdr:col>
      <xdr:colOff>440348</xdr:colOff>
      <xdr:row>148</xdr:row>
      <xdr:rowOff>198009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107521" name="CommandButto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485773</xdr:colOff>
      <xdr:row>18</xdr:row>
      <xdr:rowOff>152400</xdr:rowOff>
    </xdr:from>
    <xdr:to>
      <xdr:col>10</xdr:col>
      <xdr:colOff>190499</xdr:colOff>
      <xdr:row>45</xdr:row>
      <xdr:rowOff>47626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467364</xdr:colOff>
      <xdr:row>114</xdr:row>
      <xdr:rowOff>167786</xdr:rowOff>
    </xdr:from>
    <xdr:to>
      <xdr:col>15</xdr:col>
      <xdr:colOff>440348</xdr:colOff>
      <xdr:row>148</xdr:row>
      <xdr:rowOff>198009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94209" name="CommandButto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485773</xdr:colOff>
      <xdr:row>18</xdr:row>
      <xdr:rowOff>152400</xdr:rowOff>
    </xdr:from>
    <xdr:to>
      <xdr:col>10</xdr:col>
      <xdr:colOff>190499</xdr:colOff>
      <xdr:row>45</xdr:row>
      <xdr:rowOff>47626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467364</xdr:colOff>
      <xdr:row>114</xdr:row>
      <xdr:rowOff>167786</xdr:rowOff>
    </xdr:from>
    <xdr:to>
      <xdr:col>15</xdr:col>
      <xdr:colOff>440348</xdr:colOff>
      <xdr:row>148</xdr:row>
      <xdr:rowOff>198009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92161" name="CommandButto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485773</xdr:colOff>
      <xdr:row>18</xdr:row>
      <xdr:rowOff>152400</xdr:rowOff>
    </xdr:from>
    <xdr:to>
      <xdr:col>10</xdr:col>
      <xdr:colOff>190499</xdr:colOff>
      <xdr:row>45</xdr:row>
      <xdr:rowOff>47626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467364</xdr:colOff>
      <xdr:row>114</xdr:row>
      <xdr:rowOff>167786</xdr:rowOff>
    </xdr:from>
    <xdr:to>
      <xdr:col>15</xdr:col>
      <xdr:colOff>440348</xdr:colOff>
      <xdr:row>148</xdr:row>
      <xdr:rowOff>198009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91137" name="CommandButto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29325"/>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1162049</xdr:colOff>
      <xdr:row>11</xdr:row>
      <xdr:rowOff>180975</xdr:rowOff>
    </xdr:from>
    <xdr:to>
      <xdr:col>15</xdr:col>
      <xdr:colOff>342899</xdr:colOff>
      <xdr:row>35</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69633" name="CommandButto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466723</xdr:colOff>
      <xdr:row>18</xdr:row>
      <xdr:rowOff>57150</xdr:rowOff>
    </xdr:from>
    <xdr:to>
      <xdr:col>8</xdr:col>
      <xdr:colOff>457199</xdr:colOff>
      <xdr:row>44</xdr:row>
      <xdr:rowOff>152401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467364</xdr:colOff>
      <xdr:row>114</xdr:row>
      <xdr:rowOff>167786</xdr:rowOff>
    </xdr:from>
    <xdr:to>
      <xdr:col>15</xdr:col>
      <xdr:colOff>440348</xdr:colOff>
      <xdr:row>148</xdr:row>
      <xdr:rowOff>198009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68609" name="CommandButto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733423</xdr:colOff>
      <xdr:row>18</xdr:row>
      <xdr:rowOff>171450</xdr:rowOff>
    </xdr:from>
    <xdr:to>
      <xdr:col>9</xdr:col>
      <xdr:colOff>38099</xdr:colOff>
      <xdr:row>45</xdr:row>
      <xdr:rowOff>66676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467364</xdr:colOff>
      <xdr:row>114</xdr:row>
      <xdr:rowOff>167786</xdr:rowOff>
    </xdr:from>
    <xdr:to>
      <xdr:col>15</xdr:col>
      <xdr:colOff>440348</xdr:colOff>
      <xdr:row>148</xdr:row>
      <xdr:rowOff>198009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60417" name="CommandButton1"/>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685798</xdr:colOff>
      <xdr:row>18</xdr:row>
      <xdr:rowOff>171450</xdr:rowOff>
    </xdr:from>
    <xdr:to>
      <xdr:col>8</xdr:col>
      <xdr:colOff>676274</xdr:colOff>
      <xdr:row>45</xdr:row>
      <xdr:rowOff>66676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114300</xdr:colOff>
      <xdr:row>4</xdr:row>
      <xdr:rowOff>0</xdr:rowOff>
    </xdr:from>
    <xdr:to>
      <xdr:col>4</xdr:col>
      <xdr:colOff>1790700</xdr:colOff>
      <xdr:row>5</xdr:row>
      <xdr:rowOff>152400</xdr:rowOff>
    </xdr:to>
    <xdr:pic>
      <xdr:nvPicPr>
        <xdr:cNvPr id="53249" name="CommandButton1"/>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05375" y="933450"/>
          <a:ext cx="1676400" cy="361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123825</xdr:colOff>
      <xdr:row>28</xdr:row>
      <xdr:rowOff>161925</xdr:rowOff>
    </xdr:from>
    <xdr:to>
      <xdr:col>15</xdr:col>
      <xdr:colOff>552450</xdr:colOff>
      <xdr:row>34</xdr:row>
      <xdr:rowOff>180975</xdr:rowOff>
    </xdr:to>
    <xdr:sp macro="" textlink="">
      <xdr:nvSpPr>
        <xdr:cNvPr id="2" name="Text Box 26"/>
        <xdr:cNvSpPr txBox="1">
          <a:spLocks noChangeArrowheads="1"/>
        </xdr:cNvSpPr>
      </xdr:nvSpPr>
      <xdr:spPr bwMode="auto">
        <a:xfrm>
          <a:off x="11325225" y="60198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657350" y="13849350"/>
          <a:ext cx="658177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41</xdr:col>
      <xdr:colOff>19050</xdr:colOff>
      <xdr:row>81</xdr:row>
      <xdr:rowOff>19050</xdr:rowOff>
    </xdr:from>
    <xdr:to>
      <xdr:col>47</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542923</xdr:colOff>
      <xdr:row>24</xdr:row>
      <xdr:rowOff>0</xdr:rowOff>
    </xdr:from>
    <xdr:to>
      <xdr:col>8</xdr:col>
      <xdr:colOff>533399</xdr:colOff>
      <xdr:row>50</xdr:row>
      <xdr:rowOff>95251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114300</xdr:colOff>
          <xdr:row>4</xdr:row>
          <xdr:rowOff>0</xdr:rowOff>
        </xdr:from>
        <xdr:to>
          <xdr:col>4</xdr:col>
          <xdr:colOff>1790700</xdr:colOff>
          <xdr:row>5</xdr:row>
          <xdr:rowOff>152400</xdr:rowOff>
        </xdr:to>
        <xdr:sp macro="" textlink="">
          <xdr:nvSpPr>
            <xdr:cNvPr id="47105" name="CommandButton1" hidden="1">
              <a:extLst>
                <a:ext uri="{63B3BB69-23CF-44E3-9099-C40C66FF867C}">
                  <a14:compatExt spid="_x0000_s47105"/>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25</xdr:col>
      <xdr:colOff>617765</xdr:colOff>
      <xdr:row>6</xdr:row>
      <xdr:rowOff>122464</xdr:rowOff>
    </xdr:from>
    <xdr:to>
      <xdr:col>39</xdr:col>
      <xdr:colOff>625928</xdr:colOff>
      <xdr:row>39</xdr:row>
      <xdr:rowOff>122462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326569</xdr:colOff>
      <xdr:row>46</xdr:row>
      <xdr:rowOff>27214</xdr:rowOff>
    </xdr:from>
    <xdr:to>
      <xdr:col>35</xdr:col>
      <xdr:colOff>244928</xdr:colOff>
      <xdr:row>81</xdr:row>
      <xdr:rowOff>95251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308159</xdr:colOff>
      <xdr:row>83</xdr:row>
      <xdr:rowOff>88046</xdr:rowOff>
    </xdr:from>
    <xdr:to>
      <xdr:col>28</xdr:col>
      <xdr:colOff>680190</xdr:colOff>
      <xdr:row>116</xdr:row>
      <xdr:rowOff>100673</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47625</xdr:colOff>
      <xdr:row>12</xdr:row>
      <xdr:rowOff>200025</xdr:rowOff>
    </xdr:from>
    <xdr:to>
      <xdr:col>16</xdr:col>
      <xdr:colOff>695325</xdr:colOff>
      <xdr:row>19</xdr:row>
      <xdr:rowOff>9525</xdr:rowOff>
    </xdr:to>
    <xdr:sp macro="" textlink="">
      <xdr:nvSpPr>
        <xdr:cNvPr id="2" name="Text Box 26"/>
        <xdr:cNvSpPr txBox="1">
          <a:spLocks noChangeArrowheads="1"/>
        </xdr:cNvSpPr>
      </xdr:nvSpPr>
      <xdr:spPr bwMode="auto">
        <a:xfrm>
          <a:off x="12153900" y="2809875"/>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304925" y="13801725"/>
          <a:ext cx="6372225" cy="122872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40</xdr:col>
      <xdr:colOff>19050</xdr:colOff>
      <xdr:row>81</xdr:row>
      <xdr:rowOff>19050</xdr:rowOff>
    </xdr:from>
    <xdr:to>
      <xdr:col>46</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546100</xdr:colOff>
      <xdr:row>79</xdr:row>
      <xdr:rowOff>196850</xdr:rowOff>
    </xdr:from>
    <xdr:to>
      <xdr:col>42</xdr:col>
      <xdr:colOff>482600</xdr:colOff>
      <xdr:row>116</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409573</xdr:colOff>
      <xdr:row>15</xdr:row>
      <xdr:rowOff>152400</xdr:rowOff>
    </xdr:from>
    <xdr:to>
      <xdr:col>8</xdr:col>
      <xdr:colOff>400049</xdr:colOff>
      <xdr:row>42</xdr:row>
      <xdr:rowOff>57151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114300</xdr:colOff>
          <xdr:row>4</xdr:row>
          <xdr:rowOff>0</xdr:rowOff>
        </xdr:from>
        <xdr:to>
          <xdr:col>4</xdr:col>
          <xdr:colOff>1790700</xdr:colOff>
          <xdr:row>5</xdr:row>
          <xdr:rowOff>152400</xdr:rowOff>
        </xdr:to>
        <xdr:sp macro="" textlink="">
          <xdr:nvSpPr>
            <xdr:cNvPr id="41985" name="CommandButton1" hidden="1">
              <a:extLst>
                <a:ext uri="{63B3BB69-23CF-44E3-9099-C40C66FF867C}">
                  <a14:compatExt spid="_x0000_s41985"/>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10</xdr:col>
      <xdr:colOff>342900</xdr:colOff>
      <xdr:row>0</xdr:row>
      <xdr:rowOff>152400</xdr:rowOff>
    </xdr:from>
    <xdr:to>
      <xdr:col>16</xdr:col>
      <xdr:colOff>85725</xdr:colOff>
      <xdr:row>6</xdr:row>
      <xdr:rowOff>38100</xdr:rowOff>
    </xdr:to>
    <xdr:sp macro="" textlink="">
      <xdr:nvSpPr>
        <xdr:cNvPr id="2" name="Text Box 26"/>
        <xdr:cNvSpPr txBox="1">
          <a:spLocks noChangeArrowheads="1"/>
        </xdr:cNvSpPr>
      </xdr:nvSpPr>
      <xdr:spPr bwMode="auto">
        <a:xfrm>
          <a:off x="10048875" y="152400"/>
          <a:ext cx="5438775" cy="12382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304925" y="13706475"/>
          <a:ext cx="5438775" cy="1209675"/>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xdr:twoCellAnchor>
    <xdr:from>
      <xdr:col>36</xdr:col>
      <xdr:colOff>19050</xdr:colOff>
      <xdr:row>81</xdr:row>
      <xdr:rowOff>19050</xdr:rowOff>
    </xdr:from>
    <xdr:to>
      <xdr:col>42</xdr:col>
      <xdr:colOff>469900</xdr:colOff>
      <xdr:row>94</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962025</xdr:colOff>
      <xdr:row>14</xdr:row>
      <xdr:rowOff>171450</xdr:rowOff>
    </xdr:from>
    <xdr:to>
      <xdr:col>9</xdr:col>
      <xdr:colOff>396874</xdr:colOff>
      <xdr:row>40</xdr:row>
      <xdr:rowOff>47626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546100</xdr:colOff>
      <xdr:row>79</xdr:row>
      <xdr:rowOff>196850</xdr:rowOff>
    </xdr:from>
    <xdr:to>
      <xdr:col>38</xdr:col>
      <xdr:colOff>482600</xdr:colOff>
      <xdr:row>116</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114300</xdr:colOff>
          <xdr:row>4</xdr:row>
          <xdr:rowOff>0</xdr:rowOff>
        </xdr:from>
        <xdr:to>
          <xdr:col>4</xdr:col>
          <xdr:colOff>1790700</xdr:colOff>
          <xdr:row>5</xdr:row>
          <xdr:rowOff>152400</xdr:rowOff>
        </xdr:to>
        <xdr:sp macro="" textlink="">
          <xdr:nvSpPr>
            <xdr:cNvPr id="37889" name="CommandButton1" hidden="1">
              <a:extLst>
                <a:ext uri="{63B3BB69-23CF-44E3-9099-C40C66FF867C}">
                  <a14:compatExt spid="_x0000_s37889"/>
                </a:ext>
              </a:extLst>
            </xdr:cNvPr>
            <xdr:cNvSpPr/>
          </xdr:nvSpPr>
          <xdr:spPr>
            <a:xfrm>
              <a:off x="0" y="0"/>
              <a:ext cx="0" cy="0"/>
            </a:xfrm>
            <a:prstGeom prst="rect">
              <a:avLst/>
            </a:prstGeom>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absoluteAnchor>
    <xdr:pos x="0" y="0"/>
    <xdr:ext cx="8660423" cy="627184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0.37323</cdr:x>
      <cdr:y>0.57489</cdr:y>
    </cdr:from>
    <cdr:to>
      <cdr:x>0.38202</cdr:x>
      <cdr:y>0.61311</cdr:y>
    </cdr:to>
    <cdr:sp macro="" textlink="">
      <cdr:nvSpPr>
        <cdr:cNvPr id="27649" name="Text Box 1"/>
        <cdr:cNvSpPr txBox="1">
          <a:spLocks xmlns:a="http://schemas.openxmlformats.org/drawingml/2006/main" noChangeArrowheads="1"/>
        </cdr:cNvSpPr>
      </cdr:nvSpPr>
      <cdr:spPr bwMode="auto">
        <a:xfrm xmlns:a="http://schemas.openxmlformats.org/drawingml/2006/main">
          <a:off x="3203084" y="3356693"/>
          <a:ext cx="75406" cy="22313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1200" b="0" i="0" u="none" strike="noStrike" baseline="0">
              <a:solidFill>
                <a:srgbClr val="000000"/>
              </a:solidFill>
              <a:latin typeface="Times New Roman"/>
              <a:cs typeface="Times New Roman"/>
            </a:rPr>
            <a:t> </a:t>
          </a:r>
        </a:p>
      </cdr:txBody>
    </cdr:sp>
  </cdr:relSizeAnchor>
  <cdr:relSizeAnchor xmlns:cdr="http://schemas.openxmlformats.org/drawingml/2006/chartDrawing">
    <cdr:from>
      <cdr:x>0.02025</cdr:x>
      <cdr:y>0.84625</cdr:y>
    </cdr:from>
    <cdr:to>
      <cdr:x>0.97075</cdr:x>
      <cdr:y>0.93725</cdr:y>
    </cdr:to>
    <cdr:sp macro="" textlink="">
      <cdr:nvSpPr>
        <cdr:cNvPr id="27650" name="Text Box 2"/>
        <cdr:cNvSpPr txBox="1">
          <a:spLocks xmlns:a="http://schemas.openxmlformats.org/drawingml/2006/main" noChangeArrowheads="1"/>
        </cdr:cNvSpPr>
      </cdr:nvSpPr>
      <cdr:spPr bwMode="auto">
        <a:xfrm xmlns:a="http://schemas.openxmlformats.org/drawingml/2006/main">
          <a:off x="173786" y="4941106"/>
          <a:ext cx="8157215" cy="531333"/>
        </a:xfrm>
        <a:prstGeom xmlns:a="http://schemas.openxmlformats.org/drawingml/2006/main" prst="rect">
          <a:avLst/>
        </a:prstGeom>
        <a:solidFill xmlns:a="http://schemas.openxmlformats.org/drawingml/2006/main">
          <a:srgbClr val="FFFFFF"/>
        </a:solidFill>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Times New Roman"/>
              <a:cs typeface="Times New Roman"/>
            </a:rPr>
            <a:t>Figure 3.  Estimated proportion of Chignik Lake sockeye salmon in the Chignik River system by day using a weighted logistic </a:t>
          </a:r>
        </a:p>
        <a:p xmlns:a="http://schemas.openxmlformats.org/drawingml/2006/main">
          <a:pPr algn="l" rtl="0">
            <a:defRPr sz="1000"/>
          </a:pPr>
          <a:r>
            <a:rPr lang="en-US" sz="1200" b="0" i="0" u="none" strike="noStrike" baseline="0">
              <a:solidFill>
                <a:srgbClr val="000000"/>
              </a:solidFill>
              <a:latin typeface="Times New Roman"/>
              <a:cs typeface="Times New Roman"/>
            </a:rPr>
            <a:t>                 function fit to the age 1.3 model output data and refit for each sample inseason.</a:t>
          </a:r>
        </a:p>
      </cdr:txBody>
    </cdr:sp>
  </cdr:relSizeAnchor>
</c:userShapes>
</file>

<file path=xl/drawings/drawing15.xml><?xml version="1.0" encoding="utf-8"?>
<xdr:wsDr xmlns:xdr="http://schemas.openxmlformats.org/drawingml/2006/spreadsheetDrawing" xmlns:a="http://schemas.openxmlformats.org/drawingml/2006/main">
  <xdr:twoCellAnchor>
    <xdr:from>
      <xdr:col>12</xdr:col>
      <xdr:colOff>25400</xdr:colOff>
      <xdr:row>0</xdr:row>
      <xdr:rowOff>88900</xdr:rowOff>
    </xdr:from>
    <xdr:to>
      <xdr:col>17</xdr:col>
      <xdr:colOff>568325</xdr:colOff>
      <xdr:row>5</xdr:row>
      <xdr:rowOff>190500</xdr:rowOff>
    </xdr:to>
    <xdr:sp macro="" textlink="">
      <xdr:nvSpPr>
        <xdr:cNvPr id="2" name="Text Box 26"/>
        <xdr:cNvSpPr txBox="1">
          <a:spLocks noChangeArrowheads="1"/>
        </xdr:cNvSpPr>
      </xdr:nvSpPr>
      <xdr:spPr bwMode="auto">
        <a:xfrm>
          <a:off x="11353800" y="88900"/>
          <a:ext cx="5457825" cy="127000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304925" y="13630275"/>
          <a:ext cx="5438775" cy="12001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mc:AlternateContent xmlns:mc="http://schemas.openxmlformats.org/markup-compatibility/2006">
    <mc:Choice xmlns:a14="http://schemas.microsoft.com/office/drawing/2010/main" Requires="a14">
      <xdr:twoCellAnchor editAs="oneCell">
        <xdr:from>
          <xdr:col>4</xdr:col>
          <xdr:colOff>114300</xdr:colOff>
          <xdr:row>4</xdr:row>
          <xdr:rowOff>0</xdr:rowOff>
        </xdr:from>
        <xdr:to>
          <xdr:col>4</xdr:col>
          <xdr:colOff>1790700</xdr:colOff>
          <xdr:row>5</xdr:row>
          <xdr:rowOff>152400</xdr:rowOff>
        </xdr:to>
        <xdr:sp macro="" textlink="">
          <xdr:nvSpPr>
            <xdr:cNvPr id="34817" name="CommandButton1" hidden="1">
              <a:extLst>
                <a:ext uri="{63B3BB69-23CF-44E3-9099-C40C66FF867C}">
                  <a14:compatExt spid="_x0000_s34817"/>
                </a:ext>
              </a:extLst>
            </xdr:cNvPr>
            <xdr:cNvSpPr/>
          </xdr:nvSpPr>
          <xdr:spPr>
            <a:xfrm>
              <a:off x="0" y="0"/>
              <a:ext cx="0" cy="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absoluteAnchor>
    <xdr:pos x="0" y="0"/>
    <xdr:ext cx="8660423" cy="627184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c:userShapes xmlns:c="http://schemas.openxmlformats.org/drawingml/2006/chart">
  <cdr:relSizeAnchor xmlns:cdr="http://schemas.openxmlformats.org/drawingml/2006/chartDrawing">
    <cdr:from>
      <cdr:x>0.37323</cdr:x>
      <cdr:y>0.57489</cdr:y>
    </cdr:from>
    <cdr:to>
      <cdr:x>0.38202</cdr:x>
      <cdr:y>0.61311</cdr:y>
    </cdr:to>
    <cdr:sp macro="" textlink="">
      <cdr:nvSpPr>
        <cdr:cNvPr id="27649" name="Text Box 1"/>
        <cdr:cNvSpPr txBox="1">
          <a:spLocks xmlns:a="http://schemas.openxmlformats.org/drawingml/2006/main" noChangeArrowheads="1"/>
        </cdr:cNvSpPr>
      </cdr:nvSpPr>
      <cdr:spPr bwMode="auto">
        <a:xfrm xmlns:a="http://schemas.openxmlformats.org/drawingml/2006/main">
          <a:off x="3203084" y="3356693"/>
          <a:ext cx="75406" cy="22313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1200" b="0" i="0" u="none" strike="noStrike" baseline="0">
              <a:solidFill>
                <a:srgbClr val="000000"/>
              </a:solidFill>
              <a:latin typeface="Times New Roman"/>
              <a:cs typeface="Times New Roman"/>
            </a:rPr>
            <a:t> </a:t>
          </a:r>
        </a:p>
      </cdr:txBody>
    </cdr:sp>
  </cdr:relSizeAnchor>
  <cdr:relSizeAnchor xmlns:cdr="http://schemas.openxmlformats.org/drawingml/2006/chartDrawing">
    <cdr:from>
      <cdr:x>0.02025</cdr:x>
      <cdr:y>0.84625</cdr:y>
    </cdr:from>
    <cdr:to>
      <cdr:x>0.97075</cdr:x>
      <cdr:y>0.93725</cdr:y>
    </cdr:to>
    <cdr:sp macro="" textlink="">
      <cdr:nvSpPr>
        <cdr:cNvPr id="27650" name="Text Box 2"/>
        <cdr:cNvSpPr txBox="1">
          <a:spLocks xmlns:a="http://schemas.openxmlformats.org/drawingml/2006/main" noChangeArrowheads="1"/>
        </cdr:cNvSpPr>
      </cdr:nvSpPr>
      <cdr:spPr bwMode="auto">
        <a:xfrm xmlns:a="http://schemas.openxmlformats.org/drawingml/2006/main">
          <a:off x="173786" y="4941106"/>
          <a:ext cx="8157215" cy="531333"/>
        </a:xfrm>
        <a:prstGeom xmlns:a="http://schemas.openxmlformats.org/drawingml/2006/main" prst="rect">
          <a:avLst/>
        </a:prstGeom>
        <a:solidFill xmlns:a="http://schemas.openxmlformats.org/drawingml/2006/main">
          <a:srgbClr val="FFFFFF"/>
        </a:solidFill>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Times New Roman"/>
              <a:cs typeface="Times New Roman"/>
            </a:rPr>
            <a:t>Figure 3.  Estimated proportion of Chignik Lake sockeye salmon in the Chignik River system by day using a weighted logistic </a:t>
          </a:r>
        </a:p>
        <a:p xmlns:a="http://schemas.openxmlformats.org/drawingml/2006/main">
          <a:pPr algn="l" rtl="0">
            <a:defRPr sz="1000"/>
          </a:pPr>
          <a:r>
            <a:rPr lang="en-US" sz="1200" b="0" i="0" u="none" strike="noStrike" baseline="0">
              <a:solidFill>
                <a:srgbClr val="000000"/>
              </a:solidFill>
              <a:latin typeface="Times New Roman"/>
              <a:cs typeface="Times New Roman"/>
            </a:rPr>
            <a:t>                 function fit to the age 1.3 model output data and refit for each sample inseason.</a:t>
          </a:r>
        </a:p>
      </cdr:txBody>
    </cdr:sp>
  </cdr:relSizeAnchor>
</c:userShapes>
</file>

<file path=xl/drawings/drawing18.xml><?xml version="1.0" encoding="utf-8"?>
<xdr:wsDr xmlns:xdr="http://schemas.openxmlformats.org/drawingml/2006/spreadsheetDrawing" xmlns:a="http://schemas.openxmlformats.org/drawingml/2006/main">
  <xdr:twoCellAnchor>
    <xdr:from>
      <xdr:col>13</xdr:col>
      <xdr:colOff>177800</xdr:colOff>
      <xdr:row>0</xdr:row>
      <xdr:rowOff>152400</xdr:rowOff>
    </xdr:from>
    <xdr:to>
      <xdr:col>19</xdr:col>
      <xdr:colOff>60325</xdr:colOff>
      <xdr:row>6</xdr:row>
      <xdr:rowOff>38100</xdr:rowOff>
    </xdr:to>
    <xdr:sp macro="" textlink="">
      <xdr:nvSpPr>
        <xdr:cNvPr id="2" name="Text Box 26"/>
        <xdr:cNvSpPr txBox="1">
          <a:spLocks noChangeArrowheads="1"/>
        </xdr:cNvSpPr>
      </xdr:nvSpPr>
      <xdr:spPr bwMode="auto">
        <a:xfrm>
          <a:off x="12217400" y="152400"/>
          <a:ext cx="5457825" cy="127000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3" name="Text Box 27"/>
        <xdr:cNvSpPr txBox="1">
          <a:spLocks noChangeArrowheads="1"/>
        </xdr:cNvSpPr>
      </xdr:nvSpPr>
      <xdr:spPr bwMode="auto">
        <a:xfrm>
          <a:off x="1304925" y="13620750"/>
          <a:ext cx="5438775" cy="12001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mc:AlternateContent xmlns:mc="http://schemas.openxmlformats.org/markup-compatibility/2006">
    <mc:Choice xmlns:a14="http://schemas.microsoft.com/office/drawing/2010/main" Requires="a14">
      <xdr:twoCellAnchor editAs="oneCell">
        <xdr:from>
          <xdr:col>4</xdr:col>
          <xdr:colOff>114300</xdr:colOff>
          <xdr:row>4</xdr:row>
          <xdr:rowOff>0</xdr:rowOff>
        </xdr:from>
        <xdr:to>
          <xdr:col>4</xdr:col>
          <xdr:colOff>1790700</xdr:colOff>
          <xdr:row>5</xdr:row>
          <xdr:rowOff>152400</xdr:rowOff>
        </xdr:to>
        <xdr:sp macro="" textlink="">
          <xdr:nvSpPr>
            <xdr:cNvPr id="32769" name="CommandButton1" hidden="1">
              <a:extLst>
                <a:ext uri="{63B3BB69-23CF-44E3-9099-C40C66FF867C}">
                  <a14:compatExt spid="_x0000_s32769"/>
                </a:ext>
              </a:extLst>
            </xdr:cNvPr>
            <xdr:cNvSpPr/>
          </xdr:nvSpPr>
          <xdr:spPr>
            <a:xfrm>
              <a:off x="0" y="0"/>
              <a:ext cx="0" cy="0"/>
            </a:xfrm>
            <a:prstGeom prst="rect">
              <a:avLst/>
            </a:prstGeom>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absoluteAnchor>
    <xdr:pos x="0" y="0"/>
    <xdr:ext cx="8660423" cy="627184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0.37286</cdr:x>
      <cdr:y>0.57502</cdr:y>
    </cdr:from>
    <cdr:to>
      <cdr:x>0.38164</cdr:x>
      <cdr:y>0.61323</cdr:y>
    </cdr:to>
    <cdr:sp macro="" textlink="">
      <cdr:nvSpPr>
        <cdr:cNvPr id="27649" name="Text Box 1"/>
        <cdr:cNvSpPr txBox="1">
          <a:spLocks xmlns:a="http://schemas.openxmlformats.org/drawingml/2006/main" noChangeArrowheads="1"/>
        </cdr:cNvSpPr>
      </cdr:nvSpPr>
      <cdr:spPr bwMode="auto">
        <a:xfrm xmlns:a="http://schemas.openxmlformats.org/drawingml/2006/main">
          <a:off x="3199867" y="3357423"/>
          <a:ext cx="75405" cy="22313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1200" b="0" i="0" u="none" strike="noStrike" baseline="0">
              <a:solidFill>
                <a:srgbClr val="000000"/>
              </a:solidFill>
              <a:latin typeface="Times New Roman"/>
              <a:cs typeface="Times New Roman"/>
            </a:rPr>
            <a:t> </a:t>
          </a:r>
        </a:p>
      </cdr:txBody>
    </cdr:sp>
  </cdr:relSizeAnchor>
  <cdr:relSizeAnchor xmlns:cdr="http://schemas.openxmlformats.org/drawingml/2006/chartDrawing">
    <cdr:from>
      <cdr:x>0.02025</cdr:x>
      <cdr:y>0.84625</cdr:y>
    </cdr:from>
    <cdr:to>
      <cdr:x>0.97075</cdr:x>
      <cdr:y>0.93725</cdr:y>
    </cdr:to>
    <cdr:sp macro="" textlink="">
      <cdr:nvSpPr>
        <cdr:cNvPr id="27650" name="Text Box 2"/>
        <cdr:cNvSpPr txBox="1">
          <a:spLocks xmlns:a="http://schemas.openxmlformats.org/drawingml/2006/main" noChangeArrowheads="1"/>
        </cdr:cNvSpPr>
      </cdr:nvSpPr>
      <cdr:spPr bwMode="auto">
        <a:xfrm xmlns:a="http://schemas.openxmlformats.org/drawingml/2006/main">
          <a:off x="173786" y="4941106"/>
          <a:ext cx="8157215" cy="531333"/>
        </a:xfrm>
        <a:prstGeom xmlns:a="http://schemas.openxmlformats.org/drawingml/2006/main" prst="rect">
          <a:avLst/>
        </a:prstGeom>
        <a:solidFill xmlns:a="http://schemas.openxmlformats.org/drawingml/2006/main">
          <a:srgbClr val="FFFFFF"/>
        </a:solidFill>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Times New Roman"/>
              <a:cs typeface="Times New Roman"/>
            </a:rPr>
            <a:t>Figure 3.  2010 estimated proportion of Chignik Lake sockeye salmon in the Chignik River system by day using a weighted logistic </a:t>
          </a:r>
        </a:p>
        <a:p xmlns:a="http://schemas.openxmlformats.org/drawingml/2006/main">
          <a:pPr algn="l" rtl="0">
            <a:defRPr sz="1000"/>
          </a:pPr>
          <a:r>
            <a:rPr lang="en-US" sz="1200" b="0" i="0" u="none" strike="noStrike" baseline="0">
              <a:solidFill>
                <a:srgbClr val="000000"/>
              </a:solidFill>
              <a:latin typeface="Times New Roman"/>
              <a:cs typeface="Times New Roman"/>
            </a:rPr>
            <a:t>                 function fit to the genetics proportion data and refit for each sample inseason.</a:t>
          </a:r>
        </a:p>
      </cdr:txBody>
    </cdr:sp>
  </cdr:relSizeAnchor>
</c:userShapes>
</file>

<file path=xl/drawings/drawing21.xml><?xml version="1.0" encoding="utf-8"?>
<xdr:wsDr xmlns:xdr="http://schemas.openxmlformats.org/drawingml/2006/spreadsheetDrawing" xmlns:a="http://schemas.openxmlformats.org/drawingml/2006/main">
  <xdr:twoCellAnchor>
    <xdr:from>
      <xdr:col>12</xdr:col>
      <xdr:colOff>546100</xdr:colOff>
      <xdr:row>1</xdr:row>
      <xdr:rowOff>63500</xdr:rowOff>
    </xdr:from>
    <xdr:to>
      <xdr:col>18</xdr:col>
      <xdr:colOff>390525</xdr:colOff>
      <xdr:row>6</xdr:row>
      <xdr:rowOff>165100</xdr:rowOff>
    </xdr:to>
    <xdr:sp macro="" textlink="">
      <xdr:nvSpPr>
        <xdr:cNvPr id="4122" name="Text Box 26"/>
        <xdr:cNvSpPr txBox="1">
          <a:spLocks noChangeArrowheads="1"/>
        </xdr:cNvSpPr>
      </xdr:nvSpPr>
      <xdr:spPr bwMode="auto">
        <a:xfrm>
          <a:off x="11874500" y="279400"/>
          <a:ext cx="5457825" cy="127000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Directions:  Do not enter numbers anywhere there isn't yellow shading.  After the first couple of samples, input the date, sample size, and percent in the correct columns to the right, then "Solve Logistic".  Paste the "Logistic Curve" (p^ orange) </a:t>
          </a:r>
          <a:r>
            <a:rPr lang="en-US" sz="1200" b="1" i="0" u="none" strike="noStrike" baseline="0">
              <a:solidFill>
                <a:srgbClr val="000000"/>
              </a:solidFill>
              <a:latin typeface="Times New Roman"/>
              <a:cs typeface="Times New Roman"/>
            </a:rPr>
            <a:t>VALUES</a:t>
          </a:r>
          <a:r>
            <a:rPr lang="en-US" sz="1200" b="0" i="0" u="none" strike="noStrike" baseline="0">
              <a:solidFill>
                <a:srgbClr val="000000"/>
              </a:solidFill>
              <a:latin typeface="Times New Roman"/>
              <a:cs typeface="Times New Roman"/>
            </a:rPr>
            <a:t> into the p^ intermediary (yellow) column below (these are starting values and only need to be pasted in once on the first model solve of the season.  After inputting each new sample, press "Solve Logistic" button and you have your new curve.</a:t>
          </a:r>
        </a:p>
      </xdr:txBody>
    </xdr:sp>
    <xdr:clientData/>
  </xdr:twoCellAnchor>
  <xdr:twoCellAnchor>
    <xdr:from>
      <xdr:col>1</xdr:col>
      <xdr:colOff>457200</xdr:colOff>
      <xdr:row>67</xdr:row>
      <xdr:rowOff>38100</xdr:rowOff>
    </xdr:from>
    <xdr:to>
      <xdr:col>6</xdr:col>
      <xdr:colOff>0</xdr:colOff>
      <xdr:row>73</xdr:row>
      <xdr:rowOff>38100</xdr:rowOff>
    </xdr:to>
    <xdr:sp macro="" textlink="">
      <xdr:nvSpPr>
        <xdr:cNvPr id="4123" name="Text Box 27"/>
        <xdr:cNvSpPr txBox="1">
          <a:spLocks noChangeArrowheads="1"/>
        </xdr:cNvSpPr>
      </xdr:nvSpPr>
      <xdr:spPr bwMode="auto">
        <a:xfrm>
          <a:off x="1304925" y="13601700"/>
          <a:ext cx="5438775" cy="1200150"/>
        </a:xfrm>
        <a:prstGeom prst="rect">
          <a:avLst/>
        </a:prstGeom>
        <a:solidFill>
          <a:srgbClr val="FFFF99">
            <a:alpha val="50000"/>
          </a:srgbClr>
        </a:solidFill>
        <a:ln w="9525">
          <a:solidFill>
            <a:srgbClr val="FFFF99"/>
          </a:solidFill>
          <a:miter lim="800000"/>
          <a:headEnd/>
          <a:tailEnd/>
        </a:ln>
      </xdr:spPr>
      <xdr:txBody>
        <a:bodyPr vertOverflow="clip" wrap="square" lIns="27432" tIns="27432" rIns="0" bIns="0" anchor="t" upright="1"/>
        <a:lstStyle/>
        <a:p>
          <a:pPr algn="l" rtl="0">
            <a:defRPr sz="1000"/>
          </a:pPr>
          <a:r>
            <a:rPr lang="en-US" sz="1200" b="0" i="0" u="none" strike="noStrike" baseline="0">
              <a:solidFill>
                <a:srgbClr val="000000"/>
              </a:solidFill>
              <a:latin typeface="Times New Roman"/>
              <a:cs typeface="Times New Roman"/>
            </a:rPr>
            <a:t>To Add a starting point of 0% on 5/25, add H66 to the sum of the target cell: weighted RSS (J4). That will bring it into the model consideration.</a:t>
          </a:r>
        </a:p>
      </xdr:txBody>
    </xdr:sp>
    <xdr:clientData/>
  </xdr:twoCellAnchor>
  <mc:AlternateContent xmlns:mc="http://schemas.openxmlformats.org/markup-compatibility/2006">
    <mc:Choice xmlns:a14="http://schemas.microsoft.com/office/drawing/2010/main" Requires="a14">
      <xdr:twoCellAnchor editAs="oneCell">
        <xdr:from>
          <xdr:col>4</xdr:col>
          <xdr:colOff>114300</xdr:colOff>
          <xdr:row>4</xdr:row>
          <xdr:rowOff>0</xdr:rowOff>
        </xdr:from>
        <xdr:to>
          <xdr:col>4</xdr:col>
          <xdr:colOff>1790700</xdr:colOff>
          <xdr:row>5</xdr:row>
          <xdr:rowOff>152400</xdr:rowOff>
        </xdr:to>
        <xdr:sp macro="" textlink="">
          <xdr:nvSpPr>
            <xdr:cNvPr id="4109" name="CommandButton1" hidden="1">
              <a:extLst>
                <a:ext uri="{63B3BB69-23CF-44E3-9099-C40C66FF867C}">
                  <a14:compatExt spid="_x0000_s4109"/>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6" Type="http://schemas.openxmlformats.org/officeDocument/2006/relationships/comments" Target="../comments9.xml"/><Relationship Id="rId5" Type="http://schemas.openxmlformats.org/officeDocument/2006/relationships/image" Target="../media/image2.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omments" Target="../comments10.xml"/><Relationship Id="rId5" Type="http://schemas.openxmlformats.org/officeDocument/2006/relationships/image" Target="../media/image3.emf"/><Relationship Id="rId4" Type="http://schemas.openxmlformats.org/officeDocument/2006/relationships/control" Target="../activeX/activeX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1.bin"/><Relationship Id="rId6" Type="http://schemas.openxmlformats.org/officeDocument/2006/relationships/comments" Target="../comments11.xml"/><Relationship Id="rId5" Type="http://schemas.openxmlformats.org/officeDocument/2006/relationships/image" Target="../media/image4.emf"/><Relationship Id="rId4" Type="http://schemas.openxmlformats.org/officeDocument/2006/relationships/control" Target="../activeX/activeX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5.xml"/><Relationship Id="rId1" Type="http://schemas.openxmlformats.org/officeDocument/2006/relationships/printerSettings" Target="../printerSettings/printerSettings12.bin"/><Relationship Id="rId6" Type="http://schemas.openxmlformats.org/officeDocument/2006/relationships/comments" Target="../comments12.xml"/><Relationship Id="rId5" Type="http://schemas.openxmlformats.org/officeDocument/2006/relationships/image" Target="../media/image5.emf"/><Relationship Id="rId4" Type="http://schemas.openxmlformats.org/officeDocument/2006/relationships/control" Target="../activeX/activeX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8.xml"/><Relationship Id="rId1" Type="http://schemas.openxmlformats.org/officeDocument/2006/relationships/printerSettings" Target="../printerSettings/printerSettings13.bin"/><Relationship Id="rId6" Type="http://schemas.openxmlformats.org/officeDocument/2006/relationships/comments" Target="../comments13.xml"/><Relationship Id="rId5" Type="http://schemas.openxmlformats.org/officeDocument/2006/relationships/image" Target="../media/image6.emf"/><Relationship Id="rId4" Type="http://schemas.openxmlformats.org/officeDocument/2006/relationships/control" Target="../activeX/activeX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1.xml"/><Relationship Id="rId1" Type="http://schemas.openxmlformats.org/officeDocument/2006/relationships/printerSettings" Target="../printerSettings/printerSettings14.bin"/><Relationship Id="rId6" Type="http://schemas.openxmlformats.org/officeDocument/2006/relationships/comments" Target="../comments14.xml"/><Relationship Id="rId5" Type="http://schemas.openxmlformats.org/officeDocument/2006/relationships/image" Target="../media/image7.emf"/><Relationship Id="rId4" Type="http://schemas.openxmlformats.org/officeDocument/2006/relationships/control" Target="../activeX/activeX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zoomScaleNormal="100" workbookViewId="0">
      <selection activeCell="A9" sqref="A9:A14"/>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8" width="9" style="4"/>
    <col min="9" max="9" width="9.125" style="4" bestFit="1" customWidth="1"/>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2018</v>
      </c>
      <c r="B2" s="6">
        <v>1.3</v>
      </c>
      <c r="C2" s="4" t="s">
        <v>6</v>
      </c>
      <c r="F2" s="3" t="s">
        <v>0</v>
      </c>
      <c r="G2" s="7" t="s">
        <v>7</v>
      </c>
      <c r="H2" s="7" t="s">
        <v>8</v>
      </c>
      <c r="I2" s="96" t="s">
        <v>27</v>
      </c>
      <c r="J2" s="98">
        <v>41459</v>
      </c>
      <c r="K2" s="99">
        <v>41459</v>
      </c>
      <c r="V2" s="4" t="s">
        <v>46</v>
      </c>
      <c r="Z2" s="4" t="s">
        <v>46</v>
      </c>
      <c r="AF2" s="153">
        <v>1.07207107E-2</v>
      </c>
      <c r="AG2" s="153">
        <v>5.7800489300000008E-2</v>
      </c>
    </row>
    <row r="3" spans="1:50" ht="21" thickBot="1" x14ac:dyDescent="0.4">
      <c r="A3" s="104">
        <v>37766.5</v>
      </c>
      <c r="C3" s="9"/>
      <c r="F3" s="73" t="s">
        <v>25</v>
      </c>
      <c r="G3" s="126">
        <v>1</v>
      </c>
      <c r="H3" s="11"/>
      <c r="I3">
        <f>G5-(1/G4)*LN((2*G3)-1)</f>
        <v>57.794688502165442</v>
      </c>
      <c r="J3" s="3" t="s">
        <v>9</v>
      </c>
      <c r="V3" s="4">
        <v>14419.592178086223</v>
      </c>
      <c r="W3" s="4">
        <v>18.804596949687852</v>
      </c>
      <c r="Z3" s="4">
        <v>14419.592178086223</v>
      </c>
      <c r="AA3" s="4">
        <v>18.804596949687852</v>
      </c>
      <c r="AF3" s="153">
        <v>0.11720679317999999</v>
      </c>
      <c r="AG3" s="153">
        <v>0.12440185682000002</v>
      </c>
    </row>
    <row r="4" spans="1:50" ht="16.5" thickBot="1" x14ac:dyDescent="0.3">
      <c r="A4" s="12" t="s">
        <v>10</v>
      </c>
      <c r="C4" s="4" t="s">
        <v>11</v>
      </c>
      <c r="F4" s="13" t="s">
        <v>1</v>
      </c>
      <c r="G4" s="127">
        <v>0.23142914464551828</v>
      </c>
      <c r="H4" s="15">
        <v>3.7224673371899546E-2</v>
      </c>
      <c r="I4" s="2"/>
      <c r="J4" s="129">
        <f>SUM(H9:H66)</f>
        <v>27.914459235347255</v>
      </c>
      <c r="K4" s="16">
        <f>SUMSQ(G9:G14)</f>
        <v>9.1143285162158874E-2</v>
      </c>
      <c r="L4" s="16"/>
      <c r="M4" s="139"/>
      <c r="N4" s="4">
        <f>1-0.317</f>
        <v>0.68300000000000005</v>
      </c>
      <c r="V4" s="4">
        <v>18.804596949687852</v>
      </c>
      <c r="W4" s="4">
        <v>3.2353858929251813</v>
      </c>
      <c r="Z4" s="4">
        <v>18.804596949687852</v>
      </c>
      <c r="AA4" s="4">
        <v>3.2353858929251813</v>
      </c>
      <c r="AF4" s="153">
        <v>6.9377456199999993E-2</v>
      </c>
      <c r="AG4" s="153">
        <v>8.1414593800000004E-2</v>
      </c>
    </row>
    <row r="5" spans="1:50" ht="16.5" thickBot="1" x14ac:dyDescent="0.3">
      <c r="C5" s="104">
        <v>37834.5</v>
      </c>
      <c r="F5" s="17" t="s">
        <v>2</v>
      </c>
      <c r="G5" s="128">
        <v>57.794688502165442</v>
      </c>
      <c r="H5" s="19">
        <v>2.4851026975048112</v>
      </c>
      <c r="I5" s="2"/>
      <c r="J5" s="20" t="s">
        <v>12</v>
      </c>
      <c r="K5" s="21"/>
      <c r="L5" s="21"/>
      <c r="N5" s="30"/>
      <c r="AF5" s="153">
        <v>9.9114094900000005E-2</v>
      </c>
      <c r="AG5" s="153">
        <v>0.1033439551</v>
      </c>
    </row>
    <row r="6" spans="1:50" ht="16.5" thickBot="1" x14ac:dyDescent="0.3">
      <c r="C6" s="22"/>
      <c r="G6" s="23"/>
      <c r="H6" s="9"/>
      <c r="K6" s="24"/>
      <c r="L6" s="24"/>
      <c r="V6" s="4" t="s">
        <v>47</v>
      </c>
      <c r="X6" s="4" t="s">
        <v>8</v>
      </c>
      <c r="Z6" s="4" t="s">
        <v>47</v>
      </c>
      <c r="AB6" s="4" t="s">
        <v>8</v>
      </c>
      <c r="AF6" s="153">
        <v>0.10062828290000003</v>
      </c>
      <c r="AG6" s="153">
        <v>0.1054689171</v>
      </c>
    </row>
    <row r="7" spans="1:50" ht="16.5" thickBot="1" x14ac:dyDescent="0.3">
      <c r="E7" s="25"/>
      <c r="F7" s="26"/>
      <c r="G7" s="27"/>
      <c r="H7" s="28"/>
      <c r="J7" s="29"/>
      <c r="M7" s="29"/>
      <c r="O7" s="3" t="s">
        <v>26</v>
      </c>
      <c r="V7" s="4">
        <f t="array" ref="V7:W8">2* 2.57095566993403^2*MINVERSE($V$3:$W$4)</f>
        <v>9.2378420509640501E-4</v>
      </c>
      <c r="W7" s="4">
        <v>-5.3691863104527015E-3</v>
      </c>
      <c r="X7" s="4">
        <v>3.0393818534307351E-2</v>
      </c>
      <c r="Z7" s="4">
        <f t="array" ref="Z7:AA8">2* 3.14876477132683^2*MINVERSE($Z$3:$AA$4)</f>
        <v>1.385676307644607E-3</v>
      </c>
      <c r="AA7" s="4">
        <v>-8.0537794656790496E-3</v>
      </c>
      <c r="AB7" s="4">
        <v>3.7224673371899546E-2</v>
      </c>
      <c r="AF7" s="153">
        <v>0.10131055034000003</v>
      </c>
      <c r="AG7" s="153">
        <v>9.6674749660000003E-2</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c r="V8" s="29">
        <v>-5.3691863104527015E-3</v>
      </c>
      <c r="W8" s="29">
        <v>4.1171569447637939</v>
      </c>
      <c r="X8" s="29">
        <v>2.0290778557669475</v>
      </c>
      <c r="Z8" s="29">
        <v>-8.0537794656790496E-3</v>
      </c>
      <c r="AA8" s="29">
        <v>6.17573541714569</v>
      </c>
      <c r="AB8" s="29">
        <v>2.4851026975048112</v>
      </c>
    </row>
    <row r="9" spans="1:50" ht="16.5" thickBot="1" x14ac:dyDescent="0.3">
      <c r="A9" s="150">
        <v>2.55025596298223E-2</v>
      </c>
      <c r="B9" s="124">
        <v>37798.5</v>
      </c>
      <c r="C9" s="121">
        <f t="shared" ref="C9" si="0">1/(A9^2)</f>
        <v>1537.5613609270074</v>
      </c>
      <c r="D9" s="106">
        <f t="shared" ref="D9:D14" si="1">IF(B9&lt;&gt;0,B9-$A$3+1,"")</f>
        <v>33</v>
      </c>
      <c r="E9" s="81">
        <v>1.0999999999999999E-2</v>
      </c>
      <c r="F9" s="41">
        <f t="shared" ref="F9:F14" si="2">IF(B9&lt;&gt;0,$G$3/(1+EXP(-$G$4*(D9-$G$5))),"")</f>
        <v>3.2101779941786516E-3</v>
      </c>
      <c r="G9" s="42">
        <f t="shared" ref="G9:G14" si="3">IF(B9&lt;&gt;0,E9-F9,"")</f>
        <v>7.7898220058213478E-3</v>
      </c>
      <c r="H9" s="43">
        <f t="shared" ref="H9:H14" si="4">IF(B9&lt;&gt;0,C9*(G9)^2,"")</f>
        <v>9.3301263544126517E-2</v>
      </c>
      <c r="J9" s="105">
        <f>A3</f>
        <v>37766.5</v>
      </c>
      <c r="K9" s="109">
        <v>1</v>
      </c>
      <c r="L9" s="125">
        <f t="shared" ref="L9:L72" si="5">$G$3/(1+EXP(-$G$4*(K9-$G$5)))</f>
        <v>1.9572930470528326E-6</v>
      </c>
      <c r="M9" s="46">
        <f>IF(J10&gt;MAX($B$9:$B$64),L9,N9)</f>
        <v>3.1121623501212576E-7</v>
      </c>
      <c r="N9" s="130">
        <v>3.1121623501212576E-7</v>
      </c>
      <c r="O9" s="89">
        <f t="shared" ref="O9:O72" si="6">IF(N9=M9,N9,M9)</f>
        <v>3.1121623501212576E-7</v>
      </c>
    </row>
    <row r="10" spans="1:50" ht="16.5" thickBot="1" x14ac:dyDescent="0.3">
      <c r="A10" s="151">
        <v>7.3484249027503001E-2</v>
      </c>
      <c r="B10" s="124">
        <v>37804.5</v>
      </c>
      <c r="C10" s="121">
        <f t="shared" ref="C10:C14" si="7">1/(A10^2)</f>
        <v>185.18741926096817</v>
      </c>
      <c r="D10" s="106">
        <f t="shared" si="1"/>
        <v>39</v>
      </c>
      <c r="E10" s="81">
        <v>0.246</v>
      </c>
      <c r="F10" s="41">
        <f t="shared" si="2"/>
        <v>1.2746895614020702E-2</v>
      </c>
      <c r="G10" s="42">
        <f t="shared" si="3"/>
        <v>0.23325310438597929</v>
      </c>
      <c r="H10" s="43">
        <f t="shared" si="4"/>
        <v>10.075493902291811</v>
      </c>
      <c r="I10" s="52"/>
      <c r="J10" s="105">
        <f t="shared" ref="J10:J73" si="8">J9+1</f>
        <v>37767.5</v>
      </c>
      <c r="K10" s="109">
        <v>2</v>
      </c>
      <c r="L10" s="125">
        <f t="shared" si="5"/>
        <v>2.4669709330491471E-6</v>
      </c>
      <c r="M10" s="46">
        <f t="shared" ref="M10:M73" si="9">IF(J11&gt;MAX($B$9:$B$64),L10,N10)</f>
        <v>4.4350593880565207E-7</v>
      </c>
      <c r="N10" s="130">
        <v>4.4350593880565207E-7</v>
      </c>
      <c r="O10" s="89">
        <f t="shared" si="6"/>
        <v>4.4350593880565207E-7</v>
      </c>
      <c r="Q10" s="4" t="s">
        <v>48</v>
      </c>
      <c r="V10" s="4" t="s">
        <v>48</v>
      </c>
      <c r="Z10" s="4" t="s">
        <v>48</v>
      </c>
    </row>
    <row r="11" spans="1:50" ht="16.5" thickBot="1" x14ac:dyDescent="0.3">
      <c r="A11" s="151">
        <v>4.6058092688426901E-2</v>
      </c>
      <c r="B11" s="124">
        <v>37812.5</v>
      </c>
      <c r="C11" s="121">
        <f t="shared" si="7"/>
        <v>471.39839675146129</v>
      </c>
      <c r="D11" s="106">
        <f t="shared" si="1"/>
        <v>47</v>
      </c>
      <c r="E11" s="81">
        <v>0.11600000000000001</v>
      </c>
      <c r="F11" s="41">
        <f t="shared" ref="F11" si="10">IF(B11&lt;&gt;0,$G$3/(1+EXP(-$G$4*(D11-$G$5))),"")</f>
        <v>7.5984075050165911E-2</v>
      </c>
      <c r="G11" s="42">
        <f t="shared" ref="G11" si="11">IF(B11&lt;&gt;0,E11-F11,"")</f>
        <v>4.0015924949834095E-2</v>
      </c>
      <c r="H11" s="43">
        <f t="shared" ref="H11" si="12">IF(B11&lt;&gt;0,C11*(G11)^2,"")</f>
        <v>0.75483811401648104</v>
      </c>
      <c r="J11" s="105">
        <f t="shared" si="8"/>
        <v>37768.5</v>
      </c>
      <c r="K11" s="109">
        <v>3</v>
      </c>
      <c r="L11" s="125">
        <f t="shared" si="5"/>
        <v>3.1093682092961121E-6</v>
      </c>
      <c r="M11" s="46">
        <f t="shared" si="9"/>
        <v>6.3202842450478264E-7</v>
      </c>
      <c r="N11" s="130">
        <v>6.3202842450478264E-7</v>
      </c>
      <c r="O11" s="89">
        <f t="shared" si="6"/>
        <v>6.3202842450478264E-7</v>
      </c>
      <c r="Q11" s="4">
        <v>1</v>
      </c>
      <c r="R11" s="4">
        <v>-0.82806316245865486</v>
      </c>
      <c r="V11" s="4">
        <v>0.99999999999999989</v>
      </c>
      <c r="W11" s="4">
        <v>-8.7061169501291683E-2</v>
      </c>
      <c r="Z11" s="4">
        <v>1</v>
      </c>
      <c r="AA11" s="4">
        <v>-8.7061169501291683E-2</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51">
        <v>6.15285940137991E-2</v>
      </c>
      <c r="B12" s="124">
        <v>37819.5</v>
      </c>
      <c r="C12" s="121">
        <f t="shared" si="7"/>
        <v>264.14720377749865</v>
      </c>
      <c r="D12" s="106">
        <f t="shared" si="1"/>
        <v>54</v>
      </c>
      <c r="E12" s="81">
        <v>0.36399999999999999</v>
      </c>
      <c r="F12" s="41">
        <f t="shared" si="2"/>
        <v>0.29355060791962412</v>
      </c>
      <c r="G12" s="42">
        <f t="shared" si="3"/>
        <v>7.0449392080375872E-2</v>
      </c>
      <c r="H12" s="43">
        <f t="shared" si="4"/>
        <v>1.3109934364942317</v>
      </c>
      <c r="J12" s="105">
        <f t="shared" si="8"/>
        <v>37769.5</v>
      </c>
      <c r="K12" s="109">
        <v>4</v>
      </c>
      <c r="L12" s="125">
        <f t="shared" si="5"/>
        <v>3.919044571692126E-6</v>
      </c>
      <c r="M12" s="46">
        <f t="shared" si="9"/>
        <v>9.0068669305005554E-7</v>
      </c>
      <c r="N12" s="130">
        <v>9.0068669305005554E-7</v>
      </c>
      <c r="O12" s="89">
        <f t="shared" si="6"/>
        <v>9.0068669305005554E-7</v>
      </c>
      <c r="P12" s="44">
        <v>40326</v>
      </c>
      <c r="Q12" s="1">
        <v>1.3958317686261709E-4</v>
      </c>
      <c r="R12" s="100">
        <v>543</v>
      </c>
      <c r="S12" s="100">
        <f>R12*AVERAGE(L12:L13)</f>
        <v>2.4051108168093231E-3</v>
      </c>
      <c r="T12" s="101">
        <f t="shared" ref="T12:T47" si="13">R12-S12</f>
        <v>542.99759488918323</v>
      </c>
      <c r="V12" s="4">
        <v>-8.7061169501291683E-2</v>
      </c>
      <c r="W12" s="4">
        <v>1</v>
      </c>
      <c r="Z12" s="4">
        <v>-8.7061169501291683E-2</v>
      </c>
      <c r="AA12" s="4">
        <v>1.0000000000000002</v>
      </c>
      <c r="AE12" s="93">
        <f>J12</f>
        <v>37769.5</v>
      </c>
      <c r="AF12" s="92">
        <f>Logistic2010!Q12</f>
        <v>1.3958317686261709E-4</v>
      </c>
      <c r="AG12" s="4">
        <f t="shared" ref="AG12:AG75" si="14">AI12</f>
        <v>1.3958317686261709E-4</v>
      </c>
      <c r="AH12" s="92">
        <f>Logistic2011!Q12</f>
        <v>1.3958317686261709E-4</v>
      </c>
      <c r="AI12" s="92">
        <f>Logistic2012!Q12</f>
        <v>1.3958317686261709E-4</v>
      </c>
      <c r="AJ12" s="92">
        <f>Logistic2013!L12</f>
        <v>2.9882028383729665E-4</v>
      </c>
      <c r="AK12" s="119">
        <f>Logistic2014!AK12</f>
        <v>4.1531400063546034E-4</v>
      </c>
      <c r="AL12" s="119">
        <f>L12</f>
        <v>3.919044571692126E-6</v>
      </c>
      <c r="AM12" s="113"/>
      <c r="AN12" s="113"/>
      <c r="AO12" s="113"/>
      <c r="AP12" s="113"/>
      <c r="AQ12" s="113"/>
      <c r="AR12" s="113"/>
      <c r="AS12" s="113"/>
      <c r="AT12" s="114"/>
      <c r="AU12" s="114"/>
    </row>
    <row r="13" spans="1:50" ht="16.5" thickBot="1" x14ac:dyDescent="0.3">
      <c r="A13" s="151">
        <v>6.2821298874087897E-2</v>
      </c>
      <c r="B13" s="124">
        <v>37824.5</v>
      </c>
      <c r="C13" s="121">
        <f t="shared" si="7"/>
        <v>253.38807781970115</v>
      </c>
      <c r="D13" s="106">
        <f t="shared" si="1"/>
        <v>59</v>
      </c>
      <c r="E13" s="81">
        <v>0.441</v>
      </c>
      <c r="F13" s="41">
        <f t="shared" si="2"/>
        <v>0.56928736372039235</v>
      </c>
      <c r="G13" s="42">
        <f t="shared" si="3"/>
        <v>-0.12828736372039234</v>
      </c>
      <c r="H13" s="43">
        <f t="shared" si="4"/>
        <v>4.1701717136861163</v>
      </c>
      <c r="J13" s="105">
        <f t="shared" si="8"/>
        <v>37770.5</v>
      </c>
      <c r="K13" s="109">
        <v>5</v>
      </c>
      <c r="L13" s="125">
        <f t="shared" si="5"/>
        <v>4.9395588051377941E-6</v>
      </c>
      <c r="M13" s="46">
        <f t="shared" si="9"/>
        <v>1.2835442124779599E-6</v>
      </c>
      <c r="N13" s="130">
        <v>1.2835442124779599E-6</v>
      </c>
      <c r="O13" s="89">
        <f t="shared" si="6"/>
        <v>1.2835442124779599E-6</v>
      </c>
      <c r="P13" s="48">
        <v>40327</v>
      </c>
      <c r="Q13" s="1">
        <v>1.7045928901654236E-4</v>
      </c>
      <c r="R13" s="100">
        <v>2664</v>
      </c>
      <c r="S13" s="100">
        <f t="shared" ref="S13:S70" si="15">R13*AVERAGE(L13:L14)</f>
        <v>1.4872273906511196E-2</v>
      </c>
      <c r="T13" s="101">
        <f t="shared" si="13"/>
        <v>2663.9851277260937</v>
      </c>
      <c r="AE13" s="93">
        <f t="shared" ref="AE13:AE76" si="16">J13</f>
        <v>37770.5</v>
      </c>
      <c r="AF13" s="92">
        <f>Logistic2010!Q13</f>
        <v>1.7045928901654236E-4</v>
      </c>
      <c r="AG13" s="4">
        <f t="shared" si="14"/>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17">L13</f>
        <v>4.9395588051377941E-6</v>
      </c>
      <c r="AM13" s="113">
        <v>2011</v>
      </c>
      <c r="AO13" s="113">
        <v>2010</v>
      </c>
      <c r="AP13" s="113">
        <v>2012</v>
      </c>
      <c r="AQ13" s="113"/>
      <c r="AR13" t="s">
        <v>28</v>
      </c>
      <c r="AS13"/>
      <c r="AT13"/>
      <c r="AU13"/>
      <c r="AV13"/>
      <c r="AW13"/>
      <c r="AX13"/>
    </row>
    <row r="14" spans="1:50" x14ac:dyDescent="0.25">
      <c r="A14" s="152">
        <v>6.0223430676078001E-2</v>
      </c>
      <c r="B14" s="124">
        <v>37829.5</v>
      </c>
      <c r="C14" s="121">
        <f t="shared" si="7"/>
        <v>275.72047395998538</v>
      </c>
      <c r="D14" s="106">
        <f t="shared" si="1"/>
        <v>64</v>
      </c>
      <c r="E14" s="81">
        <v>0.69099999999999995</v>
      </c>
      <c r="F14" s="41">
        <f t="shared" si="2"/>
        <v>0.80784842465847118</v>
      </c>
      <c r="G14" s="42">
        <f t="shared" si="3"/>
        <v>-0.11684842465847123</v>
      </c>
      <c r="H14" s="43">
        <f t="shared" si="4"/>
        <v>3.7645644752877052</v>
      </c>
      <c r="J14" s="105">
        <f t="shared" si="8"/>
        <v>37771.5</v>
      </c>
      <c r="K14" s="109">
        <v>6</v>
      </c>
      <c r="L14" s="125">
        <f t="shared" si="5"/>
        <v>6.2258119955462864E-6</v>
      </c>
      <c r="M14" s="46">
        <f t="shared" si="9"/>
        <v>1.8291437965967419E-6</v>
      </c>
      <c r="N14" s="130">
        <v>1.8291437965967419E-6</v>
      </c>
      <c r="O14" s="89">
        <f t="shared" si="6"/>
        <v>1.8291437965967419E-6</v>
      </c>
      <c r="P14" s="48">
        <v>40328</v>
      </c>
      <c r="Q14" s="1">
        <v>0</v>
      </c>
      <c r="R14" s="100">
        <v>963</v>
      </c>
      <c r="S14" s="100">
        <f t="shared" si="15"/>
        <v>6.7760593733194336E-3</v>
      </c>
      <c r="T14" s="101">
        <f t="shared" si="13"/>
        <v>962.99322394062665</v>
      </c>
      <c r="AE14" s="93">
        <f t="shared" si="16"/>
        <v>37771.5</v>
      </c>
      <c r="AF14" s="92">
        <f>Logistic2010!Q14</f>
        <v>2.0816384458125417E-4</v>
      </c>
      <c r="AG14" s="4">
        <f t="shared" si="14"/>
        <v>0</v>
      </c>
      <c r="AH14" s="92">
        <f>Logistic2011!Q14</f>
        <v>2.0816384458125417E-4</v>
      </c>
      <c r="AI14" s="92">
        <f>Logistic2012!Q14</f>
        <v>0</v>
      </c>
      <c r="AJ14" s="92">
        <f>Logistic2013!L14</f>
        <v>4.436902928409236E-4</v>
      </c>
      <c r="AK14" s="119">
        <f>Logistic2014!AK14</f>
        <v>6.0857479252525697E-4</v>
      </c>
      <c r="AL14" s="119">
        <f t="shared" si="17"/>
        <v>6.2258119955462864E-6</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8"/>
        <v>37772.5</v>
      </c>
      <c r="K15" s="109">
        <v>7</v>
      </c>
      <c r="L15" s="125">
        <f t="shared" si="5"/>
        <v>7.84700082547019E-6</v>
      </c>
      <c r="M15" s="46">
        <f t="shared" si="9"/>
        <v>2.6066622560821447E-6</v>
      </c>
      <c r="N15" s="130">
        <v>2.6066622560821447E-6</v>
      </c>
      <c r="O15" s="89">
        <f t="shared" si="6"/>
        <v>2.6066622560821447E-6</v>
      </c>
      <c r="P15" s="48">
        <v>40329</v>
      </c>
      <c r="Q15" s="1">
        <v>6.2104077545281245E-5</v>
      </c>
      <c r="R15" s="100">
        <v>1106</v>
      </c>
      <c r="S15" s="100">
        <f t="shared" si="15"/>
        <v>9.808749347550166E-3</v>
      </c>
      <c r="T15" s="101">
        <f t="shared" si="13"/>
        <v>1105.9901912506525</v>
      </c>
      <c r="AE15" s="93">
        <f t="shared" si="16"/>
        <v>37772.5</v>
      </c>
      <c r="AF15" s="92">
        <f>Logistic2010!Q15</f>
        <v>2.542062975332477E-4</v>
      </c>
      <c r="AG15" s="4">
        <f t="shared" si="14"/>
        <v>6.2104077545281245E-5</v>
      </c>
      <c r="AH15" s="92">
        <f>Logistic2011!Q15</f>
        <v>3.5888786587624556E-5</v>
      </c>
      <c r="AI15" s="92">
        <f>Logistic2012!Q15</f>
        <v>6.2104077545281245E-5</v>
      </c>
      <c r="AJ15" s="92">
        <f>Logistic2013!L15</f>
        <v>5.4063505283763783E-4</v>
      </c>
      <c r="AK15" s="119">
        <f>Logistic2014!AK15</f>
        <v>7.3666320070702633E-4</v>
      </c>
      <c r="AL15" s="119">
        <f t="shared" si="17"/>
        <v>7.84700082547019E-6</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I16" s="146"/>
      <c r="J16" s="105">
        <f t="shared" si="8"/>
        <v>37773.5</v>
      </c>
      <c r="K16" s="109">
        <v>8</v>
      </c>
      <c r="L16" s="125">
        <f t="shared" si="5"/>
        <v>9.8903397668447557E-6</v>
      </c>
      <c r="M16" s="46">
        <f t="shared" si="9"/>
        <v>3.7146810897353246E-6</v>
      </c>
      <c r="N16" s="130">
        <v>3.7146810897353246E-6</v>
      </c>
      <c r="O16" s="89">
        <f t="shared" si="6"/>
        <v>3.7146810897353246E-6</v>
      </c>
      <c r="P16" s="48">
        <v>40330</v>
      </c>
      <c r="Q16" s="1">
        <v>8.271689671114933E-5</v>
      </c>
      <c r="R16" s="100">
        <v>3668</v>
      </c>
      <c r="S16" s="100">
        <f t="shared" si="15"/>
        <v>4.1001072866388627E-2</v>
      </c>
      <c r="T16" s="101">
        <f t="shared" si="13"/>
        <v>3667.9589989271335</v>
      </c>
      <c r="AE16" s="93">
        <f t="shared" si="16"/>
        <v>37773.5</v>
      </c>
      <c r="AF16" s="92">
        <f>Logistic2010!Q16</f>
        <v>3.1042942936064727E-4</v>
      </c>
      <c r="AG16" s="4">
        <f t="shared" si="14"/>
        <v>8.271689671114933E-5</v>
      </c>
      <c r="AH16" s="92">
        <f>Logistic2011!Q16</f>
        <v>4.6160789501698919E-5</v>
      </c>
      <c r="AI16" s="92">
        <f>Logistic2012!Q16</f>
        <v>8.271689671114933E-5</v>
      </c>
      <c r="AJ16" s="92">
        <f>Logistic2013!L16</f>
        <v>6.5874794022489089E-4</v>
      </c>
      <c r="AK16" s="119">
        <f>Logistic2014!AK16</f>
        <v>8.9168667425910237E-4</v>
      </c>
      <c r="AL16" s="119">
        <f t="shared" si="17"/>
        <v>9.8903397668447557E-6</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18">IF(B17&lt;&gt;0,B17-$A$3+1,"")</f>
        <v/>
      </c>
      <c r="E17" s="81"/>
      <c r="F17" s="50" t="str">
        <f t="shared" ref="F17:F65" si="19">IF(B17&lt;&gt;0,$G$3/(1+EXP(-$G$4*(D17-$G$5))),"")</f>
        <v/>
      </c>
      <c r="G17" s="16" t="str">
        <f t="shared" ref="G17:G65" si="20">IF(B17&lt;&gt;0,E17-F17,"")</f>
        <v/>
      </c>
      <c r="H17" s="51" t="str">
        <f t="shared" ref="H17:H65" si="21">IF(B17&lt;&gt;0,C17*(G17)^2,"")</f>
        <v/>
      </c>
      <c r="J17" s="105">
        <f t="shared" si="8"/>
        <v>37774.5</v>
      </c>
      <c r="K17" s="109">
        <v>9</v>
      </c>
      <c r="L17" s="125">
        <f t="shared" si="5"/>
        <v>1.2465752308612508E-5</v>
      </c>
      <c r="M17" s="46">
        <f t="shared" si="9"/>
        <v>5.2936850821911276E-6</v>
      </c>
      <c r="N17" s="130">
        <v>5.2936850821911276E-6</v>
      </c>
      <c r="O17" s="89">
        <f t="shared" si="6"/>
        <v>5.2936850821911276E-6</v>
      </c>
      <c r="P17" s="48">
        <v>40331</v>
      </c>
      <c r="Q17" s="1">
        <v>1.1017051470513796E-4</v>
      </c>
      <c r="R17" s="100">
        <v>2939</v>
      </c>
      <c r="S17" s="100">
        <f t="shared" si="15"/>
        <v>4.1406888759056237E-2</v>
      </c>
      <c r="T17" s="101">
        <f t="shared" si="13"/>
        <v>2938.958593111241</v>
      </c>
      <c r="AE17" s="93">
        <f t="shared" si="16"/>
        <v>37774.5</v>
      </c>
      <c r="AF17" s="92">
        <f>Logistic2010!Q17</f>
        <v>3.7908278806435145E-4</v>
      </c>
      <c r="AG17" s="4">
        <f t="shared" si="14"/>
        <v>1.1017051470513796E-4</v>
      </c>
      <c r="AH17" s="92">
        <f>Logistic2011!Q17</f>
        <v>5.9372646030949961E-5</v>
      </c>
      <c r="AI17" s="92">
        <f>Logistic2012!Q17</f>
        <v>1.1017051470513796E-4</v>
      </c>
      <c r="AJ17" s="92">
        <f>Logistic2013!L17</f>
        <v>8.0264430321866907E-4</v>
      </c>
      <c r="AK17" s="119">
        <f>Logistic2014!AK17</f>
        <v>1.0792980661665267E-3</v>
      </c>
      <c r="AL17" s="119">
        <f t="shared" si="17"/>
        <v>1.2465752308612508E-5</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18"/>
        <v/>
      </c>
      <c r="E18" s="81"/>
      <c r="F18" s="50" t="str">
        <f t="shared" si="19"/>
        <v/>
      </c>
      <c r="G18" s="16" t="str">
        <f t="shared" si="20"/>
        <v/>
      </c>
      <c r="H18" s="51" t="str">
        <f t="shared" si="21"/>
        <v/>
      </c>
      <c r="J18" s="105">
        <f t="shared" si="8"/>
        <v>37775.5</v>
      </c>
      <c r="K18" s="109">
        <v>10</v>
      </c>
      <c r="L18" s="125">
        <f t="shared" si="5"/>
        <v>1.5711783423987859E-5</v>
      </c>
      <c r="M18" s="46">
        <f t="shared" si="9"/>
        <v>7.543873151853996E-6</v>
      </c>
      <c r="N18" s="130">
        <v>7.543873151853996E-6</v>
      </c>
      <c r="O18" s="89">
        <f t="shared" si="6"/>
        <v>7.543873151853996E-6</v>
      </c>
      <c r="P18" s="48">
        <v>40332</v>
      </c>
      <c r="Q18" s="1">
        <v>1.4673461154601208E-4</v>
      </c>
      <c r="R18" s="100">
        <v>2148</v>
      </c>
      <c r="S18" s="100">
        <f t="shared" si="15"/>
        <v>3.8142932255771152E-2</v>
      </c>
      <c r="T18" s="101">
        <f t="shared" si="13"/>
        <v>2147.9618570677444</v>
      </c>
      <c r="W18" s="4" t="s">
        <v>48</v>
      </c>
      <c r="AE18" s="93">
        <f t="shared" si="16"/>
        <v>37775.5</v>
      </c>
      <c r="AF18" s="92">
        <f>Logistic2010!Q18</f>
        <v>4.6291222449000769E-4</v>
      </c>
      <c r="AG18" s="4">
        <f t="shared" si="14"/>
        <v>1.4673461154601208E-4</v>
      </c>
      <c r="AH18" s="92">
        <f>Logistic2011!Q18</f>
        <v>7.6365629883993208E-5</v>
      </c>
      <c r="AI18" s="92">
        <f>Logistic2012!Q18</f>
        <v>1.4673461154601208E-4</v>
      </c>
      <c r="AJ18" s="92">
        <f>Logistic2013!L18</f>
        <v>9.7794251088522961E-4</v>
      </c>
      <c r="AK18" s="119">
        <f>Logistic2014!AK18</f>
        <v>1.3063313918701522E-3</v>
      </c>
      <c r="AL18" s="119">
        <f t="shared" si="17"/>
        <v>1.5711783423987859E-5</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18"/>
        <v/>
      </c>
      <c r="E19" s="81"/>
      <c r="F19" s="50" t="str">
        <f t="shared" si="19"/>
        <v/>
      </c>
      <c r="G19" s="16" t="str">
        <f t="shared" si="20"/>
        <v/>
      </c>
      <c r="H19" s="51" t="str">
        <f t="shared" si="21"/>
        <v/>
      </c>
      <c r="J19" s="105">
        <f t="shared" si="8"/>
        <v>37776.5</v>
      </c>
      <c r="K19" s="109">
        <v>11</v>
      </c>
      <c r="L19" s="125">
        <f t="shared" si="5"/>
        <v>1.9803051078592358E-5</v>
      </c>
      <c r="M19" s="46">
        <f t="shared" si="9"/>
        <v>1.0750538956072072E-5</v>
      </c>
      <c r="N19" s="130">
        <v>1.0750538956072072E-5</v>
      </c>
      <c r="O19" s="89">
        <f t="shared" si="6"/>
        <v>1.0750538956072072E-5</v>
      </c>
      <c r="P19" s="48">
        <v>40333</v>
      </c>
      <c r="Q19" s="1">
        <v>1.9543146345089269E-4</v>
      </c>
      <c r="R19" s="100">
        <v>5309</v>
      </c>
      <c r="S19" s="100">
        <f t="shared" si="15"/>
        <v>0.11882255606946519</v>
      </c>
      <c r="T19" s="101">
        <f t="shared" si="13"/>
        <v>5308.8811774439309</v>
      </c>
      <c r="W19" s="4">
        <v>1</v>
      </c>
      <c r="X19" s="4">
        <v>0.23502364558685596</v>
      </c>
      <c r="AE19" s="93">
        <f t="shared" si="16"/>
        <v>37776.5</v>
      </c>
      <c r="AF19" s="92">
        <f>Logistic2010!Q19</f>
        <v>5.6526901369757224E-4</v>
      </c>
      <c r="AG19" s="4">
        <f t="shared" si="14"/>
        <v>1.9543146345089269E-4</v>
      </c>
      <c r="AH19" s="92">
        <f>Logistic2011!Q19</f>
        <v>9.8221680405067934E-5</v>
      </c>
      <c r="AI19" s="92">
        <f>Logistic2012!Q19</f>
        <v>1.9543146345089269E-4</v>
      </c>
      <c r="AJ19" s="92">
        <f>Logistic2013!L19</f>
        <v>1.19148034540422E-3</v>
      </c>
      <c r="AK19" s="119">
        <f>Logistic2014!AK19</f>
        <v>1.5810462162153941E-3</v>
      </c>
      <c r="AL19" s="119">
        <f t="shared" si="17"/>
        <v>1.9803051078592358E-5</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18"/>
        <v/>
      </c>
      <c r="E20" s="81"/>
      <c r="F20" s="50" t="str">
        <f t="shared" si="19"/>
        <v/>
      </c>
      <c r="G20" s="16" t="str">
        <f t="shared" si="20"/>
        <v/>
      </c>
      <c r="H20" s="51" t="str">
        <f t="shared" si="21"/>
        <v/>
      </c>
      <c r="J20" s="105">
        <f t="shared" si="8"/>
        <v>37777.5</v>
      </c>
      <c r="K20" s="109">
        <v>12</v>
      </c>
      <c r="L20" s="125">
        <f t="shared" si="5"/>
        <v>2.495963721278651E-5</v>
      </c>
      <c r="M20" s="46">
        <f t="shared" si="9"/>
        <v>1.5320237759159121E-5</v>
      </c>
      <c r="N20" s="130">
        <v>1.5320237759159121E-5</v>
      </c>
      <c r="O20" s="89">
        <f t="shared" si="6"/>
        <v>1.5320237759159121E-5</v>
      </c>
      <c r="P20" s="48">
        <v>40334</v>
      </c>
      <c r="Q20" s="1">
        <v>2.6028514457293443E-4</v>
      </c>
      <c r="R20" s="100">
        <v>3853</v>
      </c>
      <c r="S20" s="100">
        <f t="shared" si="15"/>
        <v>0.10869035568823286</v>
      </c>
      <c r="T20" s="101">
        <f t="shared" si="13"/>
        <v>3852.8913096443116</v>
      </c>
      <c r="U20" s="40">
        <v>40712</v>
      </c>
      <c r="V20" s="92">
        <v>3.5999999999999997E-2</v>
      </c>
      <c r="W20" s="92">
        <v>0.2350236455868559</v>
      </c>
      <c r="X20" s="92">
        <v>1</v>
      </c>
      <c r="Y20" s="92"/>
      <c r="Z20" s="92"/>
      <c r="AE20" s="93">
        <f t="shared" si="16"/>
        <v>37777.5</v>
      </c>
      <c r="AF20" s="92">
        <f>Logistic2010!Q20</f>
        <v>6.9024278465830858E-4</v>
      </c>
      <c r="AG20" s="4">
        <f t="shared" si="14"/>
        <v>2.6028514457293443E-4</v>
      </c>
      <c r="AH20" s="92">
        <f>Logistic2011!Q20</f>
        <v>1.2633220159905076E-4</v>
      </c>
      <c r="AI20" s="92">
        <f>Logistic2012!Q20</f>
        <v>2.6028514457293443E-4</v>
      </c>
      <c r="AJ20" s="92">
        <f>Logistic2013!L20</f>
        <v>1.4515773097888444E-3</v>
      </c>
      <c r="AK20" s="119">
        <f>Logistic2014!AK20</f>
        <v>1.9134214809037675E-3</v>
      </c>
      <c r="AL20" s="119">
        <f t="shared" si="17"/>
        <v>2.495963721278651E-5</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18"/>
        <v/>
      </c>
      <c r="E21" s="81"/>
      <c r="F21" s="50" t="str">
        <f t="shared" si="19"/>
        <v/>
      </c>
      <c r="G21" s="16" t="str">
        <f t="shared" si="20"/>
        <v/>
      </c>
      <c r="H21" s="51" t="str">
        <f t="shared" si="21"/>
        <v/>
      </c>
      <c r="I21" s="9">
        <f>1-0.15</f>
        <v>0.85</v>
      </c>
      <c r="J21" s="105">
        <f t="shared" si="8"/>
        <v>37778.5</v>
      </c>
      <c r="K21" s="109">
        <v>13</v>
      </c>
      <c r="L21" s="125">
        <f t="shared" si="5"/>
        <v>3.1458922708434801E-5</v>
      </c>
      <c r="M21" s="46">
        <f>IF(J22&gt;MAX($B$9:$B$64),L21,N21)</f>
        <v>2.1832322085948411E-5</v>
      </c>
      <c r="N21" s="130">
        <v>2.1832322085948411E-5</v>
      </c>
      <c r="O21" s="89">
        <f t="shared" si="6"/>
        <v>2.1832322085948411E-5</v>
      </c>
      <c r="P21" s="48">
        <v>40335</v>
      </c>
      <c r="Q21" s="1">
        <v>3.4665297481631412E-4</v>
      </c>
      <c r="R21" s="100">
        <v>10476</v>
      </c>
      <c r="S21" s="100">
        <f t="shared" si="15"/>
        <v>0.3724711661701528</v>
      </c>
      <c r="T21" s="101">
        <f t="shared" si="13"/>
        <v>10475.627528833829</v>
      </c>
      <c r="U21" s="49">
        <v>40713</v>
      </c>
      <c r="V21" s="92"/>
      <c r="W21" s="92"/>
      <c r="X21" s="92"/>
      <c r="Y21" s="92"/>
      <c r="Z21" s="92"/>
      <c r="AE21" s="93">
        <f t="shared" si="16"/>
        <v>37778.5</v>
      </c>
      <c r="AF21" s="92">
        <f>Logistic2010!Q21</f>
        <v>8.428233623178356E-4</v>
      </c>
      <c r="AG21" s="4">
        <f t="shared" si="14"/>
        <v>3.4665297481631412E-4</v>
      </c>
      <c r="AH21" s="92">
        <f>Logistic2011!Q21</f>
        <v>1.624864967222617E-4</v>
      </c>
      <c r="AI21" s="92">
        <f>Logistic2012!Q21</f>
        <v>3.4665297481631412E-4</v>
      </c>
      <c r="AJ21" s="92">
        <f>Logistic2013!L21</f>
        <v>1.7683522199292421E-3</v>
      </c>
      <c r="AK21" s="119">
        <f>Logistic2014!AK21</f>
        <v>2.3155082495920514E-3</v>
      </c>
      <c r="AL21" s="119">
        <f t="shared" si="17"/>
        <v>3.1458922708434801E-5</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18"/>
        <v/>
      </c>
      <c r="E22" s="81"/>
      <c r="F22" s="50" t="str">
        <f t="shared" si="19"/>
        <v/>
      </c>
      <c r="G22" s="16" t="str">
        <f t="shared" si="20"/>
        <v/>
      </c>
      <c r="H22" s="51" t="str">
        <f t="shared" si="21"/>
        <v/>
      </c>
      <c r="I22" s="53"/>
      <c r="J22" s="105">
        <f t="shared" si="8"/>
        <v>37779.5</v>
      </c>
      <c r="K22" s="109">
        <v>14</v>
      </c>
      <c r="L22" s="125">
        <f t="shared" si="5"/>
        <v>3.9650501913587503E-5</v>
      </c>
      <c r="M22" s="46">
        <f t="shared" si="9"/>
        <v>3.1112374086324488E-5</v>
      </c>
      <c r="N22" s="130">
        <v>3.1112374086324488E-5</v>
      </c>
      <c r="O22" s="89">
        <f t="shared" si="6"/>
        <v>3.1112374086324488E-5</v>
      </c>
      <c r="P22" s="48">
        <v>40336</v>
      </c>
      <c r="Q22" s="1">
        <v>4.6166614885428784E-4</v>
      </c>
      <c r="R22" s="100">
        <v>15768</v>
      </c>
      <c r="S22" s="100">
        <f t="shared" si="15"/>
        <v>0.70660727817956959</v>
      </c>
      <c r="T22" s="101">
        <f t="shared" si="13"/>
        <v>15767.29339272182</v>
      </c>
      <c r="U22" s="49">
        <v>40714</v>
      </c>
      <c r="V22" s="92"/>
      <c r="W22" s="92"/>
      <c r="X22" s="92"/>
      <c r="Y22" s="92"/>
      <c r="Z22" s="92"/>
      <c r="AE22" s="93">
        <f t="shared" si="16"/>
        <v>37779.5</v>
      </c>
      <c r="AF22" s="92">
        <f>Logistic2010!Q22</f>
        <v>1.0290976755680944E-3</v>
      </c>
      <c r="AG22" s="4">
        <f t="shared" si="14"/>
        <v>4.6166614885428784E-4</v>
      </c>
      <c r="AH22" s="92">
        <f>Logistic2011!Q22</f>
        <v>2.0898542158394941E-4</v>
      </c>
      <c r="AI22" s="92">
        <f>Logistic2012!Q22</f>
        <v>4.6166614885428784E-4</v>
      </c>
      <c r="AJ22" s="92">
        <f>Logistic2013!L22</f>
        <v>2.1541071781976768E-3</v>
      </c>
      <c r="AK22" s="119">
        <f>Logistic2014!AK22</f>
        <v>2.801852416196298E-3</v>
      </c>
      <c r="AL22" s="119">
        <f t="shared" si="17"/>
        <v>3.9650501913587503E-5</v>
      </c>
      <c r="AM22" s="110">
        <v>0.69199999999999995</v>
      </c>
      <c r="AO22" s="110">
        <v>0.70699999999999996</v>
      </c>
      <c r="AP22" s="113">
        <v>0.997</v>
      </c>
      <c r="AQ22" s="110"/>
      <c r="AR22" t="s">
        <v>35</v>
      </c>
      <c r="AS22"/>
      <c r="AT22"/>
      <c r="AU22"/>
      <c r="AV22"/>
      <c r="AW22"/>
      <c r="AX22"/>
    </row>
    <row r="23" spans="1:50" x14ac:dyDescent="0.25">
      <c r="A23" s="39"/>
      <c r="B23" s="49"/>
      <c r="C23" s="79"/>
      <c r="D23" s="86" t="str">
        <f t="shared" si="18"/>
        <v/>
      </c>
      <c r="E23" s="81"/>
      <c r="F23" s="50" t="str">
        <f t="shared" si="19"/>
        <v/>
      </c>
      <c r="G23" s="16" t="str">
        <f t="shared" si="20"/>
        <v/>
      </c>
      <c r="H23" s="51" t="str">
        <f t="shared" si="21"/>
        <v/>
      </c>
      <c r="I23" s="53"/>
      <c r="J23" s="105">
        <f t="shared" si="8"/>
        <v>37780.5</v>
      </c>
      <c r="K23" s="109">
        <v>15</v>
      </c>
      <c r="L23" s="125">
        <f t="shared" si="5"/>
        <v>4.9974977307565407E-5</v>
      </c>
      <c r="M23" s="46">
        <f t="shared" si="9"/>
        <v>4.4336832295415093E-5</v>
      </c>
      <c r="N23" s="130">
        <v>4.4336832295415093E-5</v>
      </c>
      <c r="O23" s="89">
        <f t="shared" si="6"/>
        <v>4.4336832295415093E-5</v>
      </c>
      <c r="P23" s="48">
        <v>40337</v>
      </c>
      <c r="Q23" s="1">
        <v>6.1481514040778599E-4</v>
      </c>
      <c r="R23" s="100">
        <v>13548</v>
      </c>
      <c r="S23" s="100">
        <f t="shared" si="15"/>
        <v>0.76520878708763818</v>
      </c>
      <c r="T23" s="101">
        <f t="shared" si="13"/>
        <v>13547.234791212912</v>
      </c>
      <c r="U23" s="49">
        <v>40715</v>
      </c>
      <c r="V23" s="92"/>
      <c r="W23" s="92"/>
      <c r="X23" s="92"/>
      <c r="Y23" s="92"/>
      <c r="Z23" s="92"/>
      <c r="AE23" s="93">
        <f t="shared" si="16"/>
        <v>37780.5</v>
      </c>
      <c r="AF23" s="92">
        <f>Logistic2010!Q23</f>
        <v>1.2564891276397731E-3</v>
      </c>
      <c r="AG23" s="4">
        <f t="shared" si="14"/>
        <v>6.1481514040778599E-4</v>
      </c>
      <c r="AH23" s="92">
        <f>Logistic2011!Q23</f>
        <v>2.6878741349269233E-4</v>
      </c>
      <c r="AI23" s="92">
        <f>Logistic2012!Q23</f>
        <v>6.1481514040778599E-4</v>
      </c>
      <c r="AJ23" s="92">
        <f>Logistic2013!L23</f>
        <v>2.6237909806921655E-3</v>
      </c>
      <c r="AK23" s="119">
        <f>Logistic2014!AK23</f>
        <v>3.3900001278880923E-3</v>
      </c>
      <c r="AL23" s="119">
        <f t="shared" si="17"/>
        <v>4.9974977307565407E-5</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18"/>
        <v/>
      </c>
      <c r="E24" s="81"/>
      <c r="F24" s="50" t="str">
        <f t="shared" si="19"/>
        <v/>
      </c>
      <c r="G24" s="16" t="str">
        <f t="shared" si="20"/>
        <v/>
      </c>
      <c r="H24" s="51" t="str">
        <f t="shared" si="21"/>
        <v/>
      </c>
      <c r="I24" s="53"/>
      <c r="J24" s="105">
        <f t="shared" si="8"/>
        <v>37781.5</v>
      </c>
      <c r="K24" s="109">
        <v>16</v>
      </c>
      <c r="L24" s="125">
        <f t="shared" si="5"/>
        <v>6.2987642575463554E-5</v>
      </c>
      <c r="M24" s="46">
        <f t="shared" si="9"/>
        <v>6.3182052340935858E-5</v>
      </c>
      <c r="N24" s="130">
        <v>6.3182052340935858E-5</v>
      </c>
      <c r="O24" s="89">
        <f t="shared" si="6"/>
        <v>6.3182052340935858E-5</v>
      </c>
      <c r="P24" s="48">
        <v>40338</v>
      </c>
      <c r="Q24" s="1">
        <v>8.1872679212602632E-4</v>
      </c>
      <c r="R24" s="100">
        <v>8722</v>
      </c>
      <c r="S24" s="100">
        <f t="shared" si="15"/>
        <v>0.62090158878484558</v>
      </c>
      <c r="T24" s="101">
        <f t="shared" si="13"/>
        <v>8721.3790984112147</v>
      </c>
      <c r="U24" s="49">
        <v>40716</v>
      </c>
      <c r="V24" s="92"/>
      <c r="W24" s="92"/>
      <c r="X24" s="92"/>
      <c r="Y24" s="92"/>
      <c r="Z24" s="92"/>
      <c r="AE24" s="93">
        <f t="shared" si="16"/>
        <v>37781.5</v>
      </c>
      <c r="AF24" s="92">
        <f>Logistic2010!Q24</f>
        <v>1.5340482859932569E-3</v>
      </c>
      <c r="AG24" s="4">
        <f t="shared" si="14"/>
        <v>8.1872679212602632E-4</v>
      </c>
      <c r="AH24" s="92">
        <f>Logistic2011!Q24</f>
        <v>3.4569606119318159E-4</v>
      </c>
      <c r="AI24" s="92">
        <f>Logistic2012!Q24</f>
        <v>8.1872679212602632E-4</v>
      </c>
      <c r="AJ24" s="92">
        <f>Logistic2013!L24</f>
        <v>3.1955571705628975E-3</v>
      </c>
      <c r="AK24" s="119">
        <f>Logistic2014!AK24</f>
        <v>4.101100461714453E-3</v>
      </c>
      <c r="AL24" s="119">
        <f t="shared" si="17"/>
        <v>6.2987642575463554E-5</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18"/>
        <v/>
      </c>
      <c r="E25" s="81"/>
      <c r="F25" s="50" t="str">
        <f t="shared" si="19"/>
        <v/>
      </c>
      <c r="G25" s="16" t="str">
        <f t="shared" si="20"/>
        <v/>
      </c>
      <c r="H25" s="51" t="str">
        <f t="shared" si="21"/>
        <v/>
      </c>
      <c r="I25" s="54"/>
      <c r="J25" s="105">
        <f t="shared" si="8"/>
        <v>37782.5</v>
      </c>
      <c r="K25" s="109">
        <v>17</v>
      </c>
      <c r="L25" s="125">
        <f t="shared" si="5"/>
        <v>7.9388323667335236E-5</v>
      </c>
      <c r="M25" s="46">
        <f t="shared" si="9"/>
        <v>9.003664795384782E-5</v>
      </c>
      <c r="N25" s="130">
        <v>9.003664795384782E-5</v>
      </c>
      <c r="O25" s="89">
        <f t="shared" si="6"/>
        <v>9.003664795384782E-5</v>
      </c>
      <c r="P25" s="48">
        <v>40339</v>
      </c>
      <c r="Q25" s="1">
        <v>1.0901946909765959E-3</v>
      </c>
      <c r="R25" s="100">
        <v>10831</v>
      </c>
      <c r="S25" s="100">
        <f t="shared" si="15"/>
        <v>0.97179685153431961</v>
      </c>
      <c r="T25" s="101">
        <f t="shared" si="13"/>
        <v>10830.028203148466</v>
      </c>
      <c r="U25" s="49">
        <v>40717</v>
      </c>
      <c r="V25" s="92"/>
      <c r="W25" s="92"/>
      <c r="X25" s="92"/>
      <c r="Y25" s="92"/>
      <c r="Z25" s="92"/>
      <c r="AE25" s="93">
        <f t="shared" si="16"/>
        <v>37782.5</v>
      </c>
      <c r="AF25" s="92">
        <f>Logistic2010!Q25</f>
        <v>1.8728054475450151E-3</v>
      </c>
      <c r="AG25" s="4">
        <f t="shared" si="14"/>
        <v>1.0901946909765959E-3</v>
      </c>
      <c r="AH25" s="92">
        <f>Logistic2011!Q25</f>
        <v>4.4460093825327419E-4</v>
      </c>
      <c r="AI25" s="92">
        <f>Logistic2012!Q25</f>
        <v>1.0901946909765959E-3</v>
      </c>
      <c r="AJ25" s="92">
        <f>Logistic2013!L25</f>
        <v>3.8914342584479623E-3</v>
      </c>
      <c r="AK25" s="119">
        <f>Logistic2014!AK25</f>
        <v>4.960621659003208E-3</v>
      </c>
      <c r="AL25" s="119">
        <f t="shared" si="17"/>
        <v>7.9388323667335236E-5</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18"/>
        <v/>
      </c>
      <c r="E26" s="81"/>
      <c r="F26" s="50" t="str">
        <f t="shared" si="19"/>
        <v/>
      </c>
      <c r="G26" s="16" t="str">
        <f t="shared" si="20"/>
        <v/>
      </c>
      <c r="H26" s="51" t="str">
        <f t="shared" si="21"/>
        <v/>
      </c>
      <c r="I26" s="54"/>
      <c r="J26" s="105">
        <f t="shared" si="8"/>
        <v>37783.5</v>
      </c>
      <c r="K26" s="109">
        <v>18</v>
      </c>
      <c r="L26" s="125">
        <f t="shared" si="5"/>
        <v>1.0005897603432107E-4</v>
      </c>
      <c r="M26" s="46">
        <f t="shared" si="9"/>
        <v>1.2830392713932698E-4</v>
      </c>
      <c r="N26" s="130">
        <v>1.2830392713932698E-4</v>
      </c>
      <c r="O26" s="89">
        <f t="shared" si="6"/>
        <v>1.2830392713932698E-4</v>
      </c>
      <c r="P26" s="48">
        <v>40340</v>
      </c>
      <c r="Q26" s="1">
        <v>1.4515433191966043E-3</v>
      </c>
      <c r="R26" s="100">
        <v>10194</v>
      </c>
      <c r="S26" s="100">
        <f t="shared" si="15"/>
        <v>1.152788618916833</v>
      </c>
      <c r="T26" s="101">
        <f t="shared" si="13"/>
        <v>10192.847211381084</v>
      </c>
      <c r="U26" s="49">
        <v>40718</v>
      </c>
      <c r="V26" s="92"/>
      <c r="W26" s="92"/>
      <c r="X26" s="92"/>
      <c r="Y26" s="92"/>
      <c r="Z26" s="92"/>
      <c r="AE26" s="93">
        <f t="shared" si="16"/>
        <v>37783.5</v>
      </c>
      <c r="AF26" s="92">
        <f>Logistic2010!Q26</f>
        <v>2.2861975841660187E-3</v>
      </c>
      <c r="AG26" s="4">
        <f t="shared" si="14"/>
        <v>1.4515433191966043E-3</v>
      </c>
      <c r="AH26" s="92">
        <f>Logistic2011!Q26</f>
        <v>5.7178666821399956E-4</v>
      </c>
      <c r="AI26" s="92">
        <f>Logistic2012!Q26</f>
        <v>1.4515433191966043E-3</v>
      </c>
      <c r="AJ26" s="92">
        <f>Logistic2013!L26</f>
        <v>4.7381279726284222E-3</v>
      </c>
      <c r="AK26" s="119">
        <f>Logistic2014!AK26</f>
        <v>5.9991987892107617E-3</v>
      </c>
      <c r="AL26" s="119">
        <f t="shared" si="17"/>
        <v>1.0005897603432107E-4</v>
      </c>
      <c r="AM26" s="114"/>
      <c r="AN26" s="114"/>
      <c r="AO26" s="114"/>
      <c r="AP26" s="114"/>
      <c r="AQ26" s="114"/>
      <c r="AR26" s="110"/>
      <c r="AS26" s="110"/>
      <c r="AT26" s="110"/>
      <c r="AU26" s="110"/>
      <c r="AV26" s="110"/>
      <c r="AW26" s="110"/>
      <c r="AX26" s="110"/>
    </row>
    <row r="27" spans="1:50" ht="16.5" thickBot="1" x14ac:dyDescent="0.3">
      <c r="B27" s="49"/>
      <c r="C27" s="79"/>
      <c r="D27" s="86" t="str">
        <f t="shared" si="18"/>
        <v/>
      </c>
      <c r="E27" s="81"/>
      <c r="F27" s="50" t="str">
        <f t="shared" si="19"/>
        <v/>
      </c>
      <c r="G27" s="16" t="str">
        <f t="shared" si="20"/>
        <v/>
      </c>
      <c r="H27" s="51" t="str">
        <f t="shared" si="21"/>
        <v/>
      </c>
      <c r="I27" s="54"/>
      <c r="J27" s="105">
        <f t="shared" si="8"/>
        <v>37784.5</v>
      </c>
      <c r="K27" s="109">
        <v>19</v>
      </c>
      <c r="L27" s="125">
        <f t="shared" si="5"/>
        <v>1.2611104925836739E-4</v>
      </c>
      <c r="M27" s="46">
        <f t="shared" si="9"/>
        <v>1.8283255021357849E-4</v>
      </c>
      <c r="N27" s="130">
        <v>1.8283255021357849E-4</v>
      </c>
      <c r="O27" s="89">
        <f t="shared" si="6"/>
        <v>1.8283255021357849E-4</v>
      </c>
      <c r="P27" s="48">
        <v>40341</v>
      </c>
      <c r="Q27" s="1">
        <v>1.9324304426046567E-3</v>
      </c>
      <c r="R27" s="100">
        <v>4837</v>
      </c>
      <c r="S27" s="100">
        <f t="shared" si="15"/>
        <v>0.689408415534847</v>
      </c>
      <c r="T27" s="101">
        <f t="shared" si="13"/>
        <v>4836.3105915844653</v>
      </c>
      <c r="U27" s="49">
        <v>40719</v>
      </c>
      <c r="V27" s="92">
        <v>7.0000000000000001E-3</v>
      </c>
      <c r="W27" s="92"/>
      <c r="X27" s="92"/>
      <c r="Y27" s="92"/>
      <c r="Z27" s="92"/>
      <c r="AE27" s="93">
        <f t="shared" si="16"/>
        <v>37784.5</v>
      </c>
      <c r="AF27" s="92">
        <f>Logistic2010!Q27</f>
        <v>2.7905843687065831E-3</v>
      </c>
      <c r="AG27" s="4">
        <f t="shared" si="14"/>
        <v>1.9324304426046567E-3</v>
      </c>
      <c r="AH27" s="92">
        <f>Logistic2011!Q27</f>
        <v>7.3532929350053459E-4</v>
      </c>
      <c r="AI27" s="92">
        <f>Logistic2012!Q27</f>
        <v>1.9324304426046567E-3</v>
      </c>
      <c r="AJ27" s="92">
        <f>Logistic2013!L27</f>
        <v>5.7679775716238009E-3</v>
      </c>
      <c r="AK27" s="119">
        <f>Logistic2014!AK27</f>
        <v>7.2536318036214055E-3</v>
      </c>
      <c r="AL27" s="119">
        <f t="shared" si="17"/>
        <v>1.2611104925836739E-4</v>
      </c>
      <c r="AM27" s="114"/>
      <c r="AO27" s="114"/>
      <c r="AP27" s="114"/>
      <c r="AQ27" s="114"/>
      <c r="AR27" s="111" t="s">
        <v>45</v>
      </c>
      <c r="AS27" s="111">
        <v>4.8233989090909093</v>
      </c>
      <c r="AT27" s="111">
        <v>32</v>
      </c>
      <c r="AU27" s="111"/>
      <c r="AV27" s="111"/>
      <c r="AW27" s="111"/>
      <c r="AX27" s="111"/>
    </row>
    <row r="28" spans="1:50" x14ac:dyDescent="0.25">
      <c r="B28" s="49"/>
      <c r="C28" s="79"/>
      <c r="D28" s="86" t="str">
        <f t="shared" si="18"/>
        <v/>
      </c>
      <c r="E28" s="81"/>
      <c r="F28" s="50" t="str">
        <f t="shared" si="19"/>
        <v/>
      </c>
      <c r="G28" s="16" t="str">
        <f t="shared" si="20"/>
        <v/>
      </c>
      <c r="H28" s="51" t="str">
        <f t="shared" si="21"/>
        <v/>
      </c>
      <c r="I28" s="54"/>
      <c r="J28" s="105">
        <f t="shared" si="8"/>
        <v>37785.5</v>
      </c>
      <c r="K28" s="109">
        <v>20</v>
      </c>
      <c r="L28" s="125">
        <f t="shared" si="5"/>
        <v>1.5894514901942751E-4</v>
      </c>
      <c r="M28" s="46">
        <f t="shared" si="9"/>
        <v>2.6052956766402371E-4</v>
      </c>
      <c r="N28" s="130">
        <v>2.6052956766402371E-4</v>
      </c>
      <c r="O28" s="89">
        <f t="shared" si="6"/>
        <v>2.6052956766402371E-4</v>
      </c>
      <c r="P28" s="48">
        <v>40342</v>
      </c>
      <c r="Q28" s="1">
        <v>2.5722220404043386E-3</v>
      </c>
      <c r="R28" s="100">
        <v>8645</v>
      </c>
      <c r="S28" s="100">
        <f t="shared" si="15"/>
        <v>1.5529503076415103</v>
      </c>
      <c r="T28" s="101">
        <f t="shared" si="13"/>
        <v>8643.4470496923586</v>
      </c>
      <c r="U28" s="40">
        <v>40720</v>
      </c>
      <c r="V28" s="92"/>
      <c r="W28" s="92"/>
      <c r="X28" s="92"/>
      <c r="Y28" s="92"/>
      <c r="Z28" s="92"/>
      <c r="AE28" s="93">
        <f t="shared" si="16"/>
        <v>37785.5</v>
      </c>
      <c r="AF28" s="92">
        <f>Logistic2010!Q28</f>
        <v>3.4058703908046778E-3</v>
      </c>
      <c r="AG28" s="4">
        <f t="shared" si="14"/>
        <v>2.5722220404043386E-3</v>
      </c>
      <c r="AH28" s="92">
        <f>Logistic2011!Q28</f>
        <v>9.4560418099634688E-4</v>
      </c>
      <c r="AI28" s="92">
        <f>Logistic2012!Q28</f>
        <v>2.5722220404043386E-3</v>
      </c>
      <c r="AJ28" s="92">
        <f>Logistic2013!L28</f>
        <v>7.0200899120878707E-3</v>
      </c>
      <c r="AK28" s="119">
        <f>Logistic2014!AK28</f>
        <v>8.7680531167695416E-3</v>
      </c>
      <c r="AL28" s="119">
        <f t="shared" si="17"/>
        <v>1.5894514901942751E-4</v>
      </c>
      <c r="AM28" s="114"/>
      <c r="AN28" s="114"/>
      <c r="AQ28" s="114"/>
      <c r="AR28" s="114"/>
      <c r="AS28" s="114"/>
      <c r="AT28" s="114"/>
      <c r="AU28" s="114"/>
    </row>
    <row r="29" spans="1:50" x14ac:dyDescent="0.25">
      <c r="B29" s="49"/>
      <c r="C29" s="79"/>
      <c r="D29" s="86" t="str">
        <f t="shared" si="18"/>
        <v/>
      </c>
      <c r="E29" s="81"/>
      <c r="F29" s="50" t="str">
        <f t="shared" si="19"/>
        <v/>
      </c>
      <c r="G29" s="16" t="str">
        <f t="shared" si="20"/>
        <v/>
      </c>
      <c r="H29" s="51" t="str">
        <f t="shared" si="21"/>
        <v/>
      </c>
      <c r="I29" s="54"/>
      <c r="J29" s="105">
        <f t="shared" si="8"/>
        <v>37786.5</v>
      </c>
      <c r="K29" s="109">
        <v>21</v>
      </c>
      <c r="L29" s="125">
        <f t="shared" si="5"/>
        <v>2.0032617721342627E-4</v>
      </c>
      <c r="M29" s="46">
        <f t="shared" si="9"/>
        <v>3.7123266109304417E-4</v>
      </c>
      <c r="N29" s="130">
        <v>3.7123266109304417E-4</v>
      </c>
      <c r="O29" s="89">
        <f t="shared" si="6"/>
        <v>3.7123266109304417E-4</v>
      </c>
      <c r="P29" s="48">
        <v>40343</v>
      </c>
      <c r="Q29" s="1">
        <v>3.4231101794941045E-3</v>
      </c>
      <c r="R29" s="100">
        <v>6148</v>
      </c>
      <c r="S29" s="100">
        <f t="shared" si="15"/>
        <v>1.3919198770120169</v>
      </c>
      <c r="T29" s="101">
        <f t="shared" si="13"/>
        <v>6146.6080801229882</v>
      </c>
      <c r="U29" s="49">
        <v>40721</v>
      </c>
      <c r="V29" s="92"/>
      <c r="W29" s="92"/>
      <c r="X29" s="92"/>
      <c r="Y29" s="92"/>
      <c r="Z29" s="92"/>
      <c r="AE29" s="93">
        <f t="shared" si="16"/>
        <v>37786.5</v>
      </c>
      <c r="AF29" s="92">
        <f>Logistic2010!Q29</f>
        <v>4.156253215078223E-3</v>
      </c>
      <c r="AG29" s="4">
        <f t="shared" si="14"/>
        <v>3.4231101794941045E-3</v>
      </c>
      <c r="AH29" s="92">
        <f>Logistic2011!Q29</f>
        <v>1.2159361420781157E-3</v>
      </c>
      <c r="AI29" s="92">
        <f>Logistic2012!Q29</f>
        <v>3.4231101794941045E-3</v>
      </c>
      <c r="AJ29" s="92">
        <f>Logistic2013!L29</f>
        <v>8.5416755801183825E-3</v>
      </c>
      <c r="AK29" s="119">
        <f>Logistic2014!AK29</f>
        <v>1.0595282474405681E-2</v>
      </c>
      <c r="AL29" s="119">
        <f t="shared" si="17"/>
        <v>2.0032617721342627E-4</v>
      </c>
      <c r="AM29" s="113"/>
      <c r="AN29" s="113"/>
      <c r="AP29" s="113"/>
      <c r="AQ29" s="113"/>
      <c r="AR29" s="113"/>
      <c r="AS29" s="113"/>
      <c r="AT29" s="114"/>
      <c r="AU29" s="114"/>
    </row>
    <row r="30" spans="1:50" x14ac:dyDescent="0.25">
      <c r="B30" s="49"/>
      <c r="C30" s="79"/>
      <c r="D30" s="86" t="str">
        <f t="shared" si="18"/>
        <v/>
      </c>
      <c r="E30" s="81"/>
      <c r="F30" s="50" t="str">
        <f t="shared" si="19"/>
        <v/>
      </c>
      <c r="G30" s="16" t="str">
        <f t="shared" si="20"/>
        <v/>
      </c>
      <c r="H30" s="51" t="str">
        <f t="shared" si="21"/>
        <v/>
      </c>
      <c r="I30" s="54"/>
      <c r="J30" s="105">
        <f t="shared" si="8"/>
        <v>37787.5</v>
      </c>
      <c r="K30" s="109">
        <v>22</v>
      </c>
      <c r="L30" s="125">
        <f t="shared" si="5"/>
        <v>2.5247794673322852E-4</v>
      </c>
      <c r="M30" s="46">
        <f t="shared" si="9"/>
        <v>5.2895034459836269E-4</v>
      </c>
      <c r="N30" s="131">
        <v>5.2895034459836269E-4</v>
      </c>
      <c r="O30" s="89">
        <f t="shared" si="6"/>
        <v>5.2895034459836269E-4</v>
      </c>
      <c r="P30" s="48">
        <v>40344</v>
      </c>
      <c r="Q30" s="1">
        <v>4.5541859663405402E-3</v>
      </c>
      <c r="R30" s="100">
        <v>5114</v>
      </c>
      <c r="S30" s="100">
        <f t="shared" si="15"/>
        <v>1.4592293605802629</v>
      </c>
      <c r="T30" s="101">
        <f t="shared" si="13"/>
        <v>5112.5407706394199</v>
      </c>
      <c r="U30" s="49">
        <v>40722</v>
      </c>
      <c r="V30" s="92"/>
      <c r="W30" s="92"/>
      <c r="X30" s="92"/>
      <c r="Y30" s="92"/>
      <c r="Z30" s="92"/>
      <c r="AE30" s="93">
        <f t="shared" si="16"/>
        <v>37787.5</v>
      </c>
      <c r="AF30" s="92">
        <f>Logistic2010!Q30</f>
        <v>5.0711194585093189E-3</v>
      </c>
      <c r="AG30" s="4">
        <f t="shared" si="14"/>
        <v>4.5541859663405402E-3</v>
      </c>
      <c r="AH30" s="92">
        <f>Logistic2011!Q30</f>
        <v>1.5634304169464023E-3</v>
      </c>
      <c r="AI30" s="92">
        <f>Logistic2012!Q30</f>
        <v>4.5541859663405402E-3</v>
      </c>
      <c r="AJ30" s="92">
        <f>Logistic2013!L30</f>
        <v>1.0389610148679944E-2</v>
      </c>
      <c r="AK30" s="119">
        <f>Logistic2014!AK30</f>
        <v>1.2798382995327439E-2</v>
      </c>
      <c r="AL30" s="119">
        <f t="shared" si="17"/>
        <v>2.5247794673322852E-4</v>
      </c>
      <c r="AM30" s="113"/>
      <c r="AN30" s="113"/>
      <c r="AO30" s="113"/>
      <c r="AP30" s="113"/>
      <c r="AQ30" s="113"/>
      <c r="AR30" s="113"/>
      <c r="AS30" s="113"/>
      <c r="AT30" s="114"/>
      <c r="AU30" s="114"/>
    </row>
    <row r="31" spans="1:50" x14ac:dyDescent="0.25">
      <c r="B31" s="49"/>
      <c r="C31" s="79"/>
      <c r="D31" s="86" t="str">
        <f t="shared" si="18"/>
        <v/>
      </c>
      <c r="E31" s="81"/>
      <c r="F31" s="50" t="str">
        <f t="shared" si="19"/>
        <v/>
      </c>
      <c r="G31" s="16" t="str">
        <f t="shared" si="20"/>
        <v/>
      </c>
      <c r="H31" s="51" t="str">
        <f t="shared" si="21"/>
        <v/>
      </c>
      <c r="I31" s="54"/>
      <c r="J31" s="105">
        <f t="shared" si="8"/>
        <v>37788.5</v>
      </c>
      <c r="K31" s="109">
        <v>23</v>
      </c>
      <c r="L31" s="125">
        <f t="shared" si="5"/>
        <v>3.1820228814368314E-4</v>
      </c>
      <c r="M31" s="46">
        <f t="shared" si="9"/>
        <v>7.5362365201523903E-4</v>
      </c>
      <c r="N31" s="131">
        <v>7.5362365201523903E-4</v>
      </c>
      <c r="O31" s="89">
        <f t="shared" si="6"/>
        <v>7.5362365201523903E-4</v>
      </c>
      <c r="P31" s="48">
        <v>40345</v>
      </c>
      <c r="Q31" s="1">
        <v>6.0567243090960737E-3</v>
      </c>
      <c r="R31" s="100">
        <v>7184</v>
      </c>
      <c r="S31" s="100">
        <f t="shared" si="15"/>
        <v>2.5834785724917779</v>
      </c>
      <c r="T31" s="101">
        <f t="shared" si="13"/>
        <v>7181.4165214275081</v>
      </c>
      <c r="U31" s="49">
        <v>40723</v>
      </c>
      <c r="V31" s="92"/>
      <c r="W31" s="92"/>
      <c r="X31" s="92"/>
      <c r="Y31" s="92"/>
      <c r="Z31" s="92"/>
      <c r="AE31" s="93">
        <f t="shared" si="16"/>
        <v>37788.5</v>
      </c>
      <c r="AF31" s="92">
        <f>Logistic2010!Q31</f>
        <v>6.18611330154804E-3</v>
      </c>
      <c r="AG31" s="4">
        <f t="shared" si="14"/>
        <v>6.0567243090960737E-3</v>
      </c>
      <c r="AH31" s="92">
        <f>Logistic2011!Q31</f>
        <v>2.0100329059479318E-3</v>
      </c>
      <c r="AI31" s="92">
        <f>Logistic2012!Q31</f>
        <v>6.0567243090960737E-3</v>
      </c>
      <c r="AJ31" s="92">
        <f>Logistic2013!L31</f>
        <v>1.263223931108238E-2</v>
      </c>
      <c r="AK31" s="119">
        <f>Logistic2014!AK31</f>
        <v>1.5452424589650317E-2</v>
      </c>
      <c r="AL31" s="119">
        <f t="shared" si="17"/>
        <v>3.1820228814368314E-4</v>
      </c>
      <c r="AM31" s="113"/>
      <c r="AO31" s="113"/>
      <c r="AP31" s="113"/>
      <c r="AQ31" s="113"/>
      <c r="AR31" t="s">
        <v>28</v>
      </c>
      <c r="AS31"/>
      <c r="AT31"/>
      <c r="AU31"/>
      <c r="AV31"/>
      <c r="AW31"/>
      <c r="AX31"/>
    </row>
    <row r="32" spans="1:50" x14ac:dyDescent="0.25">
      <c r="B32" s="49"/>
      <c r="C32" s="79"/>
      <c r="D32" s="86" t="str">
        <f t="shared" si="18"/>
        <v/>
      </c>
      <c r="E32" s="81"/>
      <c r="F32" s="50" t="str">
        <f t="shared" si="19"/>
        <v/>
      </c>
      <c r="G32" s="16" t="str">
        <f t="shared" si="20"/>
        <v/>
      </c>
      <c r="H32" s="51" t="str">
        <f t="shared" si="21"/>
        <v/>
      </c>
      <c r="I32" s="54"/>
      <c r="J32" s="105">
        <f t="shared" si="8"/>
        <v>37789.5</v>
      </c>
      <c r="K32" s="109">
        <v>24</v>
      </c>
      <c r="L32" s="125">
        <f t="shared" si="5"/>
        <v>4.0102894027830405E-4</v>
      </c>
      <c r="M32" s="46">
        <f t="shared" si="9"/>
        <v>1.0736251359755081E-3</v>
      </c>
      <c r="N32" s="131">
        <v>1.0736251359755081E-3</v>
      </c>
      <c r="O32" s="89">
        <f t="shared" si="6"/>
        <v>1.0736251359755081E-3</v>
      </c>
      <c r="P32" s="48">
        <v>40346</v>
      </c>
      <c r="Q32" s="1">
        <v>8.0509778061675936E-3</v>
      </c>
      <c r="R32" s="100">
        <v>8109</v>
      </c>
      <c r="S32" s="100">
        <f t="shared" si="15"/>
        <v>3.6751327819307926</v>
      </c>
      <c r="T32" s="101">
        <f t="shared" si="13"/>
        <v>8105.3248672180689</v>
      </c>
      <c r="U32" s="49">
        <v>40724</v>
      </c>
      <c r="V32" s="92"/>
      <c r="W32" s="92"/>
      <c r="X32" s="92"/>
      <c r="Y32" s="92"/>
      <c r="Z32" s="92"/>
      <c r="AE32" s="93">
        <f t="shared" si="16"/>
        <v>37789.5</v>
      </c>
      <c r="AF32" s="92">
        <f>Logistic2010!Q32</f>
        <v>7.5444033609171311E-3</v>
      </c>
      <c r="AG32" s="4">
        <f t="shared" si="14"/>
        <v>8.0509778061675936E-3</v>
      </c>
      <c r="AH32" s="92">
        <f>Logistic2011!Q32</f>
        <v>2.5838796966125908E-3</v>
      </c>
      <c r="AI32" s="92">
        <f>Logistic2012!Q32</f>
        <v>8.0509778061675936E-3</v>
      </c>
      <c r="AJ32" s="92">
        <f>Logistic2013!L32</f>
        <v>1.5351437527105454E-2</v>
      </c>
      <c r="AK32" s="119">
        <f>Logistic2014!AK32</f>
        <v>1.864644764878538E-2</v>
      </c>
      <c r="AL32" s="119">
        <f t="shared" si="17"/>
        <v>4.0102894027830405E-4</v>
      </c>
      <c r="AM32" s="115"/>
      <c r="AN32" s="115"/>
      <c r="AP32" s="115"/>
      <c r="AQ32" s="115"/>
      <c r="AR32"/>
      <c r="AS32"/>
      <c r="AT32"/>
      <c r="AU32"/>
      <c r="AV32"/>
      <c r="AW32"/>
      <c r="AX32"/>
    </row>
    <row r="33" spans="2:50" ht="16.5" thickBot="1" x14ac:dyDescent="0.3">
      <c r="B33" s="49"/>
      <c r="C33" s="79"/>
      <c r="D33" s="86" t="str">
        <f t="shared" si="18"/>
        <v/>
      </c>
      <c r="E33" s="81"/>
      <c r="F33" s="50" t="str">
        <f t="shared" si="19"/>
        <v/>
      </c>
      <c r="G33" s="16" t="str">
        <f t="shared" si="20"/>
        <v/>
      </c>
      <c r="H33" s="51" t="str">
        <f t="shared" si="21"/>
        <v/>
      </c>
      <c r="I33" s="54"/>
      <c r="J33" s="105">
        <f t="shared" si="8"/>
        <v>37790.5</v>
      </c>
      <c r="K33" s="109">
        <v>25</v>
      </c>
      <c r="L33" s="125">
        <f t="shared" si="5"/>
        <v>5.0540410496298165E-4</v>
      </c>
      <c r="M33" s="46">
        <f t="shared" si="9"/>
        <v>1.5292967649937837E-3</v>
      </c>
      <c r="N33" s="131">
        <v>1.5292967649937837E-3</v>
      </c>
      <c r="O33" s="89">
        <f t="shared" si="6"/>
        <v>1.5292967649937837E-3</v>
      </c>
      <c r="P33" s="48">
        <v>40347</v>
      </c>
      <c r="Q33" s="1">
        <v>1.0694799271914295E-2</v>
      </c>
      <c r="R33" s="100">
        <v>18981</v>
      </c>
      <c r="S33" s="100">
        <f t="shared" si="15"/>
        <v>10.841298271331503</v>
      </c>
      <c r="T33" s="101">
        <f t="shared" si="13"/>
        <v>18970.158701728669</v>
      </c>
      <c r="U33" s="49">
        <v>40725</v>
      </c>
      <c r="V33" s="92">
        <v>0.35599999999999998</v>
      </c>
      <c r="W33" s="92"/>
      <c r="X33" s="92"/>
      <c r="Y33" s="92"/>
      <c r="Z33" s="92"/>
      <c r="AE33" s="93">
        <f t="shared" si="16"/>
        <v>37790.5</v>
      </c>
      <c r="AF33" s="92">
        <f>Logistic2010!Q33</f>
        <v>9.1981739546595914E-3</v>
      </c>
      <c r="AG33" s="4">
        <f t="shared" si="14"/>
        <v>1.0694799271914295E-2</v>
      </c>
      <c r="AH33" s="92">
        <f>Logistic2011!Q33</f>
        <v>3.3210095492913049E-3</v>
      </c>
      <c r="AI33" s="92">
        <f>Logistic2012!Q33</f>
        <v>1.0694799271914295E-2</v>
      </c>
      <c r="AJ33" s="92">
        <f>Logistic2013!L33</f>
        <v>1.8644913491254085E-2</v>
      </c>
      <c r="AK33" s="119">
        <f>Logistic2014!AK33</f>
        <v>2.2485598579313124E-2</v>
      </c>
      <c r="AL33" s="119">
        <f t="shared" si="17"/>
        <v>5.0540410496298165E-4</v>
      </c>
      <c r="AM33" s="110"/>
      <c r="AN33" s="110"/>
      <c r="AO33" s="110"/>
      <c r="AP33" s="110"/>
      <c r="AQ33" s="110"/>
      <c r="AR33" t="s">
        <v>29</v>
      </c>
      <c r="AS33"/>
      <c r="AT33"/>
      <c r="AU33"/>
      <c r="AV33"/>
      <c r="AW33"/>
      <c r="AX33"/>
    </row>
    <row r="34" spans="2:50" ht="16.5" thickBot="1" x14ac:dyDescent="0.3">
      <c r="B34" s="49"/>
      <c r="C34" s="79"/>
      <c r="D34" s="86" t="str">
        <f t="shared" si="18"/>
        <v/>
      </c>
      <c r="E34" s="81"/>
      <c r="F34" s="50" t="str">
        <f t="shared" si="19"/>
        <v/>
      </c>
      <c r="G34" s="16" t="str">
        <f t="shared" si="20"/>
        <v/>
      </c>
      <c r="H34" s="51" t="str">
        <f t="shared" si="21"/>
        <v/>
      </c>
      <c r="I34" s="54"/>
      <c r="J34" s="105">
        <f t="shared" si="8"/>
        <v>37791.5</v>
      </c>
      <c r="K34" s="109">
        <v>26</v>
      </c>
      <c r="L34" s="125">
        <f t="shared" si="5"/>
        <v>6.3692751837946644E-4</v>
      </c>
      <c r="M34" s="46">
        <f t="shared" si="9"/>
        <v>2.1779444332849758E-3</v>
      </c>
      <c r="N34" s="131">
        <v>2.1779444332849758E-3</v>
      </c>
      <c r="O34" s="89">
        <f t="shared" si="6"/>
        <v>2.1779444332849758E-3</v>
      </c>
      <c r="P34" s="48">
        <v>40348</v>
      </c>
      <c r="Q34" s="1">
        <v>1.4194388945639416E-2</v>
      </c>
      <c r="R34" s="100">
        <v>7954</v>
      </c>
      <c r="S34" s="100">
        <f t="shared" si="15"/>
        <v>5.7252011064921664</v>
      </c>
      <c r="T34" s="101">
        <f t="shared" si="13"/>
        <v>7948.274798893508</v>
      </c>
      <c r="U34" s="49">
        <v>40726</v>
      </c>
      <c r="V34" s="92"/>
      <c r="W34" s="92"/>
      <c r="X34" s="92"/>
      <c r="Y34" s="92"/>
      <c r="Z34" s="92"/>
      <c r="AE34" s="93">
        <f t="shared" si="16"/>
        <v>37791.5</v>
      </c>
      <c r="AF34" s="92">
        <f>Logistic2010!Q34</f>
        <v>1.1210364440860094E-2</v>
      </c>
      <c r="AG34" s="4">
        <f t="shared" si="14"/>
        <v>1.4194388945639416E-2</v>
      </c>
      <c r="AH34" s="92">
        <f>Logistic2011!Q34</f>
        <v>4.2675282552662704E-3</v>
      </c>
      <c r="AI34" s="92">
        <f>Logistic2012!Q34</f>
        <v>1.4194388945639416E-2</v>
      </c>
      <c r="AJ34" s="92">
        <f>Logistic2013!L34</f>
        <v>2.2628728952144059E-2</v>
      </c>
      <c r="AK34" s="119">
        <f>Logistic2014!AK34</f>
        <v>2.7093376387433324E-2</v>
      </c>
      <c r="AL34" s="119">
        <f t="shared" si="17"/>
        <v>6.3692751837946644E-4</v>
      </c>
      <c r="AM34" s="110"/>
      <c r="AN34" s="110"/>
      <c r="AO34" s="110"/>
      <c r="AQ34" s="110"/>
      <c r="AR34" s="112" t="s">
        <v>30</v>
      </c>
      <c r="AS34" s="112" t="s">
        <v>31</v>
      </c>
      <c r="AT34" s="112" t="s">
        <v>32</v>
      </c>
      <c r="AU34" s="112" t="s">
        <v>33</v>
      </c>
      <c r="AV34" s="112" t="s">
        <v>34</v>
      </c>
      <c r="AW34"/>
      <c r="AX34"/>
    </row>
    <row r="35" spans="2:50" x14ac:dyDescent="0.25">
      <c r="B35" s="49"/>
      <c r="C35" s="79"/>
      <c r="D35" s="86" t="str">
        <f t="shared" si="18"/>
        <v/>
      </c>
      <c r="E35" s="81"/>
      <c r="F35" s="50" t="str">
        <f t="shared" si="19"/>
        <v/>
      </c>
      <c r="G35" s="16" t="str">
        <f t="shared" si="20"/>
        <v/>
      </c>
      <c r="H35" s="51" t="str">
        <f t="shared" si="21"/>
        <v/>
      </c>
      <c r="I35" s="54"/>
      <c r="J35" s="105">
        <f t="shared" si="8"/>
        <v>37792.5</v>
      </c>
      <c r="K35" s="109">
        <v>27</v>
      </c>
      <c r="L35" s="125">
        <f t="shared" si="5"/>
        <v>8.0265033087679885E-4</v>
      </c>
      <c r="M35" s="46">
        <f t="shared" si="9"/>
        <v>3.1008600796789275E-3</v>
      </c>
      <c r="N35" s="131">
        <v>3.1008600796789275E-3</v>
      </c>
      <c r="O35" s="89">
        <f t="shared" si="6"/>
        <v>3.1008600796789275E-3</v>
      </c>
      <c r="P35" s="48">
        <v>40349</v>
      </c>
      <c r="Q35" s="1">
        <v>1.8817345014281332E-2</v>
      </c>
      <c r="R35" s="100">
        <v>10420</v>
      </c>
      <c r="S35" s="100">
        <f t="shared" si="15"/>
        <v>9.4514579713383231</v>
      </c>
      <c r="T35" s="101">
        <f t="shared" si="13"/>
        <v>10410.548542028662</v>
      </c>
      <c r="U35" s="40">
        <v>40727</v>
      </c>
      <c r="AE35" s="93">
        <f t="shared" si="16"/>
        <v>37792.5</v>
      </c>
      <c r="AF35" s="92">
        <f>Logistic2010!Q35</f>
        <v>1.3656673980419356E-2</v>
      </c>
      <c r="AG35" s="4">
        <f t="shared" si="14"/>
        <v>1.8817345014281332E-2</v>
      </c>
      <c r="AH35" s="92">
        <f>Logistic2011!Q35</f>
        <v>5.4823297455268887E-3</v>
      </c>
      <c r="AI35" s="92">
        <f>Logistic2012!Q35</f>
        <v>1.8817345014281332E-2</v>
      </c>
      <c r="AJ35" s="92">
        <f>Logistic2013!L35</f>
        <v>2.7439956026617411E-2</v>
      </c>
      <c r="AK35" s="119">
        <f>Logistic2014!AK35</f>
        <v>3.2613882518552371E-2</v>
      </c>
      <c r="AL35" s="119">
        <f t="shared" si="17"/>
        <v>8.0265033087679885E-4</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18"/>
        <v/>
      </c>
      <c r="E36" s="81"/>
      <c r="F36" s="50" t="str">
        <f t="shared" si="19"/>
        <v/>
      </c>
      <c r="G36" s="16" t="str">
        <f t="shared" si="20"/>
        <v/>
      </c>
      <c r="H36" s="51" t="str">
        <f t="shared" si="21"/>
        <v/>
      </c>
      <c r="I36" s="54"/>
      <c r="J36" s="105">
        <f t="shared" si="8"/>
        <v>37793.5</v>
      </c>
      <c r="K36" s="109">
        <v>28</v>
      </c>
      <c r="L36" s="125">
        <f t="shared" si="5"/>
        <v>1.0114490878061807E-3</v>
      </c>
      <c r="M36" s="46">
        <f t="shared" si="9"/>
        <v>4.4131364833405974E-3</v>
      </c>
      <c r="N36" s="131">
        <v>4.4131364833405974E-3</v>
      </c>
      <c r="O36" s="89">
        <f t="shared" si="6"/>
        <v>4.4131364833405974E-3</v>
      </c>
      <c r="P36" s="48">
        <v>40350</v>
      </c>
      <c r="Q36" s="1">
        <v>2.4907904460513997E-2</v>
      </c>
      <c r="R36" s="100">
        <v>14984</v>
      </c>
      <c r="S36" s="100">
        <f t="shared" si="15"/>
        <v>17.126291379890457</v>
      </c>
      <c r="T36" s="101">
        <f t="shared" si="13"/>
        <v>14966.873708620109</v>
      </c>
      <c r="U36" s="49">
        <v>40728</v>
      </c>
      <c r="AE36" s="93">
        <f t="shared" si="16"/>
        <v>37793.5</v>
      </c>
      <c r="AF36" s="92">
        <f>Logistic2010!Q36</f>
        <v>1.6627836578475143E-2</v>
      </c>
      <c r="AG36" s="4">
        <f t="shared" si="14"/>
        <v>2.4907904460513997E-2</v>
      </c>
      <c r="AH36" s="92">
        <f>Logistic2011!Q36</f>
        <v>7.0404935024234346E-3</v>
      </c>
      <c r="AI36" s="92">
        <f>Logistic2012!Q36</f>
        <v>2.4907904460513997E-2</v>
      </c>
      <c r="AJ36" s="92">
        <f>Logistic2013!L36</f>
        <v>3.3239337178441269E-2</v>
      </c>
      <c r="AK36" s="119">
        <f>Logistic2014!AK36</f>
        <v>3.9213900655283261E-2</v>
      </c>
      <c r="AL36" s="119">
        <f t="shared" si="17"/>
        <v>1.0114490878061807E-3</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18"/>
        <v/>
      </c>
      <c r="E37" s="81"/>
      <c r="F37" s="50" t="str">
        <f t="shared" si="19"/>
        <v/>
      </c>
      <c r="G37" s="16" t="str">
        <f t="shared" si="20"/>
        <v/>
      </c>
      <c r="H37" s="51" t="str">
        <f t="shared" si="21"/>
        <v/>
      </c>
      <c r="I37" s="54"/>
      <c r="J37" s="105">
        <f t="shared" si="8"/>
        <v>37794.5</v>
      </c>
      <c r="K37" s="109">
        <v>29</v>
      </c>
      <c r="L37" s="125">
        <f t="shared" si="5"/>
        <v>1.2744947696271423E-3</v>
      </c>
      <c r="M37" s="46">
        <f t="shared" si="9"/>
        <v>6.2772681143683619E-3</v>
      </c>
      <c r="N37" s="131">
        <v>6.2772681143683619E-3</v>
      </c>
      <c r="O37" s="89">
        <f t="shared" si="6"/>
        <v>6.2772681143683619E-3</v>
      </c>
      <c r="P37" s="48">
        <v>40351</v>
      </c>
      <c r="Q37" s="1">
        <v>3.2903671432563369E-2</v>
      </c>
      <c r="R37" s="100">
        <v>16806</v>
      </c>
      <c r="S37" s="100">
        <f t="shared" si="15"/>
        <v>24.203455471726205</v>
      </c>
      <c r="T37" s="101">
        <f t="shared" si="13"/>
        <v>16781.796544528275</v>
      </c>
      <c r="U37" s="49">
        <v>40729</v>
      </c>
      <c r="V37" s="4">
        <v>0.51500000000000001</v>
      </c>
      <c r="AE37" s="93">
        <f t="shared" si="16"/>
        <v>37794.5</v>
      </c>
      <c r="AF37" s="92">
        <f>Logistic2010!Q37</f>
        <v>2.0232149587218227E-2</v>
      </c>
      <c r="AG37" s="4">
        <f t="shared" si="14"/>
        <v>3.2903671432563369E-2</v>
      </c>
      <c r="AH37" s="92">
        <f>Logistic2011!Q37</f>
        <v>9.0374873855469922E-3</v>
      </c>
      <c r="AI37" s="92">
        <f>Logistic2012!Q37</f>
        <v>3.2903671432563369E-2</v>
      </c>
      <c r="AJ37" s="92">
        <f>Logistic2013!L37</f>
        <v>4.0213726080353264E-2</v>
      </c>
      <c r="AK37" s="119">
        <f>Logistic2014!AK37</f>
        <v>4.7084545759597696E-2</v>
      </c>
      <c r="AL37" s="119">
        <f t="shared" si="17"/>
        <v>1.2744947696271423E-3</v>
      </c>
      <c r="AM37" s="113"/>
      <c r="AN37" s="113"/>
      <c r="AO37" s="113"/>
      <c r="AP37" s="113"/>
      <c r="AQ37" s="113"/>
      <c r="AR37"/>
      <c r="AS37"/>
      <c r="AT37"/>
      <c r="AU37"/>
      <c r="AV37"/>
      <c r="AW37"/>
      <c r="AX37"/>
    </row>
    <row r="38" spans="2:50" x14ac:dyDescent="0.25">
      <c r="B38" s="49"/>
      <c r="C38" s="79"/>
      <c r="D38" s="86" t="str">
        <f t="shared" si="18"/>
        <v/>
      </c>
      <c r="E38" s="81"/>
      <c r="F38" s="50" t="str">
        <f t="shared" si="19"/>
        <v/>
      </c>
      <c r="G38" s="16" t="str">
        <f t="shared" si="20"/>
        <v/>
      </c>
      <c r="H38" s="51" t="str">
        <f t="shared" si="21"/>
        <v/>
      </c>
      <c r="I38" s="54"/>
      <c r="J38" s="105">
        <f t="shared" si="8"/>
        <v>37795.5</v>
      </c>
      <c r="K38" s="109">
        <v>30</v>
      </c>
      <c r="L38" s="125">
        <f t="shared" si="5"/>
        <v>1.6058402859156643E-3</v>
      </c>
      <c r="M38" s="46">
        <f t="shared" si="9"/>
        <v>8.9217622649491162E-3</v>
      </c>
      <c r="N38" s="131">
        <v>8.9217622649491162E-3</v>
      </c>
      <c r="O38" s="89">
        <f t="shared" si="6"/>
        <v>8.9217622649491162E-3</v>
      </c>
      <c r="P38" s="48">
        <v>40352</v>
      </c>
      <c r="Q38" s="1">
        <v>4.3352069231991391E-2</v>
      </c>
      <c r="R38" s="100">
        <v>28505</v>
      </c>
      <c r="S38" s="100">
        <f t="shared" si="15"/>
        <v>51.722257022045518</v>
      </c>
      <c r="T38" s="101">
        <f t="shared" si="13"/>
        <v>28453.277742977956</v>
      </c>
      <c r="U38" s="49"/>
      <c r="AE38" s="93">
        <f t="shared" si="16"/>
        <v>37795.5</v>
      </c>
      <c r="AF38" s="92">
        <f>Logistic2010!Q38</f>
        <v>2.4598204014952465E-2</v>
      </c>
      <c r="AG38" s="4">
        <f t="shared" si="14"/>
        <v>4.3352069231991391E-2</v>
      </c>
      <c r="AH38" s="92">
        <f>Logistic2011!Q38</f>
        <v>1.1594302653630432E-2</v>
      </c>
      <c r="AI38" s="92">
        <f>Logistic2012!Q38</f>
        <v>4.3352069231991391E-2</v>
      </c>
      <c r="AJ38" s="92">
        <f>Logistic2013!L38</f>
        <v>4.8577971912167145E-2</v>
      </c>
      <c r="AK38" s="119">
        <f>Logistic2014!AK38</f>
        <v>5.6442110719466705E-2</v>
      </c>
      <c r="AL38" s="119">
        <f t="shared" si="17"/>
        <v>1.6058402859156643E-3</v>
      </c>
      <c r="AM38" s="115"/>
      <c r="AQ38" s="115"/>
      <c r="AR38"/>
      <c r="AS38"/>
      <c r="AT38"/>
      <c r="AU38"/>
      <c r="AV38"/>
      <c r="AW38"/>
      <c r="AX38"/>
    </row>
    <row r="39" spans="2:50" ht="16.5" thickBot="1" x14ac:dyDescent="0.3">
      <c r="B39" s="49"/>
      <c r="C39" s="79"/>
      <c r="D39" s="86" t="str">
        <f t="shared" si="18"/>
        <v/>
      </c>
      <c r="E39" s="81"/>
      <c r="F39" s="50" t="str">
        <f t="shared" si="19"/>
        <v/>
      </c>
      <c r="G39" s="16" t="str">
        <f t="shared" si="20"/>
        <v/>
      </c>
      <c r="H39" s="51" t="str">
        <f t="shared" si="21"/>
        <v/>
      </c>
      <c r="I39" s="54"/>
      <c r="J39" s="105">
        <f t="shared" si="8"/>
        <v>37796.5</v>
      </c>
      <c r="K39" s="109">
        <v>31</v>
      </c>
      <c r="L39" s="125">
        <f t="shared" si="5"/>
        <v>2.0231551199461507E-3</v>
      </c>
      <c r="M39" s="46">
        <f t="shared" si="9"/>
        <v>1.2666131545885561E-2</v>
      </c>
      <c r="N39" s="131">
        <v>1.2666131545885561E-2</v>
      </c>
      <c r="O39" s="89">
        <f t="shared" si="6"/>
        <v>1.2666131545885561E-2</v>
      </c>
      <c r="P39" s="48">
        <v>40353</v>
      </c>
      <c r="Q39" s="1">
        <v>5.6923017026269736E-2</v>
      </c>
      <c r="R39" s="100">
        <v>37919</v>
      </c>
      <c r="S39" s="100">
        <f t="shared" si="15"/>
        <v>86.678988407299229</v>
      </c>
      <c r="T39" s="101">
        <f t="shared" si="13"/>
        <v>37832.3210115927</v>
      </c>
      <c r="U39" s="49"/>
      <c r="AE39" s="93">
        <f t="shared" si="16"/>
        <v>37796.5</v>
      </c>
      <c r="AF39" s="92">
        <f>Logistic2010!Q39</f>
        <v>2.9877711971165448E-2</v>
      </c>
      <c r="AG39" s="4">
        <f t="shared" si="14"/>
        <v>5.6923017026269736E-2</v>
      </c>
      <c r="AH39" s="92">
        <f>Logistic2011!Q39</f>
        <v>1.4863622388293144E-2</v>
      </c>
      <c r="AI39" s="92">
        <f>Logistic2012!Q39</f>
        <v>5.6923017026269736E-2</v>
      </c>
      <c r="AJ39" s="92">
        <f>Logistic2013!L39</f>
        <v>5.8575762266613804E-2</v>
      </c>
      <c r="AK39" s="119">
        <f>Logistic2014!AK39</f>
        <v>6.7527607102486259E-2</v>
      </c>
      <c r="AL39" s="119">
        <f t="shared" si="17"/>
        <v>2.0231551199461507E-3</v>
      </c>
      <c r="AM39" s="110"/>
      <c r="AN39" s="110"/>
      <c r="AP39" s="110"/>
      <c r="AQ39" s="110"/>
      <c r="AR39" t="s">
        <v>35</v>
      </c>
      <c r="AS39"/>
      <c r="AT39"/>
      <c r="AU39"/>
      <c r="AV39"/>
      <c r="AW39"/>
      <c r="AX39"/>
    </row>
    <row r="40" spans="2:50" x14ac:dyDescent="0.25">
      <c r="B40" s="49"/>
      <c r="C40" s="79"/>
      <c r="D40" s="86" t="str">
        <f t="shared" si="18"/>
        <v/>
      </c>
      <c r="E40" s="81"/>
      <c r="F40" s="50" t="str">
        <f t="shared" si="19"/>
        <v/>
      </c>
      <c r="G40" s="16" t="str">
        <f t="shared" si="20"/>
        <v/>
      </c>
      <c r="H40" s="51" t="str">
        <f t="shared" si="21"/>
        <v/>
      </c>
      <c r="I40" s="54"/>
      <c r="J40" s="105">
        <f t="shared" si="8"/>
        <v>37797.5</v>
      </c>
      <c r="K40" s="109">
        <v>32</v>
      </c>
      <c r="L40" s="125">
        <f t="shared" si="5"/>
        <v>2.5486420480856664E-3</v>
      </c>
      <c r="M40" s="46">
        <f t="shared" si="9"/>
        <v>1.7953505605503725E-2</v>
      </c>
      <c r="N40" s="131">
        <v>1.7953505605503725E-2</v>
      </c>
      <c r="O40" s="89">
        <f t="shared" si="6"/>
        <v>1.7953505605503725E-2</v>
      </c>
      <c r="P40" s="48">
        <v>40354</v>
      </c>
      <c r="Q40" s="1">
        <v>7.4411773683001156E-2</v>
      </c>
      <c r="R40" s="100">
        <v>41134</v>
      </c>
      <c r="S40" s="100">
        <f t="shared" si="15"/>
        <v>118.44165180925023</v>
      </c>
      <c r="T40" s="101">
        <f t="shared" si="13"/>
        <v>41015.558348190752</v>
      </c>
      <c r="U40" s="49"/>
      <c r="AE40" s="93">
        <f t="shared" si="16"/>
        <v>37797.5</v>
      </c>
      <c r="AF40" s="92">
        <f>Logistic2010!Q40</f>
        <v>3.624824956962025E-2</v>
      </c>
      <c r="AG40" s="4">
        <f t="shared" si="14"/>
        <v>7.4411773683001156E-2</v>
      </c>
      <c r="AH40" s="92">
        <f>Logistic2011!Q40</f>
        <v>1.9037057560494706E-2</v>
      </c>
      <c r="AI40" s="92">
        <f>Logistic2012!Q40</f>
        <v>7.4411773683001156E-2</v>
      </c>
      <c r="AJ40" s="92">
        <f>Logistic2013!L40</f>
        <v>7.0478765060004542E-2</v>
      </c>
      <c r="AK40" s="119">
        <f>Logistic2014!AK40</f>
        <v>8.060435401777398E-2</v>
      </c>
      <c r="AL40" s="119">
        <f t="shared" si="17"/>
        <v>2.5486420480856664E-3</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18"/>
        <v/>
      </c>
      <c r="E41" s="81"/>
      <c r="F41" s="50" t="str">
        <f t="shared" si="19"/>
        <v/>
      </c>
      <c r="G41" s="16" t="str">
        <f t="shared" si="20"/>
        <v/>
      </c>
      <c r="H41" s="51" t="str">
        <f t="shared" si="21"/>
        <v/>
      </c>
      <c r="I41" s="54"/>
      <c r="J41" s="105">
        <f t="shared" si="8"/>
        <v>37798.5</v>
      </c>
      <c r="K41" s="109">
        <v>33</v>
      </c>
      <c r="L41" s="125">
        <f t="shared" si="5"/>
        <v>3.2101779941786516E-3</v>
      </c>
      <c r="M41" s="46">
        <f t="shared" si="9"/>
        <v>2.5391289272607597E-2</v>
      </c>
      <c r="N41" s="131">
        <v>2.5391289272607597E-2</v>
      </c>
      <c r="O41" s="89">
        <f t="shared" si="6"/>
        <v>2.5391289272607597E-2</v>
      </c>
      <c r="P41" s="48">
        <v>40355</v>
      </c>
      <c r="Q41" s="1">
        <v>9.6722617460862401E-2</v>
      </c>
      <c r="R41" s="100">
        <v>21594</v>
      </c>
      <c r="S41" s="100">
        <f t="shared" si="15"/>
        <v>78.309636377973391</v>
      </c>
      <c r="T41" s="101">
        <f t="shared" si="13"/>
        <v>21515.690363622027</v>
      </c>
      <c r="U41" s="49"/>
      <c r="AE41" s="93">
        <f t="shared" si="16"/>
        <v>37798.5</v>
      </c>
      <c r="AF41" s="92">
        <f>Logistic2010!Q41</f>
        <v>4.3915626721520266E-2</v>
      </c>
      <c r="AG41" s="4">
        <f t="shared" si="14"/>
        <v>9.6722617460862401E-2</v>
      </c>
      <c r="AH41" s="92">
        <f>Logistic2011!Q41</f>
        <v>2.4353349085554369E-2</v>
      </c>
      <c r="AI41" s="92">
        <f>Logistic2012!Q41</f>
        <v>9.6722617460862401E-2</v>
      </c>
      <c r="AJ41" s="92">
        <f>Logistic2013!L41</f>
        <v>8.458322376954866E-2</v>
      </c>
      <c r="AK41" s="119">
        <f>Logistic2014!AK41</f>
        <v>9.5952838664410234E-2</v>
      </c>
      <c r="AL41" s="119">
        <f t="shared" si="17"/>
        <v>3.2101779941786516E-3</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18"/>
        <v/>
      </c>
      <c r="E42" s="81"/>
      <c r="F42" s="50" t="str">
        <f t="shared" si="19"/>
        <v/>
      </c>
      <c r="G42" s="16" t="str">
        <f t="shared" si="20"/>
        <v/>
      </c>
      <c r="H42" s="51" t="str">
        <f t="shared" si="21"/>
        <v/>
      </c>
      <c r="I42" s="54"/>
      <c r="J42" s="105">
        <f t="shared" si="8"/>
        <v>37799.5</v>
      </c>
      <c r="K42" s="109">
        <v>34</v>
      </c>
      <c r="L42" s="125">
        <f t="shared" si="5"/>
        <v>4.0427289594171054E-3</v>
      </c>
      <c r="M42" s="46">
        <f t="shared" si="9"/>
        <v>3.5798078010252969E-2</v>
      </c>
      <c r="N42" s="131">
        <v>3.5798078010252969E-2</v>
      </c>
      <c r="O42" s="89">
        <f t="shared" si="6"/>
        <v>3.5798078010252969E-2</v>
      </c>
      <c r="P42" s="48">
        <v>40356</v>
      </c>
      <c r="Q42" s="1">
        <v>0.12482080008468176</v>
      </c>
      <c r="R42" s="100">
        <v>17704</v>
      </c>
      <c r="S42" s="100">
        <f t="shared" si="15"/>
        <v>80.84377689170222</v>
      </c>
      <c r="T42" s="101">
        <f t="shared" si="13"/>
        <v>17623.156223108297</v>
      </c>
      <c r="AE42" s="93">
        <f t="shared" si="16"/>
        <v>37799.5</v>
      </c>
      <c r="AF42" s="92">
        <f>Logistic2010!Q42</f>
        <v>5.3115454143665003E-2</v>
      </c>
      <c r="AG42" s="4">
        <f t="shared" si="14"/>
        <v>0.12482080008468176</v>
      </c>
      <c r="AH42" s="92">
        <f>Logistic2011!Q42</f>
        <v>3.1107190112750017E-2</v>
      </c>
      <c r="AI42" s="92">
        <f>Logistic2012!Q42</f>
        <v>0.12482080008468176</v>
      </c>
      <c r="AJ42" s="92">
        <f>Logistic2013!L42</f>
        <v>0.1012029979928537</v>
      </c>
      <c r="AK42" s="119">
        <f>Logistic2014!AK42</f>
        <v>0.11386199412717302</v>
      </c>
      <c r="AL42" s="119">
        <f t="shared" si="17"/>
        <v>4.0427289594171054E-3</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18"/>
        <v/>
      </c>
      <c r="E43" s="81"/>
      <c r="F43" s="50" t="str">
        <f t="shared" si="19"/>
        <v/>
      </c>
      <c r="G43" s="16" t="str">
        <f t="shared" si="20"/>
        <v/>
      </c>
      <c r="H43" s="51" t="str">
        <f t="shared" si="21"/>
        <v/>
      </c>
      <c r="I43" s="54"/>
      <c r="J43" s="105">
        <f t="shared" si="8"/>
        <v>37800.5</v>
      </c>
      <c r="K43" s="109">
        <v>35</v>
      </c>
      <c r="L43" s="125">
        <f t="shared" si="5"/>
        <v>5.0900971693337094E-3</v>
      </c>
      <c r="M43" s="46">
        <f t="shared" si="9"/>
        <v>5.0250242425127004E-2</v>
      </c>
      <c r="N43" s="131">
        <v>5.0250242425127004E-2</v>
      </c>
      <c r="O43" s="89">
        <f t="shared" si="6"/>
        <v>5.0250242425127004E-2</v>
      </c>
      <c r="P43" s="48">
        <v>40357</v>
      </c>
      <c r="Q43" s="1">
        <v>0.15963897994445775</v>
      </c>
      <c r="R43" s="100">
        <v>13702</v>
      </c>
      <c r="S43" s="100">
        <f t="shared" si="15"/>
        <v>78.767066527443362</v>
      </c>
      <c r="T43" s="101">
        <f t="shared" si="13"/>
        <v>13623.232933472556</v>
      </c>
      <c r="U43" s="40">
        <v>40705</v>
      </c>
      <c r="AE43" s="93">
        <f t="shared" si="16"/>
        <v>37800.5</v>
      </c>
      <c r="AF43" s="92">
        <f>Logistic2010!Q43</f>
        <v>6.4113302836932173E-2</v>
      </c>
      <c r="AG43" s="4">
        <f t="shared" si="14"/>
        <v>0.15963897994445775</v>
      </c>
      <c r="AH43" s="92">
        <f>Logistic2011!Q43</f>
        <v>3.9657919254324193E-2</v>
      </c>
      <c r="AI43" s="92">
        <f>Logistic2012!Q43</f>
        <v>0.15963897994445775</v>
      </c>
      <c r="AJ43" s="92">
        <f>Logistic2013!L43</f>
        <v>0.12065796431808783</v>
      </c>
      <c r="AK43" s="119">
        <f>Logistic2014!AK43</f>
        <v>0.13461607593232877</v>
      </c>
      <c r="AL43" s="119">
        <f t="shared" si="17"/>
        <v>5.0900971693337094E-3</v>
      </c>
      <c r="AM43" s="114"/>
      <c r="AN43" s="114"/>
      <c r="AP43" s="114"/>
      <c r="AQ43" s="114"/>
      <c r="AR43" s="110"/>
      <c r="AS43" s="110"/>
      <c r="AT43" s="110"/>
      <c r="AU43" s="110"/>
      <c r="AV43" s="110"/>
      <c r="AW43" s="110"/>
      <c r="AX43" s="110"/>
    </row>
    <row r="44" spans="2:50" ht="16.5" thickBot="1" x14ac:dyDescent="0.3">
      <c r="B44" s="49"/>
      <c r="C44" s="79"/>
      <c r="D44" s="86" t="str">
        <f t="shared" si="18"/>
        <v/>
      </c>
      <c r="E44" s="81"/>
      <c r="F44" s="50" t="str">
        <f t="shared" si="19"/>
        <v/>
      </c>
      <c r="G44" s="16" t="str">
        <f t="shared" si="20"/>
        <v/>
      </c>
      <c r="H44" s="51" t="str">
        <f t="shared" si="21"/>
        <v/>
      </c>
      <c r="I44" s="54"/>
      <c r="J44" s="105">
        <f t="shared" si="8"/>
        <v>37801.5</v>
      </c>
      <c r="K44" s="109">
        <v>36</v>
      </c>
      <c r="L44" s="125">
        <f t="shared" si="5"/>
        <v>6.4070662414739627E-3</v>
      </c>
      <c r="M44" s="46">
        <f t="shared" si="9"/>
        <v>7.0112677039206914E-2</v>
      </c>
      <c r="N44" s="131">
        <v>7.0112677039206914E-2</v>
      </c>
      <c r="O44" s="89">
        <f t="shared" si="6"/>
        <v>7.0112677039206914E-2</v>
      </c>
      <c r="P44" s="48">
        <v>40358</v>
      </c>
      <c r="Q44" s="1">
        <v>0.20192861027500136</v>
      </c>
      <c r="R44" s="100">
        <v>6021</v>
      </c>
      <c r="S44" s="100">
        <f t="shared" si="15"/>
        <v>43.559171285374852</v>
      </c>
      <c r="T44" s="101">
        <f t="shared" si="13"/>
        <v>5977.4408287146252</v>
      </c>
      <c r="U44" s="49">
        <v>40706</v>
      </c>
      <c r="V44" s="95"/>
      <c r="W44" s="95"/>
      <c r="X44" s="95"/>
      <c r="Y44" s="95"/>
      <c r="Z44" s="95"/>
      <c r="AE44" s="93">
        <f t="shared" si="16"/>
        <v>37801.5</v>
      </c>
      <c r="AF44" s="92">
        <f>Logistic2010!Q44</f>
        <v>7.72026520734653E-2</v>
      </c>
      <c r="AG44" s="4">
        <f t="shared" si="14"/>
        <v>0.20192861027500136</v>
      </c>
      <c r="AH44" s="92">
        <f>Logistic2011!Q44</f>
        <v>5.0436715072649276E-2</v>
      </c>
      <c r="AI44" s="92">
        <f>Logistic2012!Q44</f>
        <v>0.20192861027500136</v>
      </c>
      <c r="AJ44" s="92">
        <f>Logistic2013!L44</f>
        <v>0.14325679323024673</v>
      </c>
      <c r="AK44" s="119">
        <f>Logistic2014!AK44</f>
        <v>0.15847654981878281</v>
      </c>
      <c r="AL44" s="119">
        <f t="shared" si="17"/>
        <v>6.4070662414739627E-3</v>
      </c>
      <c r="AM44" s="113"/>
      <c r="AQ44" s="113"/>
      <c r="AR44" s="111" t="s">
        <v>45</v>
      </c>
      <c r="AS44" s="111">
        <v>2.7416072727272724</v>
      </c>
      <c r="AT44" s="111">
        <v>21</v>
      </c>
      <c r="AU44" s="111"/>
      <c r="AV44" s="111"/>
      <c r="AW44" s="111"/>
      <c r="AX44" s="111"/>
    </row>
    <row r="45" spans="2:50" x14ac:dyDescent="0.25">
      <c r="B45" s="49"/>
      <c r="C45" s="79"/>
      <c r="D45" s="86" t="str">
        <f t="shared" si="18"/>
        <v/>
      </c>
      <c r="E45" s="81"/>
      <c r="F45" s="50" t="str">
        <f t="shared" si="19"/>
        <v/>
      </c>
      <c r="G45" s="16" t="str">
        <f t="shared" si="20"/>
        <v/>
      </c>
      <c r="H45" s="51" t="str">
        <f t="shared" si="21"/>
        <v/>
      </c>
      <c r="I45" s="54"/>
      <c r="J45" s="105">
        <f t="shared" si="8"/>
        <v>37802.5</v>
      </c>
      <c r="K45" s="109">
        <v>37</v>
      </c>
      <c r="L45" s="125">
        <f t="shared" si="5"/>
        <v>8.0620157334055764E-3</v>
      </c>
      <c r="M45" s="46">
        <f t="shared" si="9"/>
        <v>9.7024102357607847E-2</v>
      </c>
      <c r="N45" s="131">
        <v>9.7024102357607847E-2</v>
      </c>
      <c r="O45" s="89">
        <f t="shared" si="6"/>
        <v>9.7024102357607847E-2</v>
      </c>
      <c r="P45" s="48">
        <v>40359</v>
      </c>
      <c r="Q45" s="1">
        <v>0.25206087357123486</v>
      </c>
      <c r="R45" s="100">
        <v>4676</v>
      </c>
      <c r="S45" s="100">
        <f t="shared" si="15"/>
        <v>42.556493298708325</v>
      </c>
      <c r="T45" s="101">
        <f t="shared" si="13"/>
        <v>4633.4435067012919</v>
      </c>
      <c r="U45" s="49">
        <v>40707</v>
      </c>
      <c r="V45" s="95"/>
      <c r="W45" s="95"/>
      <c r="X45" s="95"/>
      <c r="Y45" s="95"/>
      <c r="Z45" s="95"/>
      <c r="AE45" s="93">
        <f t="shared" si="16"/>
        <v>37802.5</v>
      </c>
      <c r="AF45" s="92">
        <f>Logistic2010!Q45</f>
        <v>9.2699625095272714E-2</v>
      </c>
      <c r="AG45" s="4">
        <f t="shared" si="14"/>
        <v>0.25206087357123486</v>
      </c>
      <c r="AH45" s="92">
        <f>Logistic2011!Q45</f>
        <v>6.3950040299436198E-2</v>
      </c>
      <c r="AI45" s="92">
        <f>Logistic2012!Q45</f>
        <v>0.25206087357123486</v>
      </c>
      <c r="AJ45" s="92">
        <f>Logistic2013!L45</f>
        <v>0.16927351386641812</v>
      </c>
      <c r="AK45" s="119">
        <f>Logistic2014!AK45</f>
        <v>0.18565891661671166</v>
      </c>
      <c r="AL45" s="119">
        <f t="shared" si="17"/>
        <v>8.0620157334055764E-3</v>
      </c>
      <c r="AM45" s="113"/>
      <c r="AN45" s="113"/>
      <c r="AP45" s="113"/>
      <c r="AQ45" s="113"/>
      <c r="AR45" s="113"/>
      <c r="AS45" s="113"/>
      <c r="AT45" s="114"/>
      <c r="AU45" s="114"/>
    </row>
    <row r="46" spans="2:50" x14ac:dyDescent="0.25">
      <c r="B46" s="49"/>
      <c r="C46" s="79"/>
      <c r="D46" s="86" t="str">
        <f t="shared" si="18"/>
        <v/>
      </c>
      <c r="E46" s="81"/>
      <c r="F46" s="50" t="str">
        <f t="shared" si="19"/>
        <v/>
      </c>
      <c r="G46" s="16" t="str">
        <f t="shared" si="20"/>
        <v/>
      </c>
      <c r="H46" s="51" t="str">
        <f t="shared" si="21"/>
        <v/>
      </c>
      <c r="I46" s="54"/>
      <c r="J46" s="105">
        <f t="shared" si="8"/>
        <v>37803.5</v>
      </c>
      <c r="K46" s="109">
        <v>38</v>
      </c>
      <c r="L46" s="125">
        <f t="shared" si="5"/>
        <v>1.014007720872801E-2</v>
      </c>
      <c r="M46" s="46">
        <f t="shared" si="9"/>
        <v>0.13278990299316346</v>
      </c>
      <c r="N46" s="131">
        <v>0.13278990299316346</v>
      </c>
      <c r="O46" s="89">
        <f t="shared" si="6"/>
        <v>0.13278990299316346</v>
      </c>
      <c r="P46" s="48">
        <v>40360</v>
      </c>
      <c r="Q46" s="1">
        <v>0.30980777704027063</v>
      </c>
      <c r="R46" s="100">
        <v>3828</v>
      </c>
      <c r="S46" s="100">
        <f t="shared" si="15"/>
        <v>43.805665982741033</v>
      </c>
      <c r="T46" s="101">
        <f t="shared" si="13"/>
        <v>3784.1943340172588</v>
      </c>
      <c r="U46" s="49">
        <v>40708</v>
      </c>
      <c r="V46" s="95"/>
      <c r="W46" s="95"/>
      <c r="X46" s="95"/>
      <c r="Y46" s="95"/>
      <c r="Z46" s="95"/>
      <c r="AE46" s="93">
        <f t="shared" si="16"/>
        <v>37803.5</v>
      </c>
      <c r="AF46" s="92">
        <f>Logistic2010!Q46</f>
        <v>0.11093336918210217</v>
      </c>
      <c r="AG46" s="4">
        <f t="shared" si="14"/>
        <v>0.30980777704027063</v>
      </c>
      <c r="AH46" s="92">
        <f>Logistic2011!Q46</f>
        <v>8.0775952050874497E-2</v>
      </c>
      <c r="AI46" s="92">
        <f>Logistic2012!Q46</f>
        <v>0.30980777704027063</v>
      </c>
      <c r="AJ46" s="92">
        <f>Logistic2013!L46</f>
        <v>0.19891808737150862</v>
      </c>
      <c r="AK46" s="119">
        <f>Logistic2014!AK46</f>
        <v>0.21630525971395512</v>
      </c>
      <c r="AL46" s="119">
        <f t="shared" si="17"/>
        <v>1.014007720872801E-2</v>
      </c>
      <c r="AM46" s="113"/>
      <c r="AN46" s="113"/>
      <c r="AP46" s="113"/>
      <c r="AQ46" s="113"/>
      <c r="AR46" s="113"/>
      <c r="AS46" s="113"/>
      <c r="AT46" s="114"/>
      <c r="AU46" s="114"/>
    </row>
    <row r="47" spans="2:50" x14ac:dyDescent="0.25">
      <c r="B47" s="49"/>
      <c r="C47" s="79"/>
      <c r="D47" s="86" t="str">
        <f t="shared" si="18"/>
        <v/>
      </c>
      <c r="E47" s="81"/>
      <c r="F47" s="50" t="str">
        <f t="shared" si="19"/>
        <v/>
      </c>
      <c r="G47" s="16" t="str">
        <f t="shared" si="20"/>
        <v/>
      </c>
      <c r="H47" s="51" t="str">
        <f t="shared" si="21"/>
        <v/>
      </c>
      <c r="I47" s="54"/>
      <c r="J47" s="105">
        <f t="shared" si="8"/>
        <v>37804.5</v>
      </c>
      <c r="K47" s="109">
        <v>39</v>
      </c>
      <c r="L47" s="125">
        <f t="shared" si="5"/>
        <v>1.2746895614020702E-2</v>
      </c>
      <c r="M47" s="46">
        <f t="shared" si="9"/>
        <v>0.17912459589298799</v>
      </c>
      <c r="N47" s="131">
        <v>0.17912459589298799</v>
      </c>
      <c r="O47" s="89">
        <f t="shared" si="6"/>
        <v>0.17912459589298799</v>
      </c>
      <c r="P47" s="48">
        <v>40361</v>
      </c>
      <c r="Q47" s="1">
        <v>0.37416608438208854</v>
      </c>
      <c r="R47" s="100">
        <v>3893</v>
      </c>
      <c r="S47" s="100">
        <f t="shared" si="15"/>
        <v>55.981205941932643</v>
      </c>
      <c r="T47" s="101">
        <f t="shared" si="13"/>
        <v>3837.0187940580672</v>
      </c>
      <c r="U47" s="49">
        <v>40709</v>
      </c>
      <c r="V47" s="95"/>
      <c r="W47" s="95"/>
      <c r="X47" s="95"/>
      <c r="Y47" s="95"/>
      <c r="Z47" s="95"/>
      <c r="AE47" s="93">
        <f t="shared" si="16"/>
        <v>37804.5</v>
      </c>
      <c r="AF47" s="92">
        <f>Logistic2010!Q47</f>
        <v>0.13223093333791724</v>
      </c>
      <c r="AG47" s="4">
        <f t="shared" si="14"/>
        <v>0.37416608438208854</v>
      </c>
      <c r="AH47" s="92">
        <f>Logistic2011!Q47</f>
        <v>0.10154865709169383</v>
      </c>
      <c r="AI47" s="92">
        <f>Logistic2012!Q47</f>
        <v>0.37416608438208854</v>
      </c>
      <c r="AJ47" s="92">
        <f>Logistic2013!L47</f>
        <v>0.23230249502167508</v>
      </c>
      <c r="AK47" s="119">
        <f>Logistic2014!AK47</f>
        <v>0.25045449624933086</v>
      </c>
      <c r="AL47" s="119">
        <f t="shared" si="17"/>
        <v>1.2746895614020702E-2</v>
      </c>
      <c r="AM47" s="115"/>
      <c r="AN47" s="115"/>
      <c r="AQ47" s="115"/>
      <c r="AR47" t="s">
        <v>28</v>
      </c>
      <c r="AS47"/>
      <c r="AT47"/>
      <c r="AU47"/>
      <c r="AV47"/>
      <c r="AW47"/>
      <c r="AX47"/>
    </row>
    <row r="48" spans="2:50" x14ac:dyDescent="0.25">
      <c r="B48" s="49"/>
      <c r="C48" s="79"/>
      <c r="D48" s="86" t="str">
        <f t="shared" si="18"/>
        <v/>
      </c>
      <c r="E48" s="81"/>
      <c r="F48" s="50" t="str">
        <f t="shared" si="19"/>
        <v/>
      </c>
      <c r="G48" s="16" t="str">
        <f t="shared" si="20"/>
        <v/>
      </c>
      <c r="H48" s="51" t="str">
        <f t="shared" si="21"/>
        <v/>
      </c>
      <c r="I48" s="54"/>
      <c r="J48" s="105">
        <f t="shared" si="8"/>
        <v>37805.5</v>
      </c>
      <c r="K48" s="109">
        <v>40</v>
      </c>
      <c r="L48" s="125">
        <f t="shared" si="5"/>
        <v>1.6013035514637217E-2</v>
      </c>
      <c r="M48" s="46">
        <f t="shared" si="9"/>
        <v>0.23720467988333704</v>
      </c>
      <c r="N48" s="131">
        <v>0.23720467988333704</v>
      </c>
      <c r="O48" s="89">
        <f t="shared" si="6"/>
        <v>0.23720467988333704</v>
      </c>
      <c r="P48" s="48">
        <v>40362</v>
      </c>
      <c r="Q48" s="1">
        <v>0.44330675299696459</v>
      </c>
      <c r="R48" s="100">
        <v>3621</v>
      </c>
      <c r="S48" s="100">
        <f t="shared" si="15"/>
        <v>65.380879128028525</v>
      </c>
      <c r="T48" s="101">
        <f>R48-S48</f>
        <v>3555.6191208719715</v>
      </c>
      <c r="U48" s="49">
        <v>40710</v>
      </c>
      <c r="V48" s="95"/>
      <c r="W48" s="95"/>
      <c r="X48" s="95"/>
      <c r="Y48" s="95"/>
      <c r="Z48" s="95"/>
      <c r="AE48" s="93">
        <f t="shared" si="16"/>
        <v>37805.5</v>
      </c>
      <c r="AF48" s="92">
        <f>Logistic2010!Q48</f>
        <v>0.15689575096130998</v>
      </c>
      <c r="AG48" s="4">
        <f t="shared" si="14"/>
        <v>0.44330675299696459</v>
      </c>
      <c r="AH48" s="92">
        <f>Logistic2011!Q48</f>
        <v>0.12692574439278323</v>
      </c>
      <c r="AI48" s="92">
        <f>Logistic2012!Q48</f>
        <v>0.44330675299696459</v>
      </c>
      <c r="AJ48" s="92">
        <f>Logistic2013!L48</f>
        <v>0.26940553732402189</v>
      </c>
      <c r="AK48" s="119">
        <f>Logistic2014!AK48</f>
        <v>0.28801370069768495</v>
      </c>
      <c r="AL48" s="119">
        <f t="shared" si="17"/>
        <v>1.6013035514637217E-2</v>
      </c>
      <c r="AM48" s="110"/>
      <c r="AP48" s="110"/>
      <c r="AQ48" s="110"/>
      <c r="AR48"/>
      <c r="AS48"/>
      <c r="AT48"/>
      <c r="AU48"/>
      <c r="AV48"/>
      <c r="AW48"/>
      <c r="AX48"/>
    </row>
    <row r="49" spans="2:50" ht="16.5" thickBot="1" x14ac:dyDescent="0.3">
      <c r="B49" s="49"/>
      <c r="C49" s="79"/>
      <c r="D49" s="86" t="str">
        <f t="shared" si="18"/>
        <v/>
      </c>
      <c r="E49" s="81"/>
      <c r="F49" s="50" t="str">
        <f t="shared" si="19"/>
        <v/>
      </c>
      <c r="G49" s="16" t="str">
        <f t="shared" si="20"/>
        <v/>
      </c>
      <c r="H49" s="51" t="str">
        <f t="shared" si="21"/>
        <v/>
      </c>
      <c r="I49" s="54"/>
      <c r="J49" s="105">
        <f t="shared" si="8"/>
        <v>37806.5</v>
      </c>
      <c r="K49" s="109">
        <v>41</v>
      </c>
      <c r="L49" s="143">
        <f t="shared" si="5"/>
        <v>2.0099021446439016E-2</v>
      </c>
      <c r="M49" s="46">
        <f t="shared" si="9"/>
        <v>0.30707218568713457</v>
      </c>
      <c r="N49" s="131">
        <v>0.30707218568713457</v>
      </c>
      <c r="O49" s="89">
        <f t="shared" si="6"/>
        <v>0.30707218568713457</v>
      </c>
      <c r="P49" s="4">
        <v>40363</v>
      </c>
      <c r="Q49" s="4">
        <v>0.51471586655781365</v>
      </c>
      <c r="R49" s="4">
        <v>2271</v>
      </c>
      <c r="S49" s="100">
        <f t="shared" si="15"/>
        <v>51.438073084944079</v>
      </c>
      <c r="T49" s="101">
        <f t="shared" ref="T49:T70" si="22">R49-S49</f>
        <v>2219.5619269150561</v>
      </c>
      <c r="U49" s="49">
        <v>40711</v>
      </c>
      <c r="V49" s="95"/>
      <c r="W49" s="95"/>
      <c r="X49" s="95"/>
      <c r="Y49" s="95"/>
      <c r="Z49" s="95"/>
      <c r="AE49" s="93">
        <f t="shared" si="16"/>
        <v>37806.5</v>
      </c>
      <c r="AF49" s="92">
        <f>Logistic2010!Q49</f>
        <v>0.1851794824455581</v>
      </c>
      <c r="AG49" s="4">
        <f t="shared" si="14"/>
        <v>0.51471586655781365</v>
      </c>
      <c r="AH49" s="92">
        <f>Logistic2011!Q49</f>
        <v>0.15753263507351994</v>
      </c>
      <c r="AI49" s="92">
        <f>Logistic2012!Q49</f>
        <v>0.51471586655781365</v>
      </c>
      <c r="AJ49" s="92">
        <f>Logistic2013!L49</f>
        <v>0.31004134142241851</v>
      </c>
      <c r="AK49" s="119">
        <f>Logistic2014!AK49</f>
        <v>0.32873512727698778</v>
      </c>
      <c r="AL49" s="119">
        <f t="shared" si="17"/>
        <v>2.0099021446439016E-2</v>
      </c>
      <c r="AM49" s="110"/>
      <c r="AN49" s="110"/>
      <c r="AO49" s="110"/>
      <c r="AP49" s="110"/>
      <c r="AQ49" s="110"/>
      <c r="AR49" t="s">
        <v>29</v>
      </c>
      <c r="AS49"/>
      <c r="AT49"/>
      <c r="AU49"/>
      <c r="AV49"/>
      <c r="AW49"/>
      <c r="AX49"/>
    </row>
    <row r="50" spans="2:50" ht="16.5" thickBot="1" x14ac:dyDescent="0.3">
      <c r="B50" s="49"/>
      <c r="C50" s="79"/>
      <c r="D50" s="86" t="str">
        <f t="shared" si="18"/>
        <v/>
      </c>
      <c r="E50" s="81"/>
      <c r="F50" s="50" t="str">
        <f t="shared" si="19"/>
        <v/>
      </c>
      <c r="G50" s="16" t="str">
        <f t="shared" si="20"/>
        <v/>
      </c>
      <c r="H50" s="51" t="str">
        <f t="shared" si="21"/>
        <v/>
      </c>
      <c r="I50" s="54"/>
      <c r="J50" s="105">
        <f t="shared" si="8"/>
        <v>37807.5</v>
      </c>
      <c r="K50" s="109">
        <v>42</v>
      </c>
      <c r="L50" s="125">
        <f t="shared" si="5"/>
        <v>2.5200910816831863E-2</v>
      </c>
      <c r="M50" s="46">
        <f t="shared" si="9"/>
        <v>0.38707606622199253</v>
      </c>
      <c r="N50" s="131">
        <v>0.38707606622199253</v>
      </c>
      <c r="O50" s="89">
        <f t="shared" si="6"/>
        <v>0.38707606622199253</v>
      </c>
      <c r="P50" s="4">
        <v>40364</v>
      </c>
      <c r="Q50" s="4">
        <v>0.58552915257129856</v>
      </c>
      <c r="R50" s="4">
        <v>2403</v>
      </c>
      <c r="S50" s="100">
        <f t="shared" si="15"/>
        <v>68.193604932116827</v>
      </c>
      <c r="T50" s="101">
        <f t="shared" si="22"/>
        <v>2334.8063950678834</v>
      </c>
      <c r="U50" s="49">
        <v>40712</v>
      </c>
      <c r="V50" s="95">
        <v>3.5999999999999997E-2</v>
      </c>
      <c r="W50" s="95"/>
      <c r="X50" s="95"/>
      <c r="Y50" s="95"/>
      <c r="Z50" s="95"/>
      <c r="AE50" s="93">
        <f t="shared" si="16"/>
        <v>37807.5</v>
      </c>
      <c r="AF50" s="92">
        <f>Logistic2010!Q50</f>
        <v>0.21724812306999194</v>
      </c>
      <c r="AG50" s="4">
        <f t="shared" si="14"/>
        <v>0.58552915257129856</v>
      </c>
      <c r="AH50" s="92">
        <f>Logistic2011!Q50</f>
        <v>0.19388109788722835</v>
      </c>
      <c r="AI50" s="92">
        <f>Logistic2012!Q50</f>
        <v>0.58552915257129856</v>
      </c>
      <c r="AJ50" s="92">
        <f>Logistic2013!L50</f>
        <v>0.35383793526166868</v>
      </c>
      <c r="AK50" s="119">
        <f>Logistic2014!AK50</f>
        <v>0.37220420551064748</v>
      </c>
      <c r="AL50" s="119">
        <f t="shared" si="17"/>
        <v>2.5200910816831863E-2</v>
      </c>
      <c r="AM50" s="113"/>
      <c r="AN50" s="113"/>
      <c r="AO50" s="113"/>
      <c r="AQ50" s="113"/>
      <c r="AR50" s="112" t="s">
        <v>30</v>
      </c>
      <c r="AS50" s="112" t="s">
        <v>31</v>
      </c>
      <c r="AT50" s="112" t="s">
        <v>32</v>
      </c>
      <c r="AU50" s="112" t="s">
        <v>33</v>
      </c>
      <c r="AV50" s="112" t="s">
        <v>34</v>
      </c>
      <c r="AW50"/>
      <c r="AX50"/>
    </row>
    <row r="51" spans="2:50" x14ac:dyDescent="0.25">
      <c r="B51" s="49"/>
      <c r="C51" s="79"/>
      <c r="D51" s="86" t="str">
        <f t="shared" si="18"/>
        <v/>
      </c>
      <c r="E51" s="81"/>
      <c r="F51" s="50" t="str">
        <f t="shared" si="19"/>
        <v/>
      </c>
      <c r="G51" s="16" t="str">
        <f t="shared" si="20"/>
        <v/>
      </c>
      <c r="H51" s="51" t="str">
        <f t="shared" si="21"/>
        <v/>
      </c>
      <c r="I51" s="54"/>
      <c r="J51" s="105">
        <f t="shared" si="8"/>
        <v>37808.5</v>
      </c>
      <c r="K51" s="109">
        <v>43</v>
      </c>
      <c r="L51" s="125">
        <f t="shared" si="5"/>
        <v>3.1556146971030666E-2</v>
      </c>
      <c r="M51" s="46">
        <f t="shared" si="9"/>
        <v>0.47367530224191001</v>
      </c>
      <c r="N51" s="131">
        <v>0.47367530224191001</v>
      </c>
      <c r="O51" s="89">
        <f t="shared" si="6"/>
        <v>0.47367530224191001</v>
      </c>
      <c r="P51" s="4">
        <v>40365</v>
      </c>
      <c r="Q51" s="4">
        <v>0.65297594566306583</v>
      </c>
      <c r="R51" s="4">
        <v>2644</v>
      </c>
      <c r="S51" s="100">
        <f t="shared" si="15"/>
        <v>93.869075757547307</v>
      </c>
      <c r="T51" s="101">
        <f t="shared" si="22"/>
        <v>2550.1309242424527</v>
      </c>
      <c r="U51" s="40">
        <v>40713</v>
      </c>
      <c r="V51" s="95"/>
      <c r="W51" s="95"/>
      <c r="X51" s="95"/>
      <c r="Y51" s="95"/>
      <c r="Z51" s="95"/>
      <c r="AE51" s="93">
        <f t="shared" si="16"/>
        <v>37808.5</v>
      </c>
      <c r="AF51" s="92">
        <f>Logistic2010!Q51</f>
        <v>0.25314493902860469</v>
      </c>
      <c r="AG51" s="4">
        <f t="shared" si="14"/>
        <v>0.65297594566306583</v>
      </c>
      <c r="AH51" s="92">
        <f>Logistic2011!Q51</f>
        <v>0.2362644112915534</v>
      </c>
      <c r="AI51" s="92">
        <f>Logistic2012!Q51</f>
        <v>0.65297594566306583</v>
      </c>
      <c r="AJ51" s="92">
        <f>Logistic2013!L51</f>
        <v>0.40023244913820061</v>
      </c>
      <c r="AK51" s="119">
        <f>Logistic2014!AK51</f>
        <v>0.41784330704514244</v>
      </c>
      <c r="AL51" s="119">
        <f t="shared" si="17"/>
        <v>3.1556146971030666E-2</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18"/>
        <v/>
      </c>
      <c r="E52" s="81"/>
      <c r="F52" s="50" t="str">
        <f t="shared" si="19"/>
        <v/>
      </c>
      <c r="G52" s="16" t="str">
        <f t="shared" si="20"/>
        <v/>
      </c>
      <c r="H52" s="51" t="str">
        <f t="shared" si="21"/>
        <v/>
      </c>
      <c r="I52" s="54"/>
      <c r="J52" s="105">
        <f t="shared" si="8"/>
        <v>37809.5</v>
      </c>
      <c r="K52" s="109">
        <v>44</v>
      </c>
      <c r="L52" s="125">
        <f t="shared" si="5"/>
        <v>3.9449205341788779E-2</v>
      </c>
      <c r="M52" s="46">
        <f t="shared" si="9"/>
        <v>0.56188779335925654</v>
      </c>
      <c r="N52" s="131">
        <v>0.56188779335925654</v>
      </c>
      <c r="O52" s="89">
        <f t="shared" si="6"/>
        <v>0.56188779335925654</v>
      </c>
      <c r="P52" s="4">
        <v>40366</v>
      </c>
      <c r="Q52" s="4">
        <v>0.71479326435445212</v>
      </c>
      <c r="R52" s="4">
        <v>1901</v>
      </c>
      <c r="S52" s="100">
        <f t="shared" si="15"/>
        <v>84.276469707758793</v>
      </c>
      <c r="T52" s="101">
        <f t="shared" si="22"/>
        <v>1816.7235302922413</v>
      </c>
      <c r="U52" s="49">
        <v>40714</v>
      </c>
      <c r="V52" s="95"/>
      <c r="W52" s="95"/>
      <c r="X52" s="95"/>
      <c r="Y52" s="95"/>
      <c r="Z52" s="95"/>
      <c r="AE52" s="93">
        <f t="shared" si="16"/>
        <v>37809.5</v>
      </c>
      <c r="AF52" s="92">
        <f>Logistic2010!Q52</f>
        <v>0.29275475741502793</v>
      </c>
      <c r="AG52" s="4">
        <f t="shared" si="14"/>
        <v>0.71479326435445212</v>
      </c>
      <c r="AH52" s="92">
        <f>Logistic2011!Q52</f>
        <v>0.28464136726106892</v>
      </c>
      <c r="AI52" s="92">
        <f>Logistic2012!Q52</f>
        <v>0.71479326435445212</v>
      </c>
      <c r="AJ52" s="92">
        <f>Logistic2013!L52</f>
        <v>0.44848792399421938</v>
      </c>
      <c r="AK52" s="119">
        <f>Logistic2014!AK52</f>
        <v>0.46493416339222882</v>
      </c>
      <c r="AL52" s="119">
        <f t="shared" si="17"/>
        <v>3.9449205341788779E-2</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18"/>
        <v/>
      </c>
      <c r="E53" s="81"/>
      <c r="F53" s="50" t="str">
        <f t="shared" si="19"/>
        <v/>
      </c>
      <c r="G53" s="16" t="str">
        <f t="shared" si="20"/>
        <v/>
      </c>
      <c r="H53" s="51" t="str">
        <f t="shared" si="21"/>
        <v/>
      </c>
      <c r="I53" s="54"/>
      <c r="J53" s="105">
        <f t="shared" si="8"/>
        <v>37810.5</v>
      </c>
      <c r="K53" s="109">
        <v>45</v>
      </c>
      <c r="L53" s="125">
        <f t="shared" si="5"/>
        <v>4.9216202030919046E-2</v>
      </c>
      <c r="M53" s="46">
        <f t="shared" si="9"/>
        <v>0.64635389784882469</v>
      </c>
      <c r="N53" s="130">
        <v>0.64635389784882469</v>
      </c>
      <c r="O53" s="89">
        <f t="shared" si="6"/>
        <v>0.64635389784882469</v>
      </c>
      <c r="P53" s="4">
        <v>40367</v>
      </c>
      <c r="Q53" s="4">
        <v>0.76948613379160047</v>
      </c>
      <c r="R53" s="4">
        <v>2421</v>
      </c>
      <c r="S53" s="100">
        <f t="shared" si="15"/>
        <v>133.71590502473757</v>
      </c>
      <c r="T53" s="101">
        <f t="shared" si="22"/>
        <v>2287.2840949752626</v>
      </c>
      <c r="U53" s="49">
        <v>40715</v>
      </c>
      <c r="V53" s="95"/>
      <c r="W53" s="95"/>
      <c r="X53" s="95"/>
      <c r="Y53" s="95"/>
      <c r="Z53" s="95"/>
      <c r="AE53" s="93">
        <f t="shared" si="16"/>
        <v>37810.5</v>
      </c>
      <c r="AF53" s="92">
        <f>Logistic2010!Q53</f>
        <v>0.33577592018640684</v>
      </c>
      <c r="AG53" s="4">
        <f t="shared" si="14"/>
        <v>0.76948613379160047</v>
      </c>
      <c r="AH53" s="92">
        <f>Logistic2011!Q53</f>
        <v>0.33853314511451504</v>
      </c>
      <c r="AI53" s="92">
        <f>Logistic2012!Q53</f>
        <v>0.76948613379160047</v>
      </c>
      <c r="AJ53" s="92">
        <f>Logistic2013!L53</f>
        <v>0.49773319182267894</v>
      </c>
      <c r="AK53" s="119">
        <f>Logistic2014!AK53</f>
        <v>0.51265858710560919</v>
      </c>
      <c r="AL53" s="119">
        <f t="shared" si="17"/>
        <v>4.9216202030919046E-2</v>
      </c>
      <c r="AM53" s="115"/>
      <c r="AO53" s="115"/>
      <c r="AP53" s="115"/>
      <c r="AQ53" s="115"/>
      <c r="AR53"/>
      <c r="AS53"/>
      <c r="AT53"/>
      <c r="AU53"/>
      <c r="AV53"/>
      <c r="AW53"/>
      <c r="AX53"/>
    </row>
    <row r="54" spans="2:50" x14ac:dyDescent="0.25">
      <c r="B54" s="49"/>
      <c r="C54" s="79"/>
      <c r="D54" s="86" t="str">
        <f t="shared" si="18"/>
        <v/>
      </c>
      <c r="E54" s="81"/>
      <c r="F54" s="50" t="str">
        <f t="shared" si="19"/>
        <v/>
      </c>
      <c r="G54" s="16" t="str">
        <f t="shared" si="20"/>
        <v/>
      </c>
      <c r="H54" s="51" t="str">
        <f t="shared" si="21"/>
        <v/>
      </c>
      <c r="I54" s="54"/>
      <c r="J54" s="105">
        <f t="shared" si="8"/>
        <v>37811.5</v>
      </c>
      <c r="K54" s="109">
        <v>46</v>
      </c>
      <c r="L54" s="125">
        <f t="shared" si="5"/>
        <v>6.124716436704674E-2</v>
      </c>
      <c r="M54" s="46">
        <f t="shared" si="9"/>
        <v>0.72257565187378159</v>
      </c>
      <c r="N54" s="130">
        <v>0.72257565187378159</v>
      </c>
      <c r="O54" s="89">
        <f t="shared" si="6"/>
        <v>0.72257565187378159</v>
      </c>
      <c r="P54" s="4">
        <v>40368</v>
      </c>
      <c r="Q54" s="4">
        <v>0.81638498403003179</v>
      </c>
      <c r="R54" s="4">
        <v>2560</v>
      </c>
      <c r="S54" s="100">
        <f t="shared" si="15"/>
        <v>175.65598645403219</v>
      </c>
      <c r="T54" s="101">
        <f t="shared" si="22"/>
        <v>2384.3440135459678</v>
      </c>
      <c r="U54" s="49">
        <v>40716</v>
      </c>
      <c r="V54" s="95"/>
      <c r="W54" s="95"/>
      <c r="X54" s="95"/>
      <c r="Y54" s="95"/>
      <c r="Z54" s="95"/>
      <c r="AE54" s="93">
        <f t="shared" si="16"/>
        <v>37811.5</v>
      </c>
      <c r="AF54" s="92">
        <f>Logistic2010!Q54</f>
        <v>0.3817070776941604</v>
      </c>
      <c r="AG54" s="4">
        <f t="shared" si="14"/>
        <v>0.81638498403003179</v>
      </c>
      <c r="AH54" s="92">
        <f>Logistic2011!Q54</f>
        <v>0.39696628169175319</v>
      </c>
      <c r="AI54" s="92">
        <f>Logistic2012!Q54</f>
        <v>0.81638498403003179</v>
      </c>
      <c r="AJ54" s="92">
        <f>Logistic2013!L54</f>
        <v>0.54702247769245926</v>
      </c>
      <c r="AK54" s="119">
        <f>Logistic2014!AK54</f>
        <v>0.56015332200960266</v>
      </c>
      <c r="AL54" s="119">
        <f t="shared" si="17"/>
        <v>6.124716436704674E-2</v>
      </c>
      <c r="AM54" s="110"/>
      <c r="AN54" s="110"/>
      <c r="AO54" s="110"/>
      <c r="AQ54" s="110"/>
      <c r="AR54"/>
      <c r="AS54"/>
      <c r="AT54"/>
      <c r="AU54"/>
      <c r="AV54"/>
      <c r="AW54"/>
      <c r="AX54"/>
    </row>
    <row r="55" spans="2:50" ht="16.5" thickBot="1" x14ac:dyDescent="0.3">
      <c r="B55" s="49"/>
      <c r="C55" s="79"/>
      <c r="D55" s="86" t="str">
        <f t="shared" si="18"/>
        <v/>
      </c>
      <c r="E55" s="81"/>
      <c r="F55" s="50" t="str">
        <f t="shared" si="19"/>
        <v/>
      </c>
      <c r="G55" s="16" t="str">
        <f t="shared" si="20"/>
        <v/>
      </c>
      <c r="H55" s="51" t="str">
        <f t="shared" si="21"/>
        <v/>
      </c>
      <c r="I55" s="54"/>
      <c r="J55" s="105">
        <f t="shared" si="8"/>
        <v>37812.5</v>
      </c>
      <c r="K55" s="109">
        <v>47</v>
      </c>
      <c r="L55" s="125">
        <f t="shared" si="5"/>
        <v>7.5984075050165911E-2</v>
      </c>
      <c r="M55" s="46">
        <f t="shared" si="9"/>
        <v>0.67992615512835608</v>
      </c>
      <c r="N55" s="131">
        <v>0.67992615512835608</v>
      </c>
      <c r="O55" s="89">
        <f t="shared" si="6"/>
        <v>0.67992615512835608</v>
      </c>
      <c r="P55" s="4">
        <v>40369</v>
      </c>
      <c r="Q55" s="4">
        <v>0.85553350414652685</v>
      </c>
      <c r="R55" s="4">
        <v>3011</v>
      </c>
      <c r="S55" s="100">
        <f t="shared" si="15"/>
        <v>255.77878129959072</v>
      </c>
      <c r="T55" s="101">
        <f t="shared" si="22"/>
        <v>2755.2212187004093</v>
      </c>
      <c r="U55" s="49">
        <v>40717</v>
      </c>
      <c r="V55" s="95"/>
      <c r="W55" s="95"/>
      <c r="X55" s="95"/>
      <c r="Y55" s="95"/>
      <c r="Z55" s="95"/>
      <c r="AE55" s="93">
        <f t="shared" si="16"/>
        <v>37812.5</v>
      </c>
      <c r="AF55" s="92">
        <f>Logistic2010!Q55</f>
        <v>0.42985515834963317</v>
      </c>
      <c r="AG55" s="4">
        <f t="shared" si="14"/>
        <v>0.85553350414652685</v>
      </c>
      <c r="AH55" s="92">
        <f>Logistic2011!Q55</f>
        <v>0.45849431667616858</v>
      </c>
      <c r="AI55" s="92">
        <f>Logistic2012!Q55</f>
        <v>0.85553350414652685</v>
      </c>
      <c r="AJ55" s="92">
        <f>Logistic2013!L55</f>
        <v>0.59540663680406558</v>
      </c>
      <c r="AK55" s="119">
        <f>Logistic2014!AK55</f>
        <v>0.60657155343516</v>
      </c>
      <c r="AL55" s="119">
        <f t="shared" si="17"/>
        <v>7.5984075050165911E-2</v>
      </c>
      <c r="AM55" s="110"/>
      <c r="AN55" s="110"/>
      <c r="AP55" s="110"/>
      <c r="AQ55" s="110"/>
      <c r="AR55" t="s">
        <v>35</v>
      </c>
      <c r="AS55"/>
      <c r="AT55"/>
      <c r="AU55"/>
      <c r="AV55"/>
      <c r="AW55"/>
      <c r="AX55"/>
    </row>
    <row r="56" spans="2:50" x14ac:dyDescent="0.25">
      <c r="B56" s="49"/>
      <c r="C56" s="79"/>
      <c r="D56" s="86" t="str">
        <f t="shared" si="18"/>
        <v/>
      </c>
      <c r="E56" s="81"/>
      <c r="F56" s="50" t="str">
        <f t="shared" si="19"/>
        <v/>
      </c>
      <c r="G56" s="16" t="str">
        <f t="shared" si="20"/>
        <v/>
      </c>
      <c r="H56" s="51" t="str">
        <f t="shared" si="21"/>
        <v/>
      </c>
      <c r="I56" s="54"/>
      <c r="J56" s="105">
        <f t="shared" si="8"/>
        <v>37813.5</v>
      </c>
      <c r="K56" s="109">
        <v>48</v>
      </c>
      <c r="L56" s="125">
        <f t="shared" si="5"/>
        <v>9.3912159622428382E-2</v>
      </c>
      <c r="M56" s="46">
        <f t="shared" si="9"/>
        <v>0.73462826392623781</v>
      </c>
      <c r="N56" s="131">
        <v>0.73462826392623781</v>
      </c>
      <c r="O56" s="89">
        <f t="shared" si="6"/>
        <v>0.73462826392623781</v>
      </c>
      <c r="P56" s="4">
        <v>40370</v>
      </c>
      <c r="Q56" s="4">
        <v>0.88748554172196392</v>
      </c>
      <c r="R56" s="4">
        <v>582</v>
      </c>
      <c r="S56" s="100">
        <f t="shared" si="15"/>
        <v>60.950972813808633</v>
      </c>
      <c r="T56" s="101">
        <f t="shared" si="22"/>
        <v>521.04902718619132</v>
      </c>
      <c r="U56" s="49">
        <v>40718</v>
      </c>
      <c r="V56" s="95"/>
      <c r="W56" s="95"/>
      <c r="X56" s="95"/>
      <c r="Y56" s="95"/>
      <c r="Z56" s="95"/>
      <c r="AE56" s="93">
        <f t="shared" si="16"/>
        <v>37813.5</v>
      </c>
      <c r="AF56" s="92">
        <f>Logistic2010!Q56</f>
        <v>0.47936786629286093</v>
      </c>
      <c r="AG56" s="4">
        <f t="shared" si="14"/>
        <v>0.88748554172196392</v>
      </c>
      <c r="AH56" s="92">
        <f>Logistic2011!Q56</f>
        <v>0.52131468367366807</v>
      </c>
      <c r="AI56" s="92">
        <f>Logistic2012!Q56</f>
        <v>0.88748554172196392</v>
      </c>
      <c r="AJ56" s="92">
        <f>Logistic2013!L56</f>
        <v>0.64200492795904929</v>
      </c>
      <c r="AK56" s="119">
        <f>Logistic2014!AK56</f>
        <v>0.65114196868570062</v>
      </c>
      <c r="AL56" s="119">
        <f t="shared" si="17"/>
        <v>9.3912159622428382E-2</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18"/>
        <v/>
      </c>
      <c r="E57" s="81"/>
      <c r="F57" s="50" t="str">
        <f t="shared" si="19"/>
        <v/>
      </c>
      <c r="G57" s="16" t="str">
        <f t="shared" si="20"/>
        <v/>
      </c>
      <c r="H57" s="51" t="str">
        <f t="shared" si="21"/>
        <v/>
      </c>
      <c r="I57" s="54"/>
      <c r="J57" s="105">
        <f t="shared" si="8"/>
        <v>37814.5</v>
      </c>
      <c r="K57" s="109">
        <v>49</v>
      </c>
      <c r="L57" s="125">
        <f t="shared" si="5"/>
        <v>0.11554135520165627</v>
      </c>
      <c r="M57" s="46">
        <f t="shared" si="9"/>
        <v>0.78296570483334704</v>
      </c>
      <c r="N57" s="131">
        <v>0.78296570483334704</v>
      </c>
      <c r="O57" s="89">
        <f t="shared" si="6"/>
        <v>0.78296570483334704</v>
      </c>
      <c r="P57" s="4">
        <v>40371</v>
      </c>
      <c r="Q57" s="4">
        <v>0.91308857223820117</v>
      </c>
      <c r="R57" s="4">
        <v>2638</v>
      </c>
      <c r="S57" s="100">
        <f t="shared" si="15"/>
        <v>338.87239155866968</v>
      </c>
      <c r="T57" s="101">
        <f t="shared" si="22"/>
        <v>2299.1276084413303</v>
      </c>
      <c r="U57" s="49">
        <v>40719</v>
      </c>
      <c r="V57" s="95">
        <v>7.0000000000000001E-3</v>
      </c>
      <c r="W57" s="95"/>
      <c r="X57" s="95"/>
      <c r="Y57" s="95"/>
      <c r="Z57" s="95"/>
      <c r="AE57" s="93">
        <f t="shared" si="16"/>
        <v>37814.5</v>
      </c>
      <c r="AF57" s="92">
        <f>Logistic2010!Q57</f>
        <v>0.52928924873066352</v>
      </c>
      <c r="AG57" s="4">
        <f t="shared" si="14"/>
        <v>0.91308857223820117</v>
      </c>
      <c r="AH57" s="92">
        <f>Logistic2011!Q57</f>
        <v>0.58346805352827824</v>
      </c>
      <c r="AI57" s="92">
        <f>Logistic2012!Q57</f>
        <v>0.91308857223820117</v>
      </c>
      <c r="AJ57" s="92">
        <f>Logistic2013!L57</f>
        <v>0.68606608243321232</v>
      </c>
      <c r="AK57" s="119">
        <f>Logistic2014!AK57</f>
        <v>0.69321686759508971</v>
      </c>
      <c r="AL57" s="119">
        <f t="shared" si="17"/>
        <v>0.11554135520165627</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18"/>
        <v/>
      </c>
      <c r="E58" s="81"/>
      <c r="F58" s="50" t="str">
        <f t="shared" si="19"/>
        <v/>
      </c>
      <c r="G58" s="16" t="str">
        <f t="shared" si="20"/>
        <v/>
      </c>
      <c r="H58" s="51" t="str">
        <f t="shared" si="21"/>
        <v/>
      </c>
      <c r="I58" s="54"/>
      <c r="J58" s="105">
        <f t="shared" si="8"/>
        <v>37815.5</v>
      </c>
      <c r="K58" s="109">
        <v>50</v>
      </c>
      <c r="L58" s="125">
        <f t="shared" si="5"/>
        <v>0.14137478699597048</v>
      </c>
      <c r="M58" s="46">
        <f t="shared" si="9"/>
        <v>0.82460067927314873</v>
      </c>
      <c r="N58" s="130">
        <v>0.82460067927314873</v>
      </c>
      <c r="O58" s="89">
        <f t="shared" si="6"/>
        <v>0.82460067927314873</v>
      </c>
      <c r="P58" s="4">
        <v>40372</v>
      </c>
      <c r="Q58" s="4">
        <v>0.93330339143718788</v>
      </c>
      <c r="R58" s="4">
        <v>4264</v>
      </c>
      <c r="S58" s="100">
        <f t="shared" si="15"/>
        <v>667.82053547373414</v>
      </c>
      <c r="T58" s="101">
        <f t="shared" si="22"/>
        <v>3596.1794645262657</v>
      </c>
      <c r="U58" s="40">
        <v>40720</v>
      </c>
      <c r="V58" s="95"/>
      <c r="W58" s="95"/>
      <c r="X58" s="95"/>
      <c r="Y58" s="95"/>
      <c r="Z58" s="95"/>
      <c r="AE58" s="93">
        <f t="shared" si="16"/>
        <v>37815.5</v>
      </c>
      <c r="AF58" s="92">
        <f>Logistic2010!Q58</f>
        <v>0.57863147408369076</v>
      </c>
      <c r="AG58" s="4">
        <f t="shared" si="14"/>
        <v>0.93330339143718788</v>
      </c>
      <c r="AH58" s="92">
        <f>Logistic2011!Q58</f>
        <v>0.64307659747584256</v>
      </c>
      <c r="AI58" s="92">
        <f>Logistic2012!Q58</f>
        <v>0.93330339143718788</v>
      </c>
      <c r="AJ58" s="92">
        <f>Logistic2013!L58</f>
        <v>0.7270102102463335</v>
      </c>
      <c r="AK58" s="119">
        <f>Logistic2014!AK58</f>
        <v>0.73230345881884595</v>
      </c>
      <c r="AL58" s="119">
        <f t="shared" si="17"/>
        <v>0.14137478699597048</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18"/>
        <v/>
      </c>
      <c r="E59" s="81"/>
      <c r="F59" s="50" t="str">
        <f t="shared" si="19"/>
        <v/>
      </c>
      <c r="G59" s="16" t="str">
        <f t="shared" si="20"/>
        <v/>
      </c>
      <c r="H59" s="51" t="str">
        <f t="shared" si="21"/>
        <v/>
      </c>
      <c r="I59" s="54"/>
      <c r="J59" s="105">
        <f t="shared" si="8"/>
        <v>37816.5</v>
      </c>
      <c r="K59" s="109">
        <v>51</v>
      </c>
      <c r="L59" s="125">
        <f t="shared" si="5"/>
        <v>0.17186186191291047</v>
      </c>
      <c r="M59" s="46">
        <f t="shared" si="9"/>
        <v>0.85967998350172414</v>
      </c>
      <c r="N59" s="130">
        <v>0.85967998350172414</v>
      </c>
      <c r="O59" s="89">
        <f t="shared" si="6"/>
        <v>0.85967998350172414</v>
      </c>
      <c r="P59" s="4">
        <v>40373</v>
      </c>
      <c r="Q59" s="4">
        <v>0.94907863528681002</v>
      </c>
      <c r="R59" s="4">
        <v>29205</v>
      </c>
      <c r="S59" s="100">
        <f t="shared" si="15"/>
        <v>5537.2342710301218</v>
      </c>
      <c r="T59" s="101">
        <f t="shared" si="22"/>
        <v>23667.765728969876</v>
      </c>
      <c r="U59" s="49">
        <v>40721</v>
      </c>
      <c r="V59" s="95"/>
      <c r="W59" s="95"/>
      <c r="X59" s="95"/>
      <c r="Y59" s="95"/>
      <c r="Z59" s="95"/>
      <c r="AE59" s="93">
        <f t="shared" si="16"/>
        <v>37816.5</v>
      </c>
      <c r="AF59" s="92">
        <f>Logistic2010!Q59</f>
        <v>0.62645177427350185</v>
      </c>
      <c r="AG59" s="4">
        <f t="shared" si="14"/>
        <v>0.94907863528681002</v>
      </c>
      <c r="AH59" s="92">
        <f>Logistic2011!Q59</f>
        <v>0.69856182420049406</v>
      </c>
      <c r="AI59" s="92">
        <f>Logistic2012!Q59</f>
        <v>0.94907863528681002</v>
      </c>
      <c r="AJ59" s="92">
        <f>Logistic2013!L59</f>
        <v>0.76444773045159664</v>
      </c>
      <c r="AK59" s="119">
        <f>Logistic2014!AK59</f>
        <v>0.76807620704019175</v>
      </c>
      <c r="AL59" s="119">
        <f t="shared" si="17"/>
        <v>0.17186186191291047</v>
      </c>
      <c r="AM59" s="114"/>
      <c r="AN59" s="114"/>
      <c r="AO59" s="114"/>
      <c r="AP59" s="114"/>
      <c r="AQ59" s="114"/>
      <c r="AR59" s="110"/>
      <c r="AS59" s="110"/>
      <c r="AT59" s="110"/>
      <c r="AU59" s="110"/>
      <c r="AV59" s="110"/>
      <c r="AW59" s="110"/>
      <c r="AX59" s="110"/>
    </row>
    <row r="60" spans="2:50" ht="16.5" thickBot="1" x14ac:dyDescent="0.3">
      <c r="B60" s="49"/>
      <c r="C60" s="79"/>
      <c r="D60" s="86" t="str">
        <f t="shared" si="18"/>
        <v/>
      </c>
      <c r="E60" s="81"/>
      <c r="F60" s="50" t="str">
        <f t="shared" si="19"/>
        <v/>
      </c>
      <c r="G60" s="16" t="str">
        <f t="shared" si="20"/>
        <v/>
      </c>
      <c r="H60" s="51" t="str">
        <f t="shared" si="21"/>
        <v/>
      </c>
      <c r="I60" s="54"/>
      <c r="J60" s="105">
        <f t="shared" si="8"/>
        <v>37817.5</v>
      </c>
      <c r="K60" s="109">
        <v>52</v>
      </c>
      <c r="L60" s="125">
        <f t="shared" si="5"/>
        <v>0.20733582827918828</v>
      </c>
      <c r="M60" s="46">
        <f t="shared" si="9"/>
        <v>0.8886905657803027</v>
      </c>
      <c r="N60" s="131">
        <v>0.8886905657803027</v>
      </c>
      <c r="O60" s="89">
        <f t="shared" si="6"/>
        <v>0.8886905657803027</v>
      </c>
      <c r="P60" s="4">
        <v>40374</v>
      </c>
      <c r="Q60" s="4">
        <v>0.96127748661561918</v>
      </c>
      <c r="R60" s="4">
        <v>27768</v>
      </c>
      <c r="S60" s="100">
        <f t="shared" si="15"/>
        <v>6321.0461506329084</v>
      </c>
      <c r="T60" s="101">
        <f t="shared" si="22"/>
        <v>21446.953849367092</v>
      </c>
      <c r="U60" s="49">
        <v>40722</v>
      </c>
      <c r="V60" s="95"/>
      <c r="W60" s="95"/>
      <c r="X60" s="95"/>
      <c r="Y60" s="95"/>
      <c r="Z60" s="95"/>
      <c r="AE60" s="93">
        <f t="shared" si="16"/>
        <v>37817.5</v>
      </c>
      <c r="AF60" s="92">
        <f>Logistic2010!Q60</f>
        <v>0.6719221112063114</v>
      </c>
      <c r="AG60" s="4">
        <f t="shared" si="14"/>
        <v>0.96127748661561918</v>
      </c>
      <c r="AH60" s="92">
        <f>Logistic2011!Q60</f>
        <v>0.74879103833236005</v>
      </c>
      <c r="AI60" s="92">
        <f>Logistic2012!Q60</f>
        <v>0.96127748661561918</v>
      </c>
      <c r="AJ60" s="92">
        <f>Logistic2013!L60</f>
        <v>0.79817638699971571</v>
      </c>
      <c r="AK60" s="119">
        <f>Logistic2014!AK60</f>
        <v>0.80037172674720769</v>
      </c>
      <c r="AL60" s="119">
        <f t="shared" si="17"/>
        <v>0.20733582827918828</v>
      </c>
      <c r="AM60" s="113"/>
      <c r="AO60" s="113"/>
      <c r="AP60" s="113"/>
      <c r="AQ60" s="113"/>
      <c r="AR60" s="111" t="s">
        <v>45</v>
      </c>
      <c r="AS60" s="111">
        <v>3.4619470909090904</v>
      </c>
      <c r="AT60" s="111">
        <v>21</v>
      </c>
      <c r="AU60" s="111"/>
      <c r="AV60" s="111"/>
      <c r="AW60" s="111"/>
      <c r="AX60" s="111"/>
    </row>
    <row r="61" spans="2:50" x14ac:dyDescent="0.25">
      <c r="B61" s="49"/>
      <c r="C61" s="79"/>
      <c r="D61" s="86" t="str">
        <f t="shared" si="18"/>
        <v/>
      </c>
      <c r="E61" s="81"/>
      <c r="F61" s="50" t="str">
        <f t="shared" si="19"/>
        <v/>
      </c>
      <c r="G61" s="16" t="str">
        <f t="shared" si="20"/>
        <v/>
      </c>
      <c r="H61" s="51" t="str">
        <f t="shared" si="21"/>
        <v/>
      </c>
      <c r="I61" s="54"/>
      <c r="J61" s="105">
        <f t="shared" si="8"/>
        <v>37818.5</v>
      </c>
      <c r="K61" s="109">
        <v>53</v>
      </c>
      <c r="L61" s="125">
        <f t="shared" si="5"/>
        <v>0.24793975157048823</v>
      </c>
      <c r="M61" s="46">
        <f t="shared" si="9"/>
        <v>0.91231509064301375</v>
      </c>
      <c r="N61" s="130">
        <v>0.91231509064301375</v>
      </c>
      <c r="O61" s="89">
        <f t="shared" si="6"/>
        <v>0.91231509064301375</v>
      </c>
      <c r="P61" s="4">
        <v>40375</v>
      </c>
      <c r="Q61" s="4">
        <v>0.97064434164342128</v>
      </c>
      <c r="R61" s="4">
        <v>21508</v>
      </c>
      <c r="S61" s="100">
        <f t="shared" si="15"/>
        <v>5823.1873259566682</v>
      </c>
      <c r="T61" s="101">
        <f t="shared" si="22"/>
        <v>15684.812674043333</v>
      </c>
      <c r="U61" s="49">
        <v>40723</v>
      </c>
      <c r="V61" s="95"/>
      <c r="W61" s="95"/>
      <c r="X61" s="95"/>
      <c r="Y61" s="95"/>
      <c r="Z61" s="95"/>
      <c r="AC61" s="93">
        <v>37783</v>
      </c>
      <c r="AD61" s="95">
        <v>2.4E-2</v>
      </c>
      <c r="AE61" s="93">
        <f t="shared" si="16"/>
        <v>37818.5</v>
      </c>
      <c r="AF61" s="92">
        <f>Logistic2010!Q61</f>
        <v>0.71438108258813315</v>
      </c>
      <c r="AG61" s="4">
        <f t="shared" si="14"/>
        <v>0.97064434164342128</v>
      </c>
      <c r="AH61" s="92">
        <f>Logistic2011!Q61</f>
        <v>0.79312907861690396</v>
      </c>
      <c r="AI61" s="92">
        <f>Logistic2012!Q61</f>
        <v>0.97064434164342128</v>
      </c>
      <c r="AJ61" s="92">
        <f>Logistic2013!L61</f>
        <v>0.82816108437109193</v>
      </c>
      <c r="AK61" s="119">
        <f>Logistic2014!AK61</f>
        <v>0.82917030340634412</v>
      </c>
      <c r="AL61" s="119">
        <f t="shared" si="17"/>
        <v>0.24793975157048823</v>
      </c>
      <c r="AM61" s="113"/>
      <c r="AN61" s="113"/>
      <c r="AO61" s="113"/>
      <c r="AP61" s="113"/>
      <c r="AQ61" s="113"/>
      <c r="AR61" s="113"/>
      <c r="AS61" s="113"/>
      <c r="AT61" s="114"/>
      <c r="AU61" s="114"/>
    </row>
    <row r="62" spans="2:50" ht="16.5" thickBot="1" x14ac:dyDescent="0.3">
      <c r="B62" s="49"/>
      <c r="C62" s="79"/>
      <c r="D62" s="86" t="str">
        <f t="shared" si="18"/>
        <v/>
      </c>
      <c r="E62" s="81"/>
      <c r="F62" s="50" t="str">
        <f t="shared" si="19"/>
        <v/>
      </c>
      <c r="G62" s="16" t="str">
        <f t="shared" si="20"/>
        <v/>
      </c>
      <c r="H62" s="51" t="str">
        <f t="shared" si="21"/>
        <v/>
      </c>
      <c r="I62" s="54"/>
      <c r="J62" s="105">
        <f t="shared" si="8"/>
        <v>37819.5</v>
      </c>
      <c r="K62" s="109">
        <v>54</v>
      </c>
      <c r="L62" s="125">
        <f t="shared" si="5"/>
        <v>0.29355060791962412</v>
      </c>
      <c r="M62" s="46">
        <f t="shared" si="9"/>
        <v>0.93131304287865924</v>
      </c>
      <c r="N62" s="130">
        <v>0.93131304287865924</v>
      </c>
      <c r="O62" s="89">
        <f t="shared" si="6"/>
        <v>0.93131304287865924</v>
      </c>
      <c r="P62" s="4">
        <v>40376</v>
      </c>
      <c r="Q62" s="4">
        <v>0.97779771637475388</v>
      </c>
      <c r="R62" s="4">
        <v>9686</v>
      </c>
      <c r="S62" s="100">
        <f t="shared" si="15"/>
        <v>3086.2882097959096</v>
      </c>
      <c r="T62" s="101">
        <f t="shared" si="22"/>
        <v>6599.71179020409</v>
      </c>
      <c r="U62" s="49">
        <v>40724</v>
      </c>
      <c r="V62" s="95"/>
      <c r="W62" s="95"/>
      <c r="X62" s="95"/>
      <c r="Y62" s="95"/>
      <c r="Z62" s="95"/>
      <c r="AC62" s="93">
        <v>37810</v>
      </c>
      <c r="AD62" s="95">
        <v>0.90100000000000002</v>
      </c>
      <c r="AE62" s="93">
        <f t="shared" si="16"/>
        <v>37819.5</v>
      </c>
      <c r="AF62" s="92">
        <f>Logistic2010!Q62</f>
        <v>0.75336211213144844</v>
      </c>
      <c r="AG62" s="4">
        <f t="shared" si="14"/>
        <v>0.97779771637475388</v>
      </c>
      <c r="AH62" s="92">
        <f>Logistic2011!Q62</f>
        <v>0.83140351438424964</v>
      </c>
      <c r="AI62" s="92">
        <f>Logistic2012!Q62</f>
        <v>0.97779771637475388</v>
      </c>
      <c r="AJ62" s="92">
        <f>Logistic2013!L62</f>
        <v>0.85450303975835906</v>
      </c>
      <c r="AK62" s="119">
        <f>Logistic2014!AK62</f>
        <v>0.85456925965431629</v>
      </c>
      <c r="AL62" s="119">
        <f t="shared" si="17"/>
        <v>0.29355060791962412</v>
      </c>
      <c r="AM62" s="113"/>
      <c r="AN62" s="113"/>
      <c r="AP62" s="113"/>
      <c r="AQ62" s="113"/>
      <c r="AR62" s="113"/>
      <c r="AS62" s="113"/>
      <c r="AT62" s="114"/>
      <c r="AU62" s="114"/>
    </row>
    <row r="63" spans="2:50" x14ac:dyDescent="0.25">
      <c r="B63" s="49"/>
      <c r="C63" s="79"/>
      <c r="D63" s="86" t="str">
        <f t="shared" si="18"/>
        <v/>
      </c>
      <c r="E63" s="81"/>
      <c r="F63" s="50" t="str">
        <f t="shared" si="19"/>
        <v/>
      </c>
      <c r="G63" s="16" t="str">
        <f t="shared" si="20"/>
        <v/>
      </c>
      <c r="H63" s="51" t="str">
        <f t="shared" si="21"/>
        <v/>
      </c>
      <c r="I63" s="54"/>
      <c r="J63" s="105">
        <f t="shared" si="8"/>
        <v>37820.5</v>
      </c>
      <c r="K63" s="109">
        <v>55</v>
      </c>
      <c r="L63" s="125">
        <f t="shared" si="5"/>
        <v>0.34371724460895514</v>
      </c>
      <c r="M63" s="46">
        <f t="shared" si="9"/>
        <v>0.94643653282667362</v>
      </c>
      <c r="N63" s="130">
        <v>0.94643653282667362</v>
      </c>
      <c r="O63" s="89">
        <f t="shared" si="6"/>
        <v>0.94643653282667362</v>
      </c>
      <c r="P63" s="4">
        <v>40377</v>
      </c>
      <c r="Q63" s="4">
        <v>0.98323806162233796</v>
      </c>
      <c r="R63" s="4">
        <v>3970</v>
      </c>
      <c r="S63" s="100">
        <f t="shared" si="15"/>
        <v>1471.5774778601437</v>
      </c>
      <c r="T63" s="101">
        <f t="shared" si="22"/>
        <v>2498.4225221398565</v>
      </c>
      <c r="U63" s="40">
        <v>40725</v>
      </c>
      <c r="V63" s="95">
        <v>0.35599999999999998</v>
      </c>
      <c r="W63" s="95"/>
      <c r="X63" s="95"/>
      <c r="Y63" s="95"/>
      <c r="Z63" s="95"/>
      <c r="AC63" s="93">
        <v>37813</v>
      </c>
      <c r="AD63" s="95">
        <v>0.77500000000000002</v>
      </c>
      <c r="AE63" s="93">
        <f t="shared" si="16"/>
        <v>37820.5</v>
      </c>
      <c r="AF63" s="92">
        <f>Logistic2010!Q63</f>
        <v>0.78859738904460508</v>
      </c>
      <c r="AG63" s="4">
        <f t="shared" si="14"/>
        <v>0.98323806162233796</v>
      </c>
      <c r="AH63" s="92">
        <f>Logistic2011!Q63</f>
        <v>0.86381250435994517</v>
      </c>
      <c r="AI63" s="92">
        <f>Logistic2012!Q63</f>
        <v>0.98323806162233796</v>
      </c>
      <c r="AJ63" s="92">
        <f>Logistic2013!L63</f>
        <v>0.87740468827985718</v>
      </c>
      <c r="AK63" s="119">
        <f>Logistic2014!AK63</f>
        <v>0.87675320628420728</v>
      </c>
      <c r="AL63" s="119">
        <f t="shared" si="17"/>
        <v>0.34371724460895514</v>
      </c>
      <c r="AM63" s="115"/>
      <c r="AN63" s="115"/>
      <c r="AO63" s="115"/>
      <c r="AP63" s="115"/>
      <c r="AQ63" s="115"/>
      <c r="AR63" t="s">
        <v>28</v>
      </c>
      <c r="AS63"/>
      <c r="AT63"/>
      <c r="AU63"/>
      <c r="AV63"/>
      <c r="AW63"/>
      <c r="AX63"/>
    </row>
    <row r="64" spans="2:50" ht="16.5" thickBot="1" x14ac:dyDescent="0.3">
      <c r="B64" s="56"/>
      <c r="C64" s="80"/>
      <c r="D64" s="87" t="str">
        <f t="shared" si="18"/>
        <v/>
      </c>
      <c r="E64" s="82"/>
      <c r="F64" s="50" t="str">
        <f t="shared" si="19"/>
        <v/>
      </c>
      <c r="G64" s="16" t="str">
        <f t="shared" si="20"/>
        <v/>
      </c>
      <c r="H64" s="51" t="str">
        <f t="shared" si="21"/>
        <v/>
      </c>
      <c r="I64" s="54"/>
      <c r="J64" s="105">
        <f t="shared" si="8"/>
        <v>37821.5</v>
      </c>
      <c r="K64" s="109">
        <v>56</v>
      </c>
      <c r="L64" s="125">
        <f t="shared" si="5"/>
        <v>0.39763161073620545</v>
      </c>
      <c r="M64" s="46">
        <f t="shared" si="9"/>
        <v>0.95837894884125729</v>
      </c>
      <c r="N64" s="131">
        <v>0.95837894884125729</v>
      </c>
      <c r="O64" s="89">
        <f t="shared" si="6"/>
        <v>0.95837894884125729</v>
      </c>
      <c r="P64" s="4">
        <v>40378</v>
      </c>
      <c r="Q64" s="4">
        <v>0.98736255895680802</v>
      </c>
      <c r="R64" s="4">
        <v>5509</v>
      </c>
      <c r="S64" s="100">
        <f t="shared" si="15"/>
        <v>2346.2342169955864</v>
      </c>
      <c r="T64" s="101">
        <f t="shared" si="22"/>
        <v>3162.7657830044136</v>
      </c>
      <c r="U64" s="49">
        <v>40726</v>
      </c>
      <c r="V64" s="95"/>
      <c r="W64" s="95"/>
      <c r="X64" s="95"/>
      <c r="Y64" s="95"/>
      <c r="Z64" s="95"/>
      <c r="AC64" s="93">
        <v>37816</v>
      </c>
      <c r="AD64" s="95">
        <v>0.93</v>
      </c>
      <c r="AE64" s="93">
        <f t="shared" si="16"/>
        <v>37821.5</v>
      </c>
      <c r="AF64" s="92">
        <f>Logistic2010!Q64</f>
        <v>0.82000157910537541</v>
      </c>
      <c r="AG64" s="4">
        <f t="shared" si="14"/>
        <v>0.98736255895680802</v>
      </c>
      <c r="AH64" s="92">
        <f>Logistic2011!Q64</f>
        <v>0.89080976473363638</v>
      </c>
      <c r="AI64" s="92">
        <f>Logistic2012!Q64</f>
        <v>0.98736255895680802</v>
      </c>
      <c r="AJ64" s="92">
        <f>Logistic2013!L64</f>
        <v>0.8971354919418093</v>
      </c>
      <c r="AK64" s="119">
        <f>Logistic2014!AK64</f>
        <v>0.89596518054214846</v>
      </c>
      <c r="AL64" s="119">
        <f t="shared" si="17"/>
        <v>0.39763161073620545</v>
      </c>
      <c r="AM64" s="110"/>
      <c r="AN64" s="110"/>
      <c r="AO64" s="110"/>
      <c r="AP64" s="110"/>
      <c r="AQ64" s="110"/>
      <c r="AR64"/>
      <c r="AS64"/>
      <c r="AT64"/>
      <c r="AU64"/>
      <c r="AV64"/>
      <c r="AW64"/>
      <c r="AX64"/>
    </row>
    <row r="65" spans="1:50" ht="16.5" thickBot="1" x14ac:dyDescent="0.3">
      <c r="A65" s="4">
        <v>2.5000000000000001E-2</v>
      </c>
      <c r="B65" s="104">
        <f>C5</f>
        <v>37834.5</v>
      </c>
      <c r="C65" s="121">
        <f t="shared" ref="C65:C66" si="23">1/(A65^2)</f>
        <v>1599.9999999999998</v>
      </c>
      <c r="D65" s="84">
        <f t="shared" si="18"/>
        <v>69</v>
      </c>
      <c r="E65" s="59">
        <v>1</v>
      </c>
      <c r="F65" s="60">
        <f t="shared" si="19"/>
        <v>0.93042496710431433</v>
      </c>
      <c r="G65" s="61">
        <f t="shared" si="20"/>
        <v>6.9575032895685673E-2</v>
      </c>
      <c r="H65" s="62">
        <f t="shared" si="21"/>
        <v>7.7450963238971884</v>
      </c>
      <c r="I65" s="54"/>
      <c r="J65" s="105">
        <f t="shared" si="8"/>
        <v>37822.5</v>
      </c>
      <c r="K65" s="109">
        <v>57</v>
      </c>
      <c r="L65" s="125">
        <f t="shared" si="5"/>
        <v>0.4541506426657137</v>
      </c>
      <c r="M65" s="46">
        <f t="shared" si="9"/>
        <v>0.96774943709406713</v>
      </c>
      <c r="N65" s="130">
        <v>0.96774943709406713</v>
      </c>
      <c r="O65" s="89">
        <f t="shared" si="6"/>
        <v>0.96774943709406713</v>
      </c>
      <c r="P65" s="4">
        <v>40379</v>
      </c>
      <c r="Q65" s="4">
        <v>0.99048199337810516</v>
      </c>
      <c r="R65" s="4">
        <v>2314</v>
      </c>
      <c r="S65" s="100">
        <f t="shared" si="15"/>
        <v>1117.6934407579161</v>
      </c>
      <c r="T65" s="101">
        <f t="shared" si="22"/>
        <v>1196.3065592420839</v>
      </c>
      <c r="U65" s="49">
        <v>40727</v>
      </c>
      <c r="V65" s="95"/>
      <c r="W65" s="95"/>
      <c r="X65" s="95"/>
      <c r="Y65" s="95"/>
      <c r="Z65" s="95"/>
      <c r="AC65" s="93">
        <v>37819</v>
      </c>
      <c r="AD65" s="95">
        <v>0.997</v>
      </c>
      <c r="AE65" s="93">
        <f t="shared" si="16"/>
        <v>37822.5</v>
      </c>
      <c r="AF65" s="92">
        <f>Logistic2010!Q65</f>
        <v>0.84764193896050799</v>
      </c>
      <c r="AG65" s="4">
        <f t="shared" si="14"/>
        <v>0.99048199337810516</v>
      </c>
      <c r="AH65" s="92">
        <f>Logistic2011!Q65</f>
        <v>0.91299424895614467</v>
      </c>
      <c r="AI65" s="92">
        <f>Logistic2012!Q65</f>
        <v>0.99048199337810516</v>
      </c>
      <c r="AJ65" s="92">
        <f>Logistic2013!L65</f>
        <v>0.91400201566045702</v>
      </c>
      <c r="AK65" s="119">
        <f>Logistic2014!AK65</f>
        <v>0.91248129649139764</v>
      </c>
      <c r="AL65" s="119">
        <f t="shared" si="17"/>
        <v>0.4541506426657137</v>
      </c>
      <c r="AM65" s="110"/>
      <c r="AN65" s="110"/>
      <c r="AO65" s="110"/>
      <c r="AP65" s="110"/>
      <c r="AQ65" s="110"/>
      <c r="AR65" t="s">
        <v>29</v>
      </c>
      <c r="AS65"/>
      <c r="AT65"/>
      <c r="AU65"/>
      <c r="AV65"/>
      <c r="AW65"/>
      <c r="AX65"/>
    </row>
    <row r="66" spans="1:50" ht="16.5" thickBot="1" x14ac:dyDescent="0.3">
      <c r="A66" s="4">
        <v>2.5000000000000001E-2</v>
      </c>
      <c r="B66" s="104">
        <f>A3</f>
        <v>37766.5</v>
      </c>
      <c r="C66" s="121">
        <f t="shared" si="23"/>
        <v>1599.9999999999998</v>
      </c>
      <c r="D66" s="84">
        <f>IF(B66&lt;&gt;0,B66-$A$3+1,"")</f>
        <v>1</v>
      </c>
      <c r="E66" s="59">
        <v>0</v>
      </c>
      <c r="F66" s="60">
        <f>IF(B66&lt;&gt;0,$G$3/(1+EXP(-$G$4*(D66-$G$5))),"")</f>
        <v>1.9572930470528326E-6</v>
      </c>
      <c r="G66" s="61">
        <f>IF(B66&lt;&gt;0,E66-F66,"")</f>
        <v>-1.9572930470528326E-6</v>
      </c>
      <c r="H66" s="62">
        <f>IF(B66&lt;&gt;0,C66*(G66)^2,"")</f>
        <v>6.1295937152661779E-9</v>
      </c>
      <c r="I66" s="68"/>
      <c r="J66" s="105">
        <f t="shared" si="8"/>
        <v>37823.5</v>
      </c>
      <c r="K66" s="109">
        <v>58</v>
      </c>
      <c r="L66" s="125">
        <f t="shared" si="5"/>
        <v>0.51187653171450764</v>
      </c>
      <c r="M66" s="46">
        <f t="shared" si="9"/>
        <v>0.97506515897383861</v>
      </c>
      <c r="N66" s="130">
        <v>0.97506515897383861</v>
      </c>
      <c r="O66" s="89">
        <f t="shared" si="6"/>
        <v>0.97506515897383861</v>
      </c>
      <c r="P66" s="4">
        <v>40380</v>
      </c>
      <c r="Q66" s="4">
        <v>0.99283701063466723</v>
      </c>
      <c r="R66" s="4">
        <v>2271</v>
      </c>
      <c r="S66" s="100">
        <f t="shared" si="15"/>
        <v>1227.6616032663292</v>
      </c>
      <c r="T66" s="101">
        <f t="shared" si="22"/>
        <v>1043.3383967336708</v>
      </c>
      <c r="U66" s="49">
        <v>40728</v>
      </c>
      <c r="V66" s="95"/>
      <c r="W66" s="95"/>
      <c r="X66" s="95"/>
      <c r="Y66" s="95"/>
      <c r="Z66" s="95"/>
      <c r="AC66" s="93">
        <v>37823</v>
      </c>
      <c r="AD66" s="95">
        <v>0.99399999999999999</v>
      </c>
      <c r="AE66" s="93">
        <f t="shared" si="16"/>
        <v>37823.5</v>
      </c>
      <c r="AF66" s="92">
        <f>Logistic2010!Q66</f>
        <v>0.8717019610426997</v>
      </c>
      <c r="AG66" s="4">
        <f t="shared" si="14"/>
        <v>0.99283701063466723</v>
      </c>
      <c r="AH66" s="92">
        <f>Logistic2011!Q66</f>
        <v>0.93102046958550611</v>
      </c>
      <c r="AI66" s="92">
        <f>Logistic2012!Q66</f>
        <v>0.99283701063466723</v>
      </c>
      <c r="AJ66" s="92">
        <f>Logistic2013!L66</f>
        <v>0.92832391728718622</v>
      </c>
      <c r="AK66" s="119">
        <f>Logistic2014!AK66</f>
        <v>0.92659021810226538</v>
      </c>
      <c r="AL66" s="119">
        <f t="shared" si="17"/>
        <v>0.51187653171450764</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8"/>
        <v>37824.5</v>
      </c>
      <c r="K67" s="109">
        <v>59</v>
      </c>
      <c r="L67" s="125">
        <f t="shared" si="5"/>
        <v>0.56928736372039235</v>
      </c>
      <c r="M67" s="46">
        <f t="shared" si="9"/>
        <v>0.98075438398529091</v>
      </c>
      <c r="N67" s="131">
        <v>0.98075438398529091</v>
      </c>
      <c r="O67" s="89">
        <f t="shared" si="6"/>
        <v>0.98075438398529091</v>
      </c>
      <c r="P67" s="4">
        <v>40381</v>
      </c>
      <c r="Q67" s="4">
        <v>0.99461250113431077</v>
      </c>
      <c r="R67" s="4">
        <v>2019</v>
      </c>
      <c r="S67" s="100">
        <f t="shared" si="15"/>
        <v>1205.5260798046336</v>
      </c>
      <c r="T67" s="101">
        <f t="shared" si="22"/>
        <v>813.47392019536642</v>
      </c>
      <c r="U67" s="49">
        <v>40729</v>
      </c>
      <c r="V67" s="95">
        <v>0.51500000000000001</v>
      </c>
      <c r="W67" s="95"/>
      <c r="X67" s="95"/>
      <c r="Y67" s="95"/>
      <c r="Z67" s="95"/>
      <c r="AE67" s="93">
        <f t="shared" si="16"/>
        <v>37824.5</v>
      </c>
      <c r="AF67" s="92">
        <f>Logistic2010!Q67</f>
        <v>0.89244459206165738</v>
      </c>
      <c r="AG67" s="4">
        <f t="shared" si="14"/>
        <v>0.99461250113431077</v>
      </c>
      <c r="AH67" s="92">
        <f>Logistic2011!Q67</f>
        <v>0.94553474019587147</v>
      </c>
      <c r="AI67" s="92">
        <f>Logistic2012!Q67</f>
        <v>0.99461250113431077</v>
      </c>
      <c r="AJ67" s="92">
        <f>Logistic2013!L67</f>
        <v>0.94041617027076585</v>
      </c>
      <c r="AK67" s="119">
        <f>Logistic2014!AK67</f>
        <v>0.93857774011739092</v>
      </c>
      <c r="AL67" s="119">
        <f t="shared" si="17"/>
        <v>0.56928736372039235</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8"/>
        <v>37825.5</v>
      </c>
      <c r="K68" s="109">
        <v>60</v>
      </c>
      <c r="L68" s="125">
        <f t="shared" si="5"/>
        <v>0.62489399319355865</v>
      </c>
      <c r="M68" s="46">
        <f t="shared" si="9"/>
        <v>0.98516528350488675</v>
      </c>
      <c r="N68" s="131">
        <v>0.98516528350488675</v>
      </c>
      <c r="O68" s="89">
        <f t="shared" si="6"/>
        <v>0.98516528350488675</v>
      </c>
      <c r="P68" s="4">
        <v>40382</v>
      </c>
      <c r="Q68" s="4">
        <v>0.99594969608518535</v>
      </c>
      <c r="R68" s="4">
        <v>2115</v>
      </c>
      <c r="S68" s="100">
        <f t="shared" si="15"/>
        <v>1377.165203478879</v>
      </c>
      <c r="T68" s="101">
        <f t="shared" si="22"/>
        <v>737.83479652112101</v>
      </c>
      <c r="U68" s="49">
        <v>40730</v>
      </c>
      <c r="V68" s="95"/>
      <c r="W68" s="95"/>
      <c r="X68" s="95"/>
      <c r="Y68" s="95"/>
      <c r="Z68" s="95"/>
      <c r="AE68" s="93">
        <f t="shared" si="16"/>
        <v>37825.5</v>
      </c>
      <c r="AF68" s="92">
        <f>Logistic2010!Q68</f>
        <v>0.91017920532930874</v>
      </c>
      <c r="AG68" s="4">
        <f t="shared" si="14"/>
        <v>0.99594969608518535</v>
      </c>
      <c r="AH68" s="92">
        <f>Logistic2011!Q68</f>
        <v>0.95713560982756274</v>
      </c>
      <c r="AI68" s="92">
        <f>Logistic2012!Q68</f>
        <v>0.99594969608518535</v>
      </c>
      <c r="AJ68" s="92">
        <f>Logistic2013!L68</f>
        <v>0.95057698620331765</v>
      </c>
      <c r="AK68" s="119">
        <f>Logistic2014!AK68</f>
        <v>0.94871609038627402</v>
      </c>
      <c r="AL68" s="119">
        <f t="shared" si="17"/>
        <v>0.62489399319355865</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8"/>
        <v>37826.5</v>
      </c>
      <c r="K69" s="109">
        <v>61</v>
      </c>
      <c r="L69" s="125">
        <f t="shared" si="5"/>
        <v>0.67738988716471926</v>
      </c>
      <c r="M69" s="46">
        <f t="shared" si="9"/>
        <v>0.9885770241743157</v>
      </c>
      <c r="N69" s="131">
        <v>0.9885770241743157</v>
      </c>
      <c r="O69" s="89">
        <f t="shared" si="6"/>
        <v>0.9885770241743157</v>
      </c>
      <c r="P69" s="4">
        <v>40383</v>
      </c>
      <c r="Q69" s="4">
        <v>0.99695601060889649</v>
      </c>
      <c r="R69" s="4">
        <v>2946</v>
      </c>
      <c r="S69" s="100">
        <f t="shared" si="15"/>
        <v>2066.8444442769296</v>
      </c>
      <c r="T69" s="101">
        <f t="shared" si="22"/>
        <v>879.15555572307039</v>
      </c>
      <c r="U69" s="49">
        <v>40731</v>
      </c>
      <c r="V69" s="95"/>
      <c r="W69" s="95"/>
      <c r="X69" s="95"/>
      <c r="Y69" s="95"/>
      <c r="Z69" s="95"/>
      <c r="AE69" s="93">
        <f t="shared" si="16"/>
        <v>37826.5</v>
      </c>
      <c r="AF69" s="92">
        <f>Logistic2010!Q69</f>
        <v>0.92523457092805417</v>
      </c>
      <c r="AG69" s="4">
        <f t="shared" si="14"/>
        <v>0.99695601060889649</v>
      </c>
      <c r="AH69" s="92">
        <f>Logistic2011!Q69</f>
        <v>0.96635347078003297</v>
      </c>
      <c r="AI69" s="92">
        <f>Logistic2012!Q69</f>
        <v>0.99695601060889649</v>
      </c>
      <c r="AJ69" s="92">
        <f>Logistic2013!L69</f>
        <v>0.95908047510394157</v>
      </c>
      <c r="AK69" s="119">
        <f>Logistic2014!AK69</f>
        <v>0.95725721401262687</v>
      </c>
      <c r="AL69" s="119">
        <f t="shared" si="17"/>
        <v>0.67738988716471926</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8"/>
        <v>37827.5</v>
      </c>
      <c r="K70" s="109">
        <v>62</v>
      </c>
      <c r="L70" s="125">
        <f t="shared" si="5"/>
        <v>0.72576316393978146</v>
      </c>
      <c r="M70" s="46">
        <f t="shared" si="9"/>
        <v>0.99121112062050309</v>
      </c>
      <c r="N70" s="131">
        <v>0.99121112062050309</v>
      </c>
      <c r="O70" s="89">
        <f t="shared" si="6"/>
        <v>0.99121112062050309</v>
      </c>
      <c r="P70" s="4">
        <v>40384</v>
      </c>
      <c r="Q70" s="4">
        <v>0.99771287634461936</v>
      </c>
      <c r="R70" s="4">
        <v>2623</v>
      </c>
      <c r="S70" s="100">
        <f t="shared" si="15"/>
        <v>1960.8446835086006</v>
      </c>
      <c r="T70" s="101">
        <f t="shared" si="22"/>
        <v>662.15531649139939</v>
      </c>
      <c r="U70" s="49">
        <v>40732</v>
      </c>
      <c r="AE70" s="93">
        <f t="shared" si="16"/>
        <v>37827.5</v>
      </c>
      <c r="AF70" s="92">
        <f>Logistic2010!Q70</f>
        <v>0.93793849093008874</v>
      </c>
      <c r="AG70" s="4">
        <f t="shared" si="14"/>
        <v>0.99771287634461936</v>
      </c>
      <c r="AH70" s="92">
        <f>Logistic2011!Q70</f>
        <v>0.97364364314605079</v>
      </c>
      <c r="AI70" s="92">
        <f>Logistic2012!Q70</f>
        <v>0.99771287634461936</v>
      </c>
      <c r="AJ70" s="92">
        <f>Logistic2013!L70</f>
        <v>0.96617295862288388</v>
      </c>
      <c r="AK70" s="119">
        <f>Logistic2014!AK70</f>
        <v>0.9644291830100955</v>
      </c>
      <c r="AL70" s="119">
        <f t="shared" si="17"/>
        <v>0.72576316393978146</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8"/>
        <v>37828.5</v>
      </c>
      <c r="K71" s="109">
        <v>63</v>
      </c>
      <c r="L71" s="125">
        <f t="shared" si="5"/>
        <v>0.76935287380981887</v>
      </c>
      <c r="M71" s="46">
        <f t="shared" si="9"/>
        <v>0.99324195641616453</v>
      </c>
      <c r="N71" s="131">
        <v>0.99324195641616453</v>
      </c>
      <c r="O71" s="89">
        <f t="shared" si="6"/>
        <v>0.99324195641616453</v>
      </c>
      <c r="P71" s="4">
        <v>40385</v>
      </c>
      <c r="Q71" s="4">
        <v>0.99828187726084372</v>
      </c>
      <c r="U71" s="40">
        <v>40733</v>
      </c>
      <c r="V71" s="95"/>
      <c r="W71" s="95"/>
      <c r="X71" s="95"/>
      <c r="Y71" s="95"/>
      <c r="Z71" s="95"/>
      <c r="AE71" s="93">
        <f t="shared" si="16"/>
        <v>37828.5</v>
      </c>
      <c r="AF71" s="92">
        <f>Logistic2010!Q71</f>
        <v>0.94860370829645768</v>
      </c>
      <c r="AG71" s="4">
        <f t="shared" si="14"/>
        <v>0.99828187726084372</v>
      </c>
      <c r="AH71" s="92">
        <f>Logistic2011!Q71</f>
        <v>0.97938794995342149</v>
      </c>
      <c r="AI71" s="92">
        <f>Logistic2012!Q71</f>
        <v>0.99828187726084372</v>
      </c>
      <c r="AJ71" s="92">
        <f>Logistic2013!L71</f>
        <v>0.97207191636988943</v>
      </c>
      <c r="AK71" s="119">
        <f>Logistic2014!AK71</f>
        <v>0.97043490859995651</v>
      </c>
      <c r="AL71" s="119">
        <f t="shared" si="17"/>
        <v>0.76935287380981887</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8"/>
        <v>37829.5</v>
      </c>
      <c r="K72" s="109">
        <v>64</v>
      </c>
      <c r="L72" s="125">
        <f t="shared" si="5"/>
        <v>0.80784842465847118</v>
      </c>
      <c r="M72" s="46">
        <f t="shared" si="9"/>
        <v>0.80784842465847118</v>
      </c>
      <c r="N72" s="131">
        <v>0.99480598839313295</v>
      </c>
      <c r="O72" s="89">
        <f t="shared" si="6"/>
        <v>0.80784842465847118</v>
      </c>
      <c r="P72" s="4">
        <v>40386</v>
      </c>
      <c r="Q72" s="4">
        <v>0.99870950266811021</v>
      </c>
      <c r="U72" s="49">
        <v>40734</v>
      </c>
      <c r="V72" s="95"/>
      <c r="W72" s="95"/>
      <c r="X72" s="95"/>
      <c r="Y72" s="95"/>
      <c r="Z72" s="95"/>
      <c r="AE72" s="93">
        <f t="shared" si="16"/>
        <v>37829.5</v>
      </c>
      <c r="AF72" s="92">
        <f>Logistic2010!Q72</f>
        <v>0.95751912825764318</v>
      </c>
      <c r="AG72" s="4">
        <f t="shared" si="14"/>
        <v>0.99870950266811021</v>
      </c>
      <c r="AH72" s="92">
        <f>Logistic2011!Q72</f>
        <v>0.98390099930162234</v>
      </c>
      <c r="AI72" s="92">
        <f>Logistic2012!Q72</f>
        <v>0.99870950266811021</v>
      </c>
      <c r="AJ72" s="92">
        <f>Logistic2013!L72</f>
        <v>0.97696670309022537</v>
      </c>
      <c r="AK72" s="119">
        <f>Logistic2014!AK72</f>
        <v>0.97545244534588094</v>
      </c>
      <c r="AL72" s="119">
        <f t="shared" si="17"/>
        <v>0.80784842465847118</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8"/>
        <v>37830.5</v>
      </c>
      <c r="K73" s="109">
        <v>65</v>
      </c>
      <c r="L73" s="125">
        <f t="shared" ref="L73:L104" si="24">$G$3/(1+EXP(-$G$4*(K73-$G$5)))</f>
        <v>0.84124476932687875</v>
      </c>
      <c r="M73" s="46">
        <f t="shared" si="9"/>
        <v>0.84124476932687875</v>
      </c>
      <c r="N73" s="132">
        <v>0.99600950655454856</v>
      </c>
      <c r="O73" s="89">
        <f t="shared" ref="O73:O104" si="25">IF(N73=M73,N73,M73)</f>
        <v>0.84124476932687875</v>
      </c>
      <c r="P73" s="4">
        <v>40387</v>
      </c>
      <c r="Q73" s="4">
        <v>0.99903079926177196</v>
      </c>
      <c r="U73" s="49">
        <v>40735</v>
      </c>
      <c r="AE73" s="93">
        <f t="shared" si="16"/>
        <v>37830.5</v>
      </c>
      <c r="AF73" s="92">
        <f>Logistic2010!Q73</f>
        <v>0.96494519123476252</v>
      </c>
      <c r="AG73" s="4">
        <f t="shared" si="14"/>
        <v>0.99903079926177196</v>
      </c>
      <c r="AH73" s="92">
        <f>Logistic2011!Q73</f>
        <v>0.98743858120527517</v>
      </c>
      <c r="AI73" s="92">
        <f>Logistic2012!Q73</f>
        <v>0.99903079926177196</v>
      </c>
      <c r="AJ73" s="92">
        <f>Logistic2013!L73</f>
        <v>0.98102036011876015</v>
      </c>
      <c r="AK73" s="119">
        <f>Logistic2014!AK73</f>
        <v>0.97963631693234787</v>
      </c>
      <c r="AL73" s="119">
        <f t="shared" si="17"/>
        <v>0.84124476932687875</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26">J73+1</f>
        <v>37831.5</v>
      </c>
      <c r="K74" s="109">
        <v>66</v>
      </c>
      <c r="L74" s="125">
        <f t="shared" si="24"/>
        <v>0.86977243875394039</v>
      </c>
      <c r="M74" s="46">
        <f t="shared" ref="M74:M107" si="27">IF(J75&gt;MAX($B$9:$B$64),L74,N74)</f>
        <v>0.86977243875394039</v>
      </c>
      <c r="N74" s="132">
        <v>0.99693501353750869</v>
      </c>
      <c r="O74" s="89">
        <f t="shared" si="25"/>
        <v>0.86977243875394039</v>
      </c>
      <c r="P74" s="4">
        <v>40388</v>
      </c>
      <c r="Q74" s="4">
        <v>0.99927216057350388</v>
      </c>
      <c r="U74" s="49">
        <v>40736</v>
      </c>
      <c r="V74" s="95"/>
      <c r="W74" s="95"/>
      <c r="X74" s="95"/>
      <c r="Y74" s="95"/>
      <c r="Z74" s="95"/>
      <c r="AE74" s="93">
        <f t="shared" si="16"/>
        <v>37831.5</v>
      </c>
      <c r="AF74" s="92">
        <f>Logistic2010!Q74</f>
        <v>0.97111227157250635</v>
      </c>
      <c r="AG74" s="4">
        <f t="shared" si="14"/>
        <v>0.99927216057350388</v>
      </c>
      <c r="AH74" s="92">
        <f>Logistic2011!Q74</f>
        <v>0.9902065550659539</v>
      </c>
      <c r="AI74" s="92">
        <f>Logistic2012!Q74</f>
        <v>0.99927216057350388</v>
      </c>
      <c r="AJ74" s="92">
        <f>Logistic2013!L74</f>
        <v>0.98437202125506518</v>
      </c>
      <c r="AK74" s="119">
        <f>Logistic2014!AK74</f>
        <v>0.98311943217332176</v>
      </c>
      <c r="AL74" s="119">
        <f t="shared" si="17"/>
        <v>0.86977243875394039</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26"/>
        <v>37832.5</v>
      </c>
      <c r="K75" s="109">
        <v>67</v>
      </c>
      <c r="L75" s="125">
        <f t="shared" si="24"/>
        <v>0.89382082763989679</v>
      </c>
      <c r="M75" s="46">
        <f t="shared" si="27"/>
        <v>0.89382082763989679</v>
      </c>
      <c r="N75" s="132">
        <v>0.99764637681040835</v>
      </c>
      <c r="O75" s="89">
        <f t="shared" si="25"/>
        <v>0.89382082763989679</v>
      </c>
      <c r="P75" s="4">
        <v>40389</v>
      </c>
      <c r="Q75" s="4">
        <v>0.99945344824920912</v>
      </c>
      <c r="U75" s="49">
        <v>40737</v>
      </c>
      <c r="V75" s="95"/>
      <c r="W75" s="95"/>
      <c r="X75" s="95"/>
      <c r="Y75" s="95"/>
      <c r="Z75" s="95"/>
      <c r="AE75" s="93">
        <f t="shared" si="16"/>
        <v>37832.5</v>
      </c>
      <c r="AF75" s="92">
        <f>Logistic2010!Q75</f>
        <v>0.97622113342645345</v>
      </c>
      <c r="AG75" s="4">
        <f t="shared" si="14"/>
        <v>0.99945344824920912</v>
      </c>
      <c r="AH75" s="92">
        <f>Logistic2011!Q75</f>
        <v>0.99236930496689024</v>
      </c>
      <c r="AI75" s="92">
        <f>Logistic2012!Q75</f>
        <v>0.99945344824920912</v>
      </c>
      <c r="AJ75" s="92">
        <f>Logistic2013!L75</f>
        <v>0.98713956340918307</v>
      </c>
      <c r="AK75" s="119">
        <f>Logistic2014!AK75</f>
        <v>0.98601528129691507</v>
      </c>
      <c r="AL75" s="119">
        <f t="shared" si="17"/>
        <v>0.89382082763989679</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26"/>
        <v>37833.5</v>
      </c>
      <c r="K76" s="109">
        <v>68</v>
      </c>
      <c r="L76" s="125">
        <f t="shared" si="24"/>
        <v>0.91386810808397656</v>
      </c>
      <c r="M76" s="46">
        <f t="shared" si="27"/>
        <v>0.91386810808397656</v>
      </c>
      <c r="N76" s="132">
        <v>0.9981929365976735</v>
      </c>
      <c r="O76" s="89">
        <f t="shared" si="25"/>
        <v>0.91386810808397656</v>
      </c>
      <c r="P76" s="4">
        <v>40390</v>
      </c>
      <c r="Q76" s="4">
        <v>0.99958959997534225</v>
      </c>
      <c r="U76" s="49">
        <v>40738</v>
      </c>
      <c r="AE76" s="93">
        <f t="shared" si="16"/>
        <v>37833.5</v>
      </c>
      <c r="AF76" s="92">
        <f>Logistic2010!Q76</f>
        <v>0.98044467529540402</v>
      </c>
      <c r="AG76" s="4">
        <f t="shared" ref="AG76" si="28">AI76</f>
        <v>0.99958959997534225</v>
      </c>
      <c r="AH76" s="92">
        <f>Logistic2011!Q76</f>
        <v>0.99405730717928753</v>
      </c>
      <c r="AI76" s="92">
        <f>Logistic2012!Q76</f>
        <v>0.99958959997534225</v>
      </c>
      <c r="AJ76" s="92">
        <f>Logistic2013!L76</f>
        <v>0.98942227092402102</v>
      </c>
      <c r="AK76" s="119">
        <f>Logistic2014!AK76</f>
        <v>0.98842020100800998</v>
      </c>
      <c r="AL76" s="119">
        <f t="shared" si="17"/>
        <v>0.91386810808397656</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26"/>
        <v>37834.5</v>
      </c>
      <c r="K77" s="109">
        <v>69</v>
      </c>
      <c r="L77" s="125">
        <f t="shared" si="24"/>
        <v>0.93042496710431433</v>
      </c>
      <c r="M77" s="46">
        <f t="shared" si="27"/>
        <v>0.93042496710431433</v>
      </c>
      <c r="N77" s="132">
        <v>0.99861275043215647</v>
      </c>
      <c r="O77" s="89">
        <f t="shared" si="25"/>
        <v>0.93042496710431433</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26"/>
        <v>37835.5</v>
      </c>
      <c r="K78" s="109">
        <v>70</v>
      </c>
      <c r="L78" s="125">
        <f t="shared" si="24"/>
        <v>0.94399420184078242</v>
      </c>
      <c r="M78" s="46">
        <f t="shared" si="27"/>
        <v>0.94399420184078242</v>
      </c>
      <c r="N78" s="132">
        <v>0.99893513788942956</v>
      </c>
      <c r="O78" s="89">
        <f t="shared" si="25"/>
        <v>0.94399420184078242</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26"/>
        <v>37836.5</v>
      </c>
      <c r="K79" s="109">
        <v>71</v>
      </c>
      <c r="L79" s="125">
        <f t="shared" si="24"/>
        <v>0.95504489156430283</v>
      </c>
      <c r="M79" s="46">
        <f t="shared" si="27"/>
        <v>0.95504489156430283</v>
      </c>
      <c r="N79" s="132">
        <v>0.99918266599299976</v>
      </c>
      <c r="O79" s="89">
        <f t="shared" si="25"/>
        <v>0.95504489156430283</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26"/>
        <v>37837.5</v>
      </c>
      <c r="K80" s="109">
        <v>72</v>
      </c>
      <c r="L80" s="125">
        <f t="shared" si="24"/>
        <v>0.96399829020632366</v>
      </c>
      <c r="M80" s="46">
        <f t="shared" si="27"/>
        <v>0.96399829020632366</v>
      </c>
      <c r="N80" s="132">
        <v>0.99937269211089375</v>
      </c>
      <c r="O80" s="89">
        <f t="shared" si="25"/>
        <v>0.96399829020632366</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26"/>
        <v>37838.5</v>
      </c>
      <c r="K81" s="109">
        <v>73</v>
      </c>
      <c r="L81" s="125">
        <f t="shared" si="24"/>
        <v>0.97122223388088769</v>
      </c>
      <c r="M81" s="46">
        <f t="shared" si="27"/>
        <v>0.97122223388088769</v>
      </c>
      <c r="N81" s="132">
        <v>0.99951855938287282</v>
      </c>
      <c r="O81" s="89">
        <f t="shared" si="25"/>
        <v>0.97122223388088769</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26"/>
        <v>37839.5</v>
      </c>
      <c r="K82" s="109">
        <v>74</v>
      </c>
      <c r="L82" s="125">
        <f t="shared" si="24"/>
        <v>0.97703119025855645</v>
      </c>
      <c r="M82" s="46">
        <f t="shared" si="27"/>
        <v>0.97703119025855645</v>
      </c>
      <c r="N82" s="132">
        <v>0.99963052082493253</v>
      </c>
      <c r="O82" s="89">
        <f t="shared" si="25"/>
        <v>0.97703119025855645</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26"/>
        <v>37840.5</v>
      </c>
      <c r="K83" s="109">
        <v>75</v>
      </c>
      <c r="L83" s="125">
        <f t="shared" si="24"/>
        <v>0.98168968194776152</v>
      </c>
      <c r="M83" s="46">
        <f t="shared" si="27"/>
        <v>0.98168968194776152</v>
      </c>
      <c r="N83" s="132">
        <v>0.99971645245567509</v>
      </c>
      <c r="O83" s="89">
        <f t="shared" si="25"/>
        <v>0.98168968194776152</v>
      </c>
      <c r="P83" s="4">
        <v>40397</v>
      </c>
      <c r="Q83" s="4">
        <v>0.99994479477502707</v>
      </c>
      <c r="U83" s="94">
        <v>40745</v>
      </c>
    </row>
    <row r="84" spans="2:41" x14ac:dyDescent="0.25">
      <c r="B84" s="63"/>
      <c r="C84" s="64"/>
      <c r="D84" s="65">
        <v>1</v>
      </c>
      <c r="E84" s="64">
        <v>3.9127199142977333E-2</v>
      </c>
      <c r="F84" s="71"/>
      <c r="G84" s="64"/>
      <c r="H84" s="64"/>
      <c r="I84" s="53"/>
      <c r="J84" s="105">
        <f t="shared" si="26"/>
        <v>37841.5</v>
      </c>
      <c r="K84" s="109">
        <v>76</v>
      </c>
      <c r="L84" s="125">
        <f t="shared" si="24"/>
        <v>0.98541744881963311</v>
      </c>
      <c r="M84" s="46">
        <f t="shared" si="27"/>
        <v>0.98541744881963311</v>
      </c>
      <c r="N84" s="132">
        <v>0.99978240288510523</v>
      </c>
      <c r="O84" s="89">
        <f t="shared" si="25"/>
        <v>0.98541744881963311</v>
      </c>
      <c r="P84" s="4">
        <v>40398</v>
      </c>
      <c r="Q84" s="4">
        <v>0.99995855204677475</v>
      </c>
    </row>
    <row r="85" spans="2:41" x14ac:dyDescent="0.25">
      <c r="B85" s="63"/>
      <c r="C85" s="64"/>
      <c r="D85" s="65">
        <v>3.9127199142977333E-2</v>
      </c>
      <c r="E85" s="64">
        <v>1</v>
      </c>
      <c r="F85" s="71"/>
      <c r="G85" s="64"/>
      <c r="H85" s="64"/>
      <c r="I85" s="53"/>
      <c r="J85" s="105">
        <f t="shared" si="26"/>
        <v>37842.5</v>
      </c>
      <c r="K85" s="109">
        <v>77</v>
      </c>
      <c r="L85" s="125">
        <f t="shared" si="24"/>
        <v>0.98839525735569222</v>
      </c>
      <c r="M85" s="46">
        <f t="shared" si="27"/>
        <v>0.98839525735569222</v>
      </c>
      <c r="N85" s="132">
        <v>0.99983301644163747</v>
      </c>
      <c r="O85" s="89">
        <f t="shared" si="25"/>
        <v>0.98839525735569222</v>
      </c>
      <c r="P85" s="4">
        <v>40399</v>
      </c>
      <c r="Q85" s="4">
        <v>0.99996888108077731</v>
      </c>
    </row>
    <row r="86" spans="2:41" x14ac:dyDescent="0.25">
      <c r="B86" s="63"/>
      <c r="C86" s="64"/>
      <c r="D86" s="65"/>
      <c r="E86" s="64"/>
      <c r="F86" s="71"/>
      <c r="G86" s="64"/>
      <c r="H86" s="64"/>
      <c r="I86" s="53"/>
      <c r="J86" s="105">
        <f t="shared" si="26"/>
        <v>37843.5</v>
      </c>
      <c r="K86" s="109">
        <v>78</v>
      </c>
      <c r="L86" s="125">
        <f t="shared" si="24"/>
        <v>0.99077068206023078</v>
      </c>
      <c r="M86" s="46">
        <f t="shared" si="27"/>
        <v>0.99077068206023078</v>
      </c>
      <c r="N86" s="132">
        <v>0.99987185868506689</v>
      </c>
      <c r="O86" s="89">
        <f t="shared" si="25"/>
        <v>0.99077068206023078</v>
      </c>
      <c r="P86" s="4">
        <v>40400</v>
      </c>
      <c r="Q86" s="4">
        <v>0.99997663612879639</v>
      </c>
      <c r="AO86" s="4">
        <v>0.96399999999999997</v>
      </c>
    </row>
    <row r="87" spans="2:41" x14ac:dyDescent="0.25">
      <c r="B87" s="63"/>
      <c r="C87" s="64"/>
      <c r="D87" s="65"/>
      <c r="E87" s="64"/>
      <c r="F87" s="71"/>
      <c r="G87" s="64"/>
      <c r="H87" s="64"/>
      <c r="I87" s="53"/>
      <c r="J87" s="105">
        <f t="shared" si="26"/>
        <v>37844.5</v>
      </c>
      <c r="K87" s="109">
        <v>79</v>
      </c>
      <c r="L87" s="125">
        <f t="shared" si="24"/>
        <v>0.99266348002388982</v>
      </c>
      <c r="M87" s="46">
        <f t="shared" si="27"/>
        <v>0.99266348002388982</v>
      </c>
      <c r="N87" s="132">
        <v>0.9999016666768179</v>
      </c>
      <c r="O87" s="89">
        <f t="shared" si="25"/>
        <v>0.99266348002388982</v>
      </c>
      <c r="P87" s="4">
        <v>40401</v>
      </c>
      <c r="Q87" s="4">
        <v>0.99998245859958268</v>
      </c>
    </row>
    <row r="88" spans="2:41" x14ac:dyDescent="0.25">
      <c r="B88" s="63"/>
      <c r="C88" s="64"/>
      <c r="D88" s="65" t="s">
        <v>46</v>
      </c>
      <c r="E88" s="64"/>
      <c r="F88" s="71"/>
      <c r="G88" s="64"/>
      <c r="H88" s="64"/>
      <c r="I88" s="53"/>
      <c r="J88" s="105">
        <f t="shared" si="26"/>
        <v>37845.5</v>
      </c>
      <c r="K88" s="109">
        <v>80</v>
      </c>
      <c r="L88" s="125">
        <f t="shared" si="24"/>
        <v>0.99417037689497445</v>
      </c>
      <c r="M88" s="46">
        <f t="shared" si="27"/>
        <v>0.99417037689497445</v>
      </c>
      <c r="N88" s="132">
        <v>0.99992454131286057</v>
      </c>
      <c r="O88" s="89">
        <f t="shared" si="25"/>
        <v>0.99417037689497445</v>
      </c>
      <c r="P88" s="4">
        <v>40402</v>
      </c>
      <c r="Q88" s="4">
        <v>0.99998683008139233</v>
      </c>
    </row>
    <row r="89" spans="2:41" x14ac:dyDescent="0.25">
      <c r="B89" s="63"/>
      <c r="C89" s="64"/>
      <c r="D89" s="65">
        <v>9.55619890821783</v>
      </c>
      <c r="E89" s="64">
        <v>-6.9767944351029924E-3</v>
      </c>
      <c r="F89" s="71"/>
      <c r="G89" s="64"/>
      <c r="H89" s="64"/>
      <c r="I89" s="53"/>
      <c r="J89" s="105">
        <f t="shared" si="26"/>
        <v>37846.5</v>
      </c>
      <c r="K89" s="109">
        <v>81</v>
      </c>
      <c r="L89" s="125">
        <f t="shared" si="24"/>
        <v>0.99536920602403278</v>
      </c>
      <c r="M89" s="46">
        <f t="shared" si="27"/>
        <v>0.99536920602403278</v>
      </c>
      <c r="N89" s="132">
        <v>0.99994209508049881</v>
      </c>
      <c r="O89" s="89">
        <f t="shared" si="25"/>
        <v>0.99536920602403278</v>
      </c>
      <c r="P89" s="4">
        <v>40403</v>
      </c>
      <c r="Q89" s="4">
        <v>0.99999011215963096</v>
      </c>
    </row>
    <row r="90" spans="2:41" x14ac:dyDescent="0.25">
      <c r="B90" s="63"/>
      <c r="C90" s="64"/>
      <c r="D90" s="65">
        <v>-6.9767944351029924E-3</v>
      </c>
      <c r="E90" s="64">
        <v>1.5680049670732246E-2</v>
      </c>
      <c r="F90" s="71"/>
      <c r="G90" s="64"/>
      <c r="H90" s="64"/>
      <c r="I90" s="53"/>
      <c r="J90" s="105">
        <f t="shared" si="26"/>
        <v>37847.5</v>
      </c>
      <c r="K90" s="109">
        <v>82</v>
      </c>
      <c r="L90" s="125">
        <f t="shared" si="24"/>
        <v>0.99632241466120453</v>
      </c>
      <c r="M90" s="46">
        <f t="shared" si="27"/>
        <v>0.99632241466120453</v>
      </c>
      <c r="N90" s="132">
        <v>0.99995556554007625</v>
      </c>
      <c r="O90" s="89">
        <f t="shared" si="25"/>
        <v>0.99632241466120453</v>
      </c>
      <c r="P90" s="4">
        <v>40404</v>
      </c>
      <c r="Q90" s="4">
        <v>0.9999925763165205</v>
      </c>
    </row>
    <row r="91" spans="2:41" x14ac:dyDescent="0.25">
      <c r="B91" s="63"/>
      <c r="C91" s="64"/>
      <c r="D91" s="65"/>
      <c r="E91" s="64"/>
      <c r="F91" s="71"/>
      <c r="G91" s="64"/>
      <c r="H91" s="64"/>
      <c r="I91" s="53"/>
      <c r="J91" s="105">
        <f t="shared" si="26"/>
        <v>37848.5</v>
      </c>
      <c r="K91" s="109">
        <v>83</v>
      </c>
      <c r="L91" s="125">
        <f t="shared" si="24"/>
        <v>0.99707998919632557</v>
      </c>
      <c r="M91" s="46">
        <f t="shared" si="27"/>
        <v>0.99707998919632557</v>
      </c>
      <c r="N91" s="132">
        <v>0.99996590246462225</v>
      </c>
      <c r="O91" s="89">
        <f t="shared" si="25"/>
        <v>0.99707998919632557</v>
      </c>
      <c r="P91" s="4">
        <v>40405</v>
      </c>
      <c r="Q91" s="4">
        <v>0.99999442638225311</v>
      </c>
    </row>
    <row r="92" spans="2:41" x14ac:dyDescent="0.25">
      <c r="B92" s="63"/>
      <c r="C92" s="64"/>
      <c r="D92" s="65" t="s">
        <v>47</v>
      </c>
      <c r="E92" s="64"/>
      <c r="F92" s="71" t="s">
        <v>8</v>
      </c>
      <c r="G92" s="64"/>
      <c r="H92" s="64"/>
      <c r="I92" s="53"/>
      <c r="J92" s="105">
        <f t="shared" si="26"/>
        <v>37849.5</v>
      </c>
      <c r="K92" s="109">
        <v>84</v>
      </c>
      <c r="L92" s="125">
        <f t="shared" si="24"/>
        <v>0.99768186813436588</v>
      </c>
      <c r="M92" s="46">
        <f t="shared" si="27"/>
        <v>0.99768186813436588</v>
      </c>
      <c r="N92" s="132">
        <v>0.99997383474166435</v>
      </c>
      <c r="O92" s="89">
        <f t="shared" si="25"/>
        <v>0.99768186813436588</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26"/>
        <v>37850.5</v>
      </c>
      <c r="K93" s="109">
        <v>85</v>
      </c>
      <c r="L93" s="125">
        <f t="shared" si="24"/>
        <v>0.998159915435332</v>
      </c>
      <c r="M93" s="46">
        <f t="shared" si="27"/>
        <v>0.998159915435332</v>
      </c>
      <c r="N93" s="132">
        <v>0.99997992173121009</v>
      </c>
      <c r="O93" s="89">
        <f t="shared" si="25"/>
        <v>0.998159915435332</v>
      </c>
      <c r="P93" s="4">
        <v>40407</v>
      </c>
      <c r="Q93" s="4">
        <v>0.99999685824657825</v>
      </c>
    </row>
    <row r="94" spans="2:41" x14ac:dyDescent="0.25">
      <c r="B94" s="63"/>
      <c r="C94" s="64"/>
      <c r="D94" s="65">
        <v>9.2253535765261202E-5</v>
      </c>
      <c r="E94" s="64">
        <v>0.12636077298244341</v>
      </c>
      <c r="F94" s="71">
        <v>0.35547260510824658</v>
      </c>
      <c r="G94" s="64"/>
      <c r="H94" s="64"/>
      <c r="I94" s="53"/>
      <c r="J94" s="105">
        <f t="shared" si="26"/>
        <v>37851.5</v>
      </c>
      <c r="K94" s="109">
        <v>86</v>
      </c>
      <c r="L94" s="125">
        <f t="shared" si="24"/>
        <v>0.99853952369220045</v>
      </c>
      <c r="M94" s="46">
        <f t="shared" si="27"/>
        <v>0.99853952369220045</v>
      </c>
      <c r="N94" s="132">
        <v>0.99998459268769502</v>
      </c>
      <c r="O94" s="89">
        <f t="shared" si="25"/>
        <v>0.99853952369220045</v>
      </c>
      <c r="P94" s="4">
        <v>40408</v>
      </c>
      <c r="Q94" s="4">
        <v>0.99999764120951673</v>
      </c>
    </row>
    <row r="95" spans="2:41" x14ac:dyDescent="0.25">
      <c r="B95" s="63"/>
      <c r="C95" s="64"/>
      <c r="D95" s="65"/>
      <c r="E95" s="64"/>
      <c r="F95" s="71"/>
      <c r="G95" s="64"/>
      <c r="H95" s="64"/>
      <c r="I95" s="53"/>
      <c r="J95" s="105">
        <f t="shared" si="26"/>
        <v>37852.5</v>
      </c>
      <c r="K95" s="109">
        <v>87</v>
      </c>
      <c r="L95" s="125">
        <f t="shared" si="24"/>
        <v>0.99884090995001307</v>
      </c>
      <c r="M95" s="46">
        <f t="shared" si="27"/>
        <v>0.99884090995001307</v>
      </c>
      <c r="N95" s="132">
        <v>0.99998817701780018</v>
      </c>
      <c r="O95" s="89">
        <f t="shared" si="25"/>
        <v>0.99884090995001307</v>
      </c>
      <c r="P95" s="4">
        <v>40409</v>
      </c>
      <c r="Q95" s="4">
        <v>0.99999822904897007</v>
      </c>
    </row>
    <row r="96" spans="2:41" x14ac:dyDescent="0.25">
      <c r="B96" s="63"/>
      <c r="C96" s="64"/>
      <c r="D96" s="65" t="s">
        <v>48</v>
      </c>
      <c r="E96" s="64"/>
      <c r="F96" s="71"/>
      <c r="G96" s="64"/>
      <c r="H96" s="64"/>
      <c r="I96" s="53"/>
      <c r="J96" s="105">
        <f t="shared" si="26"/>
        <v>37853.5</v>
      </c>
      <c r="K96" s="109">
        <v>88</v>
      </c>
      <c r="L96" s="125">
        <f t="shared" si="24"/>
        <v>0.99908015894400037</v>
      </c>
      <c r="M96" s="46">
        <f t="shared" si="27"/>
        <v>0.99908015894400037</v>
      </c>
      <c r="N96" s="132">
        <v>0.99999092750320295</v>
      </c>
      <c r="O96" s="89">
        <f t="shared" si="25"/>
        <v>0.99908015894400037</v>
      </c>
      <c r="P96" s="4">
        <v>40410</v>
      </c>
      <c r="Q96" s="4">
        <v>0.99999867039183277</v>
      </c>
    </row>
    <row r="97" spans="2:17" x14ac:dyDescent="0.25">
      <c r="B97" s="63"/>
      <c r="C97" s="64"/>
      <c r="D97" s="65">
        <v>0.99999999999999989</v>
      </c>
      <c r="E97" s="64">
        <v>1.8023520282993657E-2</v>
      </c>
      <c r="F97" s="71"/>
      <c r="G97" s="64"/>
      <c r="H97" s="64"/>
      <c r="I97" s="53"/>
      <c r="J97" s="105">
        <f t="shared" si="26"/>
        <v>37854.5</v>
      </c>
      <c r="K97" s="109">
        <v>89</v>
      </c>
      <c r="L97" s="125">
        <f t="shared" si="24"/>
        <v>0.99927006039088639</v>
      </c>
      <c r="M97" s="46">
        <f t="shared" si="27"/>
        <v>0.99927006039088639</v>
      </c>
      <c r="N97" s="132">
        <v>0.99999303812320184</v>
      </c>
      <c r="O97" s="89">
        <f t="shared" si="25"/>
        <v>0.99927006039088639</v>
      </c>
      <c r="P97" s="4">
        <v>40411</v>
      </c>
      <c r="Q97" s="4">
        <v>0.99999900174671486</v>
      </c>
    </row>
    <row r="98" spans="2:17" x14ac:dyDescent="0.25">
      <c r="B98" s="63"/>
      <c r="C98" s="64"/>
      <c r="D98" s="65">
        <v>1.8023520282993654E-2</v>
      </c>
      <c r="E98" s="64">
        <v>1</v>
      </c>
      <c r="F98" s="71"/>
      <c r="G98" s="64"/>
      <c r="H98" s="64"/>
      <c r="I98" s="53"/>
      <c r="J98" s="105">
        <f t="shared" si="26"/>
        <v>37855.5</v>
      </c>
      <c r="K98" s="109">
        <v>90</v>
      </c>
      <c r="L98" s="125">
        <f t="shared" si="24"/>
        <v>0.99942077935957796</v>
      </c>
      <c r="M98" s="46">
        <f t="shared" si="27"/>
        <v>0.99942077935957796</v>
      </c>
      <c r="N98" s="132">
        <v>0.99999465773250285</v>
      </c>
      <c r="O98" s="89">
        <f t="shared" si="25"/>
        <v>0.99942077935957796</v>
      </c>
      <c r="P98" s="4">
        <v>40412</v>
      </c>
      <c r="Q98" s="4">
        <v>0.99999925052390337</v>
      </c>
    </row>
    <row r="99" spans="2:17" x14ac:dyDescent="0.25">
      <c r="B99" s="63"/>
      <c r="C99" s="64"/>
      <c r="D99" s="65"/>
      <c r="E99" s="64"/>
      <c r="F99" s="71"/>
      <c r="G99" s="64"/>
      <c r="H99" s="64"/>
      <c r="I99" s="53"/>
      <c r="J99" s="105">
        <f t="shared" si="26"/>
        <v>37856.5</v>
      </c>
      <c r="K99" s="109">
        <v>91</v>
      </c>
      <c r="L99" s="125">
        <f t="shared" si="24"/>
        <v>0.99954039197500111</v>
      </c>
      <c r="M99" s="46">
        <f t="shared" si="27"/>
        <v>0.99954039197500111</v>
      </c>
      <c r="N99" s="132">
        <v>0.99999590055784027</v>
      </c>
      <c r="O99" s="89">
        <f t="shared" si="25"/>
        <v>0.99954039197500111</v>
      </c>
      <c r="P99" s="4">
        <v>40413</v>
      </c>
      <c r="Q99" s="4">
        <v>0.99999943730274388</v>
      </c>
    </row>
    <row r="100" spans="2:17" x14ac:dyDescent="0.25">
      <c r="B100" s="63"/>
      <c r="C100" s="64"/>
      <c r="D100" s="65"/>
      <c r="E100" s="64"/>
      <c r="F100" s="71"/>
      <c r="G100" s="64"/>
      <c r="H100" s="64"/>
      <c r="I100" s="53"/>
      <c r="J100" s="105">
        <f t="shared" si="26"/>
        <v>37857.5</v>
      </c>
      <c r="K100" s="109">
        <v>92</v>
      </c>
      <c r="L100" s="125">
        <f t="shared" si="24"/>
        <v>0.99963531286484897</v>
      </c>
      <c r="M100" s="46">
        <f t="shared" si="27"/>
        <v>0.99963531286484897</v>
      </c>
      <c r="N100" s="132">
        <v>0.99999685425314822</v>
      </c>
      <c r="O100" s="89">
        <f t="shared" si="25"/>
        <v>0.99963531286484897</v>
      </c>
      <c r="P100" s="4">
        <v>40414</v>
      </c>
      <c r="Q100" s="4">
        <v>0.99999957753397495</v>
      </c>
    </row>
    <row r="101" spans="2:17" x14ac:dyDescent="0.25">
      <c r="B101" s="63"/>
      <c r="C101" s="64"/>
      <c r="D101" s="65"/>
      <c r="E101" s="64"/>
      <c r="F101" s="71"/>
      <c r="G101" s="64"/>
      <c r="H101" s="64"/>
      <c r="I101" s="53"/>
      <c r="J101" s="105">
        <f t="shared" si="26"/>
        <v>37858.5</v>
      </c>
      <c r="K101" s="109">
        <v>93</v>
      </c>
      <c r="L101" s="125">
        <f t="shared" si="24"/>
        <v>0.9997106358223794</v>
      </c>
      <c r="M101" s="46">
        <f t="shared" si="27"/>
        <v>0.9997106358223794</v>
      </c>
      <c r="N101" s="132">
        <v>0.99999758608106293</v>
      </c>
      <c r="O101" s="89">
        <f t="shared" si="25"/>
        <v>0.9997106358223794</v>
      </c>
      <c r="P101" s="4">
        <v>40415</v>
      </c>
      <c r="Q101" s="4">
        <v>0.99999968281783125</v>
      </c>
    </row>
    <row r="102" spans="2:17" x14ac:dyDescent="0.25">
      <c r="B102" s="63"/>
      <c r="C102" s="64"/>
      <c r="D102" s="65"/>
      <c r="E102" s="64"/>
      <c r="F102" s="71"/>
      <c r="G102" s="64"/>
      <c r="H102" s="64"/>
      <c r="I102" s="53"/>
      <c r="J102" s="105">
        <f t="shared" si="26"/>
        <v>37859.5</v>
      </c>
      <c r="K102" s="109">
        <v>94</v>
      </c>
      <c r="L102" s="125">
        <f t="shared" si="24"/>
        <v>0.99977040505099735</v>
      </c>
      <c r="M102" s="46">
        <f t="shared" si="27"/>
        <v>0.99977040505099735</v>
      </c>
      <c r="N102" s="132">
        <v>0.99999814765652884</v>
      </c>
      <c r="O102" s="89">
        <f t="shared" si="25"/>
        <v>0.99977040505099735</v>
      </c>
      <c r="P102" s="4">
        <v>40416</v>
      </c>
      <c r="Q102" s="4">
        <v>0.99999976186363015</v>
      </c>
    </row>
    <row r="103" spans="2:17" x14ac:dyDescent="0.25">
      <c r="B103" s="63"/>
      <c r="C103" s="64"/>
      <c r="D103" s="65"/>
      <c r="E103" s="64"/>
      <c r="F103" s="71"/>
      <c r="G103" s="64"/>
      <c r="H103" s="64"/>
      <c r="I103" s="53"/>
      <c r="J103" s="105">
        <f t="shared" si="26"/>
        <v>37860.5</v>
      </c>
      <c r="K103" s="109">
        <v>95</v>
      </c>
      <c r="L103" s="125">
        <f t="shared" si="24"/>
        <v>0.99981783097659449</v>
      </c>
      <c r="M103" s="46">
        <f t="shared" si="27"/>
        <v>0.99981783097659449</v>
      </c>
      <c r="N103" s="132">
        <v>0.99999857858694674</v>
      </c>
      <c r="O103" s="89">
        <f t="shared" si="25"/>
        <v>0.99981783097659449</v>
      </c>
      <c r="P103" s="4">
        <v>40417</v>
      </c>
      <c r="Q103" s="4">
        <v>0.99999982121022213</v>
      </c>
    </row>
    <row r="104" spans="2:17" x14ac:dyDescent="0.25">
      <c r="B104" s="63"/>
      <c r="C104" s="64"/>
      <c r="D104" s="65"/>
      <c r="E104" s="64"/>
      <c r="F104" s="71"/>
      <c r="G104" s="64"/>
      <c r="H104" s="64"/>
      <c r="I104" s="53"/>
      <c r="J104" s="105">
        <f t="shared" si="26"/>
        <v>37861.5</v>
      </c>
      <c r="K104" s="109">
        <v>96</v>
      </c>
      <c r="L104" s="125">
        <f t="shared" si="24"/>
        <v>0.99985546185549745</v>
      </c>
      <c r="M104" s="46">
        <f t="shared" si="27"/>
        <v>0.99985546185549745</v>
      </c>
      <c r="N104" s="132">
        <v>0.99999890926553481</v>
      </c>
      <c r="O104" s="89">
        <f t="shared" si="25"/>
        <v>0.99985546185549745</v>
      </c>
      <c r="P104" s="4">
        <v>40418</v>
      </c>
      <c r="Q104" s="4">
        <v>0.99999986576689559</v>
      </c>
    </row>
    <row r="105" spans="2:17" x14ac:dyDescent="0.25">
      <c r="B105" s="63"/>
      <c r="C105" s="64"/>
      <c r="D105" s="65"/>
      <c r="E105" s="64"/>
      <c r="F105" s="71"/>
      <c r="G105" s="64"/>
      <c r="H105" s="64"/>
      <c r="I105" s="53"/>
      <c r="J105" s="105">
        <f t="shared" si="26"/>
        <v>37862.5</v>
      </c>
      <c r="K105" s="109">
        <v>97</v>
      </c>
      <c r="L105" s="125">
        <f>$G$3/(1+EXP(-$G$4*(K105-$G$5)))</f>
        <v>0.99988532016914855</v>
      </c>
      <c r="M105" s="46">
        <f t="shared" si="27"/>
        <v>0.99988532016914855</v>
      </c>
      <c r="N105" s="132">
        <v>0.99999916301487501</v>
      </c>
      <c r="O105" s="89">
        <f>IF(N105=M105,N105,M105)</f>
        <v>0.99988532016914855</v>
      </c>
      <c r="P105" s="4">
        <v>40419</v>
      </c>
      <c r="Q105" s="4">
        <v>0.99999989921948373</v>
      </c>
    </row>
    <row r="106" spans="2:17" x14ac:dyDescent="0.25">
      <c r="B106" s="63"/>
      <c r="C106" s="64"/>
      <c r="D106" s="65"/>
      <c r="E106" s="64"/>
      <c r="F106" s="71"/>
      <c r="G106" s="64"/>
      <c r="H106" s="64"/>
      <c r="I106" s="53"/>
      <c r="J106" s="105">
        <f t="shared" si="26"/>
        <v>37863.5</v>
      </c>
      <c r="K106" s="109">
        <v>98</v>
      </c>
      <c r="L106" s="125">
        <f>$G$3/(1+EXP(-$G$4*(K106-$G$5)))</f>
        <v>0.99990901099139462</v>
      </c>
      <c r="M106" s="46">
        <f t="shared" si="27"/>
        <v>0.99990901099139462</v>
      </c>
      <c r="N106" s="132">
        <v>0.99999935773180315</v>
      </c>
      <c r="O106" s="89">
        <f>IF(N106=M106,N106,M106)</f>
        <v>0.99990901099139462</v>
      </c>
      <c r="P106" s="4">
        <v>40420</v>
      </c>
      <c r="Q106" s="4">
        <v>0.99999992433526419</v>
      </c>
    </row>
    <row r="107" spans="2:17" x14ac:dyDescent="0.25">
      <c r="B107" s="63"/>
      <c r="C107" s="64"/>
      <c r="D107" s="65"/>
      <c r="E107" s="64"/>
      <c r="F107" s="71"/>
      <c r="G107" s="64"/>
      <c r="H107" s="64"/>
      <c r="I107" s="53"/>
      <c r="J107" s="105">
        <f t="shared" si="26"/>
        <v>37864.5</v>
      </c>
      <c r="K107" s="109">
        <v>99</v>
      </c>
      <c r="L107" s="125">
        <f>$G$3/(1+EXP(-$G$4*(K107-$G$5)))</f>
        <v>0.99992780806264903</v>
      </c>
      <c r="M107" s="46">
        <f t="shared" si="27"/>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v>37766.5</v>
      </c>
      <c r="C132" s="64">
        <v>0</v>
      </c>
      <c r="D132" s="4">
        <v>2.5000000000000001E-2</v>
      </c>
      <c r="E132" s="64">
        <f>1.96*D132</f>
        <v>4.9000000000000002E-2</v>
      </c>
      <c r="F132" s="71">
        <f>1-C132</f>
        <v>1</v>
      </c>
      <c r="G132" s="64"/>
      <c r="H132" s="64"/>
      <c r="I132" s="53"/>
      <c r="J132" s="44"/>
      <c r="K132" s="45"/>
      <c r="L132" s="46"/>
      <c r="M132" s="46"/>
      <c r="N132" s="70"/>
      <c r="O132" s="47"/>
    </row>
    <row r="133" spans="2:15" x14ac:dyDescent="0.25">
      <c r="B133" s="63">
        <v>37797.5</v>
      </c>
      <c r="C133" s="64">
        <v>1.4373661500000001E-2</v>
      </c>
      <c r="D133" s="147">
        <v>2.9294660471095732E-2</v>
      </c>
      <c r="E133" s="64">
        <f t="shared" ref="E133:E139" si="29">1.96*D133</f>
        <v>5.7417534523347635E-2</v>
      </c>
      <c r="F133" s="71">
        <f t="shared" ref="F133:F139" si="30">1-C133</f>
        <v>0.98562633850000003</v>
      </c>
      <c r="G133" s="64"/>
      <c r="H133" s="64"/>
      <c r="I133" s="53"/>
      <c r="J133" s="44"/>
      <c r="K133" s="45"/>
      <c r="L133" s="46"/>
      <c r="M133" s="46"/>
      <c r="N133" s="70"/>
      <c r="O133" s="47"/>
    </row>
    <row r="134" spans="2:15" x14ac:dyDescent="0.25">
      <c r="B134" s="63">
        <v>37803.5</v>
      </c>
      <c r="C134" s="64">
        <v>0.14530426295000001</v>
      </c>
      <c r="D134" s="147">
        <v>4.3768624675588189E-2</v>
      </c>
      <c r="E134" s="64">
        <f t="shared" si="29"/>
        <v>8.5786504364152846E-2</v>
      </c>
      <c r="F134" s="71">
        <f t="shared" si="30"/>
        <v>0.85469573705000002</v>
      </c>
      <c r="G134" s="64"/>
      <c r="H134" s="64"/>
      <c r="I134" s="53"/>
      <c r="J134" s="44"/>
      <c r="K134" s="45"/>
      <c r="L134" s="46"/>
      <c r="M134" s="46"/>
      <c r="N134" s="70"/>
      <c r="O134" s="47"/>
    </row>
    <row r="135" spans="2:15" x14ac:dyDescent="0.25">
      <c r="B135" s="63">
        <v>37809.5</v>
      </c>
      <c r="C135" s="64">
        <v>0.28467891862</v>
      </c>
      <c r="D135" s="147">
        <v>5.482678371741849E-2</v>
      </c>
      <c r="E135" s="64">
        <f t="shared" si="29"/>
        <v>0.10746049608614024</v>
      </c>
      <c r="F135" s="71">
        <f t="shared" si="30"/>
        <v>0.71532108137999995</v>
      </c>
      <c r="G135" s="64"/>
      <c r="H135" s="64"/>
      <c r="I135" s="53"/>
      <c r="J135" s="44"/>
      <c r="K135" s="45"/>
      <c r="L135" s="46"/>
      <c r="M135" s="46"/>
      <c r="N135" s="70"/>
      <c r="O135" s="47"/>
    </row>
    <row r="136" spans="2:15" x14ac:dyDescent="0.25">
      <c r="B136" s="63">
        <v>37815.5</v>
      </c>
      <c r="C136" s="64">
        <v>0.68313881839000001</v>
      </c>
      <c r="D136" s="147">
        <v>5.455329775196275E-2</v>
      </c>
      <c r="E136" s="64">
        <f t="shared" si="29"/>
        <v>0.10692446359384698</v>
      </c>
      <c r="F136" s="71">
        <f t="shared" si="30"/>
        <v>0.31686118160999999</v>
      </c>
      <c r="G136" s="64"/>
      <c r="H136" s="64"/>
      <c r="I136" s="53"/>
      <c r="J136" s="44"/>
      <c r="K136" s="45"/>
      <c r="L136" s="46"/>
      <c r="M136" s="46"/>
      <c r="N136" s="70"/>
      <c r="O136" s="47"/>
    </row>
    <row r="137" spans="2:15" x14ac:dyDescent="0.25">
      <c r="B137" s="63">
        <v>37820.5</v>
      </c>
      <c r="C137" s="64">
        <v>0.58347815381000001</v>
      </c>
      <c r="D137" s="147">
        <v>5.2774119647345311E-2</v>
      </c>
      <c r="E137" s="64">
        <f t="shared" si="29"/>
        <v>0.10343727450879681</v>
      </c>
      <c r="F137" s="71">
        <f t="shared" si="30"/>
        <v>0.41652184618999999</v>
      </c>
      <c r="G137" s="64"/>
      <c r="H137" s="64"/>
      <c r="I137" s="53"/>
      <c r="J137" s="44"/>
      <c r="K137" s="45"/>
      <c r="L137" s="46"/>
      <c r="M137" s="46"/>
      <c r="N137" s="70"/>
      <c r="O137" s="47"/>
    </row>
    <row r="138" spans="2:15" x14ac:dyDescent="0.25">
      <c r="B138" s="63">
        <v>37825.5</v>
      </c>
      <c r="C138" s="64">
        <v>0.57123000782</v>
      </c>
      <c r="D138" s="147">
        <v>5.8738633411898597E-2</v>
      </c>
      <c r="E138" s="64">
        <f t="shared" si="29"/>
        <v>0.11512772148732124</v>
      </c>
      <c r="F138" s="71">
        <f t="shared" si="30"/>
        <v>0.42876999218</v>
      </c>
      <c r="G138" s="64"/>
      <c r="H138" s="64"/>
      <c r="I138" s="53"/>
      <c r="J138" s="44"/>
      <c r="K138" s="45"/>
      <c r="L138" s="46"/>
      <c r="M138" s="46"/>
      <c r="N138" s="70"/>
      <c r="O138" s="47"/>
    </row>
    <row r="139" spans="2:15" x14ac:dyDescent="0.25">
      <c r="B139" s="63">
        <v>37834.5</v>
      </c>
      <c r="C139" s="64">
        <v>1</v>
      </c>
      <c r="D139" s="147">
        <v>2.5000000000000001E-2</v>
      </c>
      <c r="E139" s="64">
        <f t="shared" si="29"/>
        <v>4.9000000000000002E-2</v>
      </c>
      <c r="F139" s="71">
        <f t="shared" si="30"/>
        <v>0</v>
      </c>
      <c r="G139" s="64"/>
      <c r="H139" s="64"/>
      <c r="I139" s="53"/>
      <c r="J139" s="44"/>
      <c r="K139" s="45"/>
      <c r="L139" s="46"/>
      <c r="M139" s="46"/>
      <c r="N139" s="70"/>
      <c r="O139" s="47"/>
    </row>
    <row r="140" spans="2:15" x14ac:dyDescent="0.25">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v>37766.5</v>
      </c>
      <c r="D152" s="65">
        <v>0.99937189731766174</v>
      </c>
      <c r="E152" s="65"/>
      <c r="F152" s="71"/>
      <c r="G152" s="64"/>
      <c r="H152" s="64"/>
      <c r="I152" s="53"/>
      <c r="J152" s="44"/>
      <c r="K152" s="45"/>
      <c r="L152" s="46"/>
      <c r="M152" s="46"/>
      <c r="N152" s="70"/>
      <c r="O152" s="47"/>
    </row>
    <row r="153" spans="2:15" x14ac:dyDescent="0.25">
      <c r="B153" s="63"/>
      <c r="C153" s="64">
        <v>37767.5</v>
      </c>
      <c r="D153" s="65">
        <v>0.99927033440039681</v>
      </c>
      <c r="E153" s="65"/>
      <c r="F153" s="71"/>
      <c r="G153" s="64"/>
      <c r="H153" s="64"/>
      <c r="I153" s="53"/>
      <c r="J153" s="44"/>
      <c r="K153" s="45"/>
      <c r="L153" s="46"/>
      <c r="M153" s="46"/>
      <c r="N153" s="70"/>
      <c r="O153" s="47"/>
    </row>
    <row r="154" spans="2:15" x14ac:dyDescent="0.25">
      <c r="B154" s="63"/>
      <c r="C154" s="64">
        <v>37768.5</v>
      </c>
      <c r="D154" s="65">
        <v>0.99915236289651199</v>
      </c>
      <c r="E154" s="65"/>
      <c r="F154" s="71"/>
      <c r="G154" s="64"/>
      <c r="H154" s="64"/>
      <c r="I154" s="53"/>
      <c r="J154" s="44"/>
      <c r="K154" s="45"/>
      <c r="L154" s="46"/>
      <c r="M154" s="46"/>
      <c r="N154" s="70"/>
      <c r="O154" s="47"/>
    </row>
    <row r="155" spans="2:15" x14ac:dyDescent="0.25">
      <c r="B155" s="63"/>
      <c r="C155" s="64">
        <v>37769.5</v>
      </c>
      <c r="D155" s="65">
        <v>0.9990153366888026</v>
      </c>
      <c r="E155" s="65"/>
      <c r="F155" s="71"/>
      <c r="G155" s="64"/>
      <c r="H155" s="64"/>
      <c r="I155" s="53"/>
      <c r="J155" s="44"/>
      <c r="K155" s="45"/>
      <c r="L155" s="46"/>
      <c r="M155" s="46"/>
      <c r="N155" s="70"/>
      <c r="O155" s="47"/>
    </row>
    <row r="156" spans="2:15" x14ac:dyDescent="0.25">
      <c r="B156" s="63"/>
      <c r="C156" s="64">
        <v>37770.5</v>
      </c>
      <c r="D156" s="65">
        <v>0.99885618463641579</v>
      </c>
      <c r="E156" s="65"/>
      <c r="F156" s="71"/>
      <c r="G156" s="64"/>
      <c r="H156" s="64"/>
      <c r="I156" s="53"/>
      <c r="J156" s="44"/>
      <c r="K156" s="45"/>
      <c r="L156" s="46"/>
      <c r="M156" s="46"/>
      <c r="N156" s="70"/>
      <c r="O156" s="47"/>
    </row>
    <row r="157" spans="2:15" x14ac:dyDescent="0.25">
      <c r="B157" s="63"/>
      <c r="C157" s="64">
        <v>37771.5</v>
      </c>
      <c r="D157" s="65">
        <v>0.9986713429007984</v>
      </c>
      <c r="E157" s="65"/>
      <c r="F157" s="71"/>
      <c r="G157" s="64"/>
      <c r="H157" s="64"/>
      <c r="I157" s="53"/>
      <c r="J157" s="44"/>
      <c r="K157" s="45"/>
      <c r="L157" s="46"/>
      <c r="M157" s="46"/>
      <c r="N157" s="70"/>
      <c r="O157" s="47"/>
    </row>
    <row r="158" spans="2:15" x14ac:dyDescent="0.25">
      <c r="B158" s="63"/>
      <c r="C158" s="64">
        <v>37772.5</v>
      </c>
      <c r="D158" s="65">
        <v>0.9984566767039742</v>
      </c>
      <c r="E158" s="65"/>
      <c r="F158" s="71"/>
      <c r="G158" s="64"/>
      <c r="H158" s="64"/>
      <c r="I158" s="53"/>
      <c r="J158" s="44"/>
      <c r="K158" s="45"/>
      <c r="L158" s="46"/>
      <c r="M158" s="46"/>
      <c r="N158" s="70"/>
      <c r="O158" s="47"/>
    </row>
    <row r="159" spans="2:15" x14ac:dyDescent="0.25">
      <c r="B159" s="63"/>
      <c r="C159" s="64">
        <v>37773.5</v>
      </c>
      <c r="D159" s="65">
        <v>0.99820738994185276</v>
      </c>
      <c r="E159" s="65"/>
      <c r="F159" s="71"/>
      <c r="G159" s="64"/>
      <c r="H159" s="64"/>
      <c r="I159" s="53"/>
      <c r="J159" s="44"/>
      <c r="K159" s="45"/>
      <c r="L159" s="46"/>
      <c r="M159" s="46"/>
      <c r="N159" s="70"/>
      <c r="O159" s="47"/>
    </row>
    <row r="160" spans="2:15" x14ac:dyDescent="0.25">
      <c r="B160" s="63"/>
      <c r="C160" s="64">
        <v>37774.5</v>
      </c>
      <c r="D160" s="65">
        <v>0.99791792086573672</v>
      </c>
      <c r="E160" s="65"/>
      <c r="F160" s="71"/>
      <c r="G160" s="64"/>
      <c r="H160" s="64"/>
      <c r="I160" s="53"/>
      <c r="J160" s="44"/>
      <c r="K160" s="45"/>
      <c r="L160" s="46"/>
      <c r="M160" s="46"/>
      <c r="N160" s="70"/>
      <c r="O160" s="47"/>
    </row>
    <row r="161" spans="2:9" x14ac:dyDescent="0.25">
      <c r="B161" s="63"/>
      <c r="C161" s="64">
        <v>37775.5</v>
      </c>
      <c r="D161" s="65">
        <v>0.99758182181733823</v>
      </c>
      <c r="E161" s="65"/>
      <c r="F161" s="71"/>
      <c r="G161" s="64"/>
      <c r="H161" s="64"/>
      <c r="I161" s="53"/>
    </row>
    <row r="162" spans="2:9" x14ac:dyDescent="0.25">
      <c r="B162" s="63"/>
      <c r="C162" s="64">
        <v>37776.5</v>
      </c>
      <c r="D162" s="65">
        <v>0.99719162075867385</v>
      </c>
      <c r="E162" s="65"/>
      <c r="F162" s="71"/>
      <c r="G162" s="64"/>
      <c r="H162" s="64"/>
      <c r="I162" s="53"/>
    </row>
    <row r="163" spans="2:9" x14ac:dyDescent="0.25">
      <c r="B163" s="63"/>
      <c r="C163" s="64">
        <v>37777.5</v>
      </c>
      <c r="D163" s="65">
        <v>0.99673866208252038</v>
      </c>
      <c r="E163" s="65"/>
      <c r="F163" s="71"/>
      <c r="G163" s="64"/>
      <c r="H163" s="64"/>
      <c r="I163" s="53"/>
    </row>
    <row r="164" spans="2:9" x14ac:dyDescent="0.25">
      <c r="B164" s="63"/>
      <c r="C164" s="64">
        <v>37778.5</v>
      </c>
      <c r="D164" s="65">
        <v>0.99621292392889316</v>
      </c>
      <c r="E164" s="65"/>
      <c r="F164" s="71"/>
      <c r="G164" s="64"/>
      <c r="H164" s="64"/>
      <c r="I164" s="53"/>
    </row>
    <row r="165" spans="2:9" x14ac:dyDescent="0.25">
      <c r="B165" s="63"/>
      <c r="C165" s="64">
        <v>37779.5</v>
      </c>
      <c r="D165" s="65">
        <v>0.99560280897956932</v>
      </c>
      <c r="E165" s="65"/>
      <c r="F165" s="71"/>
      <c r="G165" s="64"/>
      <c r="H165" s="64"/>
      <c r="I165" s="53"/>
    </row>
    <row r="166" spans="2:9" x14ac:dyDescent="0.25">
      <c r="B166" s="63"/>
      <c r="C166" s="64">
        <v>37780.5</v>
      </c>
      <c r="D166" s="65">
        <v>0.9948949054728613</v>
      </c>
      <c r="E166" s="65"/>
      <c r="F166" s="71"/>
      <c r="G166" s="64"/>
      <c r="H166" s="64"/>
      <c r="I166" s="53"/>
    </row>
    <row r="167" spans="2:9" x14ac:dyDescent="0.25">
      <c r="B167" s="63"/>
      <c r="C167" s="64">
        <v>37781.5</v>
      </c>
      <c r="D167" s="65">
        <v>0.99407371499902086</v>
      </c>
      <c r="E167" s="65"/>
      <c r="F167" s="71"/>
      <c r="G167" s="64"/>
      <c r="H167" s="64"/>
      <c r="I167" s="53"/>
    </row>
    <row r="168" spans="2:9" x14ac:dyDescent="0.25">
      <c r="B168" s="63"/>
      <c r="C168" s="64">
        <v>37782.5</v>
      </c>
      <c r="D168" s="65">
        <v>0.99312134353716319</v>
      </c>
      <c r="E168" s="65"/>
      <c r="F168" s="71"/>
      <c r="G168" s="64"/>
      <c r="H168" s="64"/>
      <c r="I168" s="53"/>
    </row>
    <row r="169" spans="2:9" x14ac:dyDescent="0.25">
      <c r="B169" s="63"/>
      <c r="C169" s="64">
        <v>37783.5</v>
      </c>
      <c r="D169" s="65">
        <v>0.99201715222492926</v>
      </c>
      <c r="E169" s="65"/>
      <c r="F169" s="71"/>
      <c r="G169" s="64"/>
      <c r="H169" s="64"/>
      <c r="I169" s="53"/>
    </row>
    <row r="170" spans="2:9" x14ac:dyDescent="0.25">
      <c r="B170" s="63"/>
      <c r="C170" s="64">
        <v>37784.5</v>
      </c>
      <c r="D170" s="65">
        <v>0.99073736457669048</v>
      </c>
      <c r="E170" s="65"/>
      <c r="F170" s="71"/>
      <c r="G170" s="64"/>
      <c r="H170" s="64"/>
      <c r="I170" s="53"/>
    </row>
    <row r="171" spans="2:9" x14ac:dyDescent="0.25">
      <c r="B171" s="63"/>
      <c r="C171" s="64">
        <v>37785.5</v>
      </c>
      <c r="D171" s="65">
        <v>0.9892546273709848</v>
      </c>
      <c r="E171" s="65"/>
      <c r="F171" s="71"/>
      <c r="G171" s="64"/>
      <c r="H171" s="64"/>
      <c r="I171" s="53"/>
    </row>
    <row r="172" spans="2:9" x14ac:dyDescent="0.25">
      <c r="B172" s="63"/>
      <c r="C172" s="64">
        <v>37786.5</v>
      </c>
      <c r="D172" s="65">
        <v>0.98753752332597144</v>
      </c>
      <c r="E172" s="65"/>
      <c r="F172" s="71"/>
      <c r="G172" s="64"/>
      <c r="H172" s="64"/>
      <c r="I172" s="53"/>
    </row>
    <row r="173" spans="2:9" x14ac:dyDescent="0.25">
      <c r="B173" s="63"/>
      <c r="C173" s="64">
        <v>37787.5</v>
      </c>
      <c r="D173" s="65">
        <v>0.98555003511863482</v>
      </c>
      <c r="E173" s="65"/>
      <c r="F173" s="71"/>
      <c r="G173" s="64"/>
      <c r="H173" s="64"/>
      <c r="I173" s="53"/>
    </row>
    <row r="174" spans="2:9" x14ac:dyDescent="0.25">
      <c r="B174" s="63"/>
      <c r="C174" s="64">
        <v>37788.5</v>
      </c>
      <c r="D174" s="65">
        <v>0.98325096246333232</v>
      </c>
      <c r="E174" s="65"/>
      <c r="F174" s="71"/>
      <c r="G174" s="64"/>
      <c r="H174" s="64"/>
      <c r="I174" s="53"/>
    </row>
    <row r="175" spans="2:9" x14ac:dyDescent="0.25">
      <c r="B175" s="63"/>
      <c r="C175" s="64">
        <v>37789.5</v>
      </c>
      <c r="D175" s="65">
        <v>0.98059329707541876</v>
      </c>
      <c r="E175" s="65"/>
      <c r="F175" s="71"/>
      <c r="G175" s="64"/>
      <c r="H175" s="64"/>
      <c r="I175" s="53"/>
    </row>
    <row r="176" spans="2:9" x14ac:dyDescent="0.25">
      <c r="B176" s="63"/>
      <c r="C176" s="64">
        <v>37790.5</v>
      </c>
      <c r="D176" s="65">
        <v>0.97752356467890367</v>
      </c>
      <c r="E176" s="65"/>
      <c r="F176" s="71"/>
      <c r="G176" s="64"/>
      <c r="H176" s="64"/>
      <c r="I176" s="53"/>
    </row>
    <row r="177" spans="2:9" x14ac:dyDescent="0.25">
      <c r="B177" s="63"/>
      <c r="C177" s="64">
        <v>37791.5</v>
      </c>
      <c r="D177" s="65">
        <v>0.97398114908861111</v>
      </c>
      <c r="E177" s="65"/>
      <c r="F177" s="71"/>
      <c r="G177" s="64"/>
      <c r="H177" s="64"/>
      <c r="I177" s="53"/>
    </row>
    <row r="178" spans="2:9" x14ac:dyDescent="0.25">
      <c r="B178" s="63"/>
      <c r="C178" s="64">
        <v>37792.5</v>
      </c>
      <c r="D178" s="65">
        <v>0.96989762115253808</v>
      </c>
      <c r="E178" s="65"/>
      <c r="F178" s="71"/>
      <c r="G178" s="64"/>
      <c r="H178" s="64"/>
      <c r="I178" s="53"/>
    </row>
    <row r="179" spans="2:9" x14ac:dyDescent="0.25">
      <c r="B179" s="63"/>
      <c r="C179" s="64">
        <v>37793.5</v>
      </c>
      <c r="D179" s="65">
        <v>0.96519610532756117</v>
      </c>
      <c r="E179" s="65"/>
      <c r="F179" s="71"/>
      <c r="G179" s="64"/>
      <c r="H179" s="64"/>
      <c r="I179" s="53"/>
    </row>
    <row r="180" spans="2:9" x14ac:dyDescent="0.25">
      <c r="B180" s="63"/>
      <c r="C180" s="64">
        <v>37794.5</v>
      </c>
      <c r="D180" s="65">
        <v>0.95979072918333619</v>
      </c>
      <c r="E180" s="65"/>
      <c r="F180" s="71"/>
      <c r="G180" s="64"/>
      <c r="H180" s="64"/>
      <c r="I180" s="53"/>
    </row>
    <row r="181" spans="2:9" x14ac:dyDescent="0.25">
      <c r="B181" s="63"/>
      <c r="C181" s="64">
        <v>37795.5</v>
      </c>
      <c r="D181" s="65">
        <v>0.95358621635903895</v>
      </c>
      <c r="E181" s="65"/>
      <c r="F181" s="71"/>
      <c r="G181" s="64"/>
      <c r="H181" s="64"/>
      <c r="I181" s="53"/>
    </row>
    <row r="182" spans="2:9" x14ac:dyDescent="0.25">
      <c r="B182" s="63"/>
      <c r="C182" s="64">
        <v>37796.5</v>
      </c>
      <c r="D182" s="65">
        <v>0.94647770135664244</v>
      </c>
      <c r="E182" s="65"/>
      <c r="F182" s="71"/>
      <c r="G182" s="64"/>
      <c r="H182" s="64"/>
      <c r="I182" s="53"/>
    </row>
    <row r="183" spans="2:9" x14ac:dyDescent="0.25">
      <c r="B183" s="63"/>
      <c r="C183" s="64">
        <v>37797.5</v>
      </c>
      <c r="D183" s="65">
        <v>0.93835086453417804</v>
      </c>
      <c r="E183" s="65"/>
      <c r="F183" s="71"/>
      <c r="G183" s="64"/>
      <c r="H183" s="64"/>
      <c r="I183" s="53"/>
    </row>
    <row r="184" spans="2:9" x14ac:dyDescent="0.25">
      <c r="B184" s="63"/>
      <c r="C184" s="64">
        <v>37798.5</v>
      </c>
      <c r="D184" s="65">
        <v>0.92908250659040403</v>
      </c>
      <c r="E184" s="65"/>
      <c r="F184" s="71"/>
      <c r="G184" s="64"/>
      <c r="H184" s="64"/>
      <c r="I184" s="53"/>
    </row>
    <row r="185" spans="2:9" x14ac:dyDescent="0.25">
      <c r="B185" s="63"/>
      <c r="C185" s="64">
        <v>37799.5</v>
      </c>
      <c r="D185" s="65">
        <v>0.91854170158897652</v>
      </c>
      <c r="E185" s="65"/>
      <c r="F185" s="71"/>
      <c r="G185" s="64"/>
      <c r="H185" s="64"/>
      <c r="I185" s="53"/>
    </row>
    <row r="186" spans="2:9" x14ac:dyDescent="0.25">
      <c r="B186" s="63"/>
      <c r="C186" s="64">
        <v>37800.5</v>
      </c>
      <c r="D186" s="65">
        <v>0.90659168278816871</v>
      </c>
      <c r="E186" s="65"/>
      <c r="F186" s="71"/>
      <c r="G186" s="64"/>
      <c r="H186" s="64"/>
      <c r="I186" s="53"/>
    </row>
    <row r="187" spans="2:9" x14ac:dyDescent="0.25">
      <c r="B187" s="63"/>
      <c r="C187" s="64">
        <v>37801.5</v>
      </c>
      <c r="D187" s="65">
        <v>0.89309262135735867</v>
      </c>
      <c r="E187" s="65"/>
      <c r="F187" s="71"/>
      <c r="G187" s="64"/>
      <c r="H187" s="64"/>
      <c r="I187" s="53"/>
    </row>
    <row r="188" spans="2:9" x14ac:dyDescent="0.25">
      <c r="B188" s="63"/>
      <c r="C188" s="64">
        <v>37802.5</v>
      </c>
      <c r="D188" s="65">
        <v>0.87790544803816573</v>
      </c>
      <c r="E188" s="65"/>
      <c r="F188" s="71"/>
      <c r="G188" s="64"/>
      <c r="H188" s="64"/>
      <c r="I188" s="53"/>
    </row>
    <row r="189" spans="2:9" x14ac:dyDescent="0.25">
      <c r="C189" s="4">
        <v>37803.5</v>
      </c>
      <c r="D189" s="65">
        <v>0.86089683421987606</v>
      </c>
      <c r="E189" s="65"/>
      <c r="F189" s="71"/>
      <c r="G189" s="64"/>
      <c r="H189" s="64"/>
      <c r="I189" s="53"/>
    </row>
    <row r="190" spans="2:9" x14ac:dyDescent="0.25">
      <c r="C190" s="4">
        <v>37804.5</v>
      </c>
      <c r="D190" s="65">
        <v>0.84194538359625493</v>
      </c>
      <c r="E190" s="65"/>
      <c r="F190" s="71"/>
      <c r="G190" s="64"/>
      <c r="H190" s="64"/>
      <c r="I190" s="53"/>
    </row>
    <row r="191" spans="2:9" x14ac:dyDescent="0.25">
      <c r="B191" s="63"/>
      <c r="C191" s="64">
        <v>37805.5</v>
      </c>
      <c r="D191" s="65">
        <v>0.82094898166426189</v>
      </c>
      <c r="E191" s="65"/>
      <c r="F191" s="71"/>
      <c r="G191" s="64"/>
      <c r="H191" s="64"/>
      <c r="I191" s="53"/>
    </row>
    <row r="192" spans="2:9" x14ac:dyDescent="0.25">
      <c r="B192" s="63"/>
      <c r="C192" s="64">
        <v>37806.5</v>
      </c>
      <c r="D192" s="65">
        <v>0.79783310480175662</v>
      </c>
      <c r="E192" s="65"/>
      <c r="F192" s="72"/>
      <c r="G192" s="64"/>
      <c r="H192" s="64"/>
      <c r="I192" s="53"/>
    </row>
    <row r="193" spans="2:9" x14ac:dyDescent="0.25">
      <c r="B193" s="72"/>
      <c r="C193" s="64">
        <v>37807.5</v>
      </c>
      <c r="D193" s="64">
        <v>0.7725597077788241</v>
      </c>
      <c r="E193" s="65"/>
      <c r="F193" s="72"/>
      <c r="G193" s="64"/>
      <c r="H193" s="64"/>
      <c r="I193" s="53"/>
    </row>
    <row r="194" spans="2:9" x14ac:dyDescent="0.25">
      <c r="C194" s="9">
        <v>37808.5</v>
      </c>
      <c r="D194" s="9">
        <v>0.74513610338185698</v>
      </c>
      <c r="E194" s="65"/>
      <c r="G194" s="53"/>
      <c r="H194" s="53"/>
      <c r="I194" s="53"/>
    </row>
    <row r="195" spans="2:9" x14ac:dyDescent="0.25">
      <c r="C195" s="9">
        <v>37809.5</v>
      </c>
      <c r="D195" s="9">
        <v>0.71562304867688131</v>
      </c>
      <c r="E195" s="65"/>
      <c r="G195" s="53"/>
      <c r="H195" s="53"/>
      <c r="I195" s="53"/>
    </row>
    <row r="196" spans="2:9" x14ac:dyDescent="0.25">
      <c r="C196" s="9">
        <v>37810.5</v>
      </c>
      <c r="D196" s="9">
        <v>0.68414110046366616</v>
      </c>
      <c r="E196" s="65"/>
      <c r="G196" s="53"/>
      <c r="H196" s="53"/>
      <c r="I196" s="53"/>
    </row>
    <row r="197" spans="2:9" x14ac:dyDescent="0.25">
      <c r="C197" s="9">
        <v>37811.5</v>
      </c>
      <c r="D197" s="9">
        <v>0.65087424661609383</v>
      </c>
      <c r="E197" s="65"/>
      <c r="G197" s="53"/>
      <c r="H197" s="53"/>
      <c r="I197" s="53"/>
    </row>
    <row r="198" spans="2:9" x14ac:dyDescent="0.25">
      <c r="C198" s="9">
        <v>37812.5</v>
      </c>
      <c r="D198" s="9">
        <v>0.61606990640824155</v>
      </c>
      <c r="E198" s="65"/>
      <c r="G198" s="53"/>
      <c r="H198" s="53"/>
      <c r="I198" s="53"/>
    </row>
    <row r="199" spans="2:9" x14ac:dyDescent="0.25">
      <c r="C199" s="9">
        <v>37813.5</v>
      </c>
      <c r="D199" s="9">
        <v>0.58003464995789233</v>
      </c>
      <c r="E199" s="65"/>
      <c r="G199" s="53"/>
      <c r="H199" s="53"/>
      <c r="I199" s="53"/>
    </row>
    <row r="200" spans="2:9" x14ac:dyDescent="0.25">
      <c r="C200" s="9">
        <v>37814.5</v>
      </c>
      <c r="D200" s="9">
        <v>0.54312540973269186</v>
      </c>
      <c r="E200" s="65"/>
      <c r="G200" s="53"/>
      <c r="H200" s="53"/>
      <c r="I200" s="53"/>
    </row>
    <row r="201" spans="2:9" x14ac:dyDescent="0.25">
      <c r="C201" s="9">
        <v>37815.5</v>
      </c>
      <c r="D201" s="9">
        <v>0.50573649787531938</v>
      </c>
      <c r="E201" s="65"/>
      <c r="G201" s="53"/>
      <c r="H201" s="53"/>
      <c r="I201" s="53"/>
    </row>
    <row r="202" spans="2:9" x14ac:dyDescent="0.25">
      <c r="C202" s="9">
        <v>37816.5</v>
      </c>
      <c r="D202" s="9">
        <v>0.46828331346233132</v>
      </c>
      <c r="E202" s="65"/>
      <c r="G202" s="53"/>
      <c r="H202" s="53"/>
      <c r="I202" s="53"/>
    </row>
    <row r="203" spans="2:9" x14ac:dyDescent="0.25">
      <c r="C203" s="9">
        <v>37817.5</v>
      </c>
      <c r="D203" s="9">
        <v>0.43118411183772998</v>
      </c>
      <c r="E203" s="65"/>
      <c r="G203" s="53"/>
      <c r="H203" s="53"/>
      <c r="I203" s="53"/>
    </row>
    <row r="204" spans="2:9" x14ac:dyDescent="0.25">
      <c r="C204" s="9">
        <v>37818.5</v>
      </c>
      <c r="D204" s="9">
        <v>0.39484150763108683</v>
      </c>
      <c r="E204" s="65"/>
      <c r="G204" s="53"/>
      <c r="H204" s="53"/>
      <c r="I204" s="53"/>
    </row>
    <row r="205" spans="2:9" x14ac:dyDescent="0.25">
      <c r="C205" s="9">
        <v>37819.5</v>
      </c>
      <c r="D205" s="9">
        <v>0.35962542496913763</v>
      </c>
      <c r="E205" s="65"/>
      <c r="G205" s="53"/>
      <c r="H205" s="53"/>
      <c r="I205" s="53"/>
    </row>
    <row r="206" spans="2:9" x14ac:dyDescent="0.25">
      <c r="C206" s="9">
        <v>37820.5</v>
      </c>
      <c r="D206" s="9">
        <v>0.32585898285623605</v>
      </c>
      <c r="E206" s="65"/>
      <c r="G206" s="53"/>
      <c r="H206" s="53"/>
      <c r="I206" s="53"/>
    </row>
    <row r="207" spans="2:9" x14ac:dyDescent="0.25">
      <c r="C207" s="9">
        <v>37821.5</v>
      </c>
      <c r="D207" s="9">
        <v>0.29380836323121118</v>
      </c>
      <c r="E207" s="65"/>
      <c r="G207" s="53"/>
      <c r="H207" s="53"/>
      <c r="I207" s="53"/>
    </row>
    <row r="208" spans="2:9" x14ac:dyDescent="0.25">
      <c r="C208" s="9">
        <v>37822.5</v>
      </c>
      <c r="D208" s="9">
        <v>0.26367715178528073</v>
      </c>
      <c r="E208" s="65"/>
      <c r="G208" s="53"/>
      <c r="H208" s="53"/>
      <c r="I208" s="53"/>
    </row>
    <row r="209" spans="3:9" x14ac:dyDescent="0.25">
      <c r="C209" s="9">
        <v>37823.5</v>
      </c>
      <c r="D209" s="9">
        <v>0.23560508082824672</v>
      </c>
      <c r="E209" s="65"/>
      <c r="G209" s="53"/>
      <c r="H209" s="53"/>
      <c r="I209" s="53"/>
    </row>
    <row r="210" spans="3:9" x14ac:dyDescent="0.25">
      <c r="C210" s="9">
        <v>37824.5</v>
      </c>
      <c r="D210" s="9">
        <v>0.20967063743947068</v>
      </c>
      <c r="E210" s="65"/>
      <c r="G210" s="53"/>
      <c r="H210" s="53"/>
      <c r="I210" s="53"/>
    </row>
    <row r="211" spans="3:9" x14ac:dyDescent="0.25">
      <c r="C211" s="9">
        <v>37825.5</v>
      </c>
      <c r="D211" s="9">
        <v>0.18589668998513509</v>
      </c>
      <c r="E211" s="65"/>
      <c r="G211" s="53"/>
      <c r="H211" s="53"/>
      <c r="I211" s="53"/>
    </row>
    <row r="212" spans="3:9" x14ac:dyDescent="0.25">
      <c r="C212" s="9">
        <v>37826.5</v>
      </c>
      <c r="D212" s="9">
        <v>0.16425814922380866</v>
      </c>
      <c r="E212" s="65"/>
      <c r="G212" s="53"/>
      <c r="H212" s="53"/>
      <c r="I212" s="53"/>
    </row>
    <row r="213" spans="3:9" x14ac:dyDescent="0.25">
      <c r="C213" s="9">
        <v>37827.5</v>
      </c>
      <c r="D213" s="9">
        <v>0.14469069694444792</v>
      </c>
      <c r="E213" s="65"/>
      <c r="G213" s="53"/>
      <c r="H213" s="53"/>
      <c r="I213" s="53"/>
    </row>
    <row r="214" spans="3:9" x14ac:dyDescent="0.25">
      <c r="C214" s="9">
        <v>37828.5</v>
      </c>
      <c r="D214" s="9">
        <v>0.12709974296797055</v>
      </c>
      <c r="E214" s="65"/>
      <c r="G214" s="53"/>
      <c r="H214" s="53"/>
      <c r="I214" s="53"/>
    </row>
    <row r="215" spans="3:9" x14ac:dyDescent="0.25">
      <c r="C215" s="9">
        <v>37829.5</v>
      </c>
      <c r="D215" s="9">
        <v>0.11136896093811099</v>
      </c>
      <c r="E215" s="65"/>
      <c r="G215" s="53"/>
      <c r="H215" s="53"/>
      <c r="I215" s="53"/>
    </row>
    <row r="216" spans="3:9" x14ac:dyDescent="0.25">
      <c r="C216" s="9">
        <v>37830.5</v>
      </c>
      <c r="D216" s="9">
        <v>9.7367960303295087E-2</v>
      </c>
      <c r="E216" s="65"/>
      <c r="G216" s="53"/>
      <c r="H216" s="53"/>
      <c r="I216" s="53"/>
    </row>
    <row r="217" spans="3:9" x14ac:dyDescent="0.25">
      <c r="C217" s="9">
        <v>37831.5</v>
      </c>
      <c r="D217" s="9">
        <v>8.4958843777534709E-2</v>
      </c>
      <c r="E217" s="65"/>
      <c r="G217" s="53"/>
      <c r="H217" s="53"/>
      <c r="I217" s="53"/>
    </row>
    <row r="218" spans="3:9" x14ac:dyDescent="0.25">
      <c r="C218" s="9">
        <v>37832.5</v>
      </c>
      <c r="D218" s="9">
        <v>7.4001557409438701E-2</v>
      </c>
      <c r="E218" s="65"/>
      <c r="G218" s="53"/>
      <c r="H218" s="53"/>
      <c r="I218" s="53"/>
    </row>
    <row r="219" spans="3:9" x14ac:dyDescent="0.25">
      <c r="C219" s="9">
        <v>37833.5</v>
      </c>
      <c r="D219" s="9">
        <v>6.4358056974210931E-2</v>
      </c>
      <c r="E219" s="65"/>
      <c r="G219" s="53"/>
      <c r="H219" s="53"/>
      <c r="I219" s="53"/>
    </row>
    <row r="220" spans="3:9" x14ac:dyDescent="0.25">
      <c r="C220" s="9">
        <v>37834.5</v>
      </c>
      <c r="D220" s="9">
        <v>5.5895390906604558E-2</v>
      </c>
      <c r="E220" s="65"/>
      <c r="G220" s="53"/>
      <c r="H220" s="53"/>
      <c r="I220" s="53"/>
    </row>
    <row r="221" spans="3:9" x14ac:dyDescent="0.25">
      <c r="C221" s="9">
        <v>37835.5</v>
      </c>
      <c r="D221" s="9">
        <v>4.8487842437026307E-2</v>
      </c>
      <c r="E221" s="65"/>
      <c r="G221" s="53"/>
      <c r="H221" s="53"/>
      <c r="I221" s="53"/>
    </row>
    <row r="222" spans="3:9" x14ac:dyDescent="0.25">
      <c r="C222" s="9">
        <v>37836.5</v>
      </c>
      <c r="D222" s="9">
        <v>4.2018289963551392E-2</v>
      </c>
      <c r="E222" s="65"/>
      <c r="G222" s="53"/>
      <c r="H222" s="53"/>
      <c r="I222" s="53"/>
    </row>
    <row r="223" spans="3:9" x14ac:dyDescent="0.25">
      <c r="C223" s="9">
        <v>37837.5</v>
      </c>
      <c r="D223" s="9">
        <v>3.6378942971083794E-2</v>
      </c>
      <c r="E223" s="65"/>
      <c r="G223" s="53"/>
      <c r="H223" s="53"/>
      <c r="I223" s="53"/>
    </row>
    <row r="224" spans="3:9" x14ac:dyDescent="0.25">
      <c r="C224" s="9">
        <v>37838.5</v>
      </c>
      <c r="D224" s="9">
        <v>3.147159787810494E-2</v>
      </c>
      <c r="E224" s="65"/>
      <c r="G224" s="53"/>
      <c r="H224" s="53"/>
      <c r="I224" s="53"/>
    </row>
    <row r="225" spans="3:9" x14ac:dyDescent="0.25">
      <c r="C225" s="9">
        <v>37839.5</v>
      </c>
      <c r="D225" s="9">
        <v>2.7207539400781577E-2</v>
      </c>
      <c r="E225" s="65"/>
      <c r="G225" s="53"/>
      <c r="H225" s="53"/>
      <c r="I225" s="53"/>
    </row>
    <row r="226" spans="3:9" x14ac:dyDescent="0.25">
      <c r="C226" s="9">
        <v>37840.5</v>
      </c>
      <c r="D226" s="9">
        <v>2.350719217767816E-2</v>
      </c>
      <c r="E226" s="65"/>
      <c r="G226" s="53"/>
      <c r="H226" s="53"/>
      <c r="I226" s="53"/>
    </row>
    <row r="227" spans="3:9" x14ac:dyDescent="0.25">
      <c r="C227" s="9">
        <v>37841.5</v>
      </c>
      <c r="D227" s="9">
        <v>2.0299606966050265E-2</v>
      </c>
      <c r="E227" s="65"/>
      <c r="G227" s="53"/>
      <c r="H227" s="53"/>
      <c r="I227" s="53"/>
    </row>
    <row r="228" spans="3:9" x14ac:dyDescent="0.25">
      <c r="C228" s="9">
        <v>37842.5</v>
      </c>
      <c r="D228" s="9">
        <v>1.7521847133122215E-2</v>
      </c>
      <c r="E228" s="65"/>
      <c r="G228" s="53"/>
      <c r="H228" s="53"/>
      <c r="I228" s="53"/>
    </row>
    <row r="229" spans="3:9" x14ac:dyDescent="0.25">
      <c r="C229" s="9">
        <v>37843.5</v>
      </c>
      <c r="D229" s="9">
        <v>1.511832510717781E-2</v>
      </c>
      <c r="E229" s="65"/>
      <c r="G229" s="53"/>
      <c r="H229" s="53"/>
      <c r="I229" s="53"/>
    </row>
    <row r="230" spans="3:9" x14ac:dyDescent="0.25">
      <c r="C230" s="9">
        <v>37844.5</v>
      </c>
      <c r="D230" s="9">
        <v>1.3040125112587564E-2</v>
      </c>
      <c r="E230" s="65"/>
      <c r="G230" s="53"/>
      <c r="H230" s="53"/>
      <c r="I230" s="53"/>
    </row>
    <row r="231" spans="3:9" x14ac:dyDescent="0.25">
      <c r="C231" s="9">
        <v>37845.5</v>
      </c>
      <c r="D231" s="9">
        <v>1.1244337778071323E-2</v>
      </c>
      <c r="E231" s="65"/>
      <c r="G231" s="53"/>
      <c r="H231" s="53"/>
      <c r="I231" s="53"/>
    </row>
    <row r="232" spans="3:9" x14ac:dyDescent="0.25">
      <c r="C232" s="9">
        <v>37846.5</v>
      </c>
      <c r="D232" s="9">
        <v>9.6934238053025812E-3</v>
      </c>
      <c r="E232" s="65"/>
      <c r="G232" s="53"/>
      <c r="H232" s="53"/>
      <c r="I232" s="53"/>
    </row>
    <row r="233" spans="3:9" x14ac:dyDescent="0.25">
      <c r="C233" s="9">
        <v>37847.5</v>
      </c>
      <c r="D233" s="9">
        <v>8.3546174745615653E-3</v>
      </c>
      <c r="E233" s="65"/>
      <c r="G233" s="53"/>
      <c r="H233" s="53"/>
      <c r="I233" s="53"/>
    </row>
    <row r="234" spans="3:9" x14ac:dyDescent="0.25">
      <c r="C234" s="9">
        <v>37848.5</v>
      </c>
      <c r="D234" s="9">
        <v>7.1993759954323E-3</v>
      </c>
      <c r="E234" s="65"/>
      <c r="G234" s="53"/>
      <c r="H234" s="53"/>
      <c r="I234" s="53"/>
    </row>
    <row r="235" spans="3:9" x14ac:dyDescent="0.25">
      <c r="C235" s="9">
        <v>37849.5</v>
      </c>
      <c r="D235" s="9">
        <v>6.2028772571940394E-3</v>
      </c>
      <c r="E235" s="65"/>
      <c r="G235" s="53"/>
      <c r="H235" s="53"/>
      <c r="I235" s="53"/>
    </row>
    <row r="236" spans="3:9" x14ac:dyDescent="0.25">
      <c r="C236" s="9">
        <v>37850.5</v>
      </c>
      <c r="D236" s="9">
        <v>5.3435661091475462E-3</v>
      </c>
      <c r="E236" s="65"/>
      <c r="G236" s="53"/>
      <c r="H236" s="53"/>
      <c r="I236" s="53"/>
    </row>
    <row r="237" spans="3:9" x14ac:dyDescent="0.25">
      <c r="C237" s="9">
        <v>37851.5</v>
      </c>
      <c r="D237" s="9">
        <v>4.6027476644416865E-3</v>
      </c>
      <c r="E237" s="65"/>
      <c r="G237" s="53"/>
      <c r="H237" s="53"/>
      <c r="I237" s="53"/>
    </row>
    <row r="238" spans="3:9" x14ac:dyDescent="0.25">
      <c r="C238" s="9">
        <v>37852.5</v>
      </c>
      <c r="D238" s="9">
        <v>3.9642250751049657E-3</v>
      </c>
      <c r="E238" s="65"/>
      <c r="G238" s="53"/>
      <c r="H238" s="53"/>
      <c r="I238" s="53"/>
    </row>
    <row r="239" spans="3:9" x14ac:dyDescent="0.25">
      <c r="C239" s="9">
        <v>37853.5</v>
      </c>
      <c r="D239" s="9">
        <v>3.4139786141772488E-3</v>
      </c>
      <c r="E239" s="65"/>
      <c r="G239" s="53"/>
      <c r="H239" s="53"/>
      <c r="I239" s="53"/>
    </row>
    <row r="240" spans="3:9" x14ac:dyDescent="0.25">
      <c r="C240" s="9">
        <v>37854.5</v>
      </c>
      <c r="D240" s="9">
        <v>2.9398826007416279E-3</v>
      </c>
      <c r="E240" s="65"/>
      <c r="G240" s="53"/>
      <c r="H240" s="53"/>
      <c r="I240" s="53"/>
    </row>
    <row r="241" spans="3:9" x14ac:dyDescent="0.25">
      <c r="C241" s="9">
        <v>37855.5</v>
      </c>
      <c r="D241" s="9">
        <v>2.5314566216378953E-3</v>
      </c>
      <c r="E241" s="65"/>
      <c r="G241" s="53"/>
      <c r="H241" s="53"/>
      <c r="I241" s="53"/>
    </row>
    <row r="242" spans="3:9" x14ac:dyDescent="0.25">
      <c r="C242" s="9">
        <v>37856.5</v>
      </c>
      <c r="D242" s="9">
        <v>2.1796475691444606E-3</v>
      </c>
      <c r="E242" s="65"/>
      <c r="G242" s="53"/>
      <c r="H242" s="53"/>
      <c r="I242" s="53"/>
    </row>
    <row r="243" spans="3:9" x14ac:dyDescent="0.25">
      <c r="C243" s="9">
        <v>37857.5</v>
      </c>
      <c r="D243" s="9">
        <v>1.8766391747334632E-3</v>
      </c>
      <c r="E243" s="65"/>
      <c r="G243" s="53"/>
      <c r="H243" s="53"/>
      <c r="I243" s="53"/>
    </row>
    <row r="244" spans="3:9" x14ac:dyDescent="0.25">
      <c r="C244" s="9">
        <v>37858.5</v>
      </c>
      <c r="D244" s="9">
        <v>1.6156859371333487E-3</v>
      </c>
      <c r="E244" s="65"/>
      <c r="G244" s="53"/>
      <c r="H244" s="53"/>
      <c r="I244" s="53"/>
    </row>
    <row r="245" spans="3:9" x14ac:dyDescent="0.25">
      <c r="C245" s="9">
        <v>37859.5</v>
      </c>
      <c r="D245" s="9">
        <v>1.3909685912373293E-3</v>
      </c>
      <c r="E245" s="65"/>
      <c r="G245" s="53"/>
      <c r="H245" s="53"/>
      <c r="I245" s="53"/>
    </row>
    <row r="246" spans="3:9" x14ac:dyDescent="0.25">
      <c r="C246" s="9">
        <v>37860.5</v>
      </c>
      <c r="D246" s="9">
        <v>1.1974685239601879E-3</v>
      </c>
      <c r="E246" s="65"/>
      <c r="G246" s="53"/>
      <c r="H246" s="53"/>
      <c r="I246" s="53"/>
    </row>
    <row r="247" spans="3:9" x14ac:dyDescent="0.25">
      <c r="C247" s="9">
        <v>37861.5</v>
      </c>
      <c r="D247" s="9">
        <v>1.0308588011587183E-3</v>
      </c>
      <c r="E247" s="65"/>
      <c r="G247" s="53"/>
      <c r="H247" s="53"/>
      <c r="I247" s="53"/>
    </row>
    <row r="248" spans="3:9" x14ac:dyDescent="0.25">
      <c r="C248" s="9">
        <v>37862.5</v>
      </c>
      <c r="D248" s="9">
        <v>8.8740971783596301E-4</v>
      </c>
      <c r="E248" s="65"/>
      <c r="G248" s="53"/>
      <c r="H248" s="53"/>
      <c r="I248" s="53"/>
    </row>
    <row r="249" spans="3:9" x14ac:dyDescent="0.25">
      <c r="C249" s="9">
        <v>37863.5</v>
      </c>
      <c r="D249" s="9">
        <v>7.6390701694539764E-4</v>
      </c>
      <c r="E249" s="65"/>
      <c r="G249" s="53"/>
      <c r="H249" s="53"/>
      <c r="I249" s="53"/>
    </row>
    <row r="250" spans="3:9" x14ac:dyDescent="0.25">
      <c r="C250" s="9">
        <v>37864.5</v>
      </c>
      <c r="D250" s="9">
        <v>6.5758113740532753E-4</v>
      </c>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zoomScaleNormal="100" workbookViewId="0">
      <selection activeCell="A9" sqref="A9:A13"/>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c r="U1" s="4" t="s">
        <v>46</v>
      </c>
      <c r="X1" s="4" t="s">
        <v>46</v>
      </c>
    </row>
    <row r="2" spans="1:50" ht="19.5" thickBot="1" x14ac:dyDescent="0.4">
      <c r="A2" s="5">
        <v>2016</v>
      </c>
      <c r="B2" s="6">
        <v>1.3</v>
      </c>
      <c r="C2" s="4" t="s">
        <v>6</v>
      </c>
      <c r="F2" s="3" t="s">
        <v>0</v>
      </c>
      <c r="G2" s="7" t="s">
        <v>7</v>
      </c>
      <c r="H2" s="7" t="s">
        <v>8</v>
      </c>
      <c r="I2" s="96" t="s">
        <v>27</v>
      </c>
      <c r="J2" s="98">
        <v>41459</v>
      </c>
      <c r="K2" s="99">
        <v>41459</v>
      </c>
      <c r="U2" s="4">
        <v>20878.394804897132</v>
      </c>
      <c r="V2" s="4">
        <v>119.06045260344366</v>
      </c>
      <c r="X2" s="4">
        <v>20878.394804897132</v>
      </c>
      <c r="Y2" s="4">
        <v>119.06045260344366</v>
      </c>
    </row>
    <row r="3" spans="1:50" ht="21" thickBot="1" x14ac:dyDescent="0.4">
      <c r="A3" s="104">
        <v>37766.5</v>
      </c>
      <c r="C3" s="9"/>
      <c r="F3" s="73" t="s">
        <v>25</v>
      </c>
      <c r="G3" s="126">
        <v>1</v>
      </c>
      <c r="H3" s="11"/>
      <c r="I3">
        <f>G5-(1/G4)*LN((2*G3)-1)</f>
        <v>43.626438468354344</v>
      </c>
      <c r="J3" s="3" t="s">
        <v>9</v>
      </c>
      <c r="U3" s="4">
        <v>119.06045260344366</v>
      </c>
      <c r="V3" s="4">
        <v>8.7510845692958554</v>
      </c>
      <c r="X3" s="4">
        <v>119.06045260344366</v>
      </c>
      <c r="Y3" s="4">
        <v>8.7510845692958554</v>
      </c>
    </row>
    <row r="4" spans="1:50" ht="16.5" thickBot="1" x14ac:dyDescent="0.3">
      <c r="A4" s="12" t="s">
        <v>10</v>
      </c>
      <c r="C4" s="4" t="s">
        <v>11</v>
      </c>
      <c r="F4" s="13" t="s">
        <v>1</v>
      </c>
      <c r="G4" s="127">
        <v>0.17872151412064455</v>
      </c>
      <c r="H4" s="15">
        <v>1.0735866328236667E-2</v>
      </c>
      <c r="I4" s="2"/>
      <c r="J4" s="129">
        <f>SUM(H9:H66)</f>
        <v>3.3295769381530445</v>
      </c>
      <c r="K4" s="16">
        <f>SUMSQ(G9:G14)</f>
        <v>4.4865728600244304E-3</v>
      </c>
      <c r="L4" s="16"/>
      <c r="M4" s="139"/>
      <c r="N4" s="4">
        <f>1-0.317</f>
        <v>0.68300000000000005</v>
      </c>
    </row>
    <row r="5" spans="1:50" ht="16.5" thickBot="1" x14ac:dyDescent="0.3">
      <c r="C5" s="104">
        <v>37834.5</v>
      </c>
      <c r="F5" s="17" t="s">
        <v>2</v>
      </c>
      <c r="G5" s="128">
        <v>43.626438468354344</v>
      </c>
      <c r="H5" s="19">
        <v>0.52439037035964031</v>
      </c>
      <c r="I5" s="2"/>
      <c r="J5" s="20" t="s">
        <v>12</v>
      </c>
      <c r="K5" s="21"/>
      <c r="L5" s="21"/>
      <c r="N5" s="30"/>
      <c r="U5" s="4" t="s">
        <v>47</v>
      </c>
      <c r="W5" s="4" t="s">
        <v>8</v>
      </c>
      <c r="X5" s="4" t="s">
        <v>47</v>
      </c>
      <c r="Z5" s="4" t="s">
        <v>8</v>
      </c>
    </row>
    <row r="6" spans="1:50" ht="16.5" thickBot="1" x14ac:dyDescent="0.3">
      <c r="C6" s="22"/>
      <c r="G6" s="23"/>
      <c r="H6" s="9"/>
      <c r="K6" s="24"/>
      <c r="L6" s="24"/>
      <c r="U6" s="4">
        <f t="array" ref="U6:V7">2* 0.816036388668182^2*MINVERSE($U$2:$V$3)</f>
        <v>6.9155295490659147E-5</v>
      </c>
      <c r="V6" s="4">
        <v>-9.4087318158613963E-4</v>
      </c>
      <c r="W6" s="4">
        <v>8.3159662992738949E-3</v>
      </c>
      <c r="X6" s="4">
        <f t="array" ref="X6:Y7">2* 1.05349844773704^2*MINVERSE($X$2:$Y$3)</f>
        <v>1.1525882581776586E-4</v>
      </c>
      <c r="Y6" s="4">
        <v>-1.568121969310241E-3</v>
      </c>
      <c r="Z6" s="4">
        <v>1.0735866328236667E-2</v>
      </c>
    </row>
    <row r="7" spans="1:50" ht="16.5" thickBot="1" x14ac:dyDescent="0.3">
      <c r="E7" s="25"/>
      <c r="F7" s="26"/>
      <c r="G7" s="27"/>
      <c r="H7" s="28"/>
      <c r="J7" s="29"/>
      <c r="M7" s="29"/>
      <c r="O7" s="3" t="s">
        <v>26</v>
      </c>
      <c r="U7" s="4">
        <v>-9.4087318158613963E-4</v>
      </c>
      <c r="V7" s="4">
        <v>0.16499115631555158</v>
      </c>
      <c r="W7" s="4">
        <v>0.40619103426288422</v>
      </c>
      <c r="X7" s="4">
        <v>-1.568121969310241E-3</v>
      </c>
      <c r="Y7" s="4">
        <v>0.27498526052592076</v>
      </c>
      <c r="Z7" s="4">
        <v>0.52439037035964031</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row>
    <row r="9" spans="1:50" ht="16.5" thickBot="1" x14ac:dyDescent="0.3">
      <c r="A9" s="120">
        <v>8.9999999999999993E-3</v>
      </c>
      <c r="B9" s="124">
        <v>37792.5</v>
      </c>
      <c r="C9" s="121">
        <f t="shared" ref="C9:C13" si="0">1/(A9^2)</f>
        <v>12345.679012345681</v>
      </c>
      <c r="D9" s="106">
        <f t="shared" ref="D9:D13" si="1">IF(B9&lt;&gt;0,B9-$A$3+1,"")</f>
        <v>27</v>
      </c>
      <c r="E9" s="81">
        <v>5.2999999999999999E-2</v>
      </c>
      <c r="F9" s="41">
        <f t="shared" ref="F9:F13" si="2">IF(B9&lt;&gt;0,$G$3/(1+EXP(-$G$4*(D9-$G$5))),"")</f>
        <v>4.8730037991433259E-2</v>
      </c>
      <c r="G9" s="42">
        <f t="shared" ref="G9:G13" si="3">IF(B9&lt;&gt;0,E9-F9,"")</f>
        <v>4.2699620085667397E-3</v>
      </c>
      <c r="H9" s="43">
        <f t="shared" ref="H9:H13" si="4">IF(B9&lt;&gt;0,C9*(G9)^2,"")</f>
        <v>0.22509352536547297</v>
      </c>
      <c r="J9" s="105">
        <f>A3</f>
        <v>37766.5</v>
      </c>
      <c r="K9" s="109">
        <v>1</v>
      </c>
      <c r="L9" s="125">
        <f t="shared" ref="L9:L72" si="5">$G$3/(1+EXP(-$G$4*(K9-$G$5)))</f>
        <v>4.9115396781314151E-4</v>
      </c>
      <c r="M9" s="46">
        <f>IF(J10&gt;MAX($B$9:$B$64),L9,N9)</f>
        <v>3.1121623501212576E-7</v>
      </c>
      <c r="N9" s="130">
        <v>3.1121623501212576E-7</v>
      </c>
      <c r="O9" s="89">
        <f t="shared" ref="O9:O72" si="6">IF(N9=M9,N9,M9)</f>
        <v>3.1121623501212576E-7</v>
      </c>
      <c r="U9" s="4" t="s">
        <v>48</v>
      </c>
      <c r="X9" s="4" t="s">
        <v>48</v>
      </c>
    </row>
    <row r="10" spans="1:50" ht="16.5" thickBot="1" x14ac:dyDescent="0.3">
      <c r="A10" s="120">
        <v>3.9E-2</v>
      </c>
      <c r="B10" s="124">
        <v>37801.5</v>
      </c>
      <c r="C10" s="121">
        <f t="shared" si="0"/>
        <v>657.46219592373438</v>
      </c>
      <c r="D10" s="106">
        <f t="shared" si="1"/>
        <v>36</v>
      </c>
      <c r="E10" s="81">
        <v>0.13900000000000001</v>
      </c>
      <c r="F10" s="41">
        <f t="shared" si="2"/>
        <v>0.2037517561047178</v>
      </c>
      <c r="G10" s="42">
        <f t="shared" si="3"/>
        <v>-6.4751756104717784E-2</v>
      </c>
      <c r="H10" s="43">
        <f t="shared" si="4"/>
        <v>2.7566008669591433</v>
      </c>
      <c r="I10" s="52"/>
      <c r="J10" s="105">
        <f t="shared" ref="J10:J73" si="7">J9+1</f>
        <v>37767.5</v>
      </c>
      <c r="K10" s="109">
        <v>2</v>
      </c>
      <c r="L10" s="125">
        <f t="shared" si="5"/>
        <v>5.8721032738094322E-4</v>
      </c>
      <c r="M10" s="46">
        <f t="shared" ref="M10:M73" si="8">IF(J11&gt;MAX($B$9:$B$64),L10,N10)</f>
        <v>4.4350593880565207E-7</v>
      </c>
      <c r="N10" s="130">
        <v>4.4350593880565207E-7</v>
      </c>
      <c r="O10" s="89">
        <f t="shared" si="6"/>
        <v>4.4350593880565207E-7</v>
      </c>
      <c r="Q10" s="4" t="s">
        <v>48</v>
      </c>
      <c r="U10" s="4">
        <v>0.99999999999999978</v>
      </c>
      <c r="V10" s="4">
        <v>-0.27854029800333147</v>
      </c>
      <c r="X10" s="4">
        <v>1</v>
      </c>
      <c r="Y10" s="4">
        <v>-0.27854029800333147</v>
      </c>
    </row>
    <row r="11" spans="1:50" ht="16.5" thickBot="1" x14ac:dyDescent="0.3">
      <c r="A11" s="120">
        <v>3.7999999999999999E-2</v>
      </c>
      <c r="B11" s="124">
        <v>37808.5</v>
      </c>
      <c r="C11" s="121">
        <f t="shared" si="0"/>
        <v>692.52077562326872</v>
      </c>
      <c r="D11" s="106">
        <f t="shared" si="1"/>
        <v>43</v>
      </c>
      <c r="E11" s="81">
        <v>0.46800000000000003</v>
      </c>
      <c r="F11" s="41">
        <f t="shared" si="2"/>
        <v>0.47203969195019341</v>
      </c>
      <c r="G11" s="42">
        <f t="shared" si="3"/>
        <v>-4.0396919501933803E-3</v>
      </c>
      <c r="H11" s="43">
        <f t="shared" si="4"/>
        <v>1.1301323443529914E-2</v>
      </c>
      <c r="J11" s="105">
        <f t="shared" si="7"/>
        <v>37768.5</v>
      </c>
      <c r="K11" s="109">
        <v>3</v>
      </c>
      <c r="L11" s="125">
        <f t="shared" si="5"/>
        <v>7.0203950370174926E-4</v>
      </c>
      <c r="M11" s="46">
        <f t="shared" si="8"/>
        <v>6.3202842450478264E-7</v>
      </c>
      <c r="N11" s="130">
        <v>6.3202842450478264E-7</v>
      </c>
      <c r="O11" s="89">
        <f t="shared" si="6"/>
        <v>6.3202842450478264E-7</v>
      </c>
      <c r="Q11" s="4">
        <v>1</v>
      </c>
      <c r="R11" s="4">
        <v>-0.82806316245865486</v>
      </c>
      <c r="U11" s="4">
        <v>-0.27854029800333147</v>
      </c>
      <c r="V11" s="4">
        <v>1</v>
      </c>
      <c r="X11" s="4">
        <v>-0.27854029800333147</v>
      </c>
      <c r="Y11" s="4">
        <v>1</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4.1000000000000002E-2</v>
      </c>
      <c r="B12" s="124">
        <v>37810.5</v>
      </c>
      <c r="C12" s="121">
        <f t="shared" si="0"/>
        <v>594.8839976204639</v>
      </c>
      <c r="D12" s="106">
        <f t="shared" si="1"/>
        <v>45</v>
      </c>
      <c r="E12" s="81">
        <v>0.54500000000000004</v>
      </c>
      <c r="F12" s="41">
        <f t="shared" si="2"/>
        <v>0.56106489451381525</v>
      </c>
      <c r="G12" s="42">
        <f t="shared" si="3"/>
        <v>-1.6064894513815209E-2</v>
      </c>
      <c r="H12" s="43">
        <f t="shared" si="4"/>
        <v>0.15352815927424746</v>
      </c>
      <c r="J12" s="105">
        <f t="shared" si="7"/>
        <v>37769.5</v>
      </c>
      <c r="K12" s="109">
        <v>4</v>
      </c>
      <c r="L12" s="125">
        <f t="shared" si="5"/>
        <v>8.3930470637357565E-4</v>
      </c>
      <c r="M12" s="46">
        <f t="shared" si="8"/>
        <v>9.0068669305005554E-7</v>
      </c>
      <c r="N12" s="130">
        <v>9.0068669305005554E-7</v>
      </c>
      <c r="O12" s="89">
        <f t="shared" si="6"/>
        <v>9.0068669305005554E-7</v>
      </c>
      <c r="P12" s="44">
        <v>40326</v>
      </c>
      <c r="Q12" s="1">
        <v>1.3958317686261709E-4</v>
      </c>
      <c r="R12" s="100">
        <v>543</v>
      </c>
      <c r="S12" s="100">
        <f>R12*AVERAGE(L12:L13)</f>
        <v>0.5002893132004369</v>
      </c>
      <c r="T12" s="101">
        <f t="shared" ref="T12:T47" si="9">R12-S12</f>
        <v>542.49971068679952</v>
      </c>
      <c r="AE12" s="93">
        <f>J12</f>
        <v>37769.5</v>
      </c>
      <c r="AF12" s="92">
        <f>Logistic2010!Q12</f>
        <v>1.3958317686261709E-4</v>
      </c>
      <c r="AG12" s="4">
        <f t="shared" ref="AG12:AG75" si="10">AI12</f>
        <v>1.3958317686261709E-4</v>
      </c>
      <c r="AH12" s="92">
        <f>Logistic2011!Q12</f>
        <v>1.3958317686261709E-4</v>
      </c>
      <c r="AI12" s="92">
        <f>Logistic2012!Q12</f>
        <v>1.3958317686261709E-4</v>
      </c>
      <c r="AJ12" s="92">
        <f>Logistic2013!L12</f>
        <v>2.9882028383729665E-4</v>
      </c>
      <c r="AK12" s="119">
        <f>Logistic2014!AK12</f>
        <v>4.1531400063546034E-4</v>
      </c>
      <c r="AL12" s="119">
        <f>L12</f>
        <v>8.3930470637357565E-4</v>
      </c>
      <c r="AM12" s="113"/>
      <c r="AN12" s="113"/>
      <c r="AO12" s="113"/>
      <c r="AP12" s="113"/>
      <c r="AQ12" s="113"/>
      <c r="AR12" s="113"/>
      <c r="AS12" s="113"/>
      <c r="AT12" s="114"/>
      <c r="AU12" s="114"/>
    </row>
    <row r="13" spans="1:50" ht="16.5" thickBot="1" x14ac:dyDescent="0.3">
      <c r="A13" s="145">
        <v>2.1999999999999999E-2</v>
      </c>
      <c r="B13" s="124">
        <v>37822.5</v>
      </c>
      <c r="C13" s="121">
        <f t="shared" si="0"/>
        <v>2066.1157024793392</v>
      </c>
      <c r="D13" s="106">
        <f t="shared" si="1"/>
        <v>57</v>
      </c>
      <c r="E13" s="81">
        <v>0.91500000000000004</v>
      </c>
      <c r="F13" s="41">
        <f t="shared" si="2"/>
        <v>0.91607257588659419</v>
      </c>
      <c r="G13" s="42">
        <f t="shared" si="3"/>
        <v>-1.0725758865941515E-3</v>
      </c>
      <c r="H13" s="43">
        <f t="shared" si="4"/>
        <v>2.376898827486013E-3</v>
      </c>
      <c r="J13" s="105">
        <f t="shared" si="7"/>
        <v>37770.5</v>
      </c>
      <c r="K13" s="109">
        <v>5</v>
      </c>
      <c r="L13" s="125">
        <f t="shared" si="5"/>
        <v>1.0033815300921221E-3</v>
      </c>
      <c r="M13" s="46">
        <f t="shared" si="8"/>
        <v>1.2835442124779599E-6</v>
      </c>
      <c r="N13" s="130">
        <v>1.2835442124779599E-6</v>
      </c>
      <c r="O13" s="89">
        <f t="shared" si="6"/>
        <v>1.2835442124779599E-6</v>
      </c>
      <c r="P13" s="48">
        <v>40327</v>
      </c>
      <c r="Q13" s="1">
        <v>1.7045928901654236E-4</v>
      </c>
      <c r="R13" s="100">
        <v>2664</v>
      </c>
      <c r="S13" s="100">
        <f t="shared" ref="S13:S70" si="11">R13*AVERAGE(L13:L14)</f>
        <v>2.9342321366638831</v>
      </c>
      <c r="T13" s="101">
        <f t="shared" si="9"/>
        <v>2661.0657678633361</v>
      </c>
      <c r="AE13" s="93">
        <f t="shared" ref="AE13:AE76" si="12">J13</f>
        <v>37770.5</v>
      </c>
      <c r="AF13" s="92">
        <f>Logistic2010!Q13</f>
        <v>1.7045928901654236E-4</v>
      </c>
      <c r="AG13" s="4">
        <f t="shared" si="10"/>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13">L13</f>
        <v>1.0033815300921221E-3</v>
      </c>
      <c r="AM13" s="113">
        <v>2011</v>
      </c>
      <c r="AO13" s="113">
        <v>2010</v>
      </c>
      <c r="AP13" s="113">
        <v>2012</v>
      </c>
      <c r="AQ13" s="113"/>
      <c r="AR13" t="s">
        <v>28</v>
      </c>
      <c r="AS13"/>
      <c r="AT13"/>
      <c r="AU13"/>
      <c r="AV13"/>
      <c r="AW13"/>
      <c r="AX13"/>
    </row>
    <row r="14" spans="1:50" x14ac:dyDescent="0.25">
      <c r="A14" s="120"/>
      <c r="B14" s="124"/>
      <c r="C14" s="121"/>
      <c r="D14" s="106"/>
      <c r="E14" s="81"/>
      <c r="F14" s="41"/>
      <c r="G14" s="42"/>
      <c r="H14" s="43"/>
      <c r="J14" s="105">
        <f t="shared" si="7"/>
        <v>37771.5</v>
      </c>
      <c r="K14" s="109">
        <v>6</v>
      </c>
      <c r="L14" s="125">
        <f t="shared" si="5"/>
        <v>1.1994954493852676E-3</v>
      </c>
      <c r="M14" s="46">
        <f t="shared" si="8"/>
        <v>1.8291437965967419E-6</v>
      </c>
      <c r="N14" s="130">
        <v>1.8291437965967419E-6</v>
      </c>
      <c r="O14" s="89">
        <f t="shared" si="6"/>
        <v>1.8291437965967419E-6</v>
      </c>
      <c r="P14" s="48">
        <v>40328</v>
      </c>
      <c r="Q14" s="1">
        <v>0</v>
      </c>
      <c r="R14" s="100">
        <v>963</v>
      </c>
      <c r="S14" s="100">
        <f t="shared" si="11"/>
        <v>1.2679728803632626</v>
      </c>
      <c r="T14" s="101">
        <f t="shared" si="9"/>
        <v>961.73202711963677</v>
      </c>
      <c r="AE14" s="93">
        <f t="shared" si="12"/>
        <v>37771.5</v>
      </c>
      <c r="AF14" s="92">
        <f>Logistic2010!Q14</f>
        <v>2.0816384458125417E-4</v>
      </c>
      <c r="AG14" s="4">
        <f t="shared" si="10"/>
        <v>0</v>
      </c>
      <c r="AH14" s="92">
        <f>Logistic2011!Q14</f>
        <v>2.0816384458125417E-4</v>
      </c>
      <c r="AI14" s="92">
        <f>Logistic2012!Q14</f>
        <v>0</v>
      </c>
      <c r="AJ14" s="92">
        <f>Logistic2013!L14</f>
        <v>4.436902928409236E-4</v>
      </c>
      <c r="AK14" s="119">
        <f>Logistic2014!AK14</f>
        <v>6.0857479252525697E-4</v>
      </c>
      <c r="AL14" s="119">
        <f t="shared" si="13"/>
        <v>1.1994954493852676E-3</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7"/>
        <v>37772.5</v>
      </c>
      <c r="K15" s="109">
        <v>7</v>
      </c>
      <c r="L15" s="125">
        <f t="shared" si="5"/>
        <v>1.433885402874883E-3</v>
      </c>
      <c r="M15" s="46">
        <f t="shared" si="8"/>
        <v>2.6066622560821447E-6</v>
      </c>
      <c r="N15" s="130">
        <v>2.6066622560821447E-6</v>
      </c>
      <c r="O15" s="89">
        <f t="shared" si="6"/>
        <v>2.6066622560821447E-6</v>
      </c>
      <c r="P15" s="48">
        <v>40329</v>
      </c>
      <c r="Q15" s="1">
        <v>6.2104077545281245E-5</v>
      </c>
      <c r="R15" s="100">
        <v>1106</v>
      </c>
      <c r="S15" s="100">
        <f t="shared" si="11"/>
        <v>1.7407796460307816</v>
      </c>
      <c r="T15" s="101">
        <f t="shared" si="9"/>
        <v>1104.2592203539691</v>
      </c>
      <c r="AE15" s="93">
        <f t="shared" si="12"/>
        <v>37772.5</v>
      </c>
      <c r="AF15" s="92">
        <f>Logistic2010!Q15</f>
        <v>2.542062975332477E-4</v>
      </c>
      <c r="AG15" s="4">
        <f t="shared" si="10"/>
        <v>6.2104077545281245E-5</v>
      </c>
      <c r="AH15" s="92">
        <f>Logistic2011!Q15</f>
        <v>3.5888786587624556E-5</v>
      </c>
      <c r="AI15" s="92">
        <f>Logistic2012!Q15</f>
        <v>6.2104077545281245E-5</v>
      </c>
      <c r="AJ15" s="92">
        <f>Logistic2013!L15</f>
        <v>5.4063505283763783E-4</v>
      </c>
      <c r="AK15" s="119">
        <f>Logistic2014!AK15</f>
        <v>7.3666320070702633E-4</v>
      </c>
      <c r="AL15" s="119">
        <f t="shared" si="13"/>
        <v>1.433885402874883E-3</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I16" s="146"/>
      <c r="J16" s="105">
        <f t="shared" si="7"/>
        <v>37773.5</v>
      </c>
      <c r="K16" s="109">
        <v>8</v>
      </c>
      <c r="L16" s="125">
        <f t="shared" si="5"/>
        <v>1.7139982246672178E-3</v>
      </c>
      <c r="M16" s="46">
        <f t="shared" si="8"/>
        <v>3.7146810897353246E-6</v>
      </c>
      <c r="N16" s="130">
        <v>3.7146810897353246E-6</v>
      </c>
      <c r="O16" s="89">
        <f t="shared" si="6"/>
        <v>3.7146810897353246E-6</v>
      </c>
      <c r="P16" s="48">
        <v>40330</v>
      </c>
      <c r="Q16" s="1">
        <v>8.271689671114933E-5</v>
      </c>
      <c r="R16" s="100">
        <v>3668</v>
      </c>
      <c r="S16" s="100">
        <f t="shared" si="11"/>
        <v>6.9008242413352008</v>
      </c>
      <c r="T16" s="101">
        <f t="shared" si="9"/>
        <v>3661.0991757586648</v>
      </c>
      <c r="AE16" s="93">
        <f t="shared" si="12"/>
        <v>37773.5</v>
      </c>
      <c r="AF16" s="92">
        <f>Logistic2010!Q16</f>
        <v>3.1042942936064727E-4</v>
      </c>
      <c r="AG16" s="4">
        <f t="shared" si="10"/>
        <v>8.271689671114933E-5</v>
      </c>
      <c r="AH16" s="92">
        <f>Logistic2011!Q16</f>
        <v>4.6160789501698919E-5</v>
      </c>
      <c r="AI16" s="92">
        <f>Logistic2012!Q16</f>
        <v>8.271689671114933E-5</v>
      </c>
      <c r="AJ16" s="92">
        <f>Logistic2013!L16</f>
        <v>6.5874794022489089E-4</v>
      </c>
      <c r="AK16" s="119">
        <f>Logistic2014!AK16</f>
        <v>8.9168667425910237E-4</v>
      </c>
      <c r="AL16" s="119">
        <f t="shared" si="13"/>
        <v>1.7139982246672178E-3</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14">IF(B17&lt;&gt;0,B17-$A$3+1,"")</f>
        <v/>
      </c>
      <c r="E17" s="81"/>
      <c r="F17" s="50" t="str">
        <f t="shared" ref="F17:F65" si="15">IF(B17&lt;&gt;0,$G$3/(1+EXP(-$G$4*(D17-$G$5))),"")</f>
        <v/>
      </c>
      <c r="G17" s="16" t="str">
        <f t="shared" ref="G17:G65" si="16">IF(B17&lt;&gt;0,E17-F17,"")</f>
        <v/>
      </c>
      <c r="H17" s="51" t="str">
        <f t="shared" ref="H17:H65" si="17">IF(B17&lt;&gt;0,C17*(G17)^2,"")</f>
        <v/>
      </c>
      <c r="J17" s="105">
        <f t="shared" si="7"/>
        <v>37774.5</v>
      </c>
      <c r="K17" s="109">
        <v>9</v>
      </c>
      <c r="L17" s="125">
        <f t="shared" si="5"/>
        <v>2.0487194641742226E-3</v>
      </c>
      <c r="M17" s="46">
        <f t="shared" si="8"/>
        <v>5.2936850821911276E-6</v>
      </c>
      <c r="N17" s="130">
        <v>5.2936850821911276E-6</v>
      </c>
      <c r="O17" s="89">
        <f t="shared" si="6"/>
        <v>5.2936850821911276E-6</v>
      </c>
      <c r="P17" s="48">
        <v>40331</v>
      </c>
      <c r="Q17" s="1">
        <v>1.1017051470513796E-4</v>
      </c>
      <c r="R17" s="100">
        <v>2939</v>
      </c>
      <c r="S17" s="100">
        <f t="shared" si="11"/>
        <v>6.6088800351808024</v>
      </c>
      <c r="T17" s="101">
        <f t="shared" si="9"/>
        <v>2932.3911199648192</v>
      </c>
      <c r="AE17" s="93">
        <f t="shared" si="12"/>
        <v>37774.5</v>
      </c>
      <c r="AF17" s="92">
        <f>Logistic2010!Q17</f>
        <v>3.7908278806435145E-4</v>
      </c>
      <c r="AG17" s="4">
        <f t="shared" si="10"/>
        <v>1.1017051470513796E-4</v>
      </c>
      <c r="AH17" s="92">
        <f>Logistic2011!Q17</f>
        <v>5.9372646030949961E-5</v>
      </c>
      <c r="AI17" s="92">
        <f>Logistic2012!Q17</f>
        <v>1.1017051470513796E-4</v>
      </c>
      <c r="AJ17" s="92">
        <f>Logistic2013!L17</f>
        <v>8.0264430321866907E-4</v>
      </c>
      <c r="AK17" s="119">
        <f>Logistic2014!AK17</f>
        <v>1.0792980661665267E-3</v>
      </c>
      <c r="AL17" s="119">
        <f t="shared" si="13"/>
        <v>2.0487194641742226E-3</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14"/>
        <v/>
      </c>
      <c r="E18" s="81"/>
      <c r="F18" s="50" t="str">
        <f t="shared" si="15"/>
        <v/>
      </c>
      <c r="G18" s="16" t="str">
        <f t="shared" si="16"/>
        <v/>
      </c>
      <c r="H18" s="51" t="str">
        <f t="shared" si="17"/>
        <v/>
      </c>
      <c r="J18" s="105">
        <f t="shared" si="7"/>
        <v>37775.5</v>
      </c>
      <c r="K18" s="109">
        <v>10</v>
      </c>
      <c r="L18" s="125">
        <f t="shared" si="5"/>
        <v>2.4486470109403081E-3</v>
      </c>
      <c r="M18" s="46">
        <f t="shared" si="8"/>
        <v>7.543873151853996E-6</v>
      </c>
      <c r="N18" s="130">
        <v>7.543873151853996E-6</v>
      </c>
      <c r="O18" s="89">
        <f t="shared" si="6"/>
        <v>7.543873151853996E-6</v>
      </c>
      <c r="P18" s="48">
        <v>40332</v>
      </c>
      <c r="Q18" s="1">
        <v>1.4673461154601208E-4</v>
      </c>
      <c r="R18" s="100">
        <v>2148</v>
      </c>
      <c r="S18" s="100">
        <f t="shared" si="11"/>
        <v>5.7728164926880172</v>
      </c>
      <c r="T18" s="101">
        <f t="shared" si="9"/>
        <v>2142.227183507312</v>
      </c>
      <c r="AE18" s="93">
        <f t="shared" si="12"/>
        <v>37775.5</v>
      </c>
      <c r="AF18" s="92">
        <f>Logistic2010!Q18</f>
        <v>4.6291222449000769E-4</v>
      </c>
      <c r="AG18" s="4">
        <f t="shared" si="10"/>
        <v>1.4673461154601208E-4</v>
      </c>
      <c r="AH18" s="92">
        <f>Logistic2011!Q18</f>
        <v>7.6365629883993208E-5</v>
      </c>
      <c r="AI18" s="92">
        <f>Logistic2012!Q18</f>
        <v>1.4673461154601208E-4</v>
      </c>
      <c r="AJ18" s="92">
        <f>Logistic2013!L18</f>
        <v>9.7794251088522961E-4</v>
      </c>
      <c r="AK18" s="119">
        <f>Logistic2014!AK18</f>
        <v>1.3063313918701522E-3</v>
      </c>
      <c r="AL18" s="119">
        <f t="shared" si="13"/>
        <v>2.4486470109403081E-3</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14"/>
        <v/>
      </c>
      <c r="E19" s="81"/>
      <c r="F19" s="50" t="str">
        <f t="shared" si="15"/>
        <v/>
      </c>
      <c r="G19" s="16" t="str">
        <f t="shared" si="16"/>
        <v/>
      </c>
      <c r="H19" s="51" t="str">
        <f t="shared" si="17"/>
        <v/>
      </c>
      <c r="J19" s="105">
        <f t="shared" si="7"/>
        <v>37776.5</v>
      </c>
      <c r="K19" s="109">
        <v>11</v>
      </c>
      <c r="L19" s="125">
        <f t="shared" si="5"/>
        <v>2.9264149003148288E-3</v>
      </c>
      <c r="M19" s="46">
        <f t="shared" si="8"/>
        <v>1.0750538956072072E-5</v>
      </c>
      <c r="N19" s="130">
        <v>1.0750538956072072E-5</v>
      </c>
      <c r="O19" s="89">
        <f t="shared" si="6"/>
        <v>1.0750538956072072E-5</v>
      </c>
      <c r="P19" s="48">
        <v>40333</v>
      </c>
      <c r="Q19" s="1">
        <v>1.9543146345089269E-4</v>
      </c>
      <c r="R19" s="100">
        <v>5309</v>
      </c>
      <c r="S19" s="100">
        <f t="shared" si="11"/>
        <v>17.051155797969621</v>
      </c>
      <c r="T19" s="101">
        <f t="shared" si="9"/>
        <v>5291.9488442020302</v>
      </c>
      <c r="W19" s="4">
        <v>1</v>
      </c>
      <c r="X19" s="4">
        <v>0.23502364558685596</v>
      </c>
      <c r="AE19" s="93">
        <f t="shared" si="12"/>
        <v>37776.5</v>
      </c>
      <c r="AF19" s="92">
        <f>Logistic2010!Q19</f>
        <v>5.6526901369757224E-4</v>
      </c>
      <c r="AG19" s="4">
        <f t="shared" si="10"/>
        <v>1.9543146345089269E-4</v>
      </c>
      <c r="AH19" s="92">
        <f>Logistic2011!Q19</f>
        <v>9.8221680405067934E-5</v>
      </c>
      <c r="AI19" s="92">
        <f>Logistic2012!Q19</f>
        <v>1.9543146345089269E-4</v>
      </c>
      <c r="AJ19" s="92">
        <f>Logistic2013!L19</f>
        <v>1.19148034540422E-3</v>
      </c>
      <c r="AK19" s="119">
        <f>Logistic2014!AK19</f>
        <v>1.5810462162153941E-3</v>
      </c>
      <c r="AL19" s="119">
        <f t="shared" si="13"/>
        <v>2.9264149003148288E-3</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14"/>
        <v/>
      </c>
      <c r="E20" s="81"/>
      <c r="F20" s="50" t="str">
        <f t="shared" si="15"/>
        <v/>
      </c>
      <c r="G20" s="16" t="str">
        <f t="shared" si="16"/>
        <v/>
      </c>
      <c r="H20" s="51" t="str">
        <f t="shared" si="17"/>
        <v/>
      </c>
      <c r="J20" s="105">
        <f t="shared" si="7"/>
        <v>37777.5</v>
      </c>
      <c r="K20" s="109">
        <v>12</v>
      </c>
      <c r="L20" s="125">
        <f t="shared" si="5"/>
        <v>3.4970756997867421E-3</v>
      </c>
      <c r="M20" s="46">
        <f t="shared" si="8"/>
        <v>1.5320237759159121E-5</v>
      </c>
      <c r="N20" s="130">
        <v>1.5320237759159121E-5</v>
      </c>
      <c r="O20" s="89">
        <f t="shared" si="6"/>
        <v>1.5320237759159121E-5</v>
      </c>
      <c r="P20" s="48">
        <v>40334</v>
      </c>
      <c r="Q20" s="1">
        <v>2.6028514457293443E-4</v>
      </c>
      <c r="R20" s="100">
        <v>3853</v>
      </c>
      <c r="S20" s="100">
        <f t="shared" si="11"/>
        <v>14.787094697118629</v>
      </c>
      <c r="T20" s="101">
        <f t="shared" si="9"/>
        <v>3838.2129053028812</v>
      </c>
      <c r="U20" s="40">
        <v>40712</v>
      </c>
      <c r="V20" s="92">
        <v>3.5999999999999997E-2</v>
      </c>
      <c r="W20" s="92">
        <v>0.2350236455868559</v>
      </c>
      <c r="X20" s="92">
        <v>1</v>
      </c>
      <c r="Y20" s="92"/>
      <c r="Z20" s="92"/>
      <c r="AE20" s="93">
        <f t="shared" si="12"/>
        <v>37777.5</v>
      </c>
      <c r="AF20" s="92">
        <f>Logistic2010!Q20</f>
        <v>6.9024278465830858E-4</v>
      </c>
      <c r="AG20" s="4">
        <f t="shared" si="10"/>
        <v>2.6028514457293443E-4</v>
      </c>
      <c r="AH20" s="92">
        <f>Logistic2011!Q20</f>
        <v>1.2633220159905076E-4</v>
      </c>
      <c r="AI20" s="92">
        <f>Logistic2012!Q20</f>
        <v>2.6028514457293443E-4</v>
      </c>
      <c r="AJ20" s="92">
        <f>Logistic2013!L20</f>
        <v>1.4515773097888444E-3</v>
      </c>
      <c r="AK20" s="119">
        <f>Logistic2014!AK20</f>
        <v>1.9134214809037675E-3</v>
      </c>
      <c r="AL20" s="119">
        <f t="shared" si="13"/>
        <v>3.4970756997867421E-3</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14"/>
        <v/>
      </c>
      <c r="E21" s="81"/>
      <c r="F21" s="50" t="str">
        <f t="shared" si="15"/>
        <v/>
      </c>
      <c r="G21" s="16" t="str">
        <f t="shared" si="16"/>
        <v/>
      </c>
      <c r="H21" s="51" t="str">
        <f t="shared" si="17"/>
        <v/>
      </c>
      <c r="I21" s="9">
        <f>1-0.15</f>
        <v>0.85</v>
      </c>
      <c r="J21" s="105">
        <f t="shared" si="7"/>
        <v>37778.5</v>
      </c>
      <c r="K21" s="109">
        <v>13</v>
      </c>
      <c r="L21" s="125">
        <f t="shared" si="5"/>
        <v>4.1785509273186972E-3</v>
      </c>
      <c r="M21" s="46">
        <f>IF(J22&gt;MAX($B$9:$B$64),L21,N21)</f>
        <v>2.1832322085948411E-5</v>
      </c>
      <c r="N21" s="130">
        <v>2.1832322085948411E-5</v>
      </c>
      <c r="O21" s="89">
        <f t="shared" si="6"/>
        <v>2.1832322085948411E-5</v>
      </c>
      <c r="P21" s="48">
        <v>40335</v>
      </c>
      <c r="Q21" s="1">
        <v>3.4665297481631412E-4</v>
      </c>
      <c r="R21" s="100">
        <v>10476</v>
      </c>
      <c r="S21" s="100">
        <f t="shared" si="11"/>
        <v>48.036183671365407</v>
      </c>
      <c r="T21" s="101">
        <f t="shared" si="9"/>
        <v>10427.963816328634</v>
      </c>
      <c r="U21" s="49">
        <v>40713</v>
      </c>
      <c r="V21" s="92"/>
      <c r="W21" s="92"/>
      <c r="X21" s="92"/>
      <c r="Y21" s="92"/>
      <c r="Z21" s="92"/>
      <c r="AE21" s="93">
        <f t="shared" si="12"/>
        <v>37778.5</v>
      </c>
      <c r="AF21" s="92">
        <f>Logistic2010!Q21</f>
        <v>8.428233623178356E-4</v>
      </c>
      <c r="AG21" s="4">
        <f t="shared" si="10"/>
        <v>3.4665297481631412E-4</v>
      </c>
      <c r="AH21" s="92">
        <f>Logistic2011!Q21</f>
        <v>1.624864967222617E-4</v>
      </c>
      <c r="AI21" s="92">
        <f>Logistic2012!Q21</f>
        <v>3.4665297481631412E-4</v>
      </c>
      <c r="AJ21" s="92">
        <f>Logistic2013!L21</f>
        <v>1.7683522199292421E-3</v>
      </c>
      <c r="AK21" s="119">
        <f>Logistic2014!AK21</f>
        <v>2.3155082495920514E-3</v>
      </c>
      <c r="AL21" s="119">
        <f t="shared" si="13"/>
        <v>4.1785509273186972E-3</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14"/>
        <v/>
      </c>
      <c r="E22" s="81"/>
      <c r="F22" s="50" t="str">
        <f t="shared" si="15"/>
        <v/>
      </c>
      <c r="G22" s="16" t="str">
        <f t="shared" si="16"/>
        <v/>
      </c>
      <c r="H22" s="51" t="str">
        <f t="shared" si="17"/>
        <v/>
      </c>
      <c r="I22" s="53"/>
      <c r="J22" s="105">
        <f t="shared" si="7"/>
        <v>37779.5</v>
      </c>
      <c r="K22" s="109">
        <v>14</v>
      </c>
      <c r="L22" s="125">
        <f t="shared" si="5"/>
        <v>4.9921599683218926E-3</v>
      </c>
      <c r="M22" s="46">
        <f t="shared" si="8"/>
        <v>3.1112374086324488E-5</v>
      </c>
      <c r="N22" s="130">
        <v>3.1112374086324488E-5</v>
      </c>
      <c r="O22" s="89">
        <f t="shared" si="6"/>
        <v>3.1112374086324488E-5</v>
      </c>
      <c r="P22" s="48">
        <v>40336</v>
      </c>
      <c r="Q22" s="1">
        <v>4.6166614885428784E-4</v>
      </c>
      <c r="R22" s="100">
        <v>15768</v>
      </c>
      <c r="S22" s="100">
        <f t="shared" si="11"/>
        <v>86.372364161917929</v>
      </c>
      <c r="T22" s="101">
        <f t="shared" si="9"/>
        <v>15681.627635838082</v>
      </c>
      <c r="U22" s="49">
        <v>40714</v>
      </c>
      <c r="V22" s="92"/>
      <c r="W22" s="92"/>
      <c r="X22" s="92"/>
      <c r="Y22" s="92"/>
      <c r="Z22" s="92"/>
      <c r="AE22" s="93">
        <f t="shared" si="12"/>
        <v>37779.5</v>
      </c>
      <c r="AF22" s="92">
        <f>Logistic2010!Q22</f>
        <v>1.0290976755680944E-3</v>
      </c>
      <c r="AG22" s="4">
        <f t="shared" si="10"/>
        <v>4.6166614885428784E-4</v>
      </c>
      <c r="AH22" s="92">
        <f>Logistic2011!Q22</f>
        <v>2.0898542158394941E-4</v>
      </c>
      <c r="AI22" s="92">
        <f>Logistic2012!Q22</f>
        <v>4.6166614885428784E-4</v>
      </c>
      <c r="AJ22" s="92">
        <f>Logistic2013!L22</f>
        <v>2.1541071781976768E-3</v>
      </c>
      <c r="AK22" s="119">
        <f>Logistic2014!AK22</f>
        <v>2.801852416196298E-3</v>
      </c>
      <c r="AL22" s="119">
        <f t="shared" si="13"/>
        <v>4.9921599683218926E-3</v>
      </c>
      <c r="AM22" s="110">
        <v>0.69199999999999995</v>
      </c>
      <c r="AO22" s="110">
        <v>0.70699999999999996</v>
      </c>
      <c r="AP22" s="113">
        <v>0.997</v>
      </c>
      <c r="AQ22" s="110"/>
      <c r="AR22" t="s">
        <v>35</v>
      </c>
      <c r="AS22"/>
      <c r="AT22"/>
      <c r="AU22"/>
      <c r="AV22"/>
      <c r="AW22"/>
      <c r="AX22"/>
    </row>
    <row r="23" spans="1:50" x14ac:dyDescent="0.25">
      <c r="A23" s="39"/>
      <c r="B23" s="49"/>
      <c r="C23" s="79"/>
      <c r="D23" s="86" t="str">
        <f t="shared" si="14"/>
        <v/>
      </c>
      <c r="E23" s="81"/>
      <c r="F23" s="50" t="str">
        <f t="shared" si="15"/>
        <v/>
      </c>
      <c r="G23" s="16" t="str">
        <f t="shared" si="16"/>
        <v/>
      </c>
      <c r="H23" s="51" t="str">
        <f t="shared" si="17"/>
        <v/>
      </c>
      <c r="I23" s="53"/>
      <c r="J23" s="105">
        <f t="shared" si="7"/>
        <v>37780.5</v>
      </c>
      <c r="K23" s="109">
        <v>15</v>
      </c>
      <c r="L23" s="125">
        <f t="shared" si="5"/>
        <v>5.9632388345596315E-3</v>
      </c>
      <c r="M23" s="46">
        <f t="shared" si="8"/>
        <v>4.4336832295415093E-5</v>
      </c>
      <c r="N23" s="130">
        <v>4.4336832295415093E-5</v>
      </c>
      <c r="O23" s="89">
        <f t="shared" si="6"/>
        <v>4.4336832295415093E-5</v>
      </c>
      <c r="P23" s="48">
        <v>40337</v>
      </c>
      <c r="Q23" s="1">
        <v>6.1481514040778599E-4</v>
      </c>
      <c r="R23" s="100">
        <v>13548</v>
      </c>
      <c r="S23" s="100">
        <f t="shared" si="11"/>
        <v>88.638464170444024</v>
      </c>
      <c r="T23" s="101">
        <f t="shared" si="9"/>
        <v>13459.361535829556</v>
      </c>
      <c r="U23" s="49">
        <v>40715</v>
      </c>
      <c r="V23" s="92"/>
      <c r="W23" s="92"/>
      <c r="X23" s="92"/>
      <c r="Y23" s="92"/>
      <c r="Z23" s="92"/>
      <c r="AE23" s="93">
        <f t="shared" si="12"/>
        <v>37780.5</v>
      </c>
      <c r="AF23" s="92">
        <f>Logistic2010!Q23</f>
        <v>1.2564891276397731E-3</v>
      </c>
      <c r="AG23" s="4">
        <f t="shared" si="10"/>
        <v>6.1481514040778599E-4</v>
      </c>
      <c r="AH23" s="92">
        <f>Logistic2011!Q23</f>
        <v>2.6878741349269233E-4</v>
      </c>
      <c r="AI23" s="92">
        <f>Logistic2012!Q23</f>
        <v>6.1481514040778599E-4</v>
      </c>
      <c r="AJ23" s="92">
        <f>Logistic2013!L23</f>
        <v>2.6237909806921655E-3</v>
      </c>
      <c r="AK23" s="119">
        <f>Logistic2014!AK23</f>
        <v>3.3900001278880923E-3</v>
      </c>
      <c r="AL23" s="119">
        <f t="shared" si="13"/>
        <v>5.9632388345596315E-3</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14"/>
        <v/>
      </c>
      <c r="E24" s="81"/>
      <c r="F24" s="50" t="str">
        <f t="shared" si="15"/>
        <v/>
      </c>
      <c r="G24" s="16" t="str">
        <f t="shared" si="16"/>
        <v/>
      </c>
      <c r="H24" s="51" t="str">
        <f t="shared" si="17"/>
        <v/>
      </c>
      <c r="I24" s="53"/>
      <c r="J24" s="105">
        <f t="shared" si="7"/>
        <v>37781.5</v>
      </c>
      <c r="K24" s="109">
        <v>16</v>
      </c>
      <c r="L24" s="125">
        <f t="shared" si="5"/>
        <v>7.1218606886827678E-3</v>
      </c>
      <c r="M24" s="46">
        <f t="shared" si="8"/>
        <v>6.3182052340935858E-5</v>
      </c>
      <c r="N24" s="130">
        <v>6.3182052340935858E-5</v>
      </c>
      <c r="O24" s="89">
        <f t="shared" si="6"/>
        <v>6.3182052340935858E-5</v>
      </c>
      <c r="P24" s="48">
        <v>40338</v>
      </c>
      <c r="Q24" s="1">
        <v>8.1872679212602632E-4</v>
      </c>
      <c r="R24" s="100">
        <v>8722</v>
      </c>
      <c r="S24" s="100">
        <f t="shared" si="11"/>
        <v>68.142939802796121</v>
      </c>
      <c r="T24" s="101">
        <f t="shared" si="9"/>
        <v>8653.8570601972042</v>
      </c>
      <c r="U24" s="49">
        <v>40716</v>
      </c>
      <c r="V24" s="92"/>
      <c r="W24" s="92"/>
      <c r="X24" s="92"/>
      <c r="Y24" s="92"/>
      <c r="Z24" s="92"/>
      <c r="AE24" s="93">
        <f t="shared" si="12"/>
        <v>37781.5</v>
      </c>
      <c r="AF24" s="92">
        <f>Logistic2010!Q24</f>
        <v>1.5340482859932569E-3</v>
      </c>
      <c r="AG24" s="4">
        <f t="shared" si="10"/>
        <v>8.1872679212602632E-4</v>
      </c>
      <c r="AH24" s="92">
        <f>Logistic2011!Q24</f>
        <v>3.4569606119318159E-4</v>
      </c>
      <c r="AI24" s="92">
        <f>Logistic2012!Q24</f>
        <v>8.1872679212602632E-4</v>
      </c>
      <c r="AJ24" s="92">
        <f>Logistic2013!L24</f>
        <v>3.1955571705628975E-3</v>
      </c>
      <c r="AK24" s="119">
        <f>Logistic2014!AK24</f>
        <v>4.101100461714453E-3</v>
      </c>
      <c r="AL24" s="119">
        <f t="shared" si="13"/>
        <v>7.1218606886827678E-3</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14"/>
        <v/>
      </c>
      <c r="E25" s="81"/>
      <c r="F25" s="50" t="str">
        <f t="shared" si="15"/>
        <v/>
      </c>
      <c r="G25" s="16" t="str">
        <f t="shared" si="16"/>
        <v/>
      </c>
      <c r="H25" s="51" t="str">
        <f t="shared" si="17"/>
        <v/>
      </c>
      <c r="I25" s="54"/>
      <c r="J25" s="105">
        <f t="shared" si="7"/>
        <v>37782.5</v>
      </c>
      <c r="K25" s="109">
        <v>17</v>
      </c>
      <c r="L25" s="125">
        <f t="shared" si="5"/>
        <v>8.5036701076474583E-3</v>
      </c>
      <c r="M25" s="46">
        <f t="shared" si="8"/>
        <v>9.003664795384782E-5</v>
      </c>
      <c r="N25" s="130">
        <v>9.003664795384782E-5</v>
      </c>
      <c r="O25" s="89">
        <f t="shared" si="6"/>
        <v>9.003664795384782E-5</v>
      </c>
      <c r="P25" s="48">
        <v>40339</v>
      </c>
      <c r="Q25" s="1">
        <v>1.0901946909765959E-3</v>
      </c>
      <c r="R25" s="100">
        <v>10831</v>
      </c>
      <c r="S25" s="100">
        <f t="shared" si="11"/>
        <v>101.02351160134933</v>
      </c>
      <c r="T25" s="101">
        <f t="shared" si="9"/>
        <v>10729.97648839865</v>
      </c>
      <c r="U25" s="49">
        <v>40717</v>
      </c>
      <c r="V25" s="92"/>
      <c r="W25" s="92"/>
      <c r="X25" s="92"/>
      <c r="Y25" s="92"/>
      <c r="Z25" s="92"/>
      <c r="AE25" s="93">
        <f t="shared" si="12"/>
        <v>37782.5</v>
      </c>
      <c r="AF25" s="92">
        <f>Logistic2010!Q25</f>
        <v>1.8728054475450151E-3</v>
      </c>
      <c r="AG25" s="4">
        <f t="shared" si="10"/>
        <v>1.0901946909765959E-3</v>
      </c>
      <c r="AH25" s="92">
        <f>Logistic2011!Q25</f>
        <v>4.4460093825327419E-4</v>
      </c>
      <c r="AI25" s="92">
        <f>Logistic2012!Q25</f>
        <v>1.0901946909765959E-3</v>
      </c>
      <c r="AJ25" s="92">
        <f>Logistic2013!L25</f>
        <v>3.8914342584479623E-3</v>
      </c>
      <c r="AK25" s="119">
        <f>Logistic2014!AK25</f>
        <v>4.960621659003208E-3</v>
      </c>
      <c r="AL25" s="119">
        <f t="shared" si="13"/>
        <v>8.5036701076474583E-3</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14"/>
        <v/>
      </c>
      <c r="E26" s="81"/>
      <c r="F26" s="50" t="str">
        <f t="shared" si="15"/>
        <v/>
      </c>
      <c r="G26" s="16" t="str">
        <f t="shared" si="16"/>
        <v/>
      </c>
      <c r="H26" s="51" t="str">
        <f t="shared" si="17"/>
        <v/>
      </c>
      <c r="I26" s="54"/>
      <c r="J26" s="105">
        <f t="shared" si="7"/>
        <v>37783.5</v>
      </c>
      <c r="K26" s="109">
        <v>18</v>
      </c>
      <c r="L26" s="125">
        <f t="shared" si="5"/>
        <v>1.0150842236798916E-2</v>
      </c>
      <c r="M26" s="46">
        <f t="shared" si="8"/>
        <v>1.2830392713932698E-4</v>
      </c>
      <c r="N26" s="130">
        <v>1.2830392713932698E-4</v>
      </c>
      <c r="O26" s="89">
        <f t="shared" si="6"/>
        <v>1.2830392713932698E-4</v>
      </c>
      <c r="P26" s="48">
        <v>40340</v>
      </c>
      <c r="Q26" s="1">
        <v>1.4515433191966043E-3</v>
      </c>
      <c r="R26" s="100">
        <v>10194</v>
      </c>
      <c r="S26" s="100">
        <f t="shared" si="11"/>
        <v>113.47969999799128</v>
      </c>
      <c r="T26" s="101">
        <f t="shared" si="9"/>
        <v>10080.520300002008</v>
      </c>
      <c r="U26" s="49">
        <v>40718</v>
      </c>
      <c r="V26" s="92"/>
      <c r="W26" s="92"/>
      <c r="X26" s="92"/>
      <c r="Y26" s="92"/>
      <c r="Z26" s="92"/>
      <c r="AE26" s="93">
        <f t="shared" si="12"/>
        <v>37783.5</v>
      </c>
      <c r="AF26" s="92">
        <f>Logistic2010!Q26</f>
        <v>2.2861975841660187E-3</v>
      </c>
      <c r="AG26" s="4">
        <f t="shared" si="10"/>
        <v>1.4515433191966043E-3</v>
      </c>
      <c r="AH26" s="92">
        <f>Logistic2011!Q26</f>
        <v>5.7178666821399956E-4</v>
      </c>
      <c r="AI26" s="92">
        <f>Logistic2012!Q26</f>
        <v>1.4515433191966043E-3</v>
      </c>
      <c r="AJ26" s="92">
        <f>Logistic2013!L26</f>
        <v>4.7381279726284222E-3</v>
      </c>
      <c r="AK26" s="119">
        <f>Logistic2014!AK26</f>
        <v>5.9991987892107617E-3</v>
      </c>
      <c r="AL26" s="119">
        <f t="shared" si="13"/>
        <v>1.0150842236798916E-2</v>
      </c>
      <c r="AM26" s="114"/>
      <c r="AN26" s="114"/>
      <c r="AO26" s="114"/>
      <c r="AP26" s="114"/>
      <c r="AQ26" s="114"/>
      <c r="AR26" s="110"/>
      <c r="AS26" s="110"/>
      <c r="AT26" s="110"/>
      <c r="AU26" s="110"/>
      <c r="AV26" s="110"/>
      <c r="AW26" s="110"/>
      <c r="AX26" s="110"/>
    </row>
    <row r="27" spans="1:50" ht="16.5" thickBot="1" x14ac:dyDescent="0.3">
      <c r="A27" s="39"/>
      <c r="B27" s="49"/>
      <c r="C27" s="79"/>
      <c r="D27" s="86" t="str">
        <f t="shared" si="14"/>
        <v/>
      </c>
      <c r="E27" s="81"/>
      <c r="F27" s="50" t="str">
        <f t="shared" si="15"/>
        <v/>
      </c>
      <c r="G27" s="16" t="str">
        <f t="shared" si="16"/>
        <v/>
      </c>
      <c r="H27" s="51" t="str">
        <f t="shared" si="17"/>
        <v/>
      </c>
      <c r="I27" s="54"/>
      <c r="J27" s="105">
        <f t="shared" si="7"/>
        <v>37784.5</v>
      </c>
      <c r="K27" s="109">
        <v>19</v>
      </c>
      <c r="L27" s="125">
        <f t="shared" si="5"/>
        <v>1.2113175812640223E-2</v>
      </c>
      <c r="M27" s="46">
        <f t="shared" si="8"/>
        <v>1.8283255021357849E-4</v>
      </c>
      <c r="N27" s="130">
        <v>1.8283255021357849E-4</v>
      </c>
      <c r="O27" s="89">
        <f t="shared" si="6"/>
        <v>1.8283255021357849E-4</v>
      </c>
      <c r="P27" s="48">
        <v>40341</v>
      </c>
      <c r="Q27" s="1">
        <v>1.9324304426046567E-3</v>
      </c>
      <c r="R27" s="100">
        <v>4837</v>
      </c>
      <c r="S27" s="100">
        <f t="shared" si="11"/>
        <v>64.241407831780847</v>
      </c>
      <c r="T27" s="101">
        <f t="shared" si="9"/>
        <v>4772.7585921682194</v>
      </c>
      <c r="U27" s="49">
        <v>40719</v>
      </c>
      <c r="V27" s="92">
        <v>7.0000000000000001E-3</v>
      </c>
      <c r="W27" s="92"/>
      <c r="X27" s="92"/>
      <c r="Y27" s="92"/>
      <c r="Z27" s="92"/>
      <c r="AE27" s="93">
        <f t="shared" si="12"/>
        <v>37784.5</v>
      </c>
      <c r="AF27" s="92">
        <f>Logistic2010!Q27</f>
        <v>2.7905843687065831E-3</v>
      </c>
      <c r="AG27" s="4">
        <f t="shared" si="10"/>
        <v>1.9324304426046567E-3</v>
      </c>
      <c r="AH27" s="92">
        <f>Logistic2011!Q27</f>
        <v>7.3532929350053459E-4</v>
      </c>
      <c r="AI27" s="92">
        <f>Logistic2012!Q27</f>
        <v>1.9324304426046567E-3</v>
      </c>
      <c r="AJ27" s="92">
        <f>Logistic2013!L27</f>
        <v>5.7679775716238009E-3</v>
      </c>
      <c r="AK27" s="119">
        <f>Logistic2014!AK27</f>
        <v>7.2536318036214055E-3</v>
      </c>
      <c r="AL27" s="119">
        <f t="shared" si="13"/>
        <v>1.2113175812640223E-2</v>
      </c>
      <c r="AM27" s="114"/>
      <c r="AO27" s="114"/>
      <c r="AP27" s="114"/>
      <c r="AQ27" s="114"/>
      <c r="AR27" s="111" t="s">
        <v>45</v>
      </c>
      <c r="AS27" s="111">
        <v>4.8233989090909093</v>
      </c>
      <c r="AT27" s="111">
        <v>32</v>
      </c>
      <c r="AU27" s="111"/>
      <c r="AV27" s="111"/>
      <c r="AW27" s="111"/>
      <c r="AX27" s="111"/>
    </row>
    <row r="28" spans="1:50" x14ac:dyDescent="0.25">
      <c r="A28" s="39"/>
      <c r="B28" s="49"/>
      <c r="C28" s="79"/>
      <c r="D28" s="86" t="str">
        <f t="shared" si="14"/>
        <v/>
      </c>
      <c r="E28" s="81"/>
      <c r="F28" s="50" t="str">
        <f t="shared" si="15"/>
        <v/>
      </c>
      <c r="G28" s="16" t="str">
        <f t="shared" si="16"/>
        <v/>
      </c>
      <c r="H28" s="51" t="str">
        <f t="shared" si="17"/>
        <v/>
      </c>
      <c r="I28" s="54"/>
      <c r="J28" s="105">
        <f t="shared" si="7"/>
        <v>37785.5</v>
      </c>
      <c r="K28" s="109">
        <v>20</v>
      </c>
      <c r="L28" s="125">
        <f t="shared" si="5"/>
        <v>1.4449324841393623E-2</v>
      </c>
      <c r="M28" s="46">
        <f t="shared" si="8"/>
        <v>2.6052956766402371E-4</v>
      </c>
      <c r="N28" s="130">
        <v>2.6052956766402371E-4</v>
      </c>
      <c r="O28" s="89">
        <f t="shared" si="6"/>
        <v>2.6052956766402371E-4</v>
      </c>
      <c r="P28" s="48">
        <v>40342</v>
      </c>
      <c r="Q28" s="1">
        <v>2.5722220404043386E-3</v>
      </c>
      <c r="R28" s="100">
        <v>8645</v>
      </c>
      <c r="S28" s="100">
        <f t="shared" si="11"/>
        <v>136.92595683014835</v>
      </c>
      <c r="T28" s="101">
        <f t="shared" si="9"/>
        <v>8508.0740431698523</v>
      </c>
      <c r="U28" s="40">
        <v>40720</v>
      </c>
      <c r="V28" s="92"/>
      <c r="W28" s="92"/>
      <c r="X28" s="92"/>
      <c r="Y28" s="92"/>
      <c r="Z28" s="92"/>
      <c r="AE28" s="93">
        <f t="shared" si="12"/>
        <v>37785.5</v>
      </c>
      <c r="AF28" s="92">
        <f>Logistic2010!Q28</f>
        <v>3.4058703908046778E-3</v>
      </c>
      <c r="AG28" s="4">
        <f t="shared" si="10"/>
        <v>2.5722220404043386E-3</v>
      </c>
      <c r="AH28" s="92">
        <f>Logistic2011!Q28</f>
        <v>9.4560418099634688E-4</v>
      </c>
      <c r="AI28" s="92">
        <f>Logistic2012!Q28</f>
        <v>2.5722220404043386E-3</v>
      </c>
      <c r="AJ28" s="92">
        <f>Logistic2013!L28</f>
        <v>7.0200899120878707E-3</v>
      </c>
      <c r="AK28" s="119">
        <f>Logistic2014!AK28</f>
        <v>8.7680531167695416E-3</v>
      </c>
      <c r="AL28" s="119">
        <f t="shared" si="13"/>
        <v>1.4449324841393623E-2</v>
      </c>
      <c r="AM28" s="114"/>
      <c r="AN28" s="114"/>
      <c r="AQ28" s="114"/>
      <c r="AR28" s="114"/>
      <c r="AS28" s="114"/>
      <c r="AT28" s="114"/>
      <c r="AU28" s="114"/>
    </row>
    <row r="29" spans="1:50" x14ac:dyDescent="0.25">
      <c r="A29" s="39"/>
      <c r="B29" s="49"/>
      <c r="C29" s="79"/>
      <c r="D29" s="86" t="str">
        <f t="shared" si="14"/>
        <v/>
      </c>
      <c r="E29" s="81"/>
      <c r="F29" s="50" t="str">
        <f t="shared" si="15"/>
        <v/>
      </c>
      <c r="G29" s="16" t="str">
        <f t="shared" si="16"/>
        <v/>
      </c>
      <c r="H29" s="51" t="str">
        <f t="shared" si="17"/>
        <v/>
      </c>
      <c r="I29" s="54"/>
      <c r="J29" s="105">
        <f t="shared" si="7"/>
        <v>37786.5</v>
      </c>
      <c r="K29" s="109">
        <v>21</v>
      </c>
      <c r="L29" s="125">
        <f t="shared" si="5"/>
        <v>1.7228166617287311E-2</v>
      </c>
      <c r="M29" s="46">
        <f t="shared" si="8"/>
        <v>3.7123266109304417E-4</v>
      </c>
      <c r="N29" s="130">
        <v>3.7123266109304417E-4</v>
      </c>
      <c r="O29" s="89">
        <f t="shared" si="6"/>
        <v>3.7123266109304417E-4</v>
      </c>
      <c r="P29" s="48">
        <v>40343</v>
      </c>
      <c r="Q29" s="1">
        <v>3.4231101794941045E-3</v>
      </c>
      <c r="R29" s="100">
        <v>6148</v>
      </c>
      <c r="S29" s="100">
        <f t="shared" si="11"/>
        <v>116.06950357008373</v>
      </c>
      <c r="T29" s="101">
        <f t="shared" si="9"/>
        <v>6031.9304964299163</v>
      </c>
      <c r="U29" s="49">
        <v>40721</v>
      </c>
      <c r="V29" s="92"/>
      <c r="W29" s="92"/>
      <c r="X29" s="92"/>
      <c r="Y29" s="92"/>
      <c r="Z29" s="92"/>
      <c r="AE29" s="93">
        <f t="shared" si="12"/>
        <v>37786.5</v>
      </c>
      <c r="AF29" s="92">
        <f>Logistic2010!Q29</f>
        <v>4.156253215078223E-3</v>
      </c>
      <c r="AG29" s="4">
        <f t="shared" si="10"/>
        <v>3.4231101794941045E-3</v>
      </c>
      <c r="AH29" s="92">
        <f>Logistic2011!Q29</f>
        <v>1.2159361420781157E-3</v>
      </c>
      <c r="AI29" s="92">
        <f>Logistic2012!Q29</f>
        <v>3.4231101794941045E-3</v>
      </c>
      <c r="AJ29" s="92">
        <f>Logistic2013!L29</f>
        <v>8.5416755801183825E-3</v>
      </c>
      <c r="AK29" s="119">
        <f>Logistic2014!AK29</f>
        <v>1.0595282474405681E-2</v>
      </c>
      <c r="AL29" s="119">
        <f t="shared" si="13"/>
        <v>1.7228166617287311E-2</v>
      </c>
      <c r="AM29" s="113"/>
      <c r="AN29" s="113"/>
      <c r="AP29" s="113"/>
      <c r="AQ29" s="113"/>
      <c r="AR29" s="113"/>
      <c r="AS29" s="113"/>
      <c r="AT29" s="114"/>
      <c r="AU29" s="114"/>
    </row>
    <row r="30" spans="1:50" x14ac:dyDescent="0.25">
      <c r="A30" s="39"/>
      <c r="B30" s="49"/>
      <c r="C30" s="79"/>
      <c r="D30" s="86" t="str">
        <f t="shared" si="14"/>
        <v/>
      </c>
      <c r="E30" s="81"/>
      <c r="F30" s="50" t="str">
        <f t="shared" si="15"/>
        <v/>
      </c>
      <c r="G30" s="16" t="str">
        <f t="shared" si="16"/>
        <v/>
      </c>
      <c r="H30" s="51" t="str">
        <f t="shared" si="17"/>
        <v/>
      </c>
      <c r="I30" s="54"/>
      <c r="J30" s="105">
        <f t="shared" si="7"/>
        <v>37787.5</v>
      </c>
      <c r="K30" s="109">
        <v>22</v>
      </c>
      <c r="L30" s="125">
        <f t="shared" si="5"/>
        <v>2.0530292579226589E-2</v>
      </c>
      <c r="M30" s="46">
        <f t="shared" si="8"/>
        <v>5.2895034459836269E-4</v>
      </c>
      <c r="N30" s="131">
        <v>5.2895034459836269E-4</v>
      </c>
      <c r="O30" s="89">
        <f t="shared" si="6"/>
        <v>5.2895034459836269E-4</v>
      </c>
      <c r="P30" s="48">
        <v>40344</v>
      </c>
      <c r="Q30" s="1">
        <v>4.5541859663405402E-3</v>
      </c>
      <c r="R30" s="100">
        <v>5114</v>
      </c>
      <c r="S30" s="100">
        <f t="shared" si="11"/>
        <v>115.01356426503163</v>
      </c>
      <c r="T30" s="101">
        <f t="shared" si="9"/>
        <v>4998.9864357349679</v>
      </c>
      <c r="U30" s="49">
        <v>40722</v>
      </c>
      <c r="V30" s="92"/>
      <c r="W30" s="92"/>
      <c r="X30" s="92"/>
      <c r="Y30" s="92"/>
      <c r="Z30" s="92"/>
      <c r="AE30" s="93">
        <f t="shared" si="12"/>
        <v>37787.5</v>
      </c>
      <c r="AF30" s="92">
        <f>Logistic2010!Q30</f>
        <v>5.0711194585093189E-3</v>
      </c>
      <c r="AG30" s="4">
        <f t="shared" si="10"/>
        <v>4.5541859663405402E-3</v>
      </c>
      <c r="AH30" s="92">
        <f>Logistic2011!Q30</f>
        <v>1.5634304169464023E-3</v>
      </c>
      <c r="AI30" s="92">
        <f>Logistic2012!Q30</f>
        <v>4.5541859663405402E-3</v>
      </c>
      <c r="AJ30" s="92">
        <f>Logistic2013!L30</f>
        <v>1.0389610148679944E-2</v>
      </c>
      <c r="AK30" s="119">
        <f>Logistic2014!AK30</f>
        <v>1.2798382995327439E-2</v>
      </c>
      <c r="AL30" s="119">
        <f t="shared" si="13"/>
        <v>2.0530292579226589E-2</v>
      </c>
      <c r="AM30" s="113"/>
      <c r="AN30" s="113"/>
      <c r="AO30" s="113"/>
      <c r="AP30" s="113"/>
      <c r="AQ30" s="113"/>
      <c r="AR30" s="113"/>
      <c r="AS30" s="113"/>
      <c r="AT30" s="114"/>
      <c r="AU30" s="114"/>
    </row>
    <row r="31" spans="1:50" x14ac:dyDescent="0.25">
      <c r="A31" s="39"/>
      <c r="B31" s="49"/>
      <c r="C31" s="79"/>
      <c r="D31" s="86" t="str">
        <f t="shared" si="14"/>
        <v/>
      </c>
      <c r="E31" s="81"/>
      <c r="F31" s="50" t="str">
        <f t="shared" si="15"/>
        <v/>
      </c>
      <c r="G31" s="16" t="str">
        <f t="shared" si="16"/>
        <v/>
      </c>
      <c r="H31" s="51" t="str">
        <f t="shared" si="17"/>
        <v/>
      </c>
      <c r="I31" s="54"/>
      <c r="J31" s="105">
        <f t="shared" si="7"/>
        <v>37788.5</v>
      </c>
      <c r="K31" s="109">
        <v>23</v>
      </c>
      <c r="L31" s="125">
        <f t="shared" si="5"/>
        <v>2.4449591763765832E-2</v>
      </c>
      <c r="M31" s="46">
        <f t="shared" si="8"/>
        <v>7.5362365201523903E-4</v>
      </c>
      <c r="N31" s="131">
        <v>7.5362365201523903E-4</v>
      </c>
      <c r="O31" s="89">
        <f t="shared" si="6"/>
        <v>7.5362365201523903E-4</v>
      </c>
      <c r="P31" s="48">
        <v>40345</v>
      </c>
      <c r="Q31" s="1">
        <v>6.0567243090960737E-3</v>
      </c>
      <c r="R31" s="100">
        <v>7184</v>
      </c>
      <c r="S31" s="100">
        <f t="shared" si="11"/>
        <v>192.33171581624597</v>
      </c>
      <c r="T31" s="101">
        <f t="shared" si="9"/>
        <v>6991.6682841837537</v>
      </c>
      <c r="U31" s="49">
        <v>40723</v>
      </c>
      <c r="V31" s="92"/>
      <c r="W31" s="92"/>
      <c r="X31" s="92"/>
      <c r="Y31" s="92"/>
      <c r="Z31" s="92"/>
      <c r="AE31" s="93">
        <f t="shared" si="12"/>
        <v>37788.5</v>
      </c>
      <c r="AF31" s="92">
        <f>Logistic2010!Q31</f>
        <v>6.18611330154804E-3</v>
      </c>
      <c r="AG31" s="4">
        <f t="shared" si="10"/>
        <v>6.0567243090960737E-3</v>
      </c>
      <c r="AH31" s="92">
        <f>Logistic2011!Q31</f>
        <v>2.0100329059479318E-3</v>
      </c>
      <c r="AI31" s="92">
        <f>Logistic2012!Q31</f>
        <v>6.0567243090960737E-3</v>
      </c>
      <c r="AJ31" s="92">
        <f>Logistic2013!L31</f>
        <v>1.263223931108238E-2</v>
      </c>
      <c r="AK31" s="119">
        <f>Logistic2014!AK31</f>
        <v>1.5452424589650317E-2</v>
      </c>
      <c r="AL31" s="119">
        <f t="shared" si="13"/>
        <v>2.4449591763765832E-2</v>
      </c>
      <c r="AM31" s="113"/>
      <c r="AO31" s="113"/>
      <c r="AP31" s="113"/>
      <c r="AQ31" s="113"/>
      <c r="AR31" t="s">
        <v>28</v>
      </c>
      <c r="AS31"/>
      <c r="AT31"/>
      <c r="AU31"/>
      <c r="AV31"/>
      <c r="AW31"/>
      <c r="AX31"/>
    </row>
    <row r="32" spans="1:50" x14ac:dyDescent="0.25">
      <c r="B32" s="49"/>
      <c r="C32" s="79"/>
      <c r="D32" s="86" t="str">
        <f t="shared" si="14"/>
        <v/>
      </c>
      <c r="E32" s="81"/>
      <c r="F32" s="50" t="str">
        <f t="shared" si="15"/>
        <v/>
      </c>
      <c r="G32" s="16" t="str">
        <f t="shared" si="16"/>
        <v/>
      </c>
      <c r="H32" s="51" t="str">
        <f t="shared" si="17"/>
        <v/>
      </c>
      <c r="I32" s="54"/>
      <c r="J32" s="105">
        <f t="shared" si="7"/>
        <v>37789.5</v>
      </c>
      <c r="K32" s="109">
        <v>24</v>
      </c>
      <c r="L32" s="125">
        <f t="shared" si="5"/>
        <v>2.9094872550333824E-2</v>
      </c>
      <c r="M32" s="46">
        <f t="shared" si="8"/>
        <v>1.0736251359755081E-3</v>
      </c>
      <c r="N32" s="131">
        <v>1.0736251359755081E-3</v>
      </c>
      <c r="O32" s="89">
        <f t="shared" si="6"/>
        <v>1.0736251359755081E-3</v>
      </c>
      <c r="P32" s="48">
        <v>40346</v>
      </c>
      <c r="Q32" s="1">
        <v>8.0509778061675936E-3</v>
      </c>
      <c r="R32" s="100">
        <v>8109</v>
      </c>
      <c r="S32" s="100">
        <f t="shared" si="11"/>
        <v>258.21613414571692</v>
      </c>
      <c r="T32" s="101">
        <f t="shared" si="9"/>
        <v>7850.7838658542832</v>
      </c>
      <c r="U32" s="49">
        <v>40724</v>
      </c>
      <c r="V32" s="92"/>
      <c r="W32" s="92"/>
      <c r="X32" s="92"/>
      <c r="Y32" s="92"/>
      <c r="Z32" s="92"/>
      <c r="AE32" s="93">
        <f t="shared" si="12"/>
        <v>37789.5</v>
      </c>
      <c r="AF32" s="92">
        <f>Logistic2010!Q32</f>
        <v>7.5444033609171311E-3</v>
      </c>
      <c r="AG32" s="4">
        <f t="shared" si="10"/>
        <v>8.0509778061675936E-3</v>
      </c>
      <c r="AH32" s="92">
        <f>Logistic2011!Q32</f>
        <v>2.5838796966125908E-3</v>
      </c>
      <c r="AI32" s="92">
        <f>Logistic2012!Q32</f>
        <v>8.0509778061675936E-3</v>
      </c>
      <c r="AJ32" s="92">
        <f>Logistic2013!L32</f>
        <v>1.5351437527105454E-2</v>
      </c>
      <c r="AK32" s="119">
        <f>Logistic2014!AK32</f>
        <v>1.864644764878538E-2</v>
      </c>
      <c r="AL32" s="119">
        <f t="shared" si="13"/>
        <v>2.9094872550333824E-2</v>
      </c>
      <c r="AM32" s="115"/>
      <c r="AN32" s="115"/>
      <c r="AP32" s="115"/>
      <c r="AQ32" s="115"/>
      <c r="AR32"/>
      <c r="AS32"/>
      <c r="AT32"/>
      <c r="AU32"/>
      <c r="AV32"/>
      <c r="AW32"/>
      <c r="AX32"/>
    </row>
    <row r="33" spans="2:50" ht="16.5" thickBot="1" x14ac:dyDescent="0.3">
      <c r="B33" s="49"/>
      <c r="C33" s="79"/>
      <c r="D33" s="86" t="str">
        <f t="shared" si="14"/>
        <v/>
      </c>
      <c r="E33" s="81"/>
      <c r="F33" s="50" t="str">
        <f t="shared" si="15"/>
        <v/>
      </c>
      <c r="G33" s="16" t="str">
        <f t="shared" si="16"/>
        <v/>
      </c>
      <c r="H33" s="51" t="str">
        <f t="shared" si="17"/>
        <v/>
      </c>
      <c r="I33" s="54"/>
      <c r="J33" s="105">
        <f t="shared" si="7"/>
        <v>37790.5</v>
      </c>
      <c r="K33" s="109">
        <v>25</v>
      </c>
      <c r="L33" s="125">
        <f t="shared" si="5"/>
        <v>3.4591435045107526E-2</v>
      </c>
      <c r="M33" s="46">
        <f t="shared" si="8"/>
        <v>1.5292967649937837E-3</v>
      </c>
      <c r="N33" s="131">
        <v>1.5292967649937837E-3</v>
      </c>
      <c r="O33" s="89">
        <f t="shared" si="6"/>
        <v>1.5292967649937837E-3</v>
      </c>
      <c r="P33" s="48">
        <v>40347</v>
      </c>
      <c r="Q33" s="1">
        <v>1.0694799271914295E-2</v>
      </c>
      <c r="R33" s="100">
        <v>18981</v>
      </c>
      <c r="S33" s="100">
        <f t="shared" si="11"/>
        <v>718.18311877593601</v>
      </c>
      <c r="T33" s="101">
        <f t="shared" si="9"/>
        <v>18262.816881224066</v>
      </c>
      <c r="U33" s="49">
        <v>40725</v>
      </c>
      <c r="V33" s="92">
        <v>0.35599999999999998</v>
      </c>
      <c r="W33" s="92"/>
      <c r="X33" s="92"/>
      <c r="Y33" s="92"/>
      <c r="Z33" s="92"/>
      <c r="AE33" s="93">
        <f t="shared" si="12"/>
        <v>37790.5</v>
      </c>
      <c r="AF33" s="92">
        <f>Logistic2010!Q33</f>
        <v>9.1981739546595914E-3</v>
      </c>
      <c r="AG33" s="4">
        <f t="shared" si="10"/>
        <v>1.0694799271914295E-2</v>
      </c>
      <c r="AH33" s="92">
        <f>Logistic2011!Q33</f>
        <v>3.3210095492913049E-3</v>
      </c>
      <c r="AI33" s="92">
        <f>Logistic2012!Q33</f>
        <v>1.0694799271914295E-2</v>
      </c>
      <c r="AJ33" s="92">
        <f>Logistic2013!L33</f>
        <v>1.8644913491254085E-2</v>
      </c>
      <c r="AK33" s="119">
        <f>Logistic2014!AK33</f>
        <v>2.2485598579313124E-2</v>
      </c>
      <c r="AL33" s="119">
        <f t="shared" si="13"/>
        <v>3.4591435045107526E-2</v>
      </c>
      <c r="AM33" s="110"/>
      <c r="AN33" s="110"/>
      <c r="AO33" s="110"/>
      <c r="AP33" s="110"/>
      <c r="AQ33" s="110"/>
      <c r="AR33" t="s">
        <v>29</v>
      </c>
      <c r="AS33"/>
      <c r="AT33"/>
      <c r="AU33"/>
      <c r="AV33"/>
      <c r="AW33"/>
      <c r="AX33"/>
    </row>
    <row r="34" spans="2:50" ht="16.5" thickBot="1" x14ac:dyDescent="0.3">
      <c r="B34" s="49"/>
      <c r="C34" s="79"/>
      <c r="D34" s="86" t="str">
        <f t="shared" si="14"/>
        <v/>
      </c>
      <c r="E34" s="81"/>
      <c r="F34" s="50" t="str">
        <f t="shared" si="15"/>
        <v/>
      </c>
      <c r="G34" s="16" t="str">
        <f t="shared" si="16"/>
        <v/>
      </c>
      <c r="H34" s="51" t="str">
        <f t="shared" si="17"/>
        <v/>
      </c>
      <c r="I34" s="54"/>
      <c r="J34" s="105">
        <f t="shared" si="7"/>
        <v>37791.5</v>
      </c>
      <c r="K34" s="109">
        <v>26</v>
      </c>
      <c r="L34" s="125">
        <f t="shared" si="5"/>
        <v>4.1082461880864354E-2</v>
      </c>
      <c r="M34" s="46">
        <f t="shared" si="8"/>
        <v>2.1779444332849758E-3</v>
      </c>
      <c r="N34" s="131">
        <v>2.1779444332849758E-3</v>
      </c>
      <c r="O34" s="89">
        <f t="shared" si="6"/>
        <v>2.1779444332849758E-3</v>
      </c>
      <c r="P34" s="48">
        <v>40348</v>
      </c>
      <c r="Q34" s="1">
        <v>1.4194388945639416E-2</v>
      </c>
      <c r="R34" s="100">
        <v>7954</v>
      </c>
      <c r="S34" s="100">
        <f t="shared" si="11"/>
        <v>357.18431199212762</v>
      </c>
      <c r="T34" s="101">
        <f t="shared" si="9"/>
        <v>7596.8156880078723</v>
      </c>
      <c r="U34" s="49">
        <v>40726</v>
      </c>
      <c r="V34" s="92"/>
      <c r="W34" s="92"/>
      <c r="X34" s="92"/>
      <c r="Y34" s="92"/>
      <c r="Z34" s="92"/>
      <c r="AE34" s="93">
        <f t="shared" si="12"/>
        <v>37791.5</v>
      </c>
      <c r="AF34" s="92">
        <f>Logistic2010!Q34</f>
        <v>1.1210364440860094E-2</v>
      </c>
      <c r="AG34" s="4">
        <f t="shared" si="10"/>
        <v>1.4194388945639416E-2</v>
      </c>
      <c r="AH34" s="92">
        <f>Logistic2011!Q34</f>
        <v>4.2675282552662704E-3</v>
      </c>
      <c r="AI34" s="92">
        <f>Logistic2012!Q34</f>
        <v>1.4194388945639416E-2</v>
      </c>
      <c r="AJ34" s="92">
        <f>Logistic2013!L34</f>
        <v>2.2628728952144059E-2</v>
      </c>
      <c r="AK34" s="119">
        <f>Logistic2014!AK34</f>
        <v>2.7093376387433324E-2</v>
      </c>
      <c r="AL34" s="119">
        <f t="shared" si="13"/>
        <v>4.1082461880864354E-2</v>
      </c>
      <c r="AM34" s="110"/>
      <c r="AN34" s="110"/>
      <c r="AO34" s="110"/>
      <c r="AQ34" s="110"/>
      <c r="AR34" s="112" t="s">
        <v>30</v>
      </c>
      <c r="AS34" s="112" t="s">
        <v>31</v>
      </c>
      <c r="AT34" s="112" t="s">
        <v>32</v>
      </c>
      <c r="AU34" s="112" t="s">
        <v>33</v>
      </c>
      <c r="AV34" s="112" t="s">
        <v>34</v>
      </c>
      <c r="AW34"/>
      <c r="AX34"/>
    </row>
    <row r="35" spans="2:50" x14ac:dyDescent="0.25">
      <c r="B35" s="49"/>
      <c r="C35" s="79"/>
      <c r="D35" s="86" t="str">
        <f t="shared" si="14"/>
        <v/>
      </c>
      <c r="E35" s="81"/>
      <c r="F35" s="50" t="str">
        <f t="shared" si="15"/>
        <v/>
      </c>
      <c r="G35" s="16" t="str">
        <f t="shared" si="16"/>
        <v/>
      </c>
      <c r="H35" s="51" t="str">
        <f t="shared" si="17"/>
        <v/>
      </c>
      <c r="I35" s="54"/>
      <c r="J35" s="105">
        <f t="shared" si="7"/>
        <v>37792.5</v>
      </c>
      <c r="K35" s="109">
        <v>27</v>
      </c>
      <c r="L35" s="125">
        <f t="shared" si="5"/>
        <v>4.8730037991433259E-2</v>
      </c>
      <c r="M35" s="46">
        <f t="shared" si="8"/>
        <v>3.1008600796789275E-3</v>
      </c>
      <c r="N35" s="131">
        <v>3.1008600796789275E-3</v>
      </c>
      <c r="O35" s="89">
        <f t="shared" si="6"/>
        <v>3.1008600796789275E-3</v>
      </c>
      <c r="P35" s="48">
        <v>40349</v>
      </c>
      <c r="Q35" s="1">
        <v>1.8817345014281332E-2</v>
      </c>
      <c r="R35" s="100">
        <v>10420</v>
      </c>
      <c r="S35" s="100">
        <f t="shared" si="11"/>
        <v>554.58146099342889</v>
      </c>
      <c r="T35" s="101">
        <f t="shared" si="9"/>
        <v>9865.4185390065704</v>
      </c>
      <c r="U35" s="40">
        <v>40727</v>
      </c>
      <c r="AE35" s="93">
        <f t="shared" si="12"/>
        <v>37792.5</v>
      </c>
      <c r="AF35" s="92">
        <f>Logistic2010!Q35</f>
        <v>1.3656673980419356E-2</v>
      </c>
      <c r="AG35" s="4">
        <f t="shared" si="10"/>
        <v>1.8817345014281332E-2</v>
      </c>
      <c r="AH35" s="92">
        <f>Logistic2011!Q35</f>
        <v>5.4823297455268887E-3</v>
      </c>
      <c r="AI35" s="92">
        <f>Logistic2012!Q35</f>
        <v>1.8817345014281332E-2</v>
      </c>
      <c r="AJ35" s="92">
        <f>Logistic2013!L35</f>
        <v>2.7439956026617411E-2</v>
      </c>
      <c r="AK35" s="119">
        <f>Logistic2014!AK35</f>
        <v>3.2613882518552371E-2</v>
      </c>
      <c r="AL35" s="119">
        <f t="shared" si="13"/>
        <v>4.8730037991433259E-2</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14"/>
        <v/>
      </c>
      <c r="E36" s="81"/>
      <c r="F36" s="50" t="str">
        <f t="shared" si="15"/>
        <v/>
      </c>
      <c r="G36" s="16" t="str">
        <f t="shared" si="16"/>
        <v/>
      </c>
      <c r="H36" s="51" t="str">
        <f t="shared" si="17"/>
        <v/>
      </c>
      <c r="I36" s="54"/>
      <c r="J36" s="105">
        <f t="shared" si="7"/>
        <v>37793.5</v>
      </c>
      <c r="K36" s="109">
        <v>28</v>
      </c>
      <c r="L36" s="125">
        <f t="shared" si="5"/>
        <v>5.7715539934368836E-2</v>
      </c>
      <c r="M36" s="46">
        <f t="shared" si="8"/>
        <v>4.4131364833405974E-3</v>
      </c>
      <c r="N36" s="131">
        <v>4.4131364833405974E-3</v>
      </c>
      <c r="O36" s="89">
        <f t="shared" si="6"/>
        <v>4.4131364833405974E-3</v>
      </c>
      <c r="P36" s="48">
        <v>40350</v>
      </c>
      <c r="Q36" s="1">
        <v>2.4907904460513997E-2</v>
      </c>
      <c r="R36" s="100">
        <v>14984</v>
      </c>
      <c r="S36" s="100">
        <f t="shared" si="11"/>
        <v>943.65182564946622</v>
      </c>
      <c r="T36" s="101">
        <f t="shared" si="9"/>
        <v>14040.348174350534</v>
      </c>
      <c r="U36" s="49">
        <v>40728</v>
      </c>
      <c r="AE36" s="93">
        <f t="shared" si="12"/>
        <v>37793.5</v>
      </c>
      <c r="AF36" s="92">
        <f>Logistic2010!Q36</f>
        <v>1.6627836578475143E-2</v>
      </c>
      <c r="AG36" s="4">
        <f t="shared" si="10"/>
        <v>2.4907904460513997E-2</v>
      </c>
      <c r="AH36" s="92">
        <f>Logistic2011!Q36</f>
        <v>7.0404935024234346E-3</v>
      </c>
      <c r="AI36" s="92">
        <f>Logistic2012!Q36</f>
        <v>2.4907904460513997E-2</v>
      </c>
      <c r="AJ36" s="92">
        <f>Logistic2013!L36</f>
        <v>3.3239337178441269E-2</v>
      </c>
      <c r="AK36" s="119">
        <f>Logistic2014!AK36</f>
        <v>3.9213900655283261E-2</v>
      </c>
      <c r="AL36" s="119">
        <f t="shared" si="13"/>
        <v>5.7715539934368836E-2</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14"/>
        <v/>
      </c>
      <c r="E37" s="81"/>
      <c r="F37" s="50" t="str">
        <f t="shared" si="15"/>
        <v/>
      </c>
      <c r="G37" s="16" t="str">
        <f t="shared" si="16"/>
        <v/>
      </c>
      <c r="H37" s="51" t="str">
        <f t="shared" si="17"/>
        <v/>
      </c>
      <c r="I37" s="54"/>
      <c r="J37" s="105">
        <f t="shared" si="7"/>
        <v>37794.5</v>
      </c>
      <c r="K37" s="109">
        <v>29</v>
      </c>
      <c r="L37" s="125">
        <f t="shared" si="5"/>
        <v>6.8239055053547118E-2</v>
      </c>
      <c r="M37" s="46">
        <f t="shared" si="8"/>
        <v>6.2772681143683619E-3</v>
      </c>
      <c r="N37" s="131">
        <v>6.2772681143683619E-3</v>
      </c>
      <c r="O37" s="89">
        <f t="shared" si="6"/>
        <v>6.2772681143683619E-3</v>
      </c>
      <c r="P37" s="48">
        <v>40351</v>
      </c>
      <c r="Q37" s="1">
        <v>3.2903671432563369E-2</v>
      </c>
      <c r="R37" s="100">
        <v>16806</v>
      </c>
      <c r="S37" s="100">
        <f t="shared" si="11"/>
        <v>1250.0005510805456</v>
      </c>
      <c r="T37" s="101">
        <f t="shared" si="9"/>
        <v>15555.999448919454</v>
      </c>
      <c r="U37" s="49">
        <v>40729</v>
      </c>
      <c r="V37" s="4">
        <v>0.51500000000000001</v>
      </c>
      <c r="AE37" s="93">
        <f t="shared" si="12"/>
        <v>37794.5</v>
      </c>
      <c r="AF37" s="92">
        <f>Logistic2010!Q37</f>
        <v>2.0232149587218227E-2</v>
      </c>
      <c r="AG37" s="4">
        <f t="shared" si="10"/>
        <v>3.2903671432563369E-2</v>
      </c>
      <c r="AH37" s="92">
        <f>Logistic2011!Q37</f>
        <v>9.0374873855469922E-3</v>
      </c>
      <c r="AI37" s="92">
        <f>Logistic2012!Q37</f>
        <v>3.2903671432563369E-2</v>
      </c>
      <c r="AJ37" s="92">
        <f>Logistic2013!L37</f>
        <v>4.0213726080353264E-2</v>
      </c>
      <c r="AK37" s="119">
        <f>Logistic2014!AK37</f>
        <v>4.7084545759597696E-2</v>
      </c>
      <c r="AL37" s="119">
        <f t="shared" si="13"/>
        <v>6.8239055053547118E-2</v>
      </c>
      <c r="AM37" s="113"/>
      <c r="AN37" s="113"/>
      <c r="AO37" s="113"/>
      <c r="AP37" s="113"/>
      <c r="AQ37" s="113"/>
      <c r="AR37"/>
      <c r="AS37"/>
      <c r="AT37"/>
      <c r="AU37"/>
      <c r="AV37"/>
      <c r="AW37"/>
      <c r="AX37"/>
    </row>
    <row r="38" spans="2:50" x14ac:dyDescent="0.25">
      <c r="B38" s="49"/>
      <c r="C38" s="79"/>
      <c r="D38" s="86" t="str">
        <f t="shared" si="14"/>
        <v/>
      </c>
      <c r="E38" s="81"/>
      <c r="F38" s="50" t="str">
        <f t="shared" si="15"/>
        <v/>
      </c>
      <c r="G38" s="16" t="str">
        <f t="shared" si="16"/>
        <v/>
      </c>
      <c r="H38" s="51" t="str">
        <f t="shared" si="17"/>
        <v/>
      </c>
      <c r="I38" s="54"/>
      <c r="J38" s="105">
        <f t="shared" si="7"/>
        <v>37795.5</v>
      </c>
      <c r="K38" s="109">
        <v>30</v>
      </c>
      <c r="L38" s="125">
        <f t="shared" si="5"/>
        <v>8.0517407052908399E-2</v>
      </c>
      <c r="M38" s="46">
        <f t="shared" si="8"/>
        <v>8.9217622649491162E-3</v>
      </c>
      <c r="N38" s="131">
        <v>8.9217622649491162E-3</v>
      </c>
      <c r="O38" s="89">
        <f t="shared" si="6"/>
        <v>8.9217622649491162E-3</v>
      </c>
      <c r="P38" s="48">
        <v>40352</v>
      </c>
      <c r="Q38" s="1">
        <v>4.3352069231991391E-2</v>
      </c>
      <c r="R38" s="100">
        <v>28505</v>
      </c>
      <c r="S38" s="100">
        <f t="shared" si="11"/>
        <v>2498.4304400231481</v>
      </c>
      <c r="T38" s="101">
        <f t="shared" si="9"/>
        <v>26006.569559976851</v>
      </c>
      <c r="U38" s="49"/>
      <c r="AE38" s="93">
        <f t="shared" si="12"/>
        <v>37795.5</v>
      </c>
      <c r="AF38" s="92">
        <f>Logistic2010!Q38</f>
        <v>2.4598204014952465E-2</v>
      </c>
      <c r="AG38" s="4">
        <f t="shared" si="10"/>
        <v>4.3352069231991391E-2</v>
      </c>
      <c r="AH38" s="92">
        <f>Logistic2011!Q38</f>
        <v>1.1594302653630432E-2</v>
      </c>
      <c r="AI38" s="92">
        <f>Logistic2012!Q38</f>
        <v>4.3352069231991391E-2</v>
      </c>
      <c r="AJ38" s="92">
        <f>Logistic2013!L38</f>
        <v>4.8577971912167145E-2</v>
      </c>
      <c r="AK38" s="119">
        <f>Logistic2014!AK38</f>
        <v>5.6442110719466705E-2</v>
      </c>
      <c r="AL38" s="119">
        <f t="shared" si="13"/>
        <v>8.0517407052908399E-2</v>
      </c>
      <c r="AM38" s="115"/>
      <c r="AQ38" s="115"/>
      <c r="AR38"/>
      <c r="AS38"/>
      <c r="AT38"/>
      <c r="AU38"/>
      <c r="AV38"/>
      <c r="AW38"/>
      <c r="AX38"/>
    </row>
    <row r="39" spans="2:50" ht="16.5" thickBot="1" x14ac:dyDescent="0.3">
      <c r="B39" s="49"/>
      <c r="C39" s="79"/>
      <c r="D39" s="86" t="str">
        <f t="shared" si="14"/>
        <v/>
      </c>
      <c r="E39" s="81"/>
      <c r="F39" s="50" t="str">
        <f t="shared" si="15"/>
        <v/>
      </c>
      <c r="G39" s="16" t="str">
        <f t="shared" si="16"/>
        <v/>
      </c>
      <c r="H39" s="51" t="str">
        <f t="shared" si="17"/>
        <v/>
      </c>
      <c r="I39" s="54"/>
      <c r="J39" s="105">
        <f t="shared" si="7"/>
        <v>37796.5</v>
      </c>
      <c r="K39" s="109">
        <v>31</v>
      </c>
      <c r="L39" s="125">
        <f t="shared" si="5"/>
        <v>9.4780290896444228E-2</v>
      </c>
      <c r="M39" s="46">
        <f t="shared" si="8"/>
        <v>1.2666131545885561E-2</v>
      </c>
      <c r="N39" s="131">
        <v>1.2666131545885561E-2</v>
      </c>
      <c r="O39" s="89">
        <f t="shared" si="6"/>
        <v>1.2666131545885561E-2</v>
      </c>
      <c r="P39" s="48">
        <v>40353</v>
      </c>
      <c r="Q39" s="1">
        <v>5.6923017026269736E-2</v>
      </c>
      <c r="R39" s="100">
        <v>37919</v>
      </c>
      <c r="S39" s="100">
        <f t="shared" si="11"/>
        <v>3906.496331691726</v>
      </c>
      <c r="T39" s="101">
        <f t="shared" si="9"/>
        <v>34012.503668308273</v>
      </c>
      <c r="U39" s="49"/>
      <c r="AE39" s="93">
        <f t="shared" si="12"/>
        <v>37796.5</v>
      </c>
      <c r="AF39" s="92">
        <f>Logistic2010!Q39</f>
        <v>2.9877711971165448E-2</v>
      </c>
      <c r="AG39" s="4">
        <f t="shared" si="10"/>
        <v>5.6923017026269736E-2</v>
      </c>
      <c r="AH39" s="92">
        <f>Logistic2011!Q39</f>
        <v>1.4863622388293144E-2</v>
      </c>
      <c r="AI39" s="92">
        <f>Logistic2012!Q39</f>
        <v>5.6923017026269736E-2</v>
      </c>
      <c r="AJ39" s="92">
        <f>Logistic2013!L39</f>
        <v>5.8575762266613804E-2</v>
      </c>
      <c r="AK39" s="119">
        <f>Logistic2014!AK39</f>
        <v>6.7527607102486259E-2</v>
      </c>
      <c r="AL39" s="119">
        <f t="shared" si="13"/>
        <v>9.4780290896444228E-2</v>
      </c>
      <c r="AM39" s="110"/>
      <c r="AN39" s="110"/>
      <c r="AP39" s="110"/>
      <c r="AQ39" s="110"/>
      <c r="AR39" t="s">
        <v>35</v>
      </c>
      <c r="AS39"/>
      <c r="AT39"/>
      <c r="AU39"/>
      <c r="AV39"/>
      <c r="AW39"/>
      <c r="AX39"/>
    </row>
    <row r="40" spans="2:50" x14ac:dyDescent="0.25">
      <c r="B40" s="49"/>
      <c r="C40" s="79"/>
      <c r="D40" s="86" t="str">
        <f t="shared" si="14"/>
        <v/>
      </c>
      <c r="E40" s="81"/>
      <c r="F40" s="50" t="str">
        <f t="shared" si="15"/>
        <v/>
      </c>
      <c r="G40" s="16" t="str">
        <f t="shared" si="16"/>
        <v/>
      </c>
      <c r="H40" s="51" t="str">
        <f t="shared" si="17"/>
        <v/>
      </c>
      <c r="I40" s="54"/>
      <c r="J40" s="105">
        <f t="shared" si="7"/>
        <v>37797.5</v>
      </c>
      <c r="K40" s="109">
        <v>32</v>
      </c>
      <c r="L40" s="125">
        <f t="shared" si="5"/>
        <v>0.1112639788201478</v>
      </c>
      <c r="M40" s="46">
        <f t="shared" si="8"/>
        <v>1.7953505605503725E-2</v>
      </c>
      <c r="N40" s="131">
        <v>1.7953505605503725E-2</v>
      </c>
      <c r="O40" s="89">
        <f t="shared" si="6"/>
        <v>1.7953505605503725E-2</v>
      </c>
      <c r="P40" s="48">
        <v>40354</v>
      </c>
      <c r="Q40" s="1">
        <v>7.4411773683001156E-2</v>
      </c>
      <c r="R40" s="100">
        <v>41134</v>
      </c>
      <c r="S40" s="100">
        <f t="shared" si="11"/>
        <v>4966.2325038728495</v>
      </c>
      <c r="T40" s="101">
        <f t="shared" si="9"/>
        <v>36167.767496127148</v>
      </c>
      <c r="U40" s="49"/>
      <c r="AE40" s="93">
        <f t="shared" si="12"/>
        <v>37797.5</v>
      </c>
      <c r="AF40" s="92">
        <f>Logistic2010!Q40</f>
        <v>3.624824956962025E-2</v>
      </c>
      <c r="AG40" s="4">
        <f t="shared" si="10"/>
        <v>7.4411773683001156E-2</v>
      </c>
      <c r="AH40" s="92">
        <f>Logistic2011!Q40</f>
        <v>1.9037057560494706E-2</v>
      </c>
      <c r="AI40" s="92">
        <f>Logistic2012!Q40</f>
        <v>7.4411773683001156E-2</v>
      </c>
      <c r="AJ40" s="92">
        <f>Logistic2013!L40</f>
        <v>7.0478765060004542E-2</v>
      </c>
      <c r="AK40" s="119">
        <f>Logistic2014!AK40</f>
        <v>8.060435401777398E-2</v>
      </c>
      <c r="AL40" s="119">
        <f t="shared" si="13"/>
        <v>0.1112639788201478</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14"/>
        <v/>
      </c>
      <c r="E41" s="81"/>
      <c r="F41" s="50" t="str">
        <f t="shared" si="15"/>
        <v/>
      </c>
      <c r="G41" s="16" t="str">
        <f t="shared" si="16"/>
        <v/>
      </c>
      <c r="H41" s="51" t="str">
        <f t="shared" si="17"/>
        <v/>
      </c>
      <c r="I41" s="54"/>
      <c r="J41" s="105">
        <f t="shared" si="7"/>
        <v>37798.5</v>
      </c>
      <c r="K41" s="109">
        <v>33</v>
      </c>
      <c r="L41" s="125">
        <f t="shared" si="5"/>
        <v>0.13020208350653326</v>
      </c>
      <c r="M41" s="46">
        <f t="shared" si="8"/>
        <v>2.5391289272607597E-2</v>
      </c>
      <c r="N41" s="131">
        <v>2.5391289272607597E-2</v>
      </c>
      <c r="O41" s="89">
        <f t="shared" si="6"/>
        <v>2.5391289272607597E-2</v>
      </c>
      <c r="P41" s="48">
        <v>40355</v>
      </c>
      <c r="Q41" s="1">
        <v>9.6722617460862401E-2</v>
      </c>
      <c r="R41" s="100">
        <v>21594</v>
      </c>
      <c r="S41" s="100">
        <f t="shared" si="11"/>
        <v>3044.9168168609722</v>
      </c>
      <c r="T41" s="101">
        <f t="shared" si="9"/>
        <v>18549.083183139028</v>
      </c>
      <c r="U41" s="49"/>
      <c r="AE41" s="93">
        <f t="shared" si="12"/>
        <v>37798.5</v>
      </c>
      <c r="AF41" s="92">
        <f>Logistic2010!Q41</f>
        <v>4.3915626721520266E-2</v>
      </c>
      <c r="AG41" s="4">
        <f t="shared" si="10"/>
        <v>9.6722617460862401E-2</v>
      </c>
      <c r="AH41" s="92">
        <f>Logistic2011!Q41</f>
        <v>2.4353349085554369E-2</v>
      </c>
      <c r="AI41" s="92">
        <f>Logistic2012!Q41</f>
        <v>9.6722617460862401E-2</v>
      </c>
      <c r="AJ41" s="92">
        <f>Logistic2013!L41</f>
        <v>8.458322376954866E-2</v>
      </c>
      <c r="AK41" s="119">
        <f>Logistic2014!AK41</f>
        <v>9.5952838664410234E-2</v>
      </c>
      <c r="AL41" s="119">
        <f t="shared" si="13"/>
        <v>0.13020208350653326</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14"/>
        <v/>
      </c>
      <c r="E42" s="81"/>
      <c r="F42" s="50" t="str">
        <f t="shared" si="15"/>
        <v/>
      </c>
      <c r="G42" s="16" t="str">
        <f t="shared" si="16"/>
        <v/>
      </c>
      <c r="H42" s="51" t="str">
        <f t="shared" si="17"/>
        <v/>
      </c>
      <c r="I42" s="54"/>
      <c r="J42" s="105">
        <f t="shared" si="7"/>
        <v>37799.5</v>
      </c>
      <c r="K42" s="109">
        <v>34</v>
      </c>
      <c r="L42" s="125">
        <f t="shared" si="5"/>
        <v>0.15181299631758194</v>
      </c>
      <c r="M42" s="46">
        <f t="shared" si="8"/>
        <v>3.5798078010252969E-2</v>
      </c>
      <c r="N42" s="131">
        <v>3.5798078010252969E-2</v>
      </c>
      <c r="O42" s="89">
        <f t="shared" si="6"/>
        <v>3.5798078010252969E-2</v>
      </c>
      <c r="P42" s="48">
        <v>40356</v>
      </c>
      <c r="Q42" s="1">
        <v>0.12482080008468176</v>
      </c>
      <c r="R42" s="100">
        <v>17704</v>
      </c>
      <c r="S42" s="100">
        <f t="shared" si="11"/>
        <v>2904.3137564760668</v>
      </c>
      <c r="T42" s="101">
        <f t="shared" si="9"/>
        <v>14799.686243523933</v>
      </c>
      <c r="AE42" s="93">
        <f t="shared" si="12"/>
        <v>37799.5</v>
      </c>
      <c r="AF42" s="92">
        <f>Logistic2010!Q42</f>
        <v>5.3115454143665003E-2</v>
      </c>
      <c r="AG42" s="4">
        <f t="shared" si="10"/>
        <v>0.12482080008468176</v>
      </c>
      <c r="AH42" s="92">
        <f>Logistic2011!Q42</f>
        <v>3.1107190112750017E-2</v>
      </c>
      <c r="AI42" s="92">
        <f>Logistic2012!Q42</f>
        <v>0.12482080008468176</v>
      </c>
      <c r="AJ42" s="92">
        <f>Logistic2013!L42</f>
        <v>0.1012029979928537</v>
      </c>
      <c r="AK42" s="119">
        <f>Logistic2014!AK42</f>
        <v>0.11386199412717302</v>
      </c>
      <c r="AL42" s="119">
        <f t="shared" si="13"/>
        <v>0.15181299631758194</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14"/>
        <v/>
      </c>
      <c r="E43" s="81"/>
      <c r="F43" s="50" t="str">
        <f t="shared" si="15"/>
        <v/>
      </c>
      <c r="G43" s="16" t="str">
        <f t="shared" si="16"/>
        <v/>
      </c>
      <c r="H43" s="51" t="str">
        <f t="shared" si="17"/>
        <v/>
      </c>
      <c r="I43" s="54"/>
      <c r="J43" s="105">
        <f t="shared" si="7"/>
        <v>37800.5</v>
      </c>
      <c r="K43" s="109">
        <v>35</v>
      </c>
      <c r="L43" s="125">
        <f t="shared" si="5"/>
        <v>0.17628390341988612</v>
      </c>
      <c r="M43" s="46">
        <f t="shared" si="8"/>
        <v>5.0250242425127004E-2</v>
      </c>
      <c r="N43" s="131">
        <v>5.0250242425127004E-2</v>
      </c>
      <c r="O43" s="89">
        <f t="shared" si="6"/>
        <v>5.0250242425127004E-2</v>
      </c>
      <c r="P43" s="48">
        <v>40357</v>
      </c>
      <c r="Q43" s="1">
        <v>0.15963897994445775</v>
      </c>
      <c r="R43" s="100">
        <v>13702</v>
      </c>
      <c r="S43" s="100">
        <f t="shared" si="11"/>
        <v>2603.6243034030617</v>
      </c>
      <c r="T43" s="101">
        <f t="shared" si="9"/>
        <v>11098.375696596939</v>
      </c>
      <c r="U43" s="40">
        <v>40705</v>
      </c>
      <c r="AE43" s="93">
        <f t="shared" si="12"/>
        <v>37800.5</v>
      </c>
      <c r="AF43" s="92">
        <f>Logistic2010!Q43</f>
        <v>6.4113302836932173E-2</v>
      </c>
      <c r="AG43" s="4">
        <f t="shared" si="10"/>
        <v>0.15963897994445775</v>
      </c>
      <c r="AH43" s="92">
        <f>Logistic2011!Q43</f>
        <v>3.9657919254324193E-2</v>
      </c>
      <c r="AI43" s="92">
        <f>Logistic2012!Q43</f>
        <v>0.15963897994445775</v>
      </c>
      <c r="AJ43" s="92">
        <f>Logistic2013!L43</f>
        <v>0.12065796431808783</v>
      </c>
      <c r="AK43" s="119">
        <f>Logistic2014!AK43</f>
        <v>0.13461607593232877</v>
      </c>
      <c r="AL43" s="119">
        <f t="shared" si="13"/>
        <v>0.17628390341988612</v>
      </c>
      <c r="AM43" s="114"/>
      <c r="AN43" s="114"/>
      <c r="AP43" s="114"/>
      <c r="AQ43" s="114"/>
      <c r="AR43" s="110"/>
      <c r="AS43" s="110"/>
      <c r="AT43" s="110"/>
      <c r="AU43" s="110"/>
      <c r="AV43" s="110"/>
      <c r="AW43" s="110"/>
      <c r="AX43" s="110"/>
    </row>
    <row r="44" spans="2:50" ht="16.5" thickBot="1" x14ac:dyDescent="0.3">
      <c r="B44" s="49"/>
      <c r="C44" s="79"/>
      <c r="D44" s="86" t="str">
        <f t="shared" si="14"/>
        <v/>
      </c>
      <c r="E44" s="81"/>
      <c r="F44" s="50" t="str">
        <f t="shared" si="15"/>
        <v/>
      </c>
      <c r="G44" s="16" t="str">
        <f t="shared" si="16"/>
        <v/>
      </c>
      <c r="H44" s="51" t="str">
        <f t="shared" si="17"/>
        <v/>
      </c>
      <c r="I44" s="54"/>
      <c r="J44" s="105">
        <f t="shared" si="7"/>
        <v>37801.5</v>
      </c>
      <c r="K44" s="109">
        <v>36</v>
      </c>
      <c r="L44" s="125">
        <f t="shared" si="5"/>
        <v>0.2037517561047178</v>
      </c>
      <c r="M44" s="46">
        <f t="shared" si="8"/>
        <v>7.0112677039206914E-2</v>
      </c>
      <c r="N44" s="131">
        <v>7.0112677039206914E-2</v>
      </c>
      <c r="O44" s="89">
        <f t="shared" si="6"/>
        <v>7.0112677039206914E-2</v>
      </c>
      <c r="P44" s="48">
        <v>40358</v>
      </c>
      <c r="Q44" s="1">
        <v>0.20192861027500136</v>
      </c>
      <c r="R44" s="100">
        <v>6021</v>
      </c>
      <c r="S44" s="100">
        <f t="shared" si="11"/>
        <v>1318.7013364358404</v>
      </c>
      <c r="T44" s="101">
        <f t="shared" si="9"/>
        <v>4702.2986635641591</v>
      </c>
      <c r="U44" s="49">
        <v>40706</v>
      </c>
      <c r="V44" s="95"/>
      <c r="W44" s="95"/>
      <c r="X44" s="95"/>
      <c r="Y44" s="95"/>
      <c r="Z44" s="95"/>
      <c r="AE44" s="93">
        <f t="shared" si="12"/>
        <v>37801.5</v>
      </c>
      <c r="AF44" s="92">
        <f>Logistic2010!Q44</f>
        <v>7.72026520734653E-2</v>
      </c>
      <c r="AG44" s="4">
        <f t="shared" si="10"/>
        <v>0.20192861027500136</v>
      </c>
      <c r="AH44" s="92">
        <f>Logistic2011!Q44</f>
        <v>5.0436715072649276E-2</v>
      </c>
      <c r="AI44" s="92">
        <f>Logistic2012!Q44</f>
        <v>0.20192861027500136</v>
      </c>
      <c r="AJ44" s="92">
        <f>Logistic2013!L44</f>
        <v>0.14325679323024673</v>
      </c>
      <c r="AK44" s="119">
        <f>Logistic2014!AK44</f>
        <v>0.15847654981878281</v>
      </c>
      <c r="AL44" s="119">
        <f t="shared" si="13"/>
        <v>0.2037517561047178</v>
      </c>
      <c r="AM44" s="113"/>
      <c r="AQ44" s="113"/>
      <c r="AR44" s="111" t="s">
        <v>45</v>
      </c>
      <c r="AS44" s="111">
        <v>2.7416072727272724</v>
      </c>
      <c r="AT44" s="111">
        <v>21</v>
      </c>
      <c r="AU44" s="111"/>
      <c r="AV44" s="111"/>
      <c r="AW44" s="111"/>
      <c r="AX44" s="111"/>
    </row>
    <row r="45" spans="2:50" x14ac:dyDescent="0.25">
      <c r="B45" s="49"/>
      <c r="C45" s="79"/>
      <c r="D45" s="86" t="str">
        <f t="shared" si="14"/>
        <v/>
      </c>
      <c r="E45" s="81"/>
      <c r="F45" s="50" t="str">
        <f t="shared" si="15"/>
        <v/>
      </c>
      <c r="G45" s="16" t="str">
        <f t="shared" si="16"/>
        <v/>
      </c>
      <c r="H45" s="51" t="str">
        <f t="shared" si="17"/>
        <v/>
      </c>
      <c r="I45" s="54"/>
      <c r="J45" s="105">
        <f t="shared" si="7"/>
        <v>37802.5</v>
      </c>
      <c r="K45" s="109">
        <v>37</v>
      </c>
      <c r="L45" s="125">
        <f t="shared" si="5"/>
        <v>0.23428223706447021</v>
      </c>
      <c r="M45" s="46">
        <f t="shared" si="8"/>
        <v>9.7024102357607847E-2</v>
      </c>
      <c r="N45" s="131">
        <v>9.7024102357607847E-2</v>
      </c>
      <c r="O45" s="89">
        <f t="shared" si="6"/>
        <v>9.7024102357607847E-2</v>
      </c>
      <c r="P45" s="48">
        <v>40359</v>
      </c>
      <c r="Q45" s="1">
        <v>0.25206087357123486</v>
      </c>
      <c r="R45" s="100">
        <v>4676</v>
      </c>
      <c r="S45" s="100">
        <f t="shared" si="11"/>
        <v>1173.9818170482761</v>
      </c>
      <c r="T45" s="101">
        <f t="shared" si="9"/>
        <v>3502.0181829517242</v>
      </c>
      <c r="U45" s="49">
        <v>40707</v>
      </c>
      <c r="V45" s="95"/>
      <c r="W45" s="95"/>
      <c r="X45" s="95"/>
      <c r="Y45" s="95"/>
      <c r="Z45" s="95"/>
      <c r="AE45" s="93">
        <f t="shared" si="12"/>
        <v>37802.5</v>
      </c>
      <c r="AF45" s="92">
        <f>Logistic2010!Q45</f>
        <v>9.2699625095272714E-2</v>
      </c>
      <c r="AG45" s="4">
        <f t="shared" si="10"/>
        <v>0.25206087357123486</v>
      </c>
      <c r="AH45" s="92">
        <f>Logistic2011!Q45</f>
        <v>6.3950040299436198E-2</v>
      </c>
      <c r="AI45" s="92">
        <f>Logistic2012!Q45</f>
        <v>0.25206087357123486</v>
      </c>
      <c r="AJ45" s="92">
        <f>Logistic2013!L45</f>
        <v>0.16927351386641812</v>
      </c>
      <c r="AK45" s="119">
        <f>Logistic2014!AK45</f>
        <v>0.18565891661671166</v>
      </c>
      <c r="AL45" s="119">
        <f t="shared" si="13"/>
        <v>0.23428223706447021</v>
      </c>
      <c r="AM45" s="113"/>
      <c r="AN45" s="113"/>
      <c r="AP45" s="113"/>
      <c r="AQ45" s="113"/>
      <c r="AR45" s="113"/>
      <c r="AS45" s="113"/>
      <c r="AT45" s="114"/>
      <c r="AU45" s="114"/>
    </row>
    <row r="46" spans="2:50" x14ac:dyDescent="0.25">
      <c r="B46" s="49"/>
      <c r="C46" s="79"/>
      <c r="D46" s="86" t="str">
        <f t="shared" si="14"/>
        <v/>
      </c>
      <c r="E46" s="81"/>
      <c r="F46" s="50" t="str">
        <f t="shared" si="15"/>
        <v/>
      </c>
      <c r="G46" s="16" t="str">
        <f t="shared" si="16"/>
        <v/>
      </c>
      <c r="H46" s="51" t="str">
        <f t="shared" si="17"/>
        <v/>
      </c>
      <c r="I46" s="54"/>
      <c r="J46" s="105">
        <f t="shared" si="7"/>
        <v>37803.5</v>
      </c>
      <c r="K46" s="109">
        <v>38</v>
      </c>
      <c r="L46" s="125">
        <f t="shared" si="5"/>
        <v>0.26784856577910376</v>
      </c>
      <c r="M46" s="46">
        <f t="shared" si="8"/>
        <v>0.13278990299316346</v>
      </c>
      <c r="N46" s="131">
        <v>0.13278990299316346</v>
      </c>
      <c r="O46" s="89">
        <f t="shared" si="6"/>
        <v>0.13278990299316346</v>
      </c>
      <c r="P46" s="48">
        <v>40360</v>
      </c>
      <c r="Q46" s="1">
        <v>0.30980777704027063</v>
      </c>
      <c r="R46" s="100">
        <v>3828</v>
      </c>
      <c r="S46" s="100">
        <f t="shared" si="11"/>
        <v>1095.1168241985295</v>
      </c>
      <c r="T46" s="101">
        <f t="shared" si="9"/>
        <v>2732.8831758014703</v>
      </c>
      <c r="U46" s="49">
        <v>40708</v>
      </c>
      <c r="V46" s="95"/>
      <c r="W46" s="95"/>
      <c r="X46" s="95"/>
      <c r="Y46" s="95"/>
      <c r="Z46" s="95"/>
      <c r="AE46" s="93">
        <f t="shared" si="12"/>
        <v>37803.5</v>
      </c>
      <c r="AF46" s="92">
        <f>Logistic2010!Q46</f>
        <v>0.11093336918210217</v>
      </c>
      <c r="AG46" s="4">
        <f t="shared" si="10"/>
        <v>0.30980777704027063</v>
      </c>
      <c r="AH46" s="92">
        <f>Logistic2011!Q46</f>
        <v>8.0775952050874497E-2</v>
      </c>
      <c r="AI46" s="92">
        <f>Logistic2012!Q46</f>
        <v>0.30980777704027063</v>
      </c>
      <c r="AJ46" s="92">
        <f>Logistic2013!L46</f>
        <v>0.19891808737150862</v>
      </c>
      <c r="AK46" s="119">
        <f>Logistic2014!AK46</f>
        <v>0.21630525971395512</v>
      </c>
      <c r="AL46" s="119">
        <f t="shared" si="13"/>
        <v>0.26784856577910376</v>
      </c>
      <c r="AM46" s="113"/>
      <c r="AN46" s="113"/>
      <c r="AP46" s="113"/>
      <c r="AQ46" s="113"/>
      <c r="AR46" s="113"/>
      <c r="AS46" s="113"/>
      <c r="AT46" s="114"/>
      <c r="AU46" s="114"/>
    </row>
    <row r="47" spans="2:50" x14ac:dyDescent="0.25">
      <c r="B47" s="49"/>
      <c r="C47" s="79"/>
      <c r="D47" s="86" t="str">
        <f t="shared" si="14"/>
        <v/>
      </c>
      <c r="E47" s="81"/>
      <c r="F47" s="50" t="str">
        <f t="shared" si="15"/>
        <v/>
      </c>
      <c r="G47" s="16" t="str">
        <f t="shared" si="16"/>
        <v/>
      </c>
      <c r="H47" s="51" t="str">
        <f t="shared" si="17"/>
        <v/>
      </c>
      <c r="I47" s="54"/>
      <c r="J47" s="105">
        <f t="shared" si="7"/>
        <v>37804.5</v>
      </c>
      <c r="K47" s="109">
        <v>39</v>
      </c>
      <c r="L47" s="125">
        <f t="shared" si="5"/>
        <v>0.30431278437686776</v>
      </c>
      <c r="M47" s="46">
        <f t="shared" si="8"/>
        <v>0.17912459589298799</v>
      </c>
      <c r="N47" s="131">
        <v>0.17912459589298799</v>
      </c>
      <c r="O47" s="89">
        <f t="shared" si="6"/>
        <v>0.17912459589298799</v>
      </c>
      <c r="P47" s="48">
        <v>40361</v>
      </c>
      <c r="Q47" s="1">
        <v>0.37416608438208854</v>
      </c>
      <c r="R47" s="100">
        <v>3893</v>
      </c>
      <c r="S47" s="100">
        <f t="shared" si="11"/>
        <v>1260.7977246836522</v>
      </c>
      <c r="T47" s="101">
        <f t="shared" si="9"/>
        <v>2632.2022753163478</v>
      </c>
      <c r="U47" s="49">
        <v>40709</v>
      </c>
      <c r="V47" s="95"/>
      <c r="W47" s="95"/>
      <c r="X47" s="95"/>
      <c r="Y47" s="95"/>
      <c r="Z47" s="95"/>
      <c r="AE47" s="93">
        <f t="shared" si="12"/>
        <v>37804.5</v>
      </c>
      <c r="AF47" s="92">
        <f>Logistic2010!Q47</f>
        <v>0.13223093333791724</v>
      </c>
      <c r="AG47" s="4">
        <f t="shared" si="10"/>
        <v>0.37416608438208854</v>
      </c>
      <c r="AH47" s="92">
        <f>Logistic2011!Q47</f>
        <v>0.10154865709169383</v>
      </c>
      <c r="AI47" s="92">
        <f>Logistic2012!Q47</f>
        <v>0.37416608438208854</v>
      </c>
      <c r="AJ47" s="92">
        <f>Logistic2013!L47</f>
        <v>0.23230249502167508</v>
      </c>
      <c r="AK47" s="119">
        <f>Logistic2014!AK47</f>
        <v>0.25045449624933086</v>
      </c>
      <c r="AL47" s="119">
        <f t="shared" si="13"/>
        <v>0.30431278437686776</v>
      </c>
      <c r="AM47" s="115"/>
      <c r="AN47" s="115"/>
      <c r="AQ47" s="115"/>
      <c r="AR47" t="s">
        <v>28</v>
      </c>
      <c r="AS47"/>
      <c r="AT47"/>
      <c r="AU47"/>
      <c r="AV47"/>
      <c r="AW47"/>
      <c r="AX47"/>
    </row>
    <row r="48" spans="2:50" x14ac:dyDescent="0.25">
      <c r="B48" s="49"/>
      <c r="C48" s="79"/>
      <c r="D48" s="86" t="str">
        <f t="shared" si="14"/>
        <v/>
      </c>
      <c r="E48" s="81"/>
      <c r="F48" s="50" t="str">
        <f t="shared" si="15"/>
        <v/>
      </c>
      <c r="G48" s="16" t="str">
        <f t="shared" si="16"/>
        <v/>
      </c>
      <c r="H48" s="51" t="str">
        <f t="shared" si="17"/>
        <v/>
      </c>
      <c r="I48" s="54"/>
      <c r="J48" s="105">
        <f t="shared" si="7"/>
        <v>37805.5</v>
      </c>
      <c r="K48" s="109">
        <v>40</v>
      </c>
      <c r="L48" s="125">
        <f t="shared" si="5"/>
        <v>0.34341273562500851</v>
      </c>
      <c r="M48" s="46">
        <f t="shared" si="8"/>
        <v>0.23720467988333704</v>
      </c>
      <c r="N48" s="131">
        <v>0.23720467988333704</v>
      </c>
      <c r="O48" s="89">
        <f t="shared" si="6"/>
        <v>0.23720467988333704</v>
      </c>
      <c r="P48" s="48">
        <v>40362</v>
      </c>
      <c r="Q48" s="1">
        <v>0.44330675299696459</v>
      </c>
      <c r="R48" s="100">
        <v>3621</v>
      </c>
      <c r="S48" s="100">
        <f t="shared" si="11"/>
        <v>1318.3531431244296</v>
      </c>
      <c r="T48" s="101">
        <f>R48-S48</f>
        <v>2302.6468568755704</v>
      </c>
      <c r="U48" s="49">
        <v>40710</v>
      </c>
      <c r="V48" s="95"/>
      <c r="W48" s="95"/>
      <c r="X48" s="95"/>
      <c r="Y48" s="95"/>
      <c r="Z48" s="95"/>
      <c r="AE48" s="93">
        <f t="shared" si="12"/>
        <v>37805.5</v>
      </c>
      <c r="AF48" s="92">
        <f>Logistic2010!Q48</f>
        <v>0.15689575096130998</v>
      </c>
      <c r="AG48" s="4">
        <f t="shared" si="10"/>
        <v>0.44330675299696459</v>
      </c>
      <c r="AH48" s="92">
        <f>Logistic2011!Q48</f>
        <v>0.12692574439278323</v>
      </c>
      <c r="AI48" s="92">
        <f>Logistic2012!Q48</f>
        <v>0.44330675299696459</v>
      </c>
      <c r="AJ48" s="92">
        <f>Logistic2013!L48</f>
        <v>0.26940553732402189</v>
      </c>
      <c r="AK48" s="119">
        <f>Logistic2014!AK48</f>
        <v>0.28801370069768495</v>
      </c>
      <c r="AL48" s="119">
        <f t="shared" si="13"/>
        <v>0.34341273562500851</v>
      </c>
      <c r="AM48" s="110"/>
      <c r="AP48" s="110"/>
      <c r="AQ48" s="110"/>
      <c r="AR48"/>
      <c r="AS48"/>
      <c r="AT48"/>
      <c r="AU48"/>
      <c r="AV48"/>
      <c r="AW48"/>
      <c r="AX48"/>
    </row>
    <row r="49" spans="2:50" ht="16.5" thickBot="1" x14ac:dyDescent="0.3">
      <c r="B49" s="49"/>
      <c r="C49" s="79"/>
      <c r="D49" s="86" t="str">
        <f t="shared" si="14"/>
        <v/>
      </c>
      <c r="E49" s="81"/>
      <c r="F49" s="50" t="str">
        <f t="shared" si="15"/>
        <v/>
      </c>
      <c r="G49" s="16" t="str">
        <f t="shared" si="16"/>
        <v/>
      </c>
      <c r="H49" s="51" t="str">
        <f t="shared" si="17"/>
        <v/>
      </c>
      <c r="I49" s="54"/>
      <c r="J49" s="105">
        <f t="shared" si="7"/>
        <v>37806.5</v>
      </c>
      <c r="K49" s="109">
        <v>41</v>
      </c>
      <c r="L49" s="143">
        <f t="shared" si="5"/>
        <v>0.38475801451275982</v>
      </c>
      <c r="M49" s="46">
        <f t="shared" si="8"/>
        <v>0.30707218568713457</v>
      </c>
      <c r="N49" s="131">
        <v>0.30707218568713457</v>
      </c>
      <c r="O49" s="89">
        <f t="shared" si="6"/>
        <v>0.30707218568713457</v>
      </c>
      <c r="P49" s="4">
        <v>40363</v>
      </c>
      <c r="Q49" s="4">
        <v>0.51471586655781365</v>
      </c>
      <c r="R49" s="4">
        <v>2271</v>
      </c>
      <c r="S49" s="100">
        <f t="shared" si="11"/>
        <v>922.70221942202738</v>
      </c>
      <c r="T49" s="101">
        <f t="shared" ref="T49:T70" si="18">R49-S49</f>
        <v>1348.2977805779726</v>
      </c>
      <c r="U49" s="49">
        <v>40711</v>
      </c>
      <c r="V49" s="95"/>
      <c r="W49" s="95"/>
      <c r="X49" s="95"/>
      <c r="Y49" s="95"/>
      <c r="Z49" s="95"/>
      <c r="AE49" s="93">
        <f t="shared" si="12"/>
        <v>37806.5</v>
      </c>
      <c r="AF49" s="92">
        <f>Logistic2010!Q49</f>
        <v>0.1851794824455581</v>
      </c>
      <c r="AG49" s="4">
        <f t="shared" si="10"/>
        <v>0.51471586655781365</v>
      </c>
      <c r="AH49" s="92">
        <f>Logistic2011!Q49</f>
        <v>0.15753263507351994</v>
      </c>
      <c r="AI49" s="92">
        <f>Logistic2012!Q49</f>
        <v>0.51471586655781365</v>
      </c>
      <c r="AJ49" s="92">
        <f>Logistic2013!L49</f>
        <v>0.31004134142241851</v>
      </c>
      <c r="AK49" s="119">
        <f>Logistic2014!AK49</f>
        <v>0.32873512727698778</v>
      </c>
      <c r="AL49" s="119">
        <f t="shared" si="13"/>
        <v>0.38475801451275982</v>
      </c>
      <c r="AM49" s="110"/>
      <c r="AN49" s="110"/>
      <c r="AO49" s="110"/>
      <c r="AP49" s="110"/>
      <c r="AQ49" s="110"/>
      <c r="AR49" t="s">
        <v>29</v>
      </c>
      <c r="AS49"/>
      <c r="AT49"/>
      <c r="AU49"/>
      <c r="AV49"/>
      <c r="AW49"/>
      <c r="AX49"/>
    </row>
    <row r="50" spans="2:50" ht="16.5" thickBot="1" x14ac:dyDescent="0.3">
      <c r="B50" s="49"/>
      <c r="C50" s="79"/>
      <c r="D50" s="86" t="str">
        <f t="shared" si="14"/>
        <v/>
      </c>
      <c r="E50" s="81"/>
      <c r="F50" s="50" t="str">
        <f t="shared" si="15"/>
        <v/>
      </c>
      <c r="G50" s="16" t="str">
        <f t="shared" si="16"/>
        <v/>
      </c>
      <c r="H50" s="51" t="str">
        <f t="shared" si="17"/>
        <v/>
      </c>
      <c r="I50" s="54"/>
      <c r="J50" s="105">
        <f t="shared" si="7"/>
        <v>37807.5</v>
      </c>
      <c r="K50" s="109">
        <v>42</v>
      </c>
      <c r="L50" s="125">
        <f t="shared" si="5"/>
        <v>0.42783751117814939</v>
      </c>
      <c r="M50" s="46">
        <f t="shared" si="8"/>
        <v>0.38707606622199253</v>
      </c>
      <c r="N50" s="131">
        <v>0.38707606622199253</v>
      </c>
      <c r="O50" s="89">
        <f t="shared" si="6"/>
        <v>0.38707606622199253</v>
      </c>
      <c r="P50" s="4">
        <v>40364</v>
      </c>
      <c r="Q50" s="4">
        <v>0.58552915257129856</v>
      </c>
      <c r="R50" s="4">
        <v>2403</v>
      </c>
      <c r="S50" s="100">
        <f t="shared" si="11"/>
        <v>1081.2024595587038</v>
      </c>
      <c r="T50" s="101">
        <f t="shared" si="18"/>
        <v>1321.7975404412962</v>
      </c>
      <c r="U50" s="49">
        <v>40712</v>
      </c>
      <c r="V50" s="95">
        <v>3.5999999999999997E-2</v>
      </c>
      <c r="W50" s="95"/>
      <c r="X50" s="95"/>
      <c r="Y50" s="95"/>
      <c r="Z50" s="95"/>
      <c r="AE50" s="93">
        <f t="shared" si="12"/>
        <v>37807.5</v>
      </c>
      <c r="AF50" s="92">
        <f>Logistic2010!Q50</f>
        <v>0.21724812306999194</v>
      </c>
      <c r="AG50" s="4">
        <f t="shared" si="10"/>
        <v>0.58552915257129856</v>
      </c>
      <c r="AH50" s="92">
        <f>Logistic2011!Q50</f>
        <v>0.19388109788722835</v>
      </c>
      <c r="AI50" s="92">
        <f>Logistic2012!Q50</f>
        <v>0.58552915257129856</v>
      </c>
      <c r="AJ50" s="92">
        <f>Logistic2013!L50</f>
        <v>0.35383793526166868</v>
      </c>
      <c r="AK50" s="119">
        <f>Logistic2014!AK50</f>
        <v>0.37220420551064748</v>
      </c>
      <c r="AL50" s="119">
        <f t="shared" si="13"/>
        <v>0.42783751117814939</v>
      </c>
      <c r="AM50" s="113"/>
      <c r="AN50" s="113"/>
      <c r="AO50" s="113"/>
      <c r="AQ50" s="113"/>
      <c r="AR50" s="112" t="s">
        <v>30</v>
      </c>
      <c r="AS50" s="112" t="s">
        <v>31</v>
      </c>
      <c r="AT50" s="112" t="s">
        <v>32</v>
      </c>
      <c r="AU50" s="112" t="s">
        <v>33</v>
      </c>
      <c r="AV50" s="112" t="s">
        <v>34</v>
      </c>
      <c r="AW50"/>
      <c r="AX50"/>
    </row>
    <row r="51" spans="2:50" x14ac:dyDescent="0.25">
      <c r="B51" s="49"/>
      <c r="C51" s="79"/>
      <c r="D51" s="86" t="str">
        <f t="shared" si="14"/>
        <v/>
      </c>
      <c r="E51" s="81"/>
      <c r="F51" s="50" t="str">
        <f t="shared" si="15"/>
        <v/>
      </c>
      <c r="G51" s="16" t="str">
        <f t="shared" si="16"/>
        <v/>
      </c>
      <c r="H51" s="51" t="str">
        <f t="shared" si="17"/>
        <v/>
      </c>
      <c r="I51" s="54"/>
      <c r="J51" s="105">
        <f t="shared" si="7"/>
        <v>37808.5</v>
      </c>
      <c r="K51" s="109">
        <v>43</v>
      </c>
      <c r="L51" s="125">
        <f t="shared" si="5"/>
        <v>0.47203969195019341</v>
      </c>
      <c r="M51" s="46">
        <f t="shared" si="8"/>
        <v>0.47367530224191001</v>
      </c>
      <c r="N51" s="131">
        <v>0.47367530224191001</v>
      </c>
      <c r="O51" s="89">
        <f t="shared" si="6"/>
        <v>0.47367530224191001</v>
      </c>
      <c r="P51" s="4">
        <v>40365</v>
      </c>
      <c r="Q51" s="4">
        <v>0.65297594566306583</v>
      </c>
      <c r="R51" s="4">
        <v>2644</v>
      </c>
      <c r="S51" s="100">
        <f t="shared" si="11"/>
        <v>1307.0936112951247</v>
      </c>
      <c r="T51" s="101">
        <f t="shared" si="18"/>
        <v>1336.9063887048753</v>
      </c>
      <c r="U51" s="40">
        <v>40713</v>
      </c>
      <c r="V51" s="95"/>
      <c r="W51" s="95"/>
      <c r="X51" s="95"/>
      <c r="Y51" s="95"/>
      <c r="Z51" s="95"/>
      <c r="AE51" s="93">
        <f t="shared" si="12"/>
        <v>37808.5</v>
      </c>
      <c r="AF51" s="92">
        <f>Logistic2010!Q51</f>
        <v>0.25314493902860469</v>
      </c>
      <c r="AG51" s="4">
        <f t="shared" si="10"/>
        <v>0.65297594566306583</v>
      </c>
      <c r="AH51" s="92">
        <f>Logistic2011!Q51</f>
        <v>0.2362644112915534</v>
      </c>
      <c r="AI51" s="92">
        <f>Logistic2012!Q51</f>
        <v>0.65297594566306583</v>
      </c>
      <c r="AJ51" s="92">
        <f>Logistic2013!L51</f>
        <v>0.40023244913820061</v>
      </c>
      <c r="AK51" s="119">
        <f>Logistic2014!AK51</f>
        <v>0.41784330704514244</v>
      </c>
      <c r="AL51" s="119">
        <f t="shared" si="13"/>
        <v>0.47203969195019341</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14"/>
        <v/>
      </c>
      <c r="E52" s="81"/>
      <c r="F52" s="50" t="str">
        <f t="shared" si="15"/>
        <v/>
      </c>
      <c r="G52" s="16" t="str">
        <f t="shared" si="16"/>
        <v/>
      </c>
      <c r="H52" s="51" t="str">
        <f t="shared" si="17"/>
        <v/>
      </c>
      <c r="I52" s="54"/>
      <c r="J52" s="105">
        <f t="shared" si="7"/>
        <v>37809.5</v>
      </c>
      <c r="K52" s="109">
        <v>44</v>
      </c>
      <c r="L52" s="125">
        <f t="shared" si="5"/>
        <v>0.51668467362856962</v>
      </c>
      <c r="M52" s="46">
        <f t="shared" si="8"/>
        <v>0.56188779335925654</v>
      </c>
      <c r="N52" s="131">
        <v>0.56188779335925654</v>
      </c>
      <c r="O52" s="89">
        <f t="shared" si="6"/>
        <v>0.56188779335925654</v>
      </c>
      <c r="P52" s="4">
        <v>40366</v>
      </c>
      <c r="Q52" s="4">
        <v>0.71479326435445212</v>
      </c>
      <c r="R52" s="4">
        <v>1901</v>
      </c>
      <c r="S52" s="100">
        <f t="shared" si="11"/>
        <v>1024.4009645193369</v>
      </c>
      <c r="T52" s="101">
        <f t="shared" si="18"/>
        <v>876.59903548066313</v>
      </c>
      <c r="U52" s="49">
        <v>40714</v>
      </c>
      <c r="V52" s="95"/>
      <c r="W52" s="95"/>
      <c r="X52" s="95"/>
      <c r="Y52" s="95"/>
      <c r="Z52" s="95"/>
      <c r="AE52" s="93">
        <f t="shared" si="12"/>
        <v>37809.5</v>
      </c>
      <c r="AF52" s="92">
        <f>Logistic2010!Q52</f>
        <v>0.29275475741502793</v>
      </c>
      <c r="AG52" s="4">
        <f t="shared" si="10"/>
        <v>0.71479326435445212</v>
      </c>
      <c r="AH52" s="92">
        <f>Logistic2011!Q52</f>
        <v>0.28464136726106892</v>
      </c>
      <c r="AI52" s="92">
        <f>Logistic2012!Q52</f>
        <v>0.71479326435445212</v>
      </c>
      <c r="AJ52" s="92">
        <f>Logistic2013!L52</f>
        <v>0.44848792399421938</v>
      </c>
      <c r="AK52" s="119">
        <f>Logistic2014!AK52</f>
        <v>0.46493416339222882</v>
      </c>
      <c r="AL52" s="119">
        <f t="shared" si="13"/>
        <v>0.51668467362856962</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14"/>
        <v/>
      </c>
      <c r="E53" s="81"/>
      <c r="F53" s="50" t="str">
        <f t="shared" si="15"/>
        <v/>
      </c>
      <c r="G53" s="16" t="str">
        <f t="shared" si="16"/>
        <v/>
      </c>
      <c r="H53" s="51" t="str">
        <f t="shared" si="17"/>
        <v/>
      </c>
      <c r="I53" s="54"/>
      <c r="J53" s="105">
        <f t="shared" si="7"/>
        <v>37810.5</v>
      </c>
      <c r="K53" s="109">
        <v>45</v>
      </c>
      <c r="L53" s="125">
        <f t="shared" si="5"/>
        <v>0.56106489451381525</v>
      </c>
      <c r="M53" s="46">
        <f t="shared" si="8"/>
        <v>0.64635389784882469</v>
      </c>
      <c r="N53" s="130">
        <v>0.64635389784882469</v>
      </c>
      <c r="O53" s="89">
        <f t="shared" si="6"/>
        <v>0.64635389784882469</v>
      </c>
      <c r="P53" s="4">
        <v>40367</v>
      </c>
      <c r="Q53" s="4">
        <v>0.76948613379160047</v>
      </c>
      <c r="R53" s="4">
        <v>2421</v>
      </c>
      <c r="S53" s="100">
        <f t="shared" si="11"/>
        <v>1410.9034632094274</v>
      </c>
      <c r="T53" s="101">
        <f t="shared" si="18"/>
        <v>1010.0965367905726</v>
      </c>
      <c r="U53" s="49">
        <v>40715</v>
      </c>
      <c r="V53" s="95"/>
      <c r="W53" s="95"/>
      <c r="X53" s="95"/>
      <c r="Y53" s="95"/>
      <c r="Z53" s="95"/>
      <c r="AE53" s="93">
        <f t="shared" si="12"/>
        <v>37810.5</v>
      </c>
      <c r="AF53" s="92">
        <f>Logistic2010!Q53</f>
        <v>0.33577592018640684</v>
      </c>
      <c r="AG53" s="4">
        <f t="shared" si="10"/>
        <v>0.76948613379160047</v>
      </c>
      <c r="AH53" s="92">
        <f>Logistic2011!Q53</f>
        <v>0.33853314511451504</v>
      </c>
      <c r="AI53" s="92">
        <f>Logistic2012!Q53</f>
        <v>0.76948613379160047</v>
      </c>
      <c r="AJ53" s="92">
        <f>Logistic2013!L53</f>
        <v>0.49773319182267894</v>
      </c>
      <c r="AK53" s="119">
        <f>Logistic2014!AK53</f>
        <v>0.51265858710560919</v>
      </c>
      <c r="AL53" s="119">
        <f t="shared" si="13"/>
        <v>0.56106489451381525</v>
      </c>
      <c r="AM53" s="115"/>
      <c r="AO53" s="115"/>
      <c r="AP53" s="115"/>
      <c r="AQ53" s="115"/>
      <c r="AR53"/>
      <c r="AS53"/>
      <c r="AT53"/>
      <c r="AU53"/>
      <c r="AV53"/>
      <c r="AW53"/>
      <c r="AX53"/>
    </row>
    <row r="54" spans="2:50" x14ac:dyDescent="0.25">
      <c r="B54" s="49"/>
      <c r="C54" s="79"/>
      <c r="D54" s="86" t="str">
        <f t="shared" si="14"/>
        <v/>
      </c>
      <c r="E54" s="81"/>
      <c r="F54" s="50" t="str">
        <f t="shared" si="15"/>
        <v/>
      </c>
      <c r="G54" s="16" t="str">
        <f t="shared" si="16"/>
        <v/>
      </c>
      <c r="H54" s="51" t="str">
        <f t="shared" si="17"/>
        <v/>
      </c>
      <c r="I54" s="54"/>
      <c r="J54" s="105">
        <f t="shared" si="7"/>
        <v>37811.5</v>
      </c>
      <c r="K54" s="109">
        <v>46</v>
      </c>
      <c r="L54" s="125">
        <f t="shared" si="5"/>
        <v>0.60448939149149439</v>
      </c>
      <c r="M54" s="46">
        <f t="shared" si="8"/>
        <v>0.72257565187378159</v>
      </c>
      <c r="N54" s="130">
        <v>0.72257565187378159</v>
      </c>
      <c r="O54" s="89">
        <f t="shared" si="6"/>
        <v>0.72257565187378159</v>
      </c>
      <c r="P54" s="4">
        <v>40368</v>
      </c>
      <c r="Q54" s="4">
        <v>0.81638498403003179</v>
      </c>
      <c r="R54" s="4">
        <v>2560</v>
      </c>
      <c r="S54" s="100">
        <f t="shared" si="11"/>
        <v>1601.0435809543346</v>
      </c>
      <c r="T54" s="101">
        <f t="shared" si="18"/>
        <v>958.95641904566537</v>
      </c>
      <c r="U54" s="49">
        <v>40716</v>
      </c>
      <c r="V54" s="95"/>
      <c r="W54" s="95"/>
      <c r="X54" s="95"/>
      <c r="Y54" s="95"/>
      <c r="Z54" s="95"/>
      <c r="AE54" s="93">
        <f t="shared" si="12"/>
        <v>37811.5</v>
      </c>
      <c r="AF54" s="92">
        <f>Logistic2010!Q54</f>
        <v>0.3817070776941604</v>
      </c>
      <c r="AG54" s="4">
        <f t="shared" si="10"/>
        <v>0.81638498403003179</v>
      </c>
      <c r="AH54" s="92">
        <f>Logistic2011!Q54</f>
        <v>0.39696628169175319</v>
      </c>
      <c r="AI54" s="92">
        <f>Logistic2012!Q54</f>
        <v>0.81638498403003179</v>
      </c>
      <c r="AJ54" s="92">
        <f>Logistic2013!L54</f>
        <v>0.54702247769245926</v>
      </c>
      <c r="AK54" s="119">
        <f>Logistic2014!AK54</f>
        <v>0.56015332200960266</v>
      </c>
      <c r="AL54" s="119">
        <f t="shared" si="13"/>
        <v>0.60448939149149439</v>
      </c>
      <c r="AM54" s="110"/>
      <c r="AN54" s="110"/>
      <c r="AO54" s="110"/>
      <c r="AQ54" s="110"/>
      <c r="AR54"/>
      <c r="AS54"/>
      <c r="AT54"/>
      <c r="AU54"/>
      <c r="AV54"/>
      <c r="AW54"/>
      <c r="AX54"/>
    </row>
    <row r="55" spans="2:50" ht="16.5" thickBot="1" x14ac:dyDescent="0.3">
      <c r="B55" s="49"/>
      <c r="C55" s="79"/>
      <c r="D55" s="86" t="str">
        <f t="shared" si="14"/>
        <v/>
      </c>
      <c r="E55" s="81"/>
      <c r="F55" s="50" t="str">
        <f t="shared" si="15"/>
        <v/>
      </c>
      <c r="G55" s="16" t="str">
        <f t="shared" si="16"/>
        <v/>
      </c>
      <c r="H55" s="51" t="str">
        <f t="shared" si="17"/>
        <v/>
      </c>
      <c r="I55" s="54"/>
      <c r="J55" s="105">
        <f t="shared" si="7"/>
        <v>37812.5</v>
      </c>
      <c r="K55" s="109">
        <v>47</v>
      </c>
      <c r="L55" s="125">
        <f t="shared" si="5"/>
        <v>0.64632590612907959</v>
      </c>
      <c r="M55" s="46">
        <f t="shared" si="8"/>
        <v>0.67992615512835608</v>
      </c>
      <c r="N55" s="131">
        <v>0.67992615512835608</v>
      </c>
      <c r="O55" s="89">
        <f t="shared" si="6"/>
        <v>0.67992615512835608</v>
      </c>
      <c r="P55" s="4">
        <v>40369</v>
      </c>
      <c r="Q55" s="4">
        <v>0.85553350414652685</v>
      </c>
      <c r="R55" s="4">
        <v>3011</v>
      </c>
      <c r="S55" s="100">
        <f t="shared" si="11"/>
        <v>2005.8701246749879</v>
      </c>
      <c r="T55" s="101">
        <f t="shared" si="18"/>
        <v>1005.1298753250121</v>
      </c>
      <c r="U55" s="49">
        <v>40717</v>
      </c>
      <c r="V55" s="95"/>
      <c r="W55" s="95"/>
      <c r="X55" s="95"/>
      <c r="Y55" s="95"/>
      <c r="Z55" s="95"/>
      <c r="AE55" s="93">
        <f t="shared" si="12"/>
        <v>37812.5</v>
      </c>
      <c r="AF55" s="92">
        <f>Logistic2010!Q55</f>
        <v>0.42985515834963317</v>
      </c>
      <c r="AG55" s="4">
        <f t="shared" si="10"/>
        <v>0.85553350414652685</v>
      </c>
      <c r="AH55" s="92">
        <f>Logistic2011!Q55</f>
        <v>0.45849431667616858</v>
      </c>
      <c r="AI55" s="92">
        <f>Logistic2012!Q55</f>
        <v>0.85553350414652685</v>
      </c>
      <c r="AJ55" s="92">
        <f>Logistic2013!L55</f>
        <v>0.59540663680406558</v>
      </c>
      <c r="AK55" s="119">
        <f>Logistic2014!AK55</f>
        <v>0.60657155343516</v>
      </c>
      <c r="AL55" s="119">
        <f t="shared" si="13"/>
        <v>0.64632590612907959</v>
      </c>
      <c r="AM55" s="110"/>
      <c r="AN55" s="110"/>
      <c r="AP55" s="110"/>
      <c r="AQ55" s="110"/>
      <c r="AR55" t="s">
        <v>35</v>
      </c>
      <c r="AS55"/>
      <c r="AT55"/>
      <c r="AU55"/>
      <c r="AV55"/>
      <c r="AW55"/>
      <c r="AX55"/>
    </row>
    <row r="56" spans="2:50" x14ac:dyDescent="0.25">
      <c r="B56" s="49"/>
      <c r="C56" s="79"/>
      <c r="D56" s="86" t="str">
        <f t="shared" si="14"/>
        <v/>
      </c>
      <c r="E56" s="81"/>
      <c r="F56" s="50" t="str">
        <f t="shared" si="15"/>
        <v/>
      </c>
      <c r="G56" s="16" t="str">
        <f t="shared" si="16"/>
        <v/>
      </c>
      <c r="H56" s="51" t="str">
        <f t="shared" si="17"/>
        <v/>
      </c>
      <c r="I56" s="54"/>
      <c r="J56" s="105">
        <f t="shared" si="7"/>
        <v>37813.5</v>
      </c>
      <c r="K56" s="109">
        <v>48</v>
      </c>
      <c r="L56" s="125">
        <f t="shared" si="5"/>
        <v>0.68603551843085919</v>
      </c>
      <c r="M56" s="46">
        <f t="shared" si="8"/>
        <v>0.73462826392623781</v>
      </c>
      <c r="N56" s="131">
        <v>0.73462826392623781</v>
      </c>
      <c r="O56" s="89">
        <f t="shared" si="6"/>
        <v>0.73462826392623781</v>
      </c>
      <c r="P56" s="4">
        <v>40370</v>
      </c>
      <c r="Q56" s="4">
        <v>0.88748554172196392</v>
      </c>
      <c r="R56" s="4">
        <v>582</v>
      </c>
      <c r="S56" s="100">
        <f t="shared" si="11"/>
        <v>410.0863980525441</v>
      </c>
      <c r="T56" s="101">
        <f t="shared" si="18"/>
        <v>171.9136019474559</v>
      </c>
      <c r="U56" s="49">
        <v>40718</v>
      </c>
      <c r="V56" s="95"/>
      <c r="W56" s="95"/>
      <c r="X56" s="95"/>
      <c r="Y56" s="95"/>
      <c r="Z56" s="95"/>
      <c r="AE56" s="93">
        <f t="shared" si="12"/>
        <v>37813.5</v>
      </c>
      <c r="AF56" s="92">
        <f>Logistic2010!Q56</f>
        <v>0.47936786629286093</v>
      </c>
      <c r="AG56" s="4">
        <f t="shared" si="10"/>
        <v>0.88748554172196392</v>
      </c>
      <c r="AH56" s="92">
        <f>Logistic2011!Q56</f>
        <v>0.52131468367366807</v>
      </c>
      <c r="AI56" s="92">
        <f>Logistic2012!Q56</f>
        <v>0.88748554172196392</v>
      </c>
      <c r="AJ56" s="92">
        <f>Logistic2013!L56</f>
        <v>0.64200492795904929</v>
      </c>
      <c r="AK56" s="119">
        <f>Logistic2014!AK56</f>
        <v>0.65114196868570062</v>
      </c>
      <c r="AL56" s="119">
        <f t="shared" si="13"/>
        <v>0.68603551843085919</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14"/>
        <v/>
      </c>
      <c r="E57" s="81"/>
      <c r="F57" s="50" t="str">
        <f t="shared" si="15"/>
        <v/>
      </c>
      <c r="G57" s="16" t="str">
        <f t="shared" si="16"/>
        <v/>
      </c>
      <c r="H57" s="51" t="str">
        <f t="shared" si="17"/>
        <v/>
      </c>
      <c r="I57" s="54"/>
      <c r="J57" s="105">
        <f t="shared" si="7"/>
        <v>37814.5</v>
      </c>
      <c r="K57" s="109">
        <v>49</v>
      </c>
      <c r="L57" s="125">
        <f t="shared" si="5"/>
        <v>0.72319608999712737</v>
      </c>
      <c r="M57" s="46">
        <f t="shared" si="8"/>
        <v>0.78296570483334704</v>
      </c>
      <c r="N57" s="131">
        <v>0.78296570483334704</v>
      </c>
      <c r="O57" s="89">
        <f t="shared" si="6"/>
        <v>0.78296570483334704</v>
      </c>
      <c r="P57" s="4">
        <v>40371</v>
      </c>
      <c r="Q57" s="4">
        <v>0.91308857223820117</v>
      </c>
      <c r="R57" s="4">
        <v>2638</v>
      </c>
      <c r="S57" s="100">
        <f t="shared" si="11"/>
        <v>1953.0552821996741</v>
      </c>
      <c r="T57" s="101">
        <f t="shared" si="18"/>
        <v>684.94471780032586</v>
      </c>
      <c r="U57" s="49">
        <v>40719</v>
      </c>
      <c r="V57" s="95">
        <v>7.0000000000000001E-3</v>
      </c>
      <c r="W57" s="95"/>
      <c r="X57" s="95"/>
      <c r="Y57" s="95"/>
      <c r="Z57" s="95"/>
      <c r="AE57" s="93">
        <f t="shared" si="12"/>
        <v>37814.5</v>
      </c>
      <c r="AF57" s="92">
        <f>Logistic2010!Q57</f>
        <v>0.52928924873066352</v>
      </c>
      <c r="AG57" s="4">
        <f t="shared" si="10"/>
        <v>0.91308857223820117</v>
      </c>
      <c r="AH57" s="92">
        <f>Logistic2011!Q57</f>
        <v>0.58346805352827824</v>
      </c>
      <c r="AI57" s="92">
        <f>Logistic2012!Q57</f>
        <v>0.91308857223820117</v>
      </c>
      <c r="AJ57" s="92">
        <f>Logistic2013!L57</f>
        <v>0.68606608243321232</v>
      </c>
      <c r="AK57" s="119">
        <f>Logistic2014!AK57</f>
        <v>0.69321686759508971</v>
      </c>
      <c r="AL57" s="119">
        <f t="shared" si="13"/>
        <v>0.72319608999712737</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14"/>
        <v/>
      </c>
      <c r="E58" s="81"/>
      <c r="F58" s="50" t="str">
        <f t="shared" si="15"/>
        <v/>
      </c>
      <c r="G58" s="16" t="str">
        <f t="shared" si="16"/>
        <v/>
      </c>
      <c r="H58" s="51" t="str">
        <f t="shared" si="17"/>
        <v/>
      </c>
      <c r="I58" s="54"/>
      <c r="J58" s="105">
        <f t="shared" si="7"/>
        <v>37815.5</v>
      </c>
      <c r="K58" s="109">
        <v>50</v>
      </c>
      <c r="L58" s="125">
        <f t="shared" si="5"/>
        <v>0.75751299430891816</v>
      </c>
      <c r="M58" s="46">
        <f t="shared" si="8"/>
        <v>0.82460067927314873</v>
      </c>
      <c r="N58" s="130">
        <v>0.82460067927314873</v>
      </c>
      <c r="O58" s="89">
        <f t="shared" si="6"/>
        <v>0.82460067927314873</v>
      </c>
      <c r="P58" s="4">
        <v>40372</v>
      </c>
      <c r="Q58" s="4">
        <v>0.93330339143718788</v>
      </c>
      <c r="R58" s="4">
        <v>4264</v>
      </c>
      <c r="S58" s="100">
        <f t="shared" si="11"/>
        <v>3296.7772465119165</v>
      </c>
      <c r="T58" s="101">
        <f t="shared" si="18"/>
        <v>967.22275348808353</v>
      </c>
      <c r="U58" s="40">
        <v>40720</v>
      </c>
      <c r="V58" s="95"/>
      <c r="W58" s="95"/>
      <c r="X58" s="95"/>
      <c r="Y58" s="95"/>
      <c r="Z58" s="95"/>
      <c r="AE58" s="93">
        <f t="shared" si="12"/>
        <v>37815.5</v>
      </c>
      <c r="AF58" s="92">
        <f>Logistic2010!Q58</f>
        <v>0.57863147408369076</v>
      </c>
      <c r="AG58" s="4">
        <f t="shared" si="10"/>
        <v>0.93330339143718788</v>
      </c>
      <c r="AH58" s="92">
        <f>Logistic2011!Q58</f>
        <v>0.64307659747584256</v>
      </c>
      <c r="AI58" s="92">
        <f>Logistic2012!Q58</f>
        <v>0.93330339143718788</v>
      </c>
      <c r="AJ58" s="92">
        <f>Logistic2013!L58</f>
        <v>0.7270102102463335</v>
      </c>
      <c r="AK58" s="119">
        <f>Logistic2014!AK58</f>
        <v>0.73230345881884595</v>
      </c>
      <c r="AL58" s="119">
        <f t="shared" si="13"/>
        <v>0.75751299430891816</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14"/>
        <v/>
      </c>
      <c r="E59" s="81"/>
      <c r="F59" s="50" t="str">
        <f t="shared" si="15"/>
        <v/>
      </c>
      <c r="G59" s="16" t="str">
        <f t="shared" si="16"/>
        <v/>
      </c>
      <c r="H59" s="51" t="str">
        <f t="shared" si="17"/>
        <v/>
      </c>
      <c r="I59" s="54"/>
      <c r="J59" s="105">
        <f t="shared" si="7"/>
        <v>37816.5</v>
      </c>
      <c r="K59" s="109">
        <v>51</v>
      </c>
      <c r="L59" s="125">
        <f t="shared" si="5"/>
        <v>0.78881779673794705</v>
      </c>
      <c r="M59" s="46">
        <f t="shared" si="8"/>
        <v>0.85967998350172414</v>
      </c>
      <c r="N59" s="130">
        <v>0.85967998350172414</v>
      </c>
      <c r="O59" s="89">
        <f t="shared" si="6"/>
        <v>0.85967998350172414</v>
      </c>
      <c r="P59" s="4">
        <v>40373</v>
      </c>
      <c r="Q59" s="4">
        <v>0.94907863528681002</v>
      </c>
      <c r="R59" s="4">
        <v>29205</v>
      </c>
      <c r="S59" s="100">
        <f t="shared" si="11"/>
        <v>23449.789697805089</v>
      </c>
      <c r="T59" s="101">
        <f t="shared" si="18"/>
        <v>5755.2103021949115</v>
      </c>
      <c r="U59" s="49">
        <v>40721</v>
      </c>
      <c r="V59" s="95"/>
      <c r="W59" s="95"/>
      <c r="X59" s="95"/>
      <c r="Y59" s="95"/>
      <c r="Z59" s="95"/>
      <c r="AE59" s="93">
        <f t="shared" si="12"/>
        <v>37816.5</v>
      </c>
      <c r="AF59" s="92">
        <f>Logistic2010!Q59</f>
        <v>0.62645177427350185</v>
      </c>
      <c r="AG59" s="4">
        <f t="shared" si="10"/>
        <v>0.94907863528681002</v>
      </c>
      <c r="AH59" s="92">
        <f>Logistic2011!Q59</f>
        <v>0.69856182420049406</v>
      </c>
      <c r="AI59" s="92">
        <f>Logistic2012!Q59</f>
        <v>0.94907863528681002</v>
      </c>
      <c r="AJ59" s="92">
        <f>Logistic2013!L59</f>
        <v>0.76444773045159664</v>
      </c>
      <c r="AK59" s="119">
        <f>Logistic2014!AK59</f>
        <v>0.76807620704019175</v>
      </c>
      <c r="AL59" s="119">
        <f t="shared" si="13"/>
        <v>0.78881779673794705</v>
      </c>
      <c r="AM59" s="114"/>
      <c r="AN59" s="114"/>
      <c r="AO59" s="114"/>
      <c r="AP59" s="114"/>
      <c r="AQ59" s="114"/>
      <c r="AR59" s="110"/>
      <c r="AS59" s="110"/>
      <c r="AT59" s="110"/>
      <c r="AU59" s="110"/>
      <c r="AV59" s="110"/>
      <c r="AW59" s="110"/>
      <c r="AX59" s="110"/>
    </row>
    <row r="60" spans="2:50" ht="16.5" thickBot="1" x14ac:dyDescent="0.3">
      <c r="B60" s="49"/>
      <c r="C60" s="79"/>
      <c r="D60" s="86" t="str">
        <f t="shared" si="14"/>
        <v/>
      </c>
      <c r="E60" s="81"/>
      <c r="F60" s="50" t="str">
        <f t="shared" si="15"/>
        <v/>
      </c>
      <c r="G60" s="16" t="str">
        <f t="shared" si="16"/>
        <v/>
      </c>
      <c r="H60" s="51" t="str">
        <f t="shared" si="17"/>
        <v/>
      </c>
      <c r="I60" s="54"/>
      <c r="J60" s="105">
        <f t="shared" si="7"/>
        <v>37817.5</v>
      </c>
      <c r="K60" s="109">
        <v>52</v>
      </c>
      <c r="L60" s="125">
        <f t="shared" si="5"/>
        <v>0.81705720396776016</v>
      </c>
      <c r="M60" s="46">
        <f t="shared" si="8"/>
        <v>0.8886905657803027</v>
      </c>
      <c r="N60" s="131">
        <v>0.8886905657803027</v>
      </c>
      <c r="O60" s="89">
        <f t="shared" si="6"/>
        <v>0.8886905657803027</v>
      </c>
      <c r="P60" s="4">
        <v>40374</v>
      </c>
      <c r="Q60" s="4">
        <v>0.96127748661561918</v>
      </c>
      <c r="R60" s="4">
        <v>27768</v>
      </c>
      <c r="S60" s="100">
        <f t="shared" si="11"/>
        <v>23038.174878133814</v>
      </c>
      <c r="T60" s="101">
        <f t="shared" si="18"/>
        <v>4729.8251218661862</v>
      </c>
      <c r="U60" s="49">
        <v>40722</v>
      </c>
      <c r="V60" s="95"/>
      <c r="W60" s="95"/>
      <c r="X60" s="95"/>
      <c r="Y60" s="95"/>
      <c r="Z60" s="95"/>
      <c r="AE60" s="93">
        <f t="shared" si="12"/>
        <v>37817.5</v>
      </c>
      <c r="AF60" s="92">
        <f>Logistic2010!Q60</f>
        <v>0.6719221112063114</v>
      </c>
      <c r="AG60" s="4">
        <f t="shared" si="10"/>
        <v>0.96127748661561918</v>
      </c>
      <c r="AH60" s="92">
        <f>Logistic2011!Q60</f>
        <v>0.74879103833236005</v>
      </c>
      <c r="AI60" s="92">
        <f>Logistic2012!Q60</f>
        <v>0.96127748661561918</v>
      </c>
      <c r="AJ60" s="92">
        <f>Logistic2013!L60</f>
        <v>0.79817638699971571</v>
      </c>
      <c r="AK60" s="119">
        <f>Logistic2014!AK60</f>
        <v>0.80037172674720769</v>
      </c>
      <c r="AL60" s="119">
        <f t="shared" si="13"/>
        <v>0.81705720396776016</v>
      </c>
      <c r="AM60" s="113"/>
      <c r="AO60" s="113"/>
      <c r="AP60" s="113"/>
      <c r="AQ60" s="113"/>
      <c r="AR60" s="111" t="s">
        <v>45</v>
      </c>
      <c r="AS60" s="111">
        <v>3.4619470909090904</v>
      </c>
      <c r="AT60" s="111">
        <v>21</v>
      </c>
      <c r="AU60" s="111"/>
      <c r="AV60" s="111"/>
      <c r="AW60" s="111"/>
      <c r="AX60" s="111"/>
    </row>
    <row r="61" spans="2:50" x14ac:dyDescent="0.25">
      <c r="B61" s="49"/>
      <c r="C61" s="79"/>
      <c r="D61" s="86" t="str">
        <f t="shared" si="14"/>
        <v/>
      </c>
      <c r="E61" s="81"/>
      <c r="F61" s="50" t="str">
        <f t="shared" si="15"/>
        <v/>
      </c>
      <c r="G61" s="16" t="str">
        <f t="shared" si="16"/>
        <v/>
      </c>
      <c r="H61" s="51" t="str">
        <f t="shared" si="17"/>
        <v/>
      </c>
      <c r="I61" s="54"/>
      <c r="J61" s="105">
        <f t="shared" si="7"/>
        <v>37818.5</v>
      </c>
      <c r="K61" s="109">
        <v>53</v>
      </c>
      <c r="L61" s="125">
        <f t="shared" si="5"/>
        <v>0.8422754723599416</v>
      </c>
      <c r="M61" s="46">
        <f t="shared" si="8"/>
        <v>0.91231509064301375</v>
      </c>
      <c r="N61" s="130">
        <v>0.91231509064301375</v>
      </c>
      <c r="O61" s="89">
        <f t="shared" si="6"/>
        <v>0.91231509064301375</v>
      </c>
      <c r="P61" s="4">
        <v>40375</v>
      </c>
      <c r="Q61" s="4">
        <v>0.97064434164342128</v>
      </c>
      <c r="R61" s="4">
        <v>21508</v>
      </c>
      <c r="S61" s="100">
        <f t="shared" si="11"/>
        <v>18355.669601959366</v>
      </c>
      <c r="T61" s="101">
        <f t="shared" si="18"/>
        <v>3152.3303980406345</v>
      </c>
      <c r="U61" s="49">
        <v>40723</v>
      </c>
      <c r="V61" s="95"/>
      <c r="W61" s="95"/>
      <c r="X61" s="95"/>
      <c r="Y61" s="95"/>
      <c r="Z61" s="95"/>
      <c r="AC61" s="93">
        <v>37783</v>
      </c>
      <c r="AD61" s="95">
        <v>2.4E-2</v>
      </c>
      <c r="AE61" s="93">
        <f t="shared" si="12"/>
        <v>37818.5</v>
      </c>
      <c r="AF61" s="92">
        <f>Logistic2010!Q61</f>
        <v>0.71438108258813315</v>
      </c>
      <c r="AG61" s="4">
        <f t="shared" si="10"/>
        <v>0.97064434164342128</v>
      </c>
      <c r="AH61" s="92">
        <f>Logistic2011!Q61</f>
        <v>0.79312907861690396</v>
      </c>
      <c r="AI61" s="92">
        <f>Logistic2012!Q61</f>
        <v>0.97064434164342128</v>
      </c>
      <c r="AJ61" s="92">
        <f>Logistic2013!L61</f>
        <v>0.82816108437109193</v>
      </c>
      <c r="AK61" s="119">
        <f>Logistic2014!AK61</f>
        <v>0.82917030340634412</v>
      </c>
      <c r="AL61" s="119">
        <f t="shared" si="13"/>
        <v>0.8422754723599416</v>
      </c>
      <c r="AM61" s="113"/>
      <c r="AN61" s="113"/>
      <c r="AO61" s="113"/>
      <c r="AP61" s="113"/>
      <c r="AQ61" s="113"/>
      <c r="AR61" s="113"/>
      <c r="AS61" s="113"/>
      <c r="AT61" s="114"/>
      <c r="AU61" s="114"/>
    </row>
    <row r="62" spans="2:50" ht="16.5" thickBot="1" x14ac:dyDescent="0.3">
      <c r="B62" s="49"/>
      <c r="C62" s="79"/>
      <c r="D62" s="86" t="str">
        <f t="shared" si="14"/>
        <v/>
      </c>
      <c r="E62" s="81"/>
      <c r="F62" s="50" t="str">
        <f t="shared" si="15"/>
        <v/>
      </c>
      <c r="G62" s="16" t="str">
        <f t="shared" si="16"/>
        <v/>
      </c>
      <c r="H62" s="51" t="str">
        <f t="shared" si="17"/>
        <v/>
      </c>
      <c r="I62" s="54"/>
      <c r="J62" s="105">
        <f t="shared" si="7"/>
        <v>37819.5</v>
      </c>
      <c r="K62" s="109">
        <v>54</v>
      </c>
      <c r="L62" s="125">
        <f t="shared" si="5"/>
        <v>0.86459356260001419</v>
      </c>
      <c r="M62" s="46">
        <f t="shared" si="8"/>
        <v>0.93131304287865924</v>
      </c>
      <c r="N62" s="130">
        <v>0.93131304287865924</v>
      </c>
      <c r="O62" s="89">
        <f t="shared" si="6"/>
        <v>0.93131304287865924</v>
      </c>
      <c r="P62" s="4">
        <v>40376</v>
      </c>
      <c r="Q62" s="4">
        <v>0.97779771637475388</v>
      </c>
      <c r="R62" s="4">
        <v>9686</v>
      </c>
      <c r="S62" s="100">
        <f t="shared" si="11"/>
        <v>8469.3484207627207</v>
      </c>
      <c r="T62" s="101">
        <f t="shared" si="18"/>
        <v>1216.6515792372793</v>
      </c>
      <c r="U62" s="49">
        <v>40724</v>
      </c>
      <c r="V62" s="95"/>
      <c r="W62" s="95"/>
      <c r="X62" s="95"/>
      <c r="Y62" s="95"/>
      <c r="Z62" s="95"/>
      <c r="AC62" s="93">
        <v>37810</v>
      </c>
      <c r="AD62" s="95">
        <v>0.90100000000000002</v>
      </c>
      <c r="AE62" s="93">
        <f t="shared" si="12"/>
        <v>37819.5</v>
      </c>
      <c r="AF62" s="92">
        <f>Logistic2010!Q62</f>
        <v>0.75336211213144844</v>
      </c>
      <c r="AG62" s="4">
        <f t="shared" si="10"/>
        <v>0.97779771637475388</v>
      </c>
      <c r="AH62" s="92">
        <f>Logistic2011!Q62</f>
        <v>0.83140351438424964</v>
      </c>
      <c r="AI62" s="92">
        <f>Logistic2012!Q62</f>
        <v>0.97779771637475388</v>
      </c>
      <c r="AJ62" s="92">
        <f>Logistic2013!L62</f>
        <v>0.85450303975835906</v>
      </c>
      <c r="AK62" s="119">
        <f>Logistic2014!AK62</f>
        <v>0.85456925965431629</v>
      </c>
      <c r="AL62" s="119">
        <f t="shared" si="13"/>
        <v>0.86459356260001419</v>
      </c>
      <c r="AM62" s="113"/>
      <c r="AN62" s="113"/>
      <c r="AP62" s="113"/>
      <c r="AQ62" s="113"/>
      <c r="AR62" s="113"/>
      <c r="AS62" s="113"/>
      <c r="AT62" s="114"/>
      <c r="AU62" s="114"/>
    </row>
    <row r="63" spans="2:50" x14ac:dyDescent="0.25">
      <c r="B63" s="49"/>
      <c r="C63" s="79"/>
      <c r="D63" s="86" t="str">
        <f t="shared" si="14"/>
        <v/>
      </c>
      <c r="E63" s="81"/>
      <c r="F63" s="50" t="str">
        <f t="shared" si="15"/>
        <v/>
      </c>
      <c r="G63" s="16" t="str">
        <f t="shared" si="16"/>
        <v/>
      </c>
      <c r="H63" s="51" t="str">
        <f t="shared" si="17"/>
        <v/>
      </c>
      <c r="I63" s="54"/>
      <c r="J63" s="105">
        <f t="shared" si="7"/>
        <v>37820.5</v>
      </c>
      <c r="K63" s="109">
        <v>55</v>
      </c>
      <c r="L63" s="125">
        <f t="shared" si="5"/>
        <v>0.88418785816453671</v>
      </c>
      <c r="M63" s="46">
        <f t="shared" si="8"/>
        <v>0.94643653282667362</v>
      </c>
      <c r="N63" s="130">
        <v>0.94643653282667362</v>
      </c>
      <c r="O63" s="89">
        <f t="shared" si="6"/>
        <v>0.94643653282667362</v>
      </c>
      <c r="P63" s="4">
        <v>40377</v>
      </c>
      <c r="Q63" s="4">
        <v>0.98323806162233796</v>
      </c>
      <c r="R63" s="4">
        <v>3970</v>
      </c>
      <c r="S63" s="100">
        <f t="shared" si="11"/>
        <v>3544.1348417987847</v>
      </c>
      <c r="T63" s="101">
        <f t="shared" si="18"/>
        <v>425.86515820121531</v>
      </c>
      <c r="U63" s="40">
        <v>40725</v>
      </c>
      <c r="V63" s="95">
        <v>0.35599999999999998</v>
      </c>
      <c r="W63" s="95"/>
      <c r="X63" s="95"/>
      <c r="Y63" s="95"/>
      <c r="Z63" s="95"/>
      <c r="AC63" s="93">
        <v>37813</v>
      </c>
      <c r="AD63" s="95">
        <v>0.77500000000000002</v>
      </c>
      <c r="AE63" s="93">
        <f t="shared" si="12"/>
        <v>37820.5</v>
      </c>
      <c r="AF63" s="92">
        <f>Logistic2010!Q63</f>
        <v>0.78859738904460508</v>
      </c>
      <c r="AG63" s="4">
        <f t="shared" si="10"/>
        <v>0.98323806162233796</v>
      </c>
      <c r="AH63" s="92">
        <f>Logistic2011!Q63</f>
        <v>0.86381250435994517</v>
      </c>
      <c r="AI63" s="92">
        <f>Logistic2012!Q63</f>
        <v>0.98323806162233796</v>
      </c>
      <c r="AJ63" s="92">
        <f>Logistic2013!L63</f>
        <v>0.87740468827985718</v>
      </c>
      <c r="AK63" s="119">
        <f>Logistic2014!AK63</f>
        <v>0.87675320628420728</v>
      </c>
      <c r="AL63" s="119">
        <f t="shared" si="13"/>
        <v>0.88418785816453671</v>
      </c>
      <c r="AM63" s="115"/>
      <c r="AN63" s="115"/>
      <c r="AO63" s="115"/>
      <c r="AP63" s="115"/>
      <c r="AQ63" s="115"/>
      <c r="AR63" t="s">
        <v>28</v>
      </c>
      <c r="AS63"/>
      <c r="AT63"/>
      <c r="AU63"/>
      <c r="AV63"/>
      <c r="AW63"/>
      <c r="AX63"/>
    </row>
    <row r="64" spans="2:50" ht="16.5" thickBot="1" x14ac:dyDescent="0.3">
      <c r="B64" s="56"/>
      <c r="C64" s="80"/>
      <c r="D64" s="87" t="str">
        <f t="shared" si="14"/>
        <v/>
      </c>
      <c r="E64" s="82"/>
      <c r="F64" s="50" t="str">
        <f t="shared" si="15"/>
        <v/>
      </c>
      <c r="G64" s="16" t="str">
        <f t="shared" si="16"/>
        <v/>
      </c>
      <c r="H64" s="51" t="str">
        <f t="shared" si="17"/>
        <v/>
      </c>
      <c r="I64" s="54"/>
      <c r="J64" s="105">
        <f t="shared" si="7"/>
        <v>37821.5</v>
      </c>
      <c r="K64" s="109">
        <v>56</v>
      </c>
      <c r="L64" s="125">
        <f t="shared" si="5"/>
        <v>0.9012705004242717</v>
      </c>
      <c r="M64" s="46">
        <f t="shared" si="8"/>
        <v>0.95837894884125729</v>
      </c>
      <c r="N64" s="131">
        <v>0.95837894884125729</v>
      </c>
      <c r="O64" s="89">
        <f t="shared" si="6"/>
        <v>0.95837894884125729</v>
      </c>
      <c r="P64" s="4">
        <v>40378</v>
      </c>
      <c r="Q64" s="4">
        <v>0.98736255895680802</v>
      </c>
      <c r="R64" s="4">
        <v>5509</v>
      </c>
      <c r="S64" s="100">
        <f t="shared" si="11"/>
        <v>5005.8715036982794</v>
      </c>
      <c r="T64" s="101">
        <f t="shared" si="18"/>
        <v>503.12849630172059</v>
      </c>
      <c r="U64" s="49">
        <v>40726</v>
      </c>
      <c r="V64" s="95"/>
      <c r="W64" s="95"/>
      <c r="X64" s="95"/>
      <c r="Y64" s="95"/>
      <c r="Z64" s="95"/>
      <c r="AC64" s="93">
        <v>37816</v>
      </c>
      <c r="AD64" s="95">
        <v>0.93</v>
      </c>
      <c r="AE64" s="93">
        <f t="shared" si="12"/>
        <v>37821.5</v>
      </c>
      <c r="AF64" s="92">
        <f>Logistic2010!Q64</f>
        <v>0.82000157910537541</v>
      </c>
      <c r="AG64" s="4">
        <f t="shared" si="10"/>
        <v>0.98736255895680802</v>
      </c>
      <c r="AH64" s="92">
        <f>Logistic2011!Q64</f>
        <v>0.89080976473363638</v>
      </c>
      <c r="AI64" s="92">
        <f>Logistic2012!Q64</f>
        <v>0.98736255895680802</v>
      </c>
      <c r="AJ64" s="92">
        <f>Logistic2013!L64</f>
        <v>0.8971354919418093</v>
      </c>
      <c r="AK64" s="119">
        <f>Logistic2014!AK64</f>
        <v>0.89596518054214846</v>
      </c>
      <c r="AL64" s="119">
        <f t="shared" si="13"/>
        <v>0.9012705004242717</v>
      </c>
      <c r="AM64" s="110"/>
      <c r="AN64" s="110"/>
      <c r="AO64" s="110"/>
      <c r="AP64" s="110"/>
      <c r="AQ64" s="110"/>
      <c r="AR64"/>
      <c r="AS64"/>
      <c r="AT64"/>
      <c r="AU64"/>
      <c r="AV64"/>
      <c r="AW64"/>
      <c r="AX64"/>
    </row>
    <row r="65" spans="1:50" ht="16.5" thickBot="1" x14ac:dyDescent="0.3">
      <c r="A65" s="4">
        <v>2.5000000000000001E-2</v>
      </c>
      <c r="B65" s="104">
        <f>C5</f>
        <v>37834.5</v>
      </c>
      <c r="C65" s="121">
        <f t="shared" ref="C65" si="19">1/(A65^2)</f>
        <v>1599.9999999999998</v>
      </c>
      <c r="D65" s="84">
        <f t="shared" si="14"/>
        <v>69</v>
      </c>
      <c r="E65" s="59">
        <v>1</v>
      </c>
      <c r="F65" s="60">
        <f t="shared" si="15"/>
        <v>0.98938485184008818</v>
      </c>
      <c r="G65" s="61">
        <f t="shared" si="16"/>
        <v>1.0615148159911825E-2</v>
      </c>
      <c r="H65" s="62">
        <f t="shared" si="17"/>
        <v>0.18029019273100699</v>
      </c>
      <c r="I65" s="54"/>
      <c r="J65" s="105">
        <f t="shared" si="7"/>
        <v>37822.5</v>
      </c>
      <c r="K65" s="109">
        <v>57</v>
      </c>
      <c r="L65" s="125">
        <f t="shared" si="5"/>
        <v>0.91607257588659419</v>
      </c>
      <c r="M65" s="46">
        <f t="shared" si="8"/>
        <v>0.91607257588659419</v>
      </c>
      <c r="N65" s="130">
        <v>0.96774943709406713</v>
      </c>
      <c r="O65" s="89">
        <f t="shared" si="6"/>
        <v>0.91607257588659419</v>
      </c>
      <c r="P65" s="4">
        <v>40379</v>
      </c>
      <c r="Q65" s="4">
        <v>0.99048199337810516</v>
      </c>
      <c r="R65" s="4">
        <v>2314</v>
      </c>
      <c r="S65" s="100">
        <f t="shared" si="11"/>
        <v>2134.5530705187725</v>
      </c>
      <c r="T65" s="101">
        <f t="shared" si="18"/>
        <v>179.44692948122747</v>
      </c>
      <c r="U65" s="49">
        <v>40727</v>
      </c>
      <c r="V65" s="95"/>
      <c r="W65" s="95"/>
      <c r="X65" s="95"/>
      <c r="Y65" s="95"/>
      <c r="Z65" s="95"/>
      <c r="AC65" s="93">
        <v>37819</v>
      </c>
      <c r="AD65" s="95">
        <v>0.997</v>
      </c>
      <c r="AE65" s="93">
        <f t="shared" si="12"/>
        <v>37822.5</v>
      </c>
      <c r="AF65" s="92">
        <f>Logistic2010!Q65</f>
        <v>0.84764193896050799</v>
      </c>
      <c r="AG65" s="4">
        <f t="shared" si="10"/>
        <v>0.99048199337810516</v>
      </c>
      <c r="AH65" s="92">
        <f>Logistic2011!Q65</f>
        <v>0.91299424895614467</v>
      </c>
      <c r="AI65" s="92">
        <f>Logistic2012!Q65</f>
        <v>0.99048199337810516</v>
      </c>
      <c r="AJ65" s="92">
        <f>Logistic2013!L65</f>
        <v>0.91400201566045702</v>
      </c>
      <c r="AK65" s="119">
        <f>Logistic2014!AK65</f>
        <v>0.91248129649139764</v>
      </c>
      <c r="AL65" s="119">
        <f t="shared" si="13"/>
        <v>0.91607257588659419</v>
      </c>
      <c r="AM65" s="110"/>
      <c r="AN65" s="110"/>
      <c r="AO65" s="110"/>
      <c r="AP65" s="110"/>
      <c r="AQ65" s="110"/>
      <c r="AR65" t="s">
        <v>29</v>
      </c>
      <c r="AS65"/>
      <c r="AT65"/>
      <c r="AU65"/>
      <c r="AV65"/>
      <c r="AW65"/>
      <c r="AX65"/>
    </row>
    <row r="66" spans="1:50" ht="16.5" thickBot="1" x14ac:dyDescent="0.3">
      <c r="A66" s="4">
        <v>2.5000000000000001E-2</v>
      </c>
      <c r="B66" s="104">
        <f>A3</f>
        <v>37766.5</v>
      </c>
      <c r="C66" s="121">
        <f>C65</f>
        <v>1599.9999999999998</v>
      </c>
      <c r="D66" s="84">
        <f>IF(B66&lt;&gt;0,B66-$A$3+1,"")</f>
        <v>1</v>
      </c>
      <c r="E66" s="59">
        <v>0</v>
      </c>
      <c r="F66" s="60">
        <f>IF(B66&lt;&gt;0,$G$3/(1+EXP(-$G$4*(D66-$G$5))),"")</f>
        <v>4.9115396781314151E-4</v>
      </c>
      <c r="G66" s="61">
        <f>IF(B66&lt;&gt;0,E66-F66,"")</f>
        <v>-4.9115396781314151E-4</v>
      </c>
      <c r="H66" s="62">
        <f>IF(B66&lt;&gt;0,C66*(G66)^2,"")</f>
        <v>3.8597155215774789E-4</v>
      </c>
      <c r="I66" s="68"/>
      <c r="J66" s="105">
        <f t="shared" si="7"/>
        <v>37823.5</v>
      </c>
      <c r="K66" s="109">
        <v>58</v>
      </c>
      <c r="L66" s="125">
        <f t="shared" si="5"/>
        <v>0.92883068298874938</v>
      </c>
      <c r="M66" s="46">
        <f t="shared" si="8"/>
        <v>0.92883068298874938</v>
      </c>
      <c r="N66" s="130">
        <v>0.97506515897383861</v>
      </c>
      <c r="O66" s="89">
        <f t="shared" si="6"/>
        <v>0.92883068298874938</v>
      </c>
      <c r="P66" s="4">
        <v>40380</v>
      </c>
      <c r="Q66" s="4">
        <v>0.99283701063466723</v>
      </c>
      <c r="R66" s="4">
        <v>2271</v>
      </c>
      <c r="S66" s="100">
        <f t="shared" si="11"/>
        <v>2121.8038903903948</v>
      </c>
      <c r="T66" s="101">
        <f t="shared" si="18"/>
        <v>149.19610960960517</v>
      </c>
      <c r="U66" s="49">
        <v>40728</v>
      </c>
      <c r="V66" s="95"/>
      <c r="W66" s="95"/>
      <c r="X66" s="95"/>
      <c r="Y66" s="95"/>
      <c r="Z66" s="95"/>
      <c r="AC66" s="93">
        <v>37823</v>
      </c>
      <c r="AD66" s="95">
        <v>0.99399999999999999</v>
      </c>
      <c r="AE66" s="93">
        <f t="shared" si="12"/>
        <v>37823.5</v>
      </c>
      <c r="AF66" s="92">
        <f>Logistic2010!Q66</f>
        <v>0.8717019610426997</v>
      </c>
      <c r="AG66" s="4">
        <f t="shared" si="10"/>
        <v>0.99283701063466723</v>
      </c>
      <c r="AH66" s="92">
        <f>Logistic2011!Q66</f>
        <v>0.93102046958550611</v>
      </c>
      <c r="AI66" s="92">
        <f>Logistic2012!Q66</f>
        <v>0.99283701063466723</v>
      </c>
      <c r="AJ66" s="92">
        <f>Logistic2013!L66</f>
        <v>0.92832391728718622</v>
      </c>
      <c r="AK66" s="119">
        <f>Logistic2014!AK66</f>
        <v>0.92659021810226538</v>
      </c>
      <c r="AL66" s="119">
        <f t="shared" si="13"/>
        <v>0.92883068298874938</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7"/>
        <v>37824.5</v>
      </c>
      <c r="K67" s="109">
        <v>59</v>
      </c>
      <c r="L67" s="125">
        <f t="shared" si="5"/>
        <v>0.93977688230442102</v>
      </c>
      <c r="M67" s="46">
        <f t="shared" si="8"/>
        <v>0.93977688230442102</v>
      </c>
      <c r="N67" s="131">
        <v>0.98075438398529091</v>
      </c>
      <c r="O67" s="89">
        <f t="shared" si="6"/>
        <v>0.93977688230442102</v>
      </c>
      <c r="P67" s="4">
        <v>40381</v>
      </c>
      <c r="Q67" s="4">
        <v>0.99461250113431077</v>
      </c>
      <c r="R67" s="4">
        <v>2019</v>
      </c>
      <c r="S67" s="100">
        <f t="shared" si="11"/>
        <v>1906.8532178134385</v>
      </c>
      <c r="T67" s="101">
        <f t="shared" si="18"/>
        <v>112.1467821865615</v>
      </c>
      <c r="U67" s="49">
        <v>40729</v>
      </c>
      <c r="V67" s="95">
        <v>0.51500000000000001</v>
      </c>
      <c r="W67" s="95"/>
      <c r="X67" s="95"/>
      <c r="Y67" s="95"/>
      <c r="Z67" s="95"/>
      <c r="AE67" s="93">
        <f t="shared" si="12"/>
        <v>37824.5</v>
      </c>
      <c r="AF67" s="92">
        <f>Logistic2010!Q67</f>
        <v>0.89244459206165738</v>
      </c>
      <c r="AG67" s="4">
        <f t="shared" si="10"/>
        <v>0.99461250113431077</v>
      </c>
      <c r="AH67" s="92">
        <f>Logistic2011!Q67</f>
        <v>0.94553474019587147</v>
      </c>
      <c r="AI67" s="92">
        <f>Logistic2012!Q67</f>
        <v>0.99461250113431077</v>
      </c>
      <c r="AJ67" s="92">
        <f>Logistic2013!L67</f>
        <v>0.94041617027076585</v>
      </c>
      <c r="AK67" s="119">
        <f>Logistic2014!AK67</f>
        <v>0.93857774011739092</v>
      </c>
      <c r="AL67" s="119">
        <f t="shared" si="13"/>
        <v>0.93977688230442102</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7"/>
        <v>37825.5</v>
      </c>
      <c r="K68" s="109">
        <v>60</v>
      </c>
      <c r="L68" s="125">
        <f t="shared" si="5"/>
        <v>0.94913170393969815</v>
      </c>
      <c r="M68" s="46">
        <f t="shared" si="8"/>
        <v>0.94913170393969815</v>
      </c>
      <c r="N68" s="131">
        <v>0.98516528350488675</v>
      </c>
      <c r="O68" s="89">
        <f t="shared" si="6"/>
        <v>0.94913170393969815</v>
      </c>
      <c r="P68" s="4">
        <v>40382</v>
      </c>
      <c r="Q68" s="4">
        <v>0.99594969608518535</v>
      </c>
      <c r="R68" s="4">
        <v>2115</v>
      </c>
      <c r="S68" s="100">
        <f t="shared" si="11"/>
        <v>2015.8397303243466</v>
      </c>
      <c r="T68" s="101">
        <f t="shared" si="18"/>
        <v>99.160269675653353</v>
      </c>
      <c r="U68" s="49">
        <v>40730</v>
      </c>
      <c r="V68" s="95"/>
      <c r="W68" s="95"/>
      <c r="X68" s="95"/>
      <c r="Y68" s="95"/>
      <c r="Z68" s="95"/>
      <c r="AE68" s="93">
        <f t="shared" si="12"/>
        <v>37825.5</v>
      </c>
      <c r="AF68" s="92">
        <f>Logistic2010!Q68</f>
        <v>0.91017920532930874</v>
      </c>
      <c r="AG68" s="4">
        <f t="shared" si="10"/>
        <v>0.99594969608518535</v>
      </c>
      <c r="AH68" s="92">
        <f>Logistic2011!Q68</f>
        <v>0.95713560982756274</v>
      </c>
      <c r="AI68" s="92">
        <f>Logistic2012!Q68</f>
        <v>0.99594969608518535</v>
      </c>
      <c r="AJ68" s="92">
        <f>Logistic2013!L68</f>
        <v>0.95057698620331765</v>
      </c>
      <c r="AK68" s="119">
        <f>Logistic2014!AK68</f>
        <v>0.94871609038627402</v>
      </c>
      <c r="AL68" s="119">
        <f t="shared" si="13"/>
        <v>0.94913170393969815</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7"/>
        <v>37826.5</v>
      </c>
      <c r="K69" s="109">
        <v>61</v>
      </c>
      <c r="L69" s="125">
        <f t="shared" si="5"/>
        <v>0.95709971953486128</v>
      </c>
      <c r="M69" s="46">
        <f t="shared" si="8"/>
        <v>0.95709971953486128</v>
      </c>
      <c r="N69" s="131">
        <v>0.9885770241743157</v>
      </c>
      <c r="O69" s="89">
        <f t="shared" si="6"/>
        <v>0.95709971953486128</v>
      </c>
      <c r="P69" s="4">
        <v>40383</v>
      </c>
      <c r="Q69" s="4">
        <v>0.99695601060889649</v>
      </c>
      <c r="R69" s="4">
        <v>2946</v>
      </c>
      <c r="S69" s="100">
        <f t="shared" si="11"/>
        <v>2829.5841827512713</v>
      </c>
      <c r="T69" s="101">
        <f t="shared" si="18"/>
        <v>116.41581724872867</v>
      </c>
      <c r="U69" s="49">
        <v>40731</v>
      </c>
      <c r="V69" s="95"/>
      <c r="W69" s="95"/>
      <c r="X69" s="95"/>
      <c r="Y69" s="95"/>
      <c r="Z69" s="95"/>
      <c r="AE69" s="93">
        <f t="shared" si="12"/>
        <v>37826.5</v>
      </c>
      <c r="AF69" s="92">
        <f>Logistic2010!Q69</f>
        <v>0.92523457092805417</v>
      </c>
      <c r="AG69" s="4">
        <f t="shared" si="10"/>
        <v>0.99695601060889649</v>
      </c>
      <c r="AH69" s="92">
        <f>Logistic2011!Q69</f>
        <v>0.96635347078003297</v>
      </c>
      <c r="AI69" s="92">
        <f>Logistic2012!Q69</f>
        <v>0.99695601060889649</v>
      </c>
      <c r="AJ69" s="92">
        <f>Logistic2013!L69</f>
        <v>0.95908047510394157</v>
      </c>
      <c r="AK69" s="119">
        <f>Logistic2014!AK69</f>
        <v>0.95725721401262687</v>
      </c>
      <c r="AL69" s="119">
        <f t="shared" si="13"/>
        <v>0.95709971953486128</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7"/>
        <v>37827.5</v>
      </c>
      <c r="K70" s="109">
        <v>62</v>
      </c>
      <c r="L70" s="125">
        <f t="shared" si="5"/>
        <v>0.96386713908786181</v>
      </c>
      <c r="M70" s="46">
        <f t="shared" si="8"/>
        <v>0.96386713908786181</v>
      </c>
      <c r="N70" s="131">
        <v>0.99121112062050309</v>
      </c>
      <c r="O70" s="89">
        <f t="shared" si="6"/>
        <v>0.96386713908786181</v>
      </c>
      <c r="P70" s="4">
        <v>40384</v>
      </c>
      <c r="Q70" s="4">
        <v>0.99771287634461936</v>
      </c>
      <c r="R70" s="4">
        <v>2623</v>
      </c>
      <c r="S70" s="100">
        <f t="shared" si="11"/>
        <v>2535.7433607107141</v>
      </c>
      <c r="T70" s="101">
        <f t="shared" si="18"/>
        <v>87.256639289285886</v>
      </c>
      <c r="U70" s="49">
        <v>40732</v>
      </c>
      <c r="AE70" s="93">
        <f t="shared" si="12"/>
        <v>37827.5</v>
      </c>
      <c r="AF70" s="92">
        <f>Logistic2010!Q70</f>
        <v>0.93793849093008874</v>
      </c>
      <c r="AG70" s="4">
        <f t="shared" si="10"/>
        <v>0.99771287634461936</v>
      </c>
      <c r="AH70" s="92">
        <f>Logistic2011!Q70</f>
        <v>0.97364364314605079</v>
      </c>
      <c r="AI70" s="92">
        <f>Logistic2012!Q70</f>
        <v>0.99771287634461936</v>
      </c>
      <c r="AJ70" s="92">
        <f>Logistic2013!L70</f>
        <v>0.96617295862288388</v>
      </c>
      <c r="AK70" s="119">
        <f>Logistic2014!AK70</f>
        <v>0.9644291830100955</v>
      </c>
      <c r="AL70" s="119">
        <f t="shared" si="13"/>
        <v>0.96386713908786181</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7"/>
        <v>37828.5</v>
      </c>
      <c r="K71" s="109">
        <v>63</v>
      </c>
      <c r="L71" s="125">
        <f t="shared" si="5"/>
        <v>0.96960092092793249</v>
      </c>
      <c r="M71" s="46">
        <f t="shared" si="8"/>
        <v>0.96960092092793249</v>
      </c>
      <c r="N71" s="131">
        <v>0.99324195641616453</v>
      </c>
      <c r="O71" s="89">
        <f t="shared" si="6"/>
        <v>0.96960092092793249</v>
      </c>
      <c r="P71" s="4">
        <v>40385</v>
      </c>
      <c r="Q71" s="4">
        <v>0.99828187726084372</v>
      </c>
      <c r="U71" s="40">
        <v>40733</v>
      </c>
      <c r="V71" s="95"/>
      <c r="W71" s="95"/>
      <c r="X71" s="95"/>
      <c r="Y71" s="95"/>
      <c r="Z71" s="95"/>
      <c r="AE71" s="93">
        <f t="shared" si="12"/>
        <v>37828.5</v>
      </c>
      <c r="AF71" s="92">
        <f>Logistic2010!Q71</f>
        <v>0.94860370829645768</v>
      </c>
      <c r="AG71" s="4">
        <f t="shared" si="10"/>
        <v>0.99828187726084372</v>
      </c>
      <c r="AH71" s="92">
        <f>Logistic2011!Q71</f>
        <v>0.97938794995342149</v>
      </c>
      <c r="AI71" s="92">
        <f>Logistic2012!Q71</f>
        <v>0.99828187726084372</v>
      </c>
      <c r="AJ71" s="92">
        <f>Logistic2013!L71</f>
        <v>0.97207191636988943</v>
      </c>
      <c r="AK71" s="119">
        <f>Logistic2014!AK71</f>
        <v>0.97043490859995651</v>
      </c>
      <c r="AL71" s="119">
        <f t="shared" si="13"/>
        <v>0.96960092092793249</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7"/>
        <v>37829.5</v>
      </c>
      <c r="K72" s="109">
        <v>64</v>
      </c>
      <c r="L72" s="125">
        <f t="shared" si="5"/>
        <v>0.97444895111855134</v>
      </c>
      <c r="M72" s="46">
        <f t="shared" si="8"/>
        <v>0.97444895111855134</v>
      </c>
      <c r="N72" s="131">
        <v>0.99480598839313295</v>
      </c>
      <c r="O72" s="89">
        <f t="shared" si="6"/>
        <v>0.97444895111855134</v>
      </c>
      <c r="P72" s="4">
        <v>40386</v>
      </c>
      <c r="Q72" s="4">
        <v>0.99870950266811021</v>
      </c>
      <c r="U72" s="49">
        <v>40734</v>
      </c>
      <c r="V72" s="95"/>
      <c r="W72" s="95"/>
      <c r="X72" s="95"/>
      <c r="Y72" s="95"/>
      <c r="Z72" s="95"/>
      <c r="AE72" s="93">
        <f t="shared" si="12"/>
        <v>37829.5</v>
      </c>
      <c r="AF72" s="92">
        <f>Logistic2010!Q72</f>
        <v>0.95751912825764318</v>
      </c>
      <c r="AG72" s="4">
        <f t="shared" si="10"/>
        <v>0.99870950266811021</v>
      </c>
      <c r="AH72" s="92">
        <f>Logistic2011!Q72</f>
        <v>0.98390099930162234</v>
      </c>
      <c r="AI72" s="92">
        <f>Logistic2012!Q72</f>
        <v>0.99870950266811021</v>
      </c>
      <c r="AJ72" s="92">
        <f>Logistic2013!L72</f>
        <v>0.97696670309022537</v>
      </c>
      <c r="AK72" s="119">
        <f>Logistic2014!AK72</f>
        <v>0.97545244534588094</v>
      </c>
      <c r="AL72" s="119">
        <f t="shared" si="13"/>
        <v>0.97444895111855134</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7"/>
        <v>37830.5</v>
      </c>
      <c r="K73" s="109">
        <v>65</v>
      </c>
      <c r="L73" s="125">
        <f t="shared" ref="L73:L104" si="20">$G$3/(1+EXP(-$G$4*(K73-$G$5)))</f>
        <v>0.97854093133589115</v>
      </c>
      <c r="M73" s="46">
        <f t="shared" si="8"/>
        <v>0.97854093133589115</v>
      </c>
      <c r="N73" s="132">
        <v>0.99600950655454856</v>
      </c>
      <c r="O73" s="89">
        <f t="shared" ref="O73:O104" si="21">IF(N73=M73,N73,M73)</f>
        <v>0.97854093133589115</v>
      </c>
      <c r="P73" s="4">
        <v>40387</v>
      </c>
      <c r="Q73" s="4">
        <v>0.99903079926177196</v>
      </c>
      <c r="U73" s="49">
        <v>40735</v>
      </c>
      <c r="AE73" s="93">
        <f t="shared" si="12"/>
        <v>37830.5</v>
      </c>
      <c r="AF73" s="92">
        <f>Logistic2010!Q73</f>
        <v>0.96494519123476252</v>
      </c>
      <c r="AG73" s="4">
        <f t="shared" si="10"/>
        <v>0.99903079926177196</v>
      </c>
      <c r="AH73" s="92">
        <f>Logistic2011!Q73</f>
        <v>0.98743858120527517</v>
      </c>
      <c r="AI73" s="92">
        <f>Logistic2012!Q73</f>
        <v>0.99903079926177196</v>
      </c>
      <c r="AJ73" s="92">
        <f>Logistic2013!L73</f>
        <v>0.98102036011876015</v>
      </c>
      <c r="AK73" s="119">
        <f>Logistic2014!AK73</f>
        <v>0.97963631693234787</v>
      </c>
      <c r="AL73" s="119">
        <f t="shared" si="13"/>
        <v>0.97854093133589115</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22">J73+1</f>
        <v>37831.5</v>
      </c>
      <c r="K74" s="109">
        <v>66</v>
      </c>
      <c r="L74" s="125">
        <f t="shared" si="20"/>
        <v>0.98198969628892063</v>
      </c>
      <c r="M74" s="46">
        <f t="shared" ref="M74:M107" si="23">IF(J75&gt;MAX($B$9:$B$64),L74,N74)</f>
        <v>0.98198969628892063</v>
      </c>
      <c r="N74" s="132">
        <v>0.99693501353750869</v>
      </c>
      <c r="O74" s="89">
        <f t="shared" si="21"/>
        <v>0.98198969628892063</v>
      </c>
      <c r="P74" s="4">
        <v>40388</v>
      </c>
      <c r="Q74" s="4">
        <v>0.99927216057350388</v>
      </c>
      <c r="U74" s="49">
        <v>40736</v>
      </c>
      <c r="V74" s="95"/>
      <c r="W74" s="95"/>
      <c r="X74" s="95"/>
      <c r="Y74" s="95"/>
      <c r="Z74" s="95"/>
      <c r="AE74" s="93">
        <f t="shared" si="12"/>
        <v>37831.5</v>
      </c>
      <c r="AF74" s="92">
        <f>Logistic2010!Q74</f>
        <v>0.97111227157250635</v>
      </c>
      <c r="AG74" s="4">
        <f t="shared" si="10"/>
        <v>0.99927216057350388</v>
      </c>
      <c r="AH74" s="92">
        <f>Logistic2011!Q74</f>
        <v>0.9902065550659539</v>
      </c>
      <c r="AI74" s="92">
        <f>Logistic2012!Q74</f>
        <v>0.99927216057350388</v>
      </c>
      <c r="AJ74" s="92">
        <f>Logistic2013!L74</f>
        <v>0.98437202125506518</v>
      </c>
      <c r="AK74" s="119">
        <f>Logistic2014!AK74</f>
        <v>0.98311943217332176</v>
      </c>
      <c r="AL74" s="119">
        <f t="shared" si="13"/>
        <v>0.98198969628892063</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22"/>
        <v>37832.5</v>
      </c>
      <c r="K75" s="109">
        <v>67</v>
      </c>
      <c r="L75" s="125">
        <f t="shared" si="20"/>
        <v>0.98489275470738114</v>
      </c>
      <c r="M75" s="46">
        <f t="shared" si="23"/>
        <v>0.98489275470738114</v>
      </c>
      <c r="N75" s="132">
        <v>0.99764637681040835</v>
      </c>
      <c r="O75" s="89">
        <f t="shared" si="21"/>
        <v>0.98489275470738114</v>
      </c>
      <c r="P75" s="4">
        <v>40389</v>
      </c>
      <c r="Q75" s="4">
        <v>0.99945344824920912</v>
      </c>
      <c r="U75" s="49">
        <v>40737</v>
      </c>
      <c r="V75" s="95"/>
      <c r="W75" s="95"/>
      <c r="X75" s="95"/>
      <c r="Y75" s="95"/>
      <c r="Z75" s="95"/>
      <c r="AE75" s="93">
        <f t="shared" si="12"/>
        <v>37832.5</v>
      </c>
      <c r="AF75" s="92">
        <f>Logistic2010!Q75</f>
        <v>0.97622113342645345</v>
      </c>
      <c r="AG75" s="4">
        <f t="shared" si="10"/>
        <v>0.99945344824920912</v>
      </c>
      <c r="AH75" s="92">
        <f>Logistic2011!Q75</f>
        <v>0.99236930496689024</v>
      </c>
      <c r="AI75" s="92">
        <f>Logistic2012!Q75</f>
        <v>0.99945344824920912</v>
      </c>
      <c r="AJ75" s="92">
        <f>Logistic2013!L75</f>
        <v>0.98713956340918307</v>
      </c>
      <c r="AK75" s="119">
        <f>Logistic2014!AK75</f>
        <v>0.98601528129691507</v>
      </c>
      <c r="AL75" s="119">
        <f t="shared" si="13"/>
        <v>0.98489275470738114</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22"/>
        <v>37833.5</v>
      </c>
      <c r="K76" s="109">
        <v>68</v>
      </c>
      <c r="L76" s="125">
        <f t="shared" si="20"/>
        <v>0.98733390843592017</v>
      </c>
      <c r="M76" s="46">
        <f t="shared" si="23"/>
        <v>0.98733390843592017</v>
      </c>
      <c r="N76" s="132">
        <v>0.9981929365976735</v>
      </c>
      <c r="O76" s="89">
        <f t="shared" si="21"/>
        <v>0.98733390843592017</v>
      </c>
      <c r="P76" s="4">
        <v>40390</v>
      </c>
      <c r="Q76" s="4">
        <v>0.99958959997534225</v>
      </c>
      <c r="U76" s="49">
        <v>40738</v>
      </c>
      <c r="AE76" s="93">
        <f t="shared" si="12"/>
        <v>37833.5</v>
      </c>
      <c r="AF76" s="92">
        <f>Logistic2010!Q76</f>
        <v>0.98044467529540402</v>
      </c>
      <c r="AG76" s="4">
        <f t="shared" ref="AG76" si="24">AI76</f>
        <v>0.99958959997534225</v>
      </c>
      <c r="AH76" s="92">
        <f>Logistic2011!Q76</f>
        <v>0.99405730717928753</v>
      </c>
      <c r="AI76" s="92">
        <f>Logistic2012!Q76</f>
        <v>0.99958959997534225</v>
      </c>
      <c r="AJ76" s="92">
        <f>Logistic2013!L76</f>
        <v>0.98942227092402102</v>
      </c>
      <c r="AK76" s="119">
        <f>Logistic2014!AK76</f>
        <v>0.98842020100800998</v>
      </c>
      <c r="AL76" s="119">
        <f t="shared" si="13"/>
        <v>0.98733390843592017</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22"/>
        <v>37834.5</v>
      </c>
      <c r="K77" s="109">
        <v>69</v>
      </c>
      <c r="L77" s="125">
        <f t="shared" si="20"/>
        <v>0.98938485184008818</v>
      </c>
      <c r="M77" s="46">
        <f t="shared" si="23"/>
        <v>0.98938485184008818</v>
      </c>
      <c r="N77" s="132">
        <v>0.99861275043215647</v>
      </c>
      <c r="O77" s="89">
        <f t="shared" si="21"/>
        <v>0.98938485184008818</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22"/>
        <v>37835.5</v>
      </c>
      <c r="K78" s="109">
        <v>70</v>
      </c>
      <c r="L78" s="125">
        <f t="shared" si="20"/>
        <v>0.99110668974361071</v>
      </c>
      <c r="M78" s="46">
        <f t="shared" si="23"/>
        <v>0.99110668974361071</v>
      </c>
      <c r="N78" s="132">
        <v>0.99893513788942956</v>
      </c>
      <c r="O78" s="89">
        <f t="shared" si="21"/>
        <v>0.99110668974361071</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22"/>
        <v>37836.5</v>
      </c>
      <c r="K79" s="109">
        <v>71</v>
      </c>
      <c r="L79" s="125">
        <f t="shared" si="20"/>
        <v>0.99255133833704523</v>
      </c>
      <c r="M79" s="46">
        <f t="shared" si="23"/>
        <v>0.99255133833704523</v>
      </c>
      <c r="N79" s="132">
        <v>0.99918266599299976</v>
      </c>
      <c r="O79" s="89">
        <f t="shared" si="21"/>
        <v>0.99255133833704523</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22"/>
        <v>37837.5</v>
      </c>
      <c r="K80" s="109">
        <v>72</v>
      </c>
      <c r="L80" s="125">
        <f t="shared" si="20"/>
        <v>0.99376279191289552</v>
      </c>
      <c r="M80" s="46">
        <f t="shared" si="23"/>
        <v>0.99376279191289552</v>
      </c>
      <c r="N80" s="132">
        <v>0.99937269211089375</v>
      </c>
      <c r="O80" s="89">
        <f t="shared" si="21"/>
        <v>0.99376279191289552</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22"/>
        <v>37838.5</v>
      </c>
      <c r="K81" s="109">
        <v>73</v>
      </c>
      <c r="L81" s="125">
        <f t="shared" si="20"/>
        <v>0.99477825072102477</v>
      </c>
      <c r="M81" s="46">
        <f t="shared" si="23"/>
        <v>0.99477825072102477</v>
      </c>
      <c r="N81" s="132">
        <v>0.99951855938287282</v>
      </c>
      <c r="O81" s="89">
        <f t="shared" si="21"/>
        <v>0.99477825072102477</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22"/>
        <v>37839.5</v>
      </c>
      <c r="K82" s="109">
        <v>74</v>
      </c>
      <c r="L82" s="125">
        <f t="shared" si="20"/>
        <v>0.99562911325145609</v>
      </c>
      <c r="M82" s="46">
        <f t="shared" si="23"/>
        <v>0.99562911325145609</v>
      </c>
      <c r="N82" s="132">
        <v>0.99963052082493253</v>
      </c>
      <c r="O82" s="89">
        <f t="shared" si="21"/>
        <v>0.99562911325145609</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22"/>
        <v>37840.5</v>
      </c>
      <c r="K83" s="109">
        <v>75</v>
      </c>
      <c r="L83" s="125">
        <f t="shared" si="20"/>
        <v>0.996341841084327</v>
      </c>
      <c r="M83" s="46">
        <f t="shared" si="23"/>
        <v>0.996341841084327</v>
      </c>
      <c r="N83" s="132">
        <v>0.99971645245567509</v>
      </c>
      <c r="O83" s="89">
        <f t="shared" si="21"/>
        <v>0.996341841084327</v>
      </c>
      <c r="P83" s="4">
        <v>40397</v>
      </c>
      <c r="Q83" s="4">
        <v>0.99994479477502707</v>
      </c>
      <c r="U83" s="94">
        <v>40745</v>
      </c>
    </row>
    <row r="84" spans="2:41" x14ac:dyDescent="0.25">
      <c r="B84" s="63"/>
      <c r="C84" s="64"/>
      <c r="D84" s="65">
        <v>1</v>
      </c>
      <c r="E84" s="64">
        <v>3.9127199142977333E-2</v>
      </c>
      <c r="F84" s="71"/>
      <c r="G84" s="64"/>
      <c r="H84" s="64"/>
      <c r="I84" s="53"/>
      <c r="J84" s="105">
        <f t="shared" si="22"/>
        <v>37841.5</v>
      </c>
      <c r="K84" s="109">
        <v>76</v>
      </c>
      <c r="L84" s="125">
        <f t="shared" si="20"/>
        <v>0.99693870705954002</v>
      </c>
      <c r="M84" s="46">
        <f t="shared" si="23"/>
        <v>0.99693870705954002</v>
      </c>
      <c r="N84" s="132">
        <v>0.99978240288510523</v>
      </c>
      <c r="O84" s="89">
        <f t="shared" si="21"/>
        <v>0.99693870705954002</v>
      </c>
      <c r="P84" s="4">
        <v>40398</v>
      </c>
      <c r="Q84" s="4">
        <v>0.99995855204677475</v>
      </c>
    </row>
    <row r="85" spans="2:41" x14ac:dyDescent="0.25">
      <c r="B85" s="63"/>
      <c r="C85" s="64"/>
      <c r="D85" s="65">
        <v>3.9127199142977333E-2</v>
      </c>
      <c r="E85" s="64">
        <v>1</v>
      </c>
      <c r="F85" s="71"/>
      <c r="G85" s="64"/>
      <c r="H85" s="64"/>
      <c r="I85" s="53"/>
      <c r="J85" s="105">
        <f t="shared" si="22"/>
        <v>37842.5</v>
      </c>
      <c r="K85" s="109">
        <v>77</v>
      </c>
      <c r="L85" s="125">
        <f t="shared" si="20"/>
        <v>0.99743843863015835</v>
      </c>
      <c r="M85" s="46">
        <f t="shared" si="23"/>
        <v>0.99743843863015835</v>
      </c>
      <c r="N85" s="132">
        <v>0.99983301644163747</v>
      </c>
      <c r="O85" s="89">
        <f t="shared" si="21"/>
        <v>0.99743843863015835</v>
      </c>
      <c r="P85" s="4">
        <v>40399</v>
      </c>
      <c r="Q85" s="4">
        <v>0.99996888108077731</v>
      </c>
    </row>
    <row r="86" spans="2:41" x14ac:dyDescent="0.25">
      <c r="B86" s="63"/>
      <c r="C86" s="64"/>
      <c r="D86" s="65"/>
      <c r="E86" s="64"/>
      <c r="F86" s="71"/>
      <c r="G86" s="64"/>
      <c r="H86" s="64"/>
      <c r="I86" s="53"/>
      <c r="J86" s="105">
        <f t="shared" si="22"/>
        <v>37843.5</v>
      </c>
      <c r="K86" s="109">
        <v>78</v>
      </c>
      <c r="L86" s="125">
        <f t="shared" si="20"/>
        <v>0.99785676839727888</v>
      </c>
      <c r="M86" s="46">
        <f t="shared" si="23"/>
        <v>0.99785676839727888</v>
      </c>
      <c r="N86" s="132">
        <v>0.99987185868506689</v>
      </c>
      <c r="O86" s="89">
        <f t="shared" si="21"/>
        <v>0.99785676839727888</v>
      </c>
      <c r="P86" s="4">
        <v>40400</v>
      </c>
      <c r="Q86" s="4">
        <v>0.99997663612879639</v>
      </c>
      <c r="AO86" s="4">
        <v>0.96399999999999997</v>
      </c>
    </row>
    <row r="87" spans="2:41" x14ac:dyDescent="0.25">
      <c r="B87" s="63"/>
      <c r="C87" s="64"/>
      <c r="D87" s="65"/>
      <c r="E87" s="64"/>
      <c r="F87" s="71"/>
      <c r="G87" s="64"/>
      <c r="H87" s="64"/>
      <c r="I87" s="53"/>
      <c r="J87" s="105">
        <f t="shared" si="22"/>
        <v>37844.5</v>
      </c>
      <c r="K87" s="109">
        <v>79</v>
      </c>
      <c r="L87" s="125">
        <f t="shared" si="20"/>
        <v>0.99820690335216056</v>
      </c>
      <c r="M87" s="46">
        <f t="shared" si="23"/>
        <v>0.99820690335216056</v>
      </c>
      <c r="N87" s="132">
        <v>0.9999016666768179</v>
      </c>
      <c r="O87" s="89">
        <f t="shared" si="21"/>
        <v>0.99820690335216056</v>
      </c>
      <c r="P87" s="4">
        <v>40401</v>
      </c>
      <c r="Q87" s="4">
        <v>0.99998245859958268</v>
      </c>
    </row>
    <row r="88" spans="2:41" x14ac:dyDescent="0.25">
      <c r="B88" s="63"/>
      <c r="C88" s="64"/>
      <c r="D88" s="65" t="s">
        <v>46</v>
      </c>
      <c r="E88" s="64"/>
      <c r="F88" s="71"/>
      <c r="G88" s="64"/>
      <c r="H88" s="64"/>
      <c r="I88" s="53"/>
      <c r="J88" s="105">
        <f t="shared" si="22"/>
        <v>37845.5</v>
      </c>
      <c r="K88" s="109">
        <v>80</v>
      </c>
      <c r="L88" s="125">
        <f t="shared" si="20"/>
        <v>0.99849992353214778</v>
      </c>
      <c r="M88" s="46">
        <f t="shared" si="23"/>
        <v>0.99849992353214778</v>
      </c>
      <c r="N88" s="132">
        <v>0.99992454131286057</v>
      </c>
      <c r="O88" s="89">
        <f t="shared" si="21"/>
        <v>0.99849992353214778</v>
      </c>
      <c r="P88" s="4">
        <v>40402</v>
      </c>
      <c r="Q88" s="4">
        <v>0.99998683008139233</v>
      </c>
    </row>
    <row r="89" spans="2:41" x14ac:dyDescent="0.25">
      <c r="B89" s="63"/>
      <c r="C89" s="64"/>
      <c r="D89" s="65">
        <v>9.55619890821783</v>
      </c>
      <c r="E89" s="64">
        <v>-6.9767944351029924E-3</v>
      </c>
      <c r="F89" s="71"/>
      <c r="G89" s="64"/>
      <c r="H89" s="64"/>
      <c r="I89" s="53"/>
      <c r="J89" s="105">
        <f t="shared" si="22"/>
        <v>37846.5</v>
      </c>
      <c r="K89" s="109">
        <v>81</v>
      </c>
      <c r="L89" s="125">
        <f t="shared" si="20"/>
        <v>0.99874511980515879</v>
      </c>
      <c r="M89" s="46">
        <f t="shared" si="23"/>
        <v>0.99874511980515879</v>
      </c>
      <c r="N89" s="132">
        <v>0.99994209508049881</v>
      </c>
      <c r="O89" s="89">
        <f t="shared" si="21"/>
        <v>0.99874511980515879</v>
      </c>
      <c r="P89" s="4">
        <v>40403</v>
      </c>
      <c r="Q89" s="4">
        <v>0.99999011215963096</v>
      </c>
    </row>
    <row r="90" spans="2:41" x14ac:dyDescent="0.25">
      <c r="B90" s="63"/>
      <c r="C90" s="64"/>
      <c r="D90" s="65">
        <v>-6.9767944351029924E-3</v>
      </c>
      <c r="E90" s="64">
        <v>1.5680049670732246E-2</v>
      </c>
      <c r="F90" s="71"/>
      <c r="G90" s="64"/>
      <c r="H90" s="64"/>
      <c r="I90" s="53"/>
      <c r="J90" s="105">
        <f t="shared" si="22"/>
        <v>37847.5</v>
      </c>
      <c r="K90" s="109">
        <v>82</v>
      </c>
      <c r="L90" s="125">
        <f t="shared" si="20"/>
        <v>0.99895027944783743</v>
      </c>
      <c r="M90" s="46">
        <f t="shared" si="23"/>
        <v>0.99895027944783743</v>
      </c>
      <c r="N90" s="132">
        <v>0.99995556554007625</v>
      </c>
      <c r="O90" s="89">
        <f t="shared" si="21"/>
        <v>0.99895027944783743</v>
      </c>
      <c r="P90" s="4">
        <v>40404</v>
      </c>
      <c r="Q90" s="4">
        <v>0.9999925763165205</v>
      </c>
    </row>
    <row r="91" spans="2:41" x14ac:dyDescent="0.25">
      <c r="B91" s="63"/>
      <c r="C91" s="64"/>
      <c r="D91" s="65"/>
      <c r="E91" s="64"/>
      <c r="F91" s="71"/>
      <c r="G91" s="64"/>
      <c r="H91" s="64"/>
      <c r="I91" s="53"/>
      <c r="J91" s="105">
        <f t="shared" si="22"/>
        <v>37848.5</v>
      </c>
      <c r="K91" s="109">
        <v>83</v>
      </c>
      <c r="L91" s="125">
        <f t="shared" si="20"/>
        <v>0.99912192714713466</v>
      </c>
      <c r="M91" s="46">
        <f t="shared" si="23"/>
        <v>0.99912192714713466</v>
      </c>
      <c r="N91" s="132">
        <v>0.99996590246462225</v>
      </c>
      <c r="O91" s="89">
        <f t="shared" si="21"/>
        <v>0.99912192714713466</v>
      </c>
      <c r="P91" s="4">
        <v>40405</v>
      </c>
      <c r="Q91" s="4">
        <v>0.99999442638225311</v>
      </c>
    </row>
    <row r="92" spans="2:41" x14ac:dyDescent="0.25">
      <c r="B92" s="63"/>
      <c r="C92" s="64"/>
      <c r="D92" s="65" t="s">
        <v>47</v>
      </c>
      <c r="E92" s="64"/>
      <c r="F92" s="71" t="s">
        <v>8</v>
      </c>
      <c r="G92" s="64"/>
      <c r="H92" s="64"/>
      <c r="I92" s="53"/>
      <c r="J92" s="105">
        <f t="shared" si="22"/>
        <v>37849.5</v>
      </c>
      <c r="K92" s="109">
        <v>84</v>
      </c>
      <c r="L92" s="125">
        <f t="shared" si="20"/>
        <v>0.99926552807705371</v>
      </c>
      <c r="M92" s="46">
        <f t="shared" si="23"/>
        <v>0.99926552807705371</v>
      </c>
      <c r="N92" s="132">
        <v>0.99997383474166435</v>
      </c>
      <c r="O92" s="89">
        <f t="shared" si="21"/>
        <v>0.99926552807705371</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22"/>
        <v>37850.5</v>
      </c>
      <c r="K93" s="109">
        <v>85</v>
      </c>
      <c r="L93" s="125">
        <f t="shared" si="20"/>
        <v>0.9993856588046961</v>
      </c>
      <c r="M93" s="46">
        <f t="shared" si="23"/>
        <v>0.9993856588046961</v>
      </c>
      <c r="N93" s="132">
        <v>0.99997992173121009</v>
      </c>
      <c r="O93" s="89">
        <f t="shared" si="21"/>
        <v>0.9993856588046961</v>
      </c>
      <c r="P93" s="4">
        <v>40407</v>
      </c>
      <c r="Q93" s="4">
        <v>0.99999685824657825</v>
      </c>
    </row>
    <row r="94" spans="2:41" x14ac:dyDescent="0.25">
      <c r="B94" s="63"/>
      <c r="C94" s="64"/>
      <c r="D94" s="65">
        <v>9.2253535765261202E-5</v>
      </c>
      <c r="E94" s="64">
        <v>0.12636077298244341</v>
      </c>
      <c r="F94" s="71">
        <v>0.35547260510824658</v>
      </c>
      <c r="G94" s="64"/>
      <c r="H94" s="64"/>
      <c r="I94" s="53"/>
      <c r="J94" s="105">
        <f t="shared" si="22"/>
        <v>37851.5</v>
      </c>
      <c r="K94" s="109">
        <v>86</v>
      </c>
      <c r="L94" s="125">
        <f t="shared" si="20"/>
        <v>0.99948615097262461</v>
      </c>
      <c r="M94" s="46">
        <f t="shared" si="23"/>
        <v>0.99948615097262461</v>
      </c>
      <c r="N94" s="132">
        <v>0.99998459268769502</v>
      </c>
      <c r="O94" s="89">
        <f t="shared" si="21"/>
        <v>0.99948615097262461</v>
      </c>
      <c r="P94" s="4">
        <v>40408</v>
      </c>
      <c r="Q94" s="4">
        <v>0.99999764120951673</v>
      </c>
    </row>
    <row r="95" spans="2:41" x14ac:dyDescent="0.25">
      <c r="B95" s="63"/>
      <c r="C95" s="64"/>
      <c r="D95" s="65"/>
      <c r="E95" s="64"/>
      <c r="F95" s="71"/>
      <c r="G95" s="64"/>
      <c r="H95" s="64"/>
      <c r="I95" s="53"/>
      <c r="J95" s="105">
        <f t="shared" si="22"/>
        <v>37852.5</v>
      </c>
      <c r="K95" s="109">
        <v>87</v>
      </c>
      <c r="L95" s="125">
        <f t="shared" si="20"/>
        <v>0.99957021198969698</v>
      </c>
      <c r="M95" s="46">
        <f t="shared" si="23"/>
        <v>0.99957021198969698</v>
      </c>
      <c r="N95" s="132">
        <v>0.99998817701780018</v>
      </c>
      <c r="O95" s="89">
        <f t="shared" si="21"/>
        <v>0.99957021198969698</v>
      </c>
      <c r="P95" s="4">
        <v>40409</v>
      </c>
      <c r="Q95" s="4">
        <v>0.99999822904897007</v>
      </c>
    </row>
    <row r="96" spans="2:41" x14ac:dyDescent="0.25">
      <c r="B96" s="63"/>
      <c r="C96" s="64"/>
      <c r="D96" s="65" t="s">
        <v>48</v>
      </c>
      <c r="E96" s="64"/>
      <c r="F96" s="71"/>
      <c r="G96" s="64"/>
      <c r="H96" s="64"/>
      <c r="I96" s="53"/>
      <c r="J96" s="105">
        <f t="shared" si="22"/>
        <v>37853.5</v>
      </c>
      <c r="K96" s="109">
        <v>88</v>
      </c>
      <c r="L96" s="125">
        <f t="shared" si="20"/>
        <v>0.99964052633648981</v>
      </c>
      <c r="M96" s="46">
        <f t="shared" si="23"/>
        <v>0.99964052633648981</v>
      </c>
      <c r="N96" s="132">
        <v>0.99999092750320295</v>
      </c>
      <c r="O96" s="89">
        <f t="shared" si="21"/>
        <v>0.99964052633648981</v>
      </c>
      <c r="P96" s="4">
        <v>40410</v>
      </c>
      <c r="Q96" s="4">
        <v>0.99999867039183277</v>
      </c>
    </row>
    <row r="97" spans="2:17" x14ac:dyDescent="0.25">
      <c r="B97" s="63"/>
      <c r="C97" s="64"/>
      <c r="D97" s="65">
        <v>0.99999999999999989</v>
      </c>
      <c r="E97" s="64">
        <v>1.8023520282993657E-2</v>
      </c>
      <c r="F97" s="71"/>
      <c r="G97" s="64"/>
      <c r="H97" s="64"/>
      <c r="I97" s="53"/>
      <c r="J97" s="105">
        <f t="shared" si="22"/>
        <v>37854.5</v>
      </c>
      <c r="K97" s="109">
        <v>89</v>
      </c>
      <c r="L97" s="125">
        <f t="shared" si="20"/>
        <v>0.99969934054806542</v>
      </c>
      <c r="M97" s="46">
        <f t="shared" si="23"/>
        <v>0.99969934054806542</v>
      </c>
      <c r="N97" s="132">
        <v>0.99999303812320184</v>
      </c>
      <c r="O97" s="89">
        <f t="shared" si="21"/>
        <v>0.99969934054806542</v>
      </c>
      <c r="P97" s="4">
        <v>40411</v>
      </c>
      <c r="Q97" s="4">
        <v>0.99999900174671486</v>
      </c>
    </row>
    <row r="98" spans="2:17" x14ac:dyDescent="0.25">
      <c r="B98" s="63"/>
      <c r="C98" s="64"/>
      <c r="D98" s="65">
        <v>1.8023520282993654E-2</v>
      </c>
      <c r="E98" s="64">
        <v>1</v>
      </c>
      <c r="F98" s="71"/>
      <c r="G98" s="64"/>
      <c r="H98" s="64"/>
      <c r="I98" s="53"/>
      <c r="J98" s="105">
        <f t="shared" si="22"/>
        <v>37855.5</v>
      </c>
      <c r="K98" s="109">
        <v>90</v>
      </c>
      <c r="L98" s="125">
        <f t="shared" si="20"/>
        <v>0.99974853446843703</v>
      </c>
      <c r="M98" s="46">
        <f t="shared" si="23"/>
        <v>0.99974853446843703</v>
      </c>
      <c r="N98" s="132">
        <v>0.99999465773250285</v>
      </c>
      <c r="O98" s="89">
        <f t="shared" si="21"/>
        <v>0.99974853446843703</v>
      </c>
      <c r="P98" s="4">
        <v>40412</v>
      </c>
      <c r="Q98" s="4">
        <v>0.99999925052390337</v>
      </c>
    </row>
    <row r="99" spans="2:17" x14ac:dyDescent="0.25">
      <c r="B99" s="63"/>
      <c r="C99" s="64"/>
      <c r="D99" s="65"/>
      <c r="E99" s="64"/>
      <c r="F99" s="71"/>
      <c r="G99" s="64"/>
      <c r="H99" s="64"/>
      <c r="I99" s="53"/>
      <c r="J99" s="105">
        <f t="shared" si="22"/>
        <v>37856.5</v>
      </c>
      <c r="K99" s="109">
        <v>91</v>
      </c>
      <c r="L99" s="125">
        <f t="shared" si="20"/>
        <v>0.99978968096953746</v>
      </c>
      <c r="M99" s="46">
        <f t="shared" si="23"/>
        <v>0.99978968096953746</v>
      </c>
      <c r="N99" s="132">
        <v>0.99999590055784027</v>
      </c>
      <c r="O99" s="89">
        <f t="shared" si="21"/>
        <v>0.99978968096953746</v>
      </c>
      <c r="P99" s="4">
        <v>40413</v>
      </c>
      <c r="Q99" s="4">
        <v>0.99999943730274388</v>
      </c>
    </row>
    <row r="100" spans="2:17" x14ac:dyDescent="0.25">
      <c r="B100" s="63"/>
      <c r="C100" s="64"/>
      <c r="D100" s="65"/>
      <c r="E100" s="64"/>
      <c r="F100" s="71"/>
      <c r="G100" s="64"/>
      <c r="H100" s="64"/>
      <c r="I100" s="53"/>
      <c r="J100" s="105">
        <f t="shared" si="22"/>
        <v>37857.5</v>
      </c>
      <c r="K100" s="109">
        <v>92</v>
      </c>
      <c r="L100" s="125">
        <f t="shared" si="20"/>
        <v>0.99982409598479238</v>
      </c>
      <c r="M100" s="46">
        <f t="shared" si="23"/>
        <v>0.99982409598479238</v>
      </c>
      <c r="N100" s="132">
        <v>0.99999685425314822</v>
      </c>
      <c r="O100" s="89">
        <f t="shared" si="21"/>
        <v>0.99982409598479238</v>
      </c>
      <c r="P100" s="4">
        <v>40414</v>
      </c>
      <c r="Q100" s="4">
        <v>0.99999957753397495</v>
      </c>
    </row>
    <row r="101" spans="2:17" x14ac:dyDescent="0.25">
      <c r="B101" s="63"/>
      <c r="C101" s="64"/>
      <c r="D101" s="65"/>
      <c r="E101" s="64"/>
      <c r="F101" s="71"/>
      <c r="G101" s="64"/>
      <c r="H101" s="64"/>
      <c r="I101" s="53"/>
      <c r="J101" s="105">
        <f t="shared" si="22"/>
        <v>37858.5</v>
      </c>
      <c r="K101" s="109">
        <v>93</v>
      </c>
      <c r="L101" s="125">
        <f t="shared" si="20"/>
        <v>0.99985288041593767</v>
      </c>
      <c r="M101" s="46">
        <f t="shared" si="23"/>
        <v>0.99985288041593767</v>
      </c>
      <c r="N101" s="132">
        <v>0.99999758608106293</v>
      </c>
      <c r="O101" s="89">
        <f t="shared" si="21"/>
        <v>0.99985288041593767</v>
      </c>
      <c r="P101" s="4">
        <v>40415</v>
      </c>
      <c r="Q101" s="4">
        <v>0.99999968281783125</v>
      </c>
    </row>
    <row r="102" spans="2:17" x14ac:dyDescent="0.25">
      <c r="B102" s="63"/>
      <c r="C102" s="64"/>
      <c r="D102" s="65"/>
      <c r="E102" s="64"/>
      <c r="F102" s="71"/>
      <c r="G102" s="64"/>
      <c r="H102" s="64"/>
      <c r="I102" s="53"/>
      <c r="J102" s="105">
        <f t="shared" si="22"/>
        <v>37859.5</v>
      </c>
      <c r="K102" s="109">
        <v>94</v>
      </c>
      <c r="L102" s="125">
        <f t="shared" si="20"/>
        <v>0.99987695522456799</v>
      </c>
      <c r="M102" s="46">
        <f t="shared" si="23"/>
        <v>0.99987695522456799</v>
      </c>
      <c r="N102" s="132">
        <v>0.99999814765652884</v>
      </c>
      <c r="O102" s="89">
        <f t="shared" si="21"/>
        <v>0.99987695522456799</v>
      </c>
      <c r="P102" s="4">
        <v>40416</v>
      </c>
      <c r="Q102" s="4">
        <v>0.99999976186363015</v>
      </c>
    </row>
    <row r="103" spans="2:17" x14ac:dyDescent="0.25">
      <c r="B103" s="63"/>
      <c r="C103" s="64"/>
      <c r="D103" s="65"/>
      <c r="E103" s="64"/>
      <c r="F103" s="71"/>
      <c r="G103" s="64"/>
      <c r="H103" s="64"/>
      <c r="I103" s="53"/>
      <c r="J103" s="105">
        <f t="shared" si="22"/>
        <v>37860.5</v>
      </c>
      <c r="K103" s="109">
        <v>95</v>
      </c>
      <c r="L103" s="125">
        <f t="shared" si="20"/>
        <v>0.99989709081083233</v>
      </c>
      <c r="M103" s="46">
        <f t="shared" si="23"/>
        <v>0.99989709081083233</v>
      </c>
      <c r="N103" s="132">
        <v>0.99999857858694674</v>
      </c>
      <c r="O103" s="89">
        <f t="shared" si="21"/>
        <v>0.99989709081083233</v>
      </c>
      <c r="P103" s="4">
        <v>40417</v>
      </c>
      <c r="Q103" s="4">
        <v>0.99999982121022213</v>
      </c>
    </row>
    <row r="104" spans="2:17" x14ac:dyDescent="0.25">
      <c r="B104" s="63"/>
      <c r="C104" s="64"/>
      <c r="D104" s="65"/>
      <c r="E104" s="64"/>
      <c r="F104" s="71"/>
      <c r="G104" s="64"/>
      <c r="H104" s="64"/>
      <c r="I104" s="53"/>
      <c r="J104" s="105">
        <f t="shared" si="22"/>
        <v>37861.5</v>
      </c>
      <c r="K104" s="109">
        <v>96</v>
      </c>
      <c r="L104" s="125">
        <f t="shared" si="20"/>
        <v>0.99991393160515807</v>
      </c>
      <c r="M104" s="46">
        <f t="shared" si="23"/>
        <v>0.99991393160515807</v>
      </c>
      <c r="N104" s="132">
        <v>0.99999890926553481</v>
      </c>
      <c r="O104" s="89">
        <f t="shared" si="21"/>
        <v>0.99991393160515807</v>
      </c>
      <c r="P104" s="4">
        <v>40418</v>
      </c>
      <c r="Q104" s="4">
        <v>0.99999986576689559</v>
      </c>
    </row>
    <row r="105" spans="2:17" x14ac:dyDescent="0.25">
      <c r="B105" s="63"/>
      <c r="C105" s="64"/>
      <c r="D105" s="65"/>
      <c r="E105" s="64"/>
      <c r="F105" s="71"/>
      <c r="G105" s="64"/>
      <c r="H105" s="64"/>
      <c r="I105" s="53"/>
      <c r="J105" s="105">
        <f t="shared" si="22"/>
        <v>37862.5</v>
      </c>
      <c r="K105" s="109">
        <v>97</v>
      </c>
      <c r="L105" s="125">
        <f>$G$3/(1+EXP(-$G$4*(K105-$G$5)))</f>
        <v>0.99992801665008624</v>
      </c>
      <c r="M105" s="46">
        <f t="shared" si="23"/>
        <v>0.99992801665008624</v>
      </c>
      <c r="N105" s="132">
        <v>0.99999916301487501</v>
      </c>
      <c r="O105" s="89">
        <f>IF(N105=M105,N105,M105)</f>
        <v>0.99992801665008624</v>
      </c>
      <c r="P105" s="4">
        <v>40419</v>
      </c>
      <c r="Q105" s="4">
        <v>0.99999989921948373</v>
      </c>
    </row>
    <row r="106" spans="2:17" x14ac:dyDescent="0.25">
      <c r="B106" s="63"/>
      <c r="C106" s="64"/>
      <c r="D106" s="65"/>
      <c r="E106" s="64"/>
      <c r="F106" s="71"/>
      <c r="G106" s="64"/>
      <c r="H106" s="64"/>
      <c r="I106" s="53"/>
      <c r="J106" s="105">
        <f t="shared" si="22"/>
        <v>37863.5</v>
      </c>
      <c r="K106" s="109">
        <v>98</v>
      </c>
      <c r="L106" s="125">
        <f>$G$3/(1+EXP(-$G$4*(K106-$G$5)))</f>
        <v>0.99993979682402956</v>
      </c>
      <c r="M106" s="46">
        <f t="shared" si="23"/>
        <v>0.99993979682402956</v>
      </c>
      <c r="N106" s="132">
        <v>0.99999935773180315</v>
      </c>
      <c r="O106" s="89">
        <f>IF(N106=M106,N106,M106)</f>
        <v>0.99993979682402956</v>
      </c>
      <c r="P106" s="4">
        <v>40420</v>
      </c>
      <c r="Q106" s="4">
        <v>0.99999992433526419</v>
      </c>
    </row>
    <row r="107" spans="2:17" x14ac:dyDescent="0.25">
      <c r="B107" s="63"/>
      <c r="C107" s="64"/>
      <c r="D107" s="65"/>
      <c r="E107" s="64"/>
      <c r="F107" s="71"/>
      <c r="G107" s="64"/>
      <c r="H107" s="64"/>
      <c r="I107" s="53"/>
      <c r="J107" s="105">
        <f t="shared" si="22"/>
        <v>37864.5</v>
      </c>
      <c r="K107" s="109">
        <v>99</v>
      </c>
      <c r="L107" s="125">
        <f>$G$3/(1+EXP(-$G$4*(K107-$G$5)))</f>
        <v>0.999949649253425</v>
      </c>
      <c r="M107" s="46">
        <f t="shared" si="23"/>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v>37766.5</v>
      </c>
      <c r="C132" s="64">
        <v>0</v>
      </c>
      <c r="D132" s="4">
        <v>2.5000000000000001E-2</v>
      </c>
      <c r="E132" s="64">
        <f>1.96*D132</f>
        <v>4.9000000000000002E-2</v>
      </c>
      <c r="F132" s="71">
        <f>1-C132</f>
        <v>1</v>
      </c>
      <c r="G132" s="64"/>
      <c r="H132" s="64"/>
      <c r="I132" s="53"/>
      <c r="J132" s="44"/>
      <c r="K132" s="45"/>
      <c r="L132" s="46"/>
      <c r="M132" s="46"/>
      <c r="N132" s="70"/>
      <c r="O132" s="47"/>
    </row>
    <row r="133" spans="2:15" x14ac:dyDescent="0.25">
      <c r="B133" s="63">
        <v>37797.5</v>
      </c>
      <c r="C133" s="64">
        <v>1.4373661500000001E-2</v>
      </c>
      <c r="D133" s="147">
        <v>2.9294660471095732E-2</v>
      </c>
      <c r="E133" s="64">
        <f t="shared" ref="E133:E139" si="25">1.96*D133</f>
        <v>5.7417534523347635E-2</v>
      </c>
      <c r="F133" s="71">
        <f t="shared" ref="F133:F139" si="26">1-C133</f>
        <v>0.98562633850000003</v>
      </c>
      <c r="G133" s="64"/>
      <c r="H133" s="64"/>
      <c r="I133" s="53"/>
      <c r="J133" s="44"/>
      <c r="K133" s="45"/>
      <c r="L133" s="46"/>
      <c r="M133" s="46"/>
      <c r="N133" s="70"/>
      <c r="O133" s="47"/>
    </row>
    <row r="134" spans="2:15" x14ac:dyDescent="0.25">
      <c r="B134" s="63">
        <v>37803.5</v>
      </c>
      <c r="C134" s="64">
        <v>0.14530426295000001</v>
      </c>
      <c r="D134" s="147">
        <v>4.3768624675588189E-2</v>
      </c>
      <c r="E134" s="64">
        <f t="shared" si="25"/>
        <v>8.5786504364152846E-2</v>
      </c>
      <c r="F134" s="71">
        <f t="shared" si="26"/>
        <v>0.85469573705000002</v>
      </c>
      <c r="G134" s="64"/>
      <c r="H134" s="64"/>
      <c r="I134" s="53"/>
      <c r="J134" s="44"/>
      <c r="K134" s="45"/>
      <c r="L134" s="46"/>
      <c r="M134" s="46"/>
      <c r="N134" s="70"/>
      <c r="O134" s="47"/>
    </row>
    <row r="135" spans="2:15" x14ac:dyDescent="0.25">
      <c r="B135" s="63">
        <v>37809.5</v>
      </c>
      <c r="C135" s="64">
        <v>0.28467891862</v>
      </c>
      <c r="D135" s="147">
        <v>5.482678371741849E-2</v>
      </c>
      <c r="E135" s="64">
        <f t="shared" si="25"/>
        <v>0.10746049608614024</v>
      </c>
      <c r="F135" s="71">
        <f t="shared" si="26"/>
        <v>0.71532108137999995</v>
      </c>
      <c r="G135" s="64"/>
      <c r="H135" s="64"/>
      <c r="I135" s="53"/>
      <c r="J135" s="44"/>
      <c r="K135" s="45"/>
      <c r="L135" s="46"/>
      <c r="M135" s="46"/>
      <c r="N135" s="70"/>
      <c r="O135" s="47"/>
    </row>
    <row r="136" spans="2:15" x14ac:dyDescent="0.25">
      <c r="B136" s="63">
        <v>37815.5</v>
      </c>
      <c r="C136" s="64">
        <v>0.68313881839000001</v>
      </c>
      <c r="D136" s="147">
        <v>5.455329775196275E-2</v>
      </c>
      <c r="E136" s="64">
        <f t="shared" si="25"/>
        <v>0.10692446359384698</v>
      </c>
      <c r="F136" s="71">
        <f t="shared" si="26"/>
        <v>0.31686118160999999</v>
      </c>
      <c r="G136" s="64"/>
      <c r="H136" s="64"/>
      <c r="I136" s="53"/>
      <c r="J136" s="44"/>
      <c r="K136" s="45"/>
      <c r="L136" s="46"/>
      <c r="M136" s="46"/>
      <c r="N136" s="70"/>
      <c r="O136" s="47"/>
    </row>
    <row r="137" spans="2:15" x14ac:dyDescent="0.25">
      <c r="B137" s="63">
        <v>37820.5</v>
      </c>
      <c r="C137" s="64">
        <v>0.58347815381000001</v>
      </c>
      <c r="D137" s="147">
        <v>5.2774119647345311E-2</v>
      </c>
      <c r="E137" s="64">
        <f t="shared" si="25"/>
        <v>0.10343727450879681</v>
      </c>
      <c r="F137" s="71">
        <f t="shared" si="26"/>
        <v>0.41652184618999999</v>
      </c>
      <c r="G137" s="64"/>
      <c r="H137" s="64"/>
      <c r="I137" s="53"/>
      <c r="J137" s="44"/>
      <c r="K137" s="45"/>
      <c r="L137" s="46"/>
      <c r="M137" s="46"/>
      <c r="N137" s="70"/>
      <c r="O137" s="47"/>
    </row>
    <row r="138" spans="2:15" x14ac:dyDescent="0.25">
      <c r="B138" s="63">
        <v>37825.5</v>
      </c>
      <c r="C138" s="64">
        <v>0.57123000782</v>
      </c>
      <c r="D138" s="147">
        <v>5.8738633411898597E-2</v>
      </c>
      <c r="E138" s="64">
        <f t="shared" si="25"/>
        <v>0.11512772148732124</v>
      </c>
      <c r="F138" s="71">
        <f t="shared" si="26"/>
        <v>0.42876999218</v>
      </c>
      <c r="G138" s="64"/>
      <c r="H138" s="64"/>
      <c r="I138" s="53"/>
      <c r="J138" s="44"/>
      <c r="K138" s="45"/>
      <c r="L138" s="46"/>
      <c r="M138" s="46"/>
      <c r="N138" s="70"/>
      <c r="O138" s="47"/>
    </row>
    <row r="139" spans="2:15" x14ac:dyDescent="0.25">
      <c r="B139" s="63">
        <v>37834.5</v>
      </c>
      <c r="C139" s="64">
        <v>1</v>
      </c>
      <c r="D139" s="147">
        <v>2.5000000000000001E-2</v>
      </c>
      <c r="E139" s="64">
        <f t="shared" si="25"/>
        <v>4.9000000000000002E-2</v>
      </c>
      <c r="F139" s="71">
        <f t="shared" si="26"/>
        <v>0</v>
      </c>
      <c r="G139" s="64"/>
      <c r="H139" s="64"/>
      <c r="I139" s="53"/>
      <c r="J139" s="44"/>
      <c r="K139" s="45"/>
      <c r="L139" s="46"/>
      <c r="M139" s="46"/>
      <c r="N139" s="70"/>
      <c r="O139" s="47"/>
    </row>
    <row r="140" spans="2:15" x14ac:dyDescent="0.25">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v>37766.5</v>
      </c>
      <c r="D152" s="65">
        <v>0.99937189731766174</v>
      </c>
      <c r="E152" s="65"/>
      <c r="F152" s="71"/>
      <c r="G152" s="64"/>
      <c r="H152" s="64"/>
      <c r="I152" s="53"/>
      <c r="J152" s="44"/>
      <c r="K152" s="45"/>
      <c r="L152" s="46"/>
      <c r="M152" s="46"/>
      <c r="N152" s="70"/>
      <c r="O152" s="47"/>
    </row>
    <row r="153" spans="2:15" x14ac:dyDescent="0.25">
      <c r="B153" s="63"/>
      <c r="C153" s="64">
        <v>37767.5</v>
      </c>
      <c r="D153" s="65">
        <v>0.99927033440039681</v>
      </c>
      <c r="E153" s="65"/>
      <c r="F153" s="71"/>
      <c r="G153" s="64"/>
      <c r="H153" s="64"/>
      <c r="I153" s="53"/>
      <c r="J153" s="44"/>
      <c r="K153" s="45"/>
      <c r="L153" s="46"/>
      <c r="M153" s="46"/>
      <c r="N153" s="70"/>
      <c r="O153" s="47"/>
    </row>
    <row r="154" spans="2:15" x14ac:dyDescent="0.25">
      <c r="B154" s="63"/>
      <c r="C154" s="64">
        <v>37768.5</v>
      </c>
      <c r="D154" s="65">
        <v>0.99915236289651199</v>
      </c>
      <c r="E154" s="65"/>
      <c r="F154" s="71"/>
      <c r="G154" s="64"/>
      <c r="H154" s="64"/>
      <c r="I154" s="53"/>
      <c r="J154" s="44"/>
      <c r="K154" s="45"/>
      <c r="L154" s="46"/>
      <c r="M154" s="46"/>
      <c r="N154" s="70"/>
      <c r="O154" s="47"/>
    </row>
    <row r="155" spans="2:15" x14ac:dyDescent="0.25">
      <c r="B155" s="63"/>
      <c r="C155" s="64">
        <v>37769.5</v>
      </c>
      <c r="D155" s="65">
        <v>0.9990153366888026</v>
      </c>
      <c r="E155" s="65"/>
      <c r="F155" s="71"/>
      <c r="G155" s="64"/>
      <c r="H155" s="64"/>
      <c r="I155" s="53"/>
      <c r="J155" s="44"/>
      <c r="K155" s="45"/>
      <c r="L155" s="46"/>
      <c r="M155" s="46"/>
      <c r="N155" s="70"/>
      <c r="O155" s="47"/>
    </row>
    <row r="156" spans="2:15" x14ac:dyDescent="0.25">
      <c r="B156" s="63"/>
      <c r="C156" s="64">
        <v>37770.5</v>
      </c>
      <c r="D156" s="65">
        <v>0.99885618463641579</v>
      </c>
      <c r="E156" s="65"/>
      <c r="F156" s="71"/>
      <c r="G156" s="64"/>
      <c r="H156" s="64"/>
      <c r="I156" s="53"/>
      <c r="J156" s="44"/>
      <c r="K156" s="45"/>
      <c r="L156" s="46"/>
      <c r="M156" s="46"/>
      <c r="N156" s="70"/>
      <c r="O156" s="47"/>
    </row>
    <row r="157" spans="2:15" x14ac:dyDescent="0.25">
      <c r="B157" s="63"/>
      <c r="C157" s="64">
        <v>37771.5</v>
      </c>
      <c r="D157" s="65">
        <v>0.9986713429007984</v>
      </c>
      <c r="E157" s="65"/>
      <c r="F157" s="71"/>
      <c r="G157" s="64"/>
      <c r="H157" s="64"/>
      <c r="I157" s="53"/>
      <c r="J157" s="44"/>
      <c r="K157" s="45"/>
      <c r="L157" s="46"/>
      <c r="M157" s="46"/>
      <c r="N157" s="70"/>
      <c r="O157" s="47"/>
    </row>
    <row r="158" spans="2:15" x14ac:dyDescent="0.25">
      <c r="B158" s="63"/>
      <c r="C158" s="64">
        <v>37772.5</v>
      </c>
      <c r="D158" s="65">
        <v>0.9984566767039742</v>
      </c>
      <c r="E158" s="65"/>
      <c r="F158" s="71"/>
      <c r="G158" s="64"/>
      <c r="H158" s="64"/>
      <c r="I158" s="53"/>
      <c r="J158" s="44"/>
      <c r="K158" s="45"/>
      <c r="L158" s="46"/>
      <c r="M158" s="46"/>
      <c r="N158" s="70"/>
      <c r="O158" s="47"/>
    </row>
    <row r="159" spans="2:15" x14ac:dyDescent="0.25">
      <c r="B159" s="63"/>
      <c r="C159" s="64">
        <v>37773.5</v>
      </c>
      <c r="D159" s="65">
        <v>0.99820738994185276</v>
      </c>
      <c r="E159" s="65"/>
      <c r="F159" s="71"/>
      <c r="G159" s="64"/>
      <c r="H159" s="64"/>
      <c r="I159" s="53"/>
      <c r="J159" s="44"/>
      <c r="K159" s="45"/>
      <c r="L159" s="46"/>
      <c r="M159" s="46"/>
      <c r="N159" s="70"/>
      <c r="O159" s="47"/>
    </row>
    <row r="160" spans="2:15" x14ac:dyDescent="0.25">
      <c r="B160" s="63"/>
      <c r="C160" s="64">
        <v>37774.5</v>
      </c>
      <c r="D160" s="65">
        <v>0.99791792086573672</v>
      </c>
      <c r="E160" s="65"/>
      <c r="F160" s="71"/>
      <c r="G160" s="64"/>
      <c r="H160" s="64"/>
      <c r="I160" s="53"/>
      <c r="J160" s="44"/>
      <c r="K160" s="45"/>
      <c r="L160" s="46"/>
      <c r="M160" s="46"/>
      <c r="N160" s="70"/>
      <c r="O160" s="47"/>
    </row>
    <row r="161" spans="2:9" x14ac:dyDescent="0.25">
      <c r="B161" s="63"/>
      <c r="C161" s="64">
        <v>37775.5</v>
      </c>
      <c r="D161" s="65">
        <v>0.99758182181733823</v>
      </c>
      <c r="E161" s="65"/>
      <c r="F161" s="71"/>
      <c r="G161" s="64"/>
      <c r="H161" s="64"/>
      <c r="I161" s="53"/>
    </row>
    <row r="162" spans="2:9" x14ac:dyDescent="0.25">
      <c r="B162" s="63"/>
      <c r="C162" s="64">
        <v>37776.5</v>
      </c>
      <c r="D162" s="65">
        <v>0.99719162075867385</v>
      </c>
      <c r="E162" s="65"/>
      <c r="F162" s="71"/>
      <c r="G162" s="64"/>
      <c r="H162" s="64"/>
      <c r="I162" s="53"/>
    </row>
    <row r="163" spans="2:9" x14ac:dyDescent="0.25">
      <c r="B163" s="63"/>
      <c r="C163" s="64">
        <v>37777.5</v>
      </c>
      <c r="D163" s="65">
        <v>0.99673866208252038</v>
      </c>
      <c r="E163" s="65"/>
      <c r="F163" s="71"/>
      <c r="G163" s="64"/>
      <c r="H163" s="64"/>
      <c r="I163" s="53"/>
    </row>
    <row r="164" spans="2:9" x14ac:dyDescent="0.25">
      <c r="B164" s="63"/>
      <c r="C164" s="64">
        <v>37778.5</v>
      </c>
      <c r="D164" s="65">
        <v>0.99621292392889316</v>
      </c>
      <c r="E164" s="65"/>
      <c r="F164" s="71"/>
      <c r="G164" s="64"/>
      <c r="H164" s="64"/>
      <c r="I164" s="53"/>
    </row>
    <row r="165" spans="2:9" x14ac:dyDescent="0.25">
      <c r="B165" s="63"/>
      <c r="C165" s="64">
        <v>37779.5</v>
      </c>
      <c r="D165" s="65">
        <v>0.99560280897956932</v>
      </c>
      <c r="E165" s="65"/>
      <c r="F165" s="71"/>
      <c r="G165" s="64"/>
      <c r="H165" s="64"/>
      <c r="I165" s="53"/>
    </row>
    <row r="166" spans="2:9" x14ac:dyDescent="0.25">
      <c r="B166" s="63"/>
      <c r="C166" s="64">
        <v>37780.5</v>
      </c>
      <c r="D166" s="65">
        <v>0.9948949054728613</v>
      </c>
      <c r="E166" s="65"/>
      <c r="F166" s="71"/>
      <c r="G166" s="64"/>
      <c r="H166" s="64"/>
      <c r="I166" s="53"/>
    </row>
    <row r="167" spans="2:9" x14ac:dyDescent="0.25">
      <c r="B167" s="63"/>
      <c r="C167" s="64">
        <v>37781.5</v>
      </c>
      <c r="D167" s="65">
        <v>0.99407371499902086</v>
      </c>
      <c r="E167" s="65"/>
      <c r="F167" s="71"/>
      <c r="G167" s="64"/>
      <c r="H167" s="64"/>
      <c r="I167" s="53"/>
    </row>
    <row r="168" spans="2:9" x14ac:dyDescent="0.25">
      <c r="B168" s="63"/>
      <c r="C168" s="64">
        <v>37782.5</v>
      </c>
      <c r="D168" s="65">
        <v>0.99312134353716319</v>
      </c>
      <c r="E168" s="65"/>
      <c r="F168" s="71"/>
      <c r="G168" s="64"/>
      <c r="H168" s="64"/>
      <c r="I168" s="53"/>
    </row>
    <row r="169" spans="2:9" x14ac:dyDescent="0.25">
      <c r="B169" s="63"/>
      <c r="C169" s="64">
        <v>37783.5</v>
      </c>
      <c r="D169" s="65">
        <v>0.99201715222492926</v>
      </c>
      <c r="E169" s="65"/>
      <c r="F169" s="71"/>
      <c r="G169" s="64"/>
      <c r="H169" s="64"/>
      <c r="I169" s="53"/>
    </row>
    <row r="170" spans="2:9" x14ac:dyDescent="0.25">
      <c r="B170" s="63"/>
      <c r="C170" s="64">
        <v>37784.5</v>
      </c>
      <c r="D170" s="65">
        <v>0.99073736457669048</v>
      </c>
      <c r="E170" s="65"/>
      <c r="F170" s="71"/>
      <c r="G170" s="64"/>
      <c r="H170" s="64"/>
      <c r="I170" s="53"/>
    </row>
    <row r="171" spans="2:9" x14ac:dyDescent="0.25">
      <c r="B171" s="63"/>
      <c r="C171" s="64">
        <v>37785.5</v>
      </c>
      <c r="D171" s="65">
        <v>0.9892546273709848</v>
      </c>
      <c r="E171" s="65"/>
      <c r="F171" s="71"/>
      <c r="G171" s="64"/>
      <c r="H171" s="64"/>
      <c r="I171" s="53"/>
    </row>
    <row r="172" spans="2:9" x14ac:dyDescent="0.25">
      <c r="B172" s="63"/>
      <c r="C172" s="64">
        <v>37786.5</v>
      </c>
      <c r="D172" s="65">
        <v>0.98753752332597144</v>
      </c>
      <c r="E172" s="65"/>
      <c r="F172" s="71"/>
      <c r="G172" s="64"/>
      <c r="H172" s="64"/>
      <c r="I172" s="53"/>
    </row>
    <row r="173" spans="2:9" x14ac:dyDescent="0.25">
      <c r="B173" s="63"/>
      <c r="C173" s="64">
        <v>37787.5</v>
      </c>
      <c r="D173" s="65">
        <v>0.98555003511863482</v>
      </c>
      <c r="E173" s="65"/>
      <c r="F173" s="71"/>
      <c r="G173" s="64"/>
      <c r="H173" s="64"/>
      <c r="I173" s="53"/>
    </row>
    <row r="174" spans="2:9" x14ac:dyDescent="0.25">
      <c r="B174" s="63"/>
      <c r="C174" s="64">
        <v>37788.5</v>
      </c>
      <c r="D174" s="65">
        <v>0.98325096246333232</v>
      </c>
      <c r="E174" s="65"/>
      <c r="F174" s="71"/>
      <c r="G174" s="64"/>
      <c r="H174" s="64"/>
      <c r="I174" s="53"/>
    </row>
    <row r="175" spans="2:9" x14ac:dyDescent="0.25">
      <c r="B175" s="63"/>
      <c r="C175" s="64">
        <v>37789.5</v>
      </c>
      <c r="D175" s="65">
        <v>0.98059329707541876</v>
      </c>
      <c r="E175" s="65"/>
      <c r="F175" s="71"/>
      <c r="G175" s="64"/>
      <c r="H175" s="64"/>
      <c r="I175" s="53"/>
    </row>
    <row r="176" spans="2:9" x14ac:dyDescent="0.25">
      <c r="B176" s="63"/>
      <c r="C176" s="64">
        <v>37790.5</v>
      </c>
      <c r="D176" s="65">
        <v>0.97752356467890367</v>
      </c>
      <c r="E176" s="65"/>
      <c r="F176" s="71"/>
      <c r="G176" s="64"/>
      <c r="H176" s="64"/>
      <c r="I176" s="53"/>
    </row>
    <row r="177" spans="2:9" x14ac:dyDescent="0.25">
      <c r="B177" s="63"/>
      <c r="C177" s="64">
        <v>37791.5</v>
      </c>
      <c r="D177" s="65">
        <v>0.97398114908861111</v>
      </c>
      <c r="E177" s="65"/>
      <c r="F177" s="71"/>
      <c r="G177" s="64"/>
      <c r="H177" s="64"/>
      <c r="I177" s="53"/>
    </row>
    <row r="178" spans="2:9" x14ac:dyDescent="0.25">
      <c r="B178" s="63"/>
      <c r="C178" s="64">
        <v>37792.5</v>
      </c>
      <c r="D178" s="65">
        <v>0.96989762115253808</v>
      </c>
      <c r="E178" s="65"/>
      <c r="F178" s="71"/>
      <c r="G178" s="64"/>
      <c r="H178" s="64"/>
      <c r="I178" s="53"/>
    </row>
    <row r="179" spans="2:9" x14ac:dyDescent="0.25">
      <c r="B179" s="63"/>
      <c r="C179" s="64">
        <v>37793.5</v>
      </c>
      <c r="D179" s="65">
        <v>0.96519610532756117</v>
      </c>
      <c r="E179" s="65"/>
      <c r="F179" s="71"/>
      <c r="G179" s="64"/>
      <c r="H179" s="64"/>
      <c r="I179" s="53"/>
    </row>
    <row r="180" spans="2:9" x14ac:dyDescent="0.25">
      <c r="B180" s="63"/>
      <c r="C180" s="64">
        <v>37794.5</v>
      </c>
      <c r="D180" s="65">
        <v>0.95979072918333619</v>
      </c>
      <c r="E180" s="65"/>
      <c r="F180" s="71"/>
      <c r="G180" s="64"/>
      <c r="H180" s="64"/>
      <c r="I180" s="53"/>
    </row>
    <row r="181" spans="2:9" x14ac:dyDescent="0.25">
      <c r="B181" s="63"/>
      <c r="C181" s="64">
        <v>37795.5</v>
      </c>
      <c r="D181" s="65">
        <v>0.95358621635903895</v>
      </c>
      <c r="E181" s="65"/>
      <c r="F181" s="71"/>
      <c r="G181" s="64"/>
      <c r="H181" s="64"/>
      <c r="I181" s="53"/>
    </row>
    <row r="182" spans="2:9" x14ac:dyDescent="0.25">
      <c r="B182" s="63"/>
      <c r="C182" s="64">
        <v>37796.5</v>
      </c>
      <c r="D182" s="65">
        <v>0.94647770135664244</v>
      </c>
      <c r="E182" s="65"/>
      <c r="F182" s="71"/>
      <c r="G182" s="64"/>
      <c r="H182" s="64"/>
      <c r="I182" s="53"/>
    </row>
    <row r="183" spans="2:9" x14ac:dyDescent="0.25">
      <c r="B183" s="63"/>
      <c r="C183" s="64">
        <v>37797.5</v>
      </c>
      <c r="D183" s="65">
        <v>0.93835086453417804</v>
      </c>
      <c r="E183" s="65"/>
      <c r="F183" s="71"/>
      <c r="G183" s="64"/>
      <c r="H183" s="64"/>
      <c r="I183" s="53"/>
    </row>
    <row r="184" spans="2:9" x14ac:dyDescent="0.25">
      <c r="B184" s="63"/>
      <c r="C184" s="64">
        <v>37798.5</v>
      </c>
      <c r="D184" s="65">
        <v>0.92908250659040403</v>
      </c>
      <c r="E184" s="65"/>
      <c r="F184" s="71"/>
      <c r="G184" s="64"/>
      <c r="H184" s="64"/>
      <c r="I184" s="53"/>
    </row>
    <row r="185" spans="2:9" x14ac:dyDescent="0.25">
      <c r="B185" s="63"/>
      <c r="C185" s="64">
        <v>37799.5</v>
      </c>
      <c r="D185" s="65">
        <v>0.91854170158897652</v>
      </c>
      <c r="E185" s="65"/>
      <c r="F185" s="71"/>
      <c r="G185" s="64"/>
      <c r="H185" s="64"/>
      <c r="I185" s="53"/>
    </row>
    <row r="186" spans="2:9" x14ac:dyDescent="0.25">
      <c r="B186" s="63"/>
      <c r="C186" s="64">
        <v>37800.5</v>
      </c>
      <c r="D186" s="65">
        <v>0.90659168278816871</v>
      </c>
      <c r="E186" s="65"/>
      <c r="F186" s="71"/>
      <c r="G186" s="64"/>
      <c r="H186" s="64"/>
      <c r="I186" s="53"/>
    </row>
    <row r="187" spans="2:9" x14ac:dyDescent="0.25">
      <c r="B187" s="63"/>
      <c r="C187" s="64">
        <v>37801.5</v>
      </c>
      <c r="D187" s="65">
        <v>0.89309262135735867</v>
      </c>
      <c r="E187" s="65"/>
      <c r="F187" s="71"/>
      <c r="G187" s="64"/>
      <c r="H187" s="64"/>
      <c r="I187" s="53"/>
    </row>
    <row r="188" spans="2:9" x14ac:dyDescent="0.25">
      <c r="B188" s="63"/>
      <c r="C188" s="64">
        <v>37802.5</v>
      </c>
      <c r="D188" s="65">
        <v>0.87790544803816573</v>
      </c>
      <c r="E188" s="65"/>
      <c r="F188" s="71"/>
      <c r="G188" s="64"/>
      <c r="H188" s="64"/>
      <c r="I188" s="53"/>
    </row>
    <row r="189" spans="2:9" x14ac:dyDescent="0.25">
      <c r="C189" s="4">
        <v>37803.5</v>
      </c>
      <c r="D189" s="65">
        <v>0.86089683421987606</v>
      </c>
      <c r="E189" s="65"/>
      <c r="F189" s="71"/>
      <c r="G189" s="64"/>
      <c r="H189" s="64"/>
      <c r="I189" s="53"/>
    </row>
    <row r="190" spans="2:9" x14ac:dyDescent="0.25">
      <c r="C190" s="4">
        <v>37804.5</v>
      </c>
      <c r="D190" s="65">
        <v>0.84194538359625493</v>
      </c>
      <c r="E190" s="65"/>
      <c r="F190" s="71"/>
      <c r="G190" s="64"/>
      <c r="H190" s="64"/>
      <c r="I190" s="53"/>
    </row>
    <row r="191" spans="2:9" x14ac:dyDescent="0.25">
      <c r="B191" s="63"/>
      <c r="C191" s="64">
        <v>37805.5</v>
      </c>
      <c r="D191" s="65">
        <v>0.82094898166426189</v>
      </c>
      <c r="E191" s="65"/>
      <c r="F191" s="71"/>
      <c r="G191" s="64"/>
      <c r="H191" s="64"/>
      <c r="I191" s="53"/>
    </row>
    <row r="192" spans="2:9" x14ac:dyDescent="0.25">
      <c r="B192" s="63"/>
      <c r="C192" s="64">
        <v>37806.5</v>
      </c>
      <c r="D192" s="65">
        <v>0.79783310480175662</v>
      </c>
      <c r="E192" s="65"/>
      <c r="F192" s="72"/>
      <c r="G192" s="64"/>
      <c r="H192" s="64"/>
      <c r="I192" s="53"/>
    </row>
    <row r="193" spans="2:9" x14ac:dyDescent="0.25">
      <c r="B193" s="72"/>
      <c r="C193" s="64">
        <v>37807.5</v>
      </c>
      <c r="D193" s="64">
        <v>0.7725597077788241</v>
      </c>
      <c r="E193" s="65"/>
      <c r="F193" s="72"/>
      <c r="G193" s="64"/>
      <c r="H193" s="64"/>
      <c r="I193" s="53"/>
    </row>
    <row r="194" spans="2:9" x14ac:dyDescent="0.25">
      <c r="C194" s="9">
        <v>37808.5</v>
      </c>
      <c r="D194" s="9">
        <v>0.74513610338185698</v>
      </c>
      <c r="E194" s="65"/>
      <c r="G194" s="53"/>
      <c r="H194" s="53"/>
      <c r="I194" s="53"/>
    </row>
    <row r="195" spans="2:9" x14ac:dyDescent="0.25">
      <c r="C195" s="9">
        <v>37809.5</v>
      </c>
      <c r="D195" s="9">
        <v>0.71562304867688131</v>
      </c>
      <c r="E195" s="65"/>
      <c r="G195" s="53"/>
      <c r="H195" s="53"/>
      <c r="I195" s="53"/>
    </row>
    <row r="196" spans="2:9" x14ac:dyDescent="0.25">
      <c r="C196" s="9">
        <v>37810.5</v>
      </c>
      <c r="D196" s="9">
        <v>0.68414110046366616</v>
      </c>
      <c r="E196" s="65"/>
      <c r="G196" s="53"/>
      <c r="H196" s="53"/>
      <c r="I196" s="53"/>
    </row>
    <row r="197" spans="2:9" x14ac:dyDescent="0.25">
      <c r="C197" s="9">
        <v>37811.5</v>
      </c>
      <c r="D197" s="9">
        <v>0.65087424661609383</v>
      </c>
      <c r="E197" s="65"/>
      <c r="G197" s="53"/>
      <c r="H197" s="53"/>
      <c r="I197" s="53"/>
    </row>
    <row r="198" spans="2:9" x14ac:dyDescent="0.25">
      <c r="C198" s="9">
        <v>37812.5</v>
      </c>
      <c r="D198" s="9">
        <v>0.61606990640824155</v>
      </c>
      <c r="E198" s="65"/>
      <c r="G198" s="53"/>
      <c r="H198" s="53"/>
      <c r="I198" s="53"/>
    </row>
    <row r="199" spans="2:9" x14ac:dyDescent="0.25">
      <c r="C199" s="9">
        <v>37813.5</v>
      </c>
      <c r="D199" s="9">
        <v>0.58003464995789233</v>
      </c>
      <c r="E199" s="65"/>
      <c r="G199" s="53"/>
      <c r="H199" s="53"/>
      <c r="I199" s="53"/>
    </row>
    <row r="200" spans="2:9" x14ac:dyDescent="0.25">
      <c r="C200" s="9">
        <v>37814.5</v>
      </c>
      <c r="D200" s="9">
        <v>0.54312540973269186</v>
      </c>
      <c r="E200" s="65"/>
      <c r="G200" s="53"/>
      <c r="H200" s="53"/>
      <c r="I200" s="53"/>
    </row>
    <row r="201" spans="2:9" x14ac:dyDescent="0.25">
      <c r="C201" s="9">
        <v>37815.5</v>
      </c>
      <c r="D201" s="9">
        <v>0.50573649787531938</v>
      </c>
      <c r="E201" s="65"/>
      <c r="G201" s="53"/>
      <c r="H201" s="53"/>
      <c r="I201" s="53"/>
    </row>
    <row r="202" spans="2:9" x14ac:dyDescent="0.25">
      <c r="C202" s="9">
        <v>37816.5</v>
      </c>
      <c r="D202" s="9">
        <v>0.46828331346233132</v>
      </c>
      <c r="E202" s="65"/>
      <c r="G202" s="53"/>
      <c r="H202" s="53"/>
      <c r="I202" s="53"/>
    </row>
    <row r="203" spans="2:9" x14ac:dyDescent="0.25">
      <c r="C203" s="9">
        <v>37817.5</v>
      </c>
      <c r="D203" s="9">
        <v>0.43118411183772998</v>
      </c>
      <c r="E203" s="65"/>
      <c r="G203" s="53"/>
      <c r="H203" s="53"/>
      <c r="I203" s="53"/>
    </row>
    <row r="204" spans="2:9" x14ac:dyDescent="0.25">
      <c r="C204" s="9">
        <v>37818.5</v>
      </c>
      <c r="D204" s="9">
        <v>0.39484150763108683</v>
      </c>
      <c r="E204" s="65"/>
      <c r="G204" s="53"/>
      <c r="H204" s="53"/>
      <c r="I204" s="53"/>
    </row>
    <row r="205" spans="2:9" x14ac:dyDescent="0.25">
      <c r="C205" s="9">
        <v>37819.5</v>
      </c>
      <c r="D205" s="9">
        <v>0.35962542496913763</v>
      </c>
      <c r="E205" s="65"/>
      <c r="G205" s="53"/>
      <c r="H205" s="53"/>
      <c r="I205" s="53"/>
    </row>
    <row r="206" spans="2:9" x14ac:dyDescent="0.25">
      <c r="C206" s="9">
        <v>37820.5</v>
      </c>
      <c r="D206" s="9">
        <v>0.32585898285623605</v>
      </c>
      <c r="E206" s="65"/>
      <c r="G206" s="53"/>
      <c r="H206" s="53"/>
      <c r="I206" s="53"/>
    </row>
    <row r="207" spans="2:9" x14ac:dyDescent="0.25">
      <c r="C207" s="9">
        <v>37821.5</v>
      </c>
      <c r="D207" s="9">
        <v>0.29380836323121118</v>
      </c>
      <c r="E207" s="65"/>
      <c r="G207" s="53"/>
      <c r="H207" s="53"/>
      <c r="I207" s="53"/>
    </row>
    <row r="208" spans="2:9" x14ac:dyDescent="0.25">
      <c r="C208" s="9">
        <v>37822.5</v>
      </c>
      <c r="D208" s="9">
        <v>0.26367715178528073</v>
      </c>
      <c r="E208" s="65"/>
      <c r="G208" s="53"/>
      <c r="H208" s="53"/>
      <c r="I208" s="53"/>
    </row>
    <row r="209" spans="3:9" x14ac:dyDescent="0.25">
      <c r="C209" s="9">
        <v>37823.5</v>
      </c>
      <c r="D209" s="9">
        <v>0.23560508082824672</v>
      </c>
      <c r="E209" s="65"/>
      <c r="G209" s="53"/>
      <c r="H209" s="53"/>
      <c r="I209" s="53"/>
    </row>
    <row r="210" spans="3:9" x14ac:dyDescent="0.25">
      <c r="C210" s="9">
        <v>37824.5</v>
      </c>
      <c r="D210" s="9">
        <v>0.20967063743947068</v>
      </c>
      <c r="E210" s="65"/>
      <c r="G210" s="53"/>
      <c r="H210" s="53"/>
      <c r="I210" s="53"/>
    </row>
    <row r="211" spans="3:9" x14ac:dyDescent="0.25">
      <c r="C211" s="9">
        <v>37825.5</v>
      </c>
      <c r="D211" s="9">
        <v>0.18589668998513509</v>
      </c>
      <c r="E211" s="65"/>
      <c r="G211" s="53"/>
      <c r="H211" s="53"/>
      <c r="I211" s="53"/>
    </row>
    <row r="212" spans="3:9" x14ac:dyDescent="0.25">
      <c r="C212" s="9">
        <v>37826.5</v>
      </c>
      <c r="D212" s="9">
        <v>0.16425814922380866</v>
      </c>
      <c r="E212" s="65"/>
      <c r="G212" s="53"/>
      <c r="H212" s="53"/>
      <c r="I212" s="53"/>
    </row>
    <row r="213" spans="3:9" x14ac:dyDescent="0.25">
      <c r="C213" s="9">
        <v>37827.5</v>
      </c>
      <c r="D213" s="9">
        <v>0.14469069694444792</v>
      </c>
      <c r="E213" s="65"/>
      <c r="G213" s="53"/>
      <c r="H213" s="53"/>
      <c r="I213" s="53"/>
    </row>
    <row r="214" spans="3:9" x14ac:dyDescent="0.25">
      <c r="C214" s="9">
        <v>37828.5</v>
      </c>
      <c r="D214" s="9">
        <v>0.12709974296797055</v>
      </c>
      <c r="E214" s="65"/>
      <c r="G214" s="53"/>
      <c r="H214" s="53"/>
      <c r="I214" s="53"/>
    </row>
    <row r="215" spans="3:9" x14ac:dyDescent="0.25">
      <c r="C215" s="9">
        <v>37829.5</v>
      </c>
      <c r="D215" s="9">
        <v>0.11136896093811099</v>
      </c>
      <c r="E215" s="65"/>
      <c r="G215" s="53"/>
      <c r="H215" s="53"/>
      <c r="I215" s="53"/>
    </row>
    <row r="216" spans="3:9" x14ac:dyDescent="0.25">
      <c r="C216" s="9">
        <v>37830.5</v>
      </c>
      <c r="D216" s="9">
        <v>9.7367960303295087E-2</v>
      </c>
      <c r="E216" s="65"/>
      <c r="G216" s="53"/>
      <c r="H216" s="53"/>
      <c r="I216" s="53"/>
    </row>
    <row r="217" spans="3:9" x14ac:dyDescent="0.25">
      <c r="C217" s="9">
        <v>37831.5</v>
      </c>
      <c r="D217" s="9">
        <v>8.4958843777534709E-2</v>
      </c>
      <c r="E217" s="65"/>
      <c r="G217" s="53"/>
      <c r="H217" s="53"/>
      <c r="I217" s="53"/>
    </row>
    <row r="218" spans="3:9" x14ac:dyDescent="0.25">
      <c r="C218" s="9">
        <v>37832.5</v>
      </c>
      <c r="D218" s="9">
        <v>7.4001557409438701E-2</v>
      </c>
      <c r="E218" s="65"/>
      <c r="G218" s="53"/>
      <c r="H218" s="53"/>
      <c r="I218" s="53"/>
    </row>
    <row r="219" spans="3:9" x14ac:dyDescent="0.25">
      <c r="C219" s="9">
        <v>37833.5</v>
      </c>
      <c r="D219" s="9">
        <v>6.4358056974210931E-2</v>
      </c>
      <c r="E219" s="65"/>
      <c r="G219" s="53"/>
      <c r="H219" s="53"/>
      <c r="I219" s="53"/>
    </row>
    <row r="220" spans="3:9" x14ac:dyDescent="0.25">
      <c r="C220" s="9">
        <v>37834.5</v>
      </c>
      <c r="D220" s="9">
        <v>5.5895390906604558E-2</v>
      </c>
      <c r="E220" s="65"/>
      <c r="G220" s="53"/>
      <c r="H220" s="53"/>
      <c r="I220" s="53"/>
    </row>
    <row r="221" spans="3:9" x14ac:dyDescent="0.25">
      <c r="C221" s="9">
        <v>37835.5</v>
      </c>
      <c r="D221" s="9">
        <v>4.8487842437026307E-2</v>
      </c>
      <c r="E221" s="65"/>
      <c r="G221" s="53"/>
      <c r="H221" s="53"/>
      <c r="I221" s="53"/>
    </row>
    <row r="222" spans="3:9" x14ac:dyDescent="0.25">
      <c r="C222" s="9">
        <v>37836.5</v>
      </c>
      <c r="D222" s="9">
        <v>4.2018289963551392E-2</v>
      </c>
      <c r="E222" s="65"/>
      <c r="G222" s="53"/>
      <c r="H222" s="53"/>
      <c r="I222" s="53"/>
    </row>
    <row r="223" spans="3:9" x14ac:dyDescent="0.25">
      <c r="C223" s="9">
        <v>37837.5</v>
      </c>
      <c r="D223" s="9">
        <v>3.6378942971083794E-2</v>
      </c>
      <c r="E223" s="65"/>
      <c r="G223" s="53"/>
      <c r="H223" s="53"/>
      <c r="I223" s="53"/>
    </row>
    <row r="224" spans="3:9" x14ac:dyDescent="0.25">
      <c r="C224" s="9">
        <v>37838.5</v>
      </c>
      <c r="D224" s="9">
        <v>3.147159787810494E-2</v>
      </c>
      <c r="E224" s="65"/>
      <c r="G224" s="53"/>
      <c r="H224" s="53"/>
      <c r="I224" s="53"/>
    </row>
    <row r="225" spans="3:9" x14ac:dyDescent="0.25">
      <c r="C225" s="9">
        <v>37839.5</v>
      </c>
      <c r="D225" s="9">
        <v>2.7207539400781577E-2</v>
      </c>
      <c r="E225" s="65"/>
      <c r="G225" s="53"/>
      <c r="H225" s="53"/>
      <c r="I225" s="53"/>
    </row>
    <row r="226" spans="3:9" x14ac:dyDescent="0.25">
      <c r="C226" s="9">
        <v>37840.5</v>
      </c>
      <c r="D226" s="9">
        <v>2.350719217767816E-2</v>
      </c>
      <c r="E226" s="65"/>
      <c r="G226" s="53"/>
      <c r="H226" s="53"/>
      <c r="I226" s="53"/>
    </row>
    <row r="227" spans="3:9" x14ac:dyDescent="0.25">
      <c r="C227" s="9">
        <v>37841.5</v>
      </c>
      <c r="D227" s="9">
        <v>2.0299606966050265E-2</v>
      </c>
      <c r="E227" s="65"/>
      <c r="G227" s="53"/>
      <c r="H227" s="53"/>
      <c r="I227" s="53"/>
    </row>
    <row r="228" spans="3:9" x14ac:dyDescent="0.25">
      <c r="C228" s="9">
        <v>37842.5</v>
      </c>
      <c r="D228" s="9">
        <v>1.7521847133122215E-2</v>
      </c>
      <c r="E228" s="65"/>
      <c r="G228" s="53"/>
      <c r="H228" s="53"/>
      <c r="I228" s="53"/>
    </row>
    <row r="229" spans="3:9" x14ac:dyDescent="0.25">
      <c r="C229" s="9">
        <v>37843.5</v>
      </c>
      <c r="D229" s="9">
        <v>1.511832510717781E-2</v>
      </c>
      <c r="E229" s="65"/>
      <c r="G229" s="53"/>
      <c r="H229" s="53"/>
      <c r="I229" s="53"/>
    </row>
    <row r="230" spans="3:9" x14ac:dyDescent="0.25">
      <c r="C230" s="9">
        <v>37844.5</v>
      </c>
      <c r="D230" s="9">
        <v>1.3040125112587564E-2</v>
      </c>
      <c r="E230" s="65"/>
      <c r="G230" s="53"/>
      <c r="H230" s="53"/>
      <c r="I230" s="53"/>
    </row>
    <row r="231" spans="3:9" x14ac:dyDescent="0.25">
      <c r="C231" s="9">
        <v>37845.5</v>
      </c>
      <c r="D231" s="9">
        <v>1.1244337778071323E-2</v>
      </c>
      <c r="E231" s="65"/>
      <c r="G231" s="53"/>
      <c r="H231" s="53"/>
      <c r="I231" s="53"/>
    </row>
    <row r="232" spans="3:9" x14ac:dyDescent="0.25">
      <c r="C232" s="9">
        <v>37846.5</v>
      </c>
      <c r="D232" s="9">
        <v>9.6934238053025812E-3</v>
      </c>
      <c r="E232" s="65"/>
      <c r="G232" s="53"/>
      <c r="H232" s="53"/>
      <c r="I232" s="53"/>
    </row>
    <row r="233" spans="3:9" x14ac:dyDescent="0.25">
      <c r="C233" s="9">
        <v>37847.5</v>
      </c>
      <c r="D233" s="9">
        <v>8.3546174745615653E-3</v>
      </c>
      <c r="E233" s="65"/>
      <c r="G233" s="53"/>
      <c r="H233" s="53"/>
      <c r="I233" s="53"/>
    </row>
    <row r="234" spans="3:9" x14ac:dyDescent="0.25">
      <c r="C234" s="9">
        <v>37848.5</v>
      </c>
      <c r="D234" s="9">
        <v>7.1993759954323E-3</v>
      </c>
      <c r="E234" s="65"/>
      <c r="G234" s="53"/>
      <c r="H234" s="53"/>
      <c r="I234" s="53"/>
    </row>
    <row r="235" spans="3:9" x14ac:dyDescent="0.25">
      <c r="C235" s="9">
        <v>37849.5</v>
      </c>
      <c r="D235" s="9">
        <v>6.2028772571940394E-3</v>
      </c>
      <c r="E235" s="65"/>
      <c r="G235" s="53"/>
      <c r="H235" s="53"/>
      <c r="I235" s="53"/>
    </row>
    <row r="236" spans="3:9" x14ac:dyDescent="0.25">
      <c r="C236" s="9">
        <v>37850.5</v>
      </c>
      <c r="D236" s="9">
        <v>5.3435661091475462E-3</v>
      </c>
      <c r="E236" s="65"/>
      <c r="G236" s="53"/>
      <c r="H236" s="53"/>
      <c r="I236" s="53"/>
    </row>
    <row r="237" spans="3:9" x14ac:dyDescent="0.25">
      <c r="C237" s="9">
        <v>37851.5</v>
      </c>
      <c r="D237" s="9">
        <v>4.6027476644416865E-3</v>
      </c>
      <c r="E237" s="65"/>
      <c r="G237" s="53"/>
      <c r="H237" s="53"/>
      <c r="I237" s="53"/>
    </row>
    <row r="238" spans="3:9" x14ac:dyDescent="0.25">
      <c r="C238" s="9">
        <v>37852.5</v>
      </c>
      <c r="D238" s="9">
        <v>3.9642250751049657E-3</v>
      </c>
      <c r="E238" s="65"/>
      <c r="G238" s="53"/>
      <c r="H238" s="53"/>
      <c r="I238" s="53"/>
    </row>
    <row r="239" spans="3:9" x14ac:dyDescent="0.25">
      <c r="C239" s="9">
        <v>37853.5</v>
      </c>
      <c r="D239" s="9">
        <v>3.4139786141772488E-3</v>
      </c>
      <c r="E239" s="65"/>
      <c r="G239" s="53"/>
      <c r="H239" s="53"/>
      <c r="I239" s="53"/>
    </row>
    <row r="240" spans="3:9" x14ac:dyDescent="0.25">
      <c r="C240" s="9">
        <v>37854.5</v>
      </c>
      <c r="D240" s="9">
        <v>2.9398826007416279E-3</v>
      </c>
      <c r="E240" s="65"/>
      <c r="G240" s="53"/>
      <c r="H240" s="53"/>
      <c r="I240" s="53"/>
    </row>
    <row r="241" spans="3:9" x14ac:dyDescent="0.25">
      <c r="C241" s="9">
        <v>37855.5</v>
      </c>
      <c r="D241" s="9">
        <v>2.5314566216378953E-3</v>
      </c>
      <c r="E241" s="65"/>
      <c r="G241" s="53"/>
      <c r="H241" s="53"/>
      <c r="I241" s="53"/>
    </row>
    <row r="242" spans="3:9" x14ac:dyDescent="0.25">
      <c r="C242" s="9">
        <v>37856.5</v>
      </c>
      <c r="D242" s="9">
        <v>2.1796475691444606E-3</v>
      </c>
      <c r="E242" s="65"/>
      <c r="G242" s="53"/>
      <c r="H242" s="53"/>
      <c r="I242" s="53"/>
    </row>
    <row r="243" spans="3:9" x14ac:dyDescent="0.25">
      <c r="C243" s="9">
        <v>37857.5</v>
      </c>
      <c r="D243" s="9">
        <v>1.8766391747334632E-3</v>
      </c>
      <c r="E243" s="65"/>
      <c r="G243" s="53"/>
      <c r="H243" s="53"/>
      <c r="I243" s="53"/>
    </row>
    <row r="244" spans="3:9" x14ac:dyDescent="0.25">
      <c r="C244" s="9">
        <v>37858.5</v>
      </c>
      <c r="D244" s="9">
        <v>1.6156859371333487E-3</v>
      </c>
      <c r="E244" s="65"/>
      <c r="G244" s="53"/>
      <c r="H244" s="53"/>
      <c r="I244" s="53"/>
    </row>
    <row r="245" spans="3:9" x14ac:dyDescent="0.25">
      <c r="C245" s="9">
        <v>37859.5</v>
      </c>
      <c r="D245" s="9">
        <v>1.3909685912373293E-3</v>
      </c>
      <c r="E245" s="65"/>
      <c r="G245" s="53"/>
      <c r="H245" s="53"/>
      <c r="I245" s="53"/>
    </row>
    <row r="246" spans="3:9" x14ac:dyDescent="0.25">
      <c r="C246" s="9">
        <v>37860.5</v>
      </c>
      <c r="D246" s="9">
        <v>1.1974685239601879E-3</v>
      </c>
      <c r="E246" s="65"/>
      <c r="G246" s="53"/>
      <c r="H246" s="53"/>
      <c r="I246" s="53"/>
    </row>
    <row r="247" spans="3:9" x14ac:dyDescent="0.25">
      <c r="C247" s="9">
        <v>37861.5</v>
      </c>
      <c r="D247" s="9">
        <v>1.0308588011587183E-3</v>
      </c>
      <c r="E247" s="65"/>
      <c r="G247" s="53"/>
      <c r="H247" s="53"/>
      <c r="I247" s="53"/>
    </row>
    <row r="248" spans="3:9" x14ac:dyDescent="0.25">
      <c r="C248" s="9">
        <v>37862.5</v>
      </c>
      <c r="D248" s="9">
        <v>8.8740971783596301E-4</v>
      </c>
      <c r="E248" s="65"/>
      <c r="G248" s="53"/>
      <c r="H248" s="53"/>
      <c r="I248" s="53"/>
    </row>
    <row r="249" spans="3:9" x14ac:dyDescent="0.25">
      <c r="C249" s="9">
        <v>37863.5</v>
      </c>
      <c r="D249" s="9">
        <v>7.6390701694539764E-4</v>
      </c>
      <c r="E249" s="65"/>
      <c r="G249" s="53"/>
      <c r="H249" s="53"/>
      <c r="I249" s="53"/>
    </row>
    <row r="250" spans="3:9" x14ac:dyDescent="0.25">
      <c r="C250" s="9">
        <v>37864.5</v>
      </c>
      <c r="D250" s="9">
        <v>6.5758113740532753E-4</v>
      </c>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zoomScaleNormal="100" workbookViewId="0">
      <selection activeCell="A9" sqref="A9:A14"/>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2016</v>
      </c>
      <c r="B2" s="6">
        <v>1.3</v>
      </c>
      <c r="C2" s="4" t="s">
        <v>6</v>
      </c>
      <c r="F2" s="3" t="s">
        <v>0</v>
      </c>
      <c r="G2" s="7" t="s">
        <v>7</v>
      </c>
      <c r="H2" s="7" t="s">
        <v>8</v>
      </c>
      <c r="I2" s="96" t="s">
        <v>27</v>
      </c>
      <c r="J2" s="98">
        <v>41459</v>
      </c>
      <c r="K2" s="99">
        <v>41459</v>
      </c>
      <c r="U2" s="4" t="s">
        <v>46</v>
      </c>
      <c r="X2" s="4" t="s">
        <v>46</v>
      </c>
    </row>
    <row r="3" spans="1:50" ht="21" thickBot="1" x14ac:dyDescent="0.4">
      <c r="A3" s="104">
        <v>37766.5</v>
      </c>
      <c r="C3" s="9"/>
      <c r="F3" s="73" t="s">
        <v>25</v>
      </c>
      <c r="G3" s="126">
        <v>1</v>
      </c>
      <c r="H3" s="11"/>
      <c r="I3">
        <f>G5-(1/G4)*LN((2*G3)-1)</f>
        <v>43.241754783392601</v>
      </c>
      <c r="J3" s="3" t="s">
        <v>9</v>
      </c>
      <c r="U3" s="4">
        <v>4613.2131333298694</v>
      </c>
      <c r="V3" s="4">
        <v>-34.345395259274611</v>
      </c>
      <c r="X3" s="4">
        <v>4613.2131333298694</v>
      </c>
      <c r="Y3" s="4">
        <v>-34.345395259274611</v>
      </c>
    </row>
    <row r="4" spans="1:50" ht="16.5" thickBot="1" x14ac:dyDescent="0.3">
      <c r="A4" s="12" t="s">
        <v>10</v>
      </c>
      <c r="C4" s="4" t="s">
        <v>11</v>
      </c>
      <c r="F4" s="13" t="s">
        <v>1</v>
      </c>
      <c r="G4" s="127">
        <v>0.2651089744819351</v>
      </c>
      <c r="H4" s="15">
        <v>3.6316551897352417E-2</v>
      </c>
      <c r="I4" s="2"/>
      <c r="J4" s="129">
        <f>SUM(H9:H66)</f>
        <v>11.907089814629471</v>
      </c>
      <c r="K4" s="16">
        <f>SUMSQ(G9:G14)</f>
        <v>5.7361645811456873E-3</v>
      </c>
      <c r="L4" s="16"/>
      <c r="M4" s="139"/>
      <c r="N4" s="4">
        <f>1-0.317</f>
        <v>0.68300000000000005</v>
      </c>
      <c r="U4" s="4">
        <v>-34.345395259274611</v>
      </c>
      <c r="V4" s="4">
        <v>11.895679277951421</v>
      </c>
      <c r="X4" s="4">
        <v>-34.345395259274611</v>
      </c>
      <c r="Y4" s="4">
        <v>11.895679277951421</v>
      </c>
    </row>
    <row r="5" spans="1:50" ht="16.5" thickBot="1" x14ac:dyDescent="0.3">
      <c r="C5" s="104">
        <v>37834.5</v>
      </c>
      <c r="F5" s="17" t="s">
        <v>2</v>
      </c>
      <c r="G5" s="128">
        <v>43.241754783392601</v>
      </c>
      <c r="H5" s="19">
        <v>0.71517404378567195</v>
      </c>
      <c r="I5" s="2"/>
      <c r="J5" s="20" t="s">
        <v>12</v>
      </c>
      <c r="K5" s="21"/>
      <c r="L5" s="21"/>
      <c r="N5" s="30"/>
    </row>
    <row r="6" spans="1:50" ht="16.5" thickBot="1" x14ac:dyDescent="0.3">
      <c r="C6" s="22"/>
      <c r="G6" s="23"/>
      <c r="H6" s="9"/>
      <c r="K6" s="24"/>
      <c r="L6" s="24"/>
      <c r="U6" s="4" t="s">
        <v>47</v>
      </c>
      <c r="W6" s="4" t="s">
        <v>8</v>
      </c>
      <c r="X6" s="4" t="s">
        <v>47</v>
      </c>
      <c r="Z6" s="4" t="s">
        <v>8</v>
      </c>
    </row>
    <row r="7" spans="1:50" ht="16.5" thickBot="1" x14ac:dyDescent="0.3">
      <c r="E7" s="25"/>
      <c r="F7" s="26"/>
      <c r="G7" s="27"/>
      <c r="H7" s="28"/>
      <c r="J7" s="29"/>
      <c r="M7" s="29"/>
      <c r="O7" s="3" t="s">
        <v>26</v>
      </c>
      <c r="U7" s="4">
        <f t="array" ref="U7:V8">2* 1.40872813882059^2*MINVERSE($U$3:$V$4)</f>
        <v>8.7926129447540033E-4</v>
      </c>
      <c r="V7" s="4">
        <v>2.5386172566800769E-3</v>
      </c>
      <c r="W7" s="4">
        <v>2.9652340455272673E-2</v>
      </c>
      <c r="X7" s="4">
        <f t="array" ref="X7:Y8">2* 1.72533256320553^2*MINVERSE($X$3:$Y$4)</f>
        <v>1.3188919417130916E-3</v>
      </c>
      <c r="Y7" s="4">
        <v>3.8079258850200895E-3</v>
      </c>
      <c r="Z7" s="4">
        <v>3.6316551897352417E-2</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c r="U8" s="29">
        <v>2.5386172566800769E-3</v>
      </c>
      <c r="V8" s="29">
        <v>0.34098260860316909</v>
      </c>
      <c r="W8" s="29">
        <v>0.5839371615192589</v>
      </c>
      <c r="X8" s="29">
        <v>3.8079258850200895E-3</v>
      </c>
      <c r="Y8" s="29">
        <v>0.51147391290475019</v>
      </c>
      <c r="Z8" s="29">
        <v>0.71517404378567195</v>
      </c>
    </row>
    <row r="9" spans="1:50" ht="16.5" thickBot="1" x14ac:dyDescent="0.3">
      <c r="A9" s="120">
        <v>8.0000000000000002E-3</v>
      </c>
      <c r="B9" s="124">
        <v>37788.5</v>
      </c>
      <c r="C9" s="121">
        <f t="shared" ref="C9:C14" si="0">1/(A9^2)</f>
        <v>15625</v>
      </c>
      <c r="D9" s="106">
        <f t="shared" ref="D9:D14" si="1">IF(B9&lt;&gt;0,B9-$A$3+1,"")</f>
        <v>23</v>
      </c>
      <c r="E9" s="81">
        <v>0</v>
      </c>
      <c r="F9" s="41">
        <f t="shared" ref="F9:F14" si="2">IF(B9&lt;&gt;0,$G$3/(1+EXP(-$G$4*(D9-$G$5))),"")</f>
        <v>4.6497980319720284E-3</v>
      </c>
      <c r="G9" s="42">
        <f t="shared" ref="G9:G14" si="3">IF(B9&lt;&gt;0,E9-F9,"")</f>
        <v>-4.6497980319720284E-3</v>
      </c>
      <c r="H9" s="43">
        <f t="shared" ref="H9:H14" si="4">IF(B9&lt;&gt;0,C9*(G9)^2,"")</f>
        <v>0.33782221465829609</v>
      </c>
      <c r="J9" s="105">
        <f>A3</f>
        <v>37766.5</v>
      </c>
      <c r="K9" s="109">
        <v>1</v>
      </c>
      <c r="L9" s="125">
        <f t="shared" ref="L9:L72" si="5">$G$3/(1+EXP(-$G$4*(K9-$G$5)))</f>
        <v>1.3692230767313023E-5</v>
      </c>
      <c r="M9" s="46">
        <f>IF(J10&gt;MAX($B$9:$B$64),L9,N9)</f>
        <v>3.1121623501212576E-7</v>
      </c>
      <c r="N9" s="130">
        <v>3.1121623501212576E-7</v>
      </c>
      <c r="O9" s="89">
        <f t="shared" ref="O9:O72" si="6">IF(N9=M9,N9,M9)</f>
        <v>3.1121623501212576E-7</v>
      </c>
    </row>
    <row r="10" spans="1:50" ht="16.5" thickBot="1" x14ac:dyDescent="0.3">
      <c r="A10" s="120">
        <v>2.4E-2</v>
      </c>
      <c r="B10" s="124">
        <v>37798.5</v>
      </c>
      <c r="C10" s="121">
        <f t="shared" si="0"/>
        <v>1736.1111111111111</v>
      </c>
      <c r="D10" s="106">
        <f t="shared" si="1"/>
        <v>33</v>
      </c>
      <c r="E10" s="81">
        <v>7.5999999999999998E-2</v>
      </c>
      <c r="F10" s="41">
        <f t="shared" si="2"/>
        <v>6.208347468090588E-2</v>
      </c>
      <c r="G10" s="42">
        <f t="shared" si="3"/>
        <v>1.3916525319094118E-2</v>
      </c>
      <c r="H10" s="43">
        <f t="shared" si="4"/>
        <v>0.33623207805032573</v>
      </c>
      <c r="I10" s="52"/>
      <c r="J10" s="105">
        <f t="shared" ref="J10:J73" si="7">J9+1</f>
        <v>37767.5</v>
      </c>
      <c r="K10" s="109">
        <v>2</v>
      </c>
      <c r="L10" s="125">
        <f t="shared" si="5"/>
        <v>1.7848748479884167E-5</v>
      </c>
      <c r="M10" s="46">
        <f t="shared" ref="M10:M73" si="8">IF(J11&gt;MAX($B$9:$B$64),L10,N10)</f>
        <v>4.4350593880565207E-7</v>
      </c>
      <c r="N10" s="130">
        <v>4.4350593880565207E-7</v>
      </c>
      <c r="O10" s="89">
        <f t="shared" si="6"/>
        <v>4.4350593880565207E-7</v>
      </c>
      <c r="Q10" s="4" t="s">
        <v>48</v>
      </c>
      <c r="X10" s="4" t="s">
        <v>48</v>
      </c>
    </row>
    <row r="11" spans="1:50" ht="16.5" thickBot="1" x14ac:dyDescent="0.3">
      <c r="A11" s="120">
        <v>3.6999999999999998E-2</v>
      </c>
      <c r="B11" s="124">
        <v>37804.5</v>
      </c>
      <c r="C11" s="121">
        <f t="shared" si="0"/>
        <v>730.46018991964945</v>
      </c>
      <c r="D11" s="106">
        <f t="shared" si="1"/>
        <v>39</v>
      </c>
      <c r="E11" s="81">
        <v>0.22</v>
      </c>
      <c r="F11" s="41">
        <f t="shared" si="2"/>
        <v>0.24517248913047268</v>
      </c>
      <c r="G11" s="42">
        <f t="shared" si="3"/>
        <v>-2.5172489130472681E-2</v>
      </c>
      <c r="H11" s="43">
        <f t="shared" si="4"/>
        <v>0.46285917386688485</v>
      </c>
      <c r="J11" s="105">
        <f t="shared" si="7"/>
        <v>37768.5</v>
      </c>
      <c r="K11" s="109">
        <v>3</v>
      </c>
      <c r="L11" s="125">
        <f t="shared" si="5"/>
        <v>2.3267020964710778E-5</v>
      </c>
      <c r="M11" s="46">
        <f t="shared" si="8"/>
        <v>6.3202842450478264E-7</v>
      </c>
      <c r="N11" s="130">
        <v>6.3202842450478264E-7</v>
      </c>
      <c r="O11" s="89">
        <f t="shared" si="6"/>
        <v>6.3202842450478264E-7</v>
      </c>
      <c r="Q11" s="4">
        <v>1</v>
      </c>
      <c r="R11" s="4">
        <v>-0.82806316245865486</v>
      </c>
      <c r="X11" s="4">
        <v>1.0000000000000002</v>
      </c>
      <c r="Y11" s="4">
        <v>0.14661288360548122</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3.2000000000000001E-2</v>
      </c>
      <c r="B12" s="124">
        <v>37812.5</v>
      </c>
      <c r="C12" s="121">
        <f t="shared" si="0"/>
        <v>976.5625</v>
      </c>
      <c r="D12" s="106">
        <f t="shared" si="1"/>
        <v>47</v>
      </c>
      <c r="E12" s="81">
        <v>0.745</v>
      </c>
      <c r="F12" s="41">
        <f t="shared" si="2"/>
        <v>0.73033926388266468</v>
      </c>
      <c r="G12" s="42">
        <f t="shared" si="3"/>
        <v>1.4660736117335316E-2</v>
      </c>
      <c r="H12" s="43">
        <f t="shared" si="4"/>
        <v>0.20989959326380878</v>
      </c>
      <c r="J12" s="105">
        <f t="shared" si="7"/>
        <v>37769.5</v>
      </c>
      <c r="K12" s="109">
        <v>4</v>
      </c>
      <c r="L12" s="125">
        <f t="shared" si="5"/>
        <v>3.0330046655473192E-5</v>
      </c>
      <c r="M12" s="46">
        <f t="shared" si="8"/>
        <v>9.0068669305005554E-7</v>
      </c>
      <c r="N12" s="130">
        <v>9.0068669305005554E-7</v>
      </c>
      <c r="O12" s="89">
        <f t="shared" si="6"/>
        <v>9.0068669305005554E-7</v>
      </c>
      <c r="P12" s="44">
        <v>40326</v>
      </c>
      <c r="Q12" s="1">
        <v>1.3958317686261709E-4</v>
      </c>
      <c r="R12" s="100">
        <v>543</v>
      </c>
      <c r="S12" s="100">
        <f>R12*AVERAGE(L12:L13)</f>
        <v>1.8968921251809656E-2</v>
      </c>
      <c r="T12" s="101">
        <f t="shared" ref="T12:T47" si="9">R12-S12</f>
        <v>542.98103107874817</v>
      </c>
      <c r="X12" s="4">
        <v>0.14661288360548122</v>
      </c>
      <c r="Y12" s="4">
        <v>0.99999999999999989</v>
      </c>
      <c r="AE12" s="93">
        <f>J12</f>
        <v>37769.5</v>
      </c>
      <c r="AF12" s="92">
        <f>Logistic2010!Q12</f>
        <v>1.3958317686261709E-4</v>
      </c>
      <c r="AG12" s="4">
        <f t="shared" ref="AG12:AG75" si="10">AI12</f>
        <v>1.3958317686261709E-4</v>
      </c>
      <c r="AH12" s="92">
        <f>Logistic2011!Q12</f>
        <v>1.3958317686261709E-4</v>
      </c>
      <c r="AI12" s="92">
        <f>Logistic2012!Q12</f>
        <v>1.3958317686261709E-4</v>
      </c>
      <c r="AJ12" s="92">
        <f>Logistic2013!L12</f>
        <v>2.9882028383729665E-4</v>
      </c>
      <c r="AK12" s="119">
        <f>Logistic2014!AK12</f>
        <v>4.1531400063546034E-4</v>
      </c>
      <c r="AL12" s="119">
        <f>L12</f>
        <v>3.0330046655473192E-5</v>
      </c>
      <c r="AM12" s="113"/>
      <c r="AN12" s="113"/>
      <c r="AO12" s="113"/>
      <c r="AP12" s="113"/>
      <c r="AQ12" s="113"/>
      <c r="AR12" s="113"/>
      <c r="AS12" s="113"/>
      <c r="AT12" s="114"/>
      <c r="AU12" s="114"/>
    </row>
    <row r="13" spans="1:50" ht="16.5" thickBot="1" x14ac:dyDescent="0.3">
      <c r="A13" s="145">
        <v>2.7E-2</v>
      </c>
      <c r="B13" s="124">
        <v>37816.5</v>
      </c>
      <c r="C13" s="121">
        <f t="shared" si="0"/>
        <v>1371.7421124828534</v>
      </c>
      <c r="D13" s="106">
        <f t="shared" si="1"/>
        <v>51</v>
      </c>
      <c r="E13" s="81">
        <v>0.89300000000000002</v>
      </c>
      <c r="F13" s="41">
        <f t="shared" si="2"/>
        <v>0.88663095293159155</v>
      </c>
      <c r="G13" s="42">
        <f t="shared" si="3"/>
        <v>6.3690470684084621E-3</v>
      </c>
      <c r="H13" s="43">
        <f t="shared" si="4"/>
        <v>5.5644390342390167E-2</v>
      </c>
      <c r="J13" s="105">
        <f t="shared" si="7"/>
        <v>37770.5</v>
      </c>
      <c r="K13" s="109">
        <v>5</v>
      </c>
      <c r="L13" s="125">
        <f t="shared" si="5"/>
        <v>3.9537066610860712E-5</v>
      </c>
      <c r="M13" s="46">
        <f t="shared" si="8"/>
        <v>1.2835442124779599E-6</v>
      </c>
      <c r="N13" s="130">
        <v>1.2835442124779599E-6</v>
      </c>
      <c r="O13" s="89">
        <f t="shared" si="6"/>
        <v>1.2835442124779599E-6</v>
      </c>
      <c r="P13" s="48">
        <v>40327</v>
      </c>
      <c r="Q13" s="1">
        <v>1.7045928901654236E-4</v>
      </c>
      <c r="R13" s="100">
        <v>2664</v>
      </c>
      <c r="S13" s="100">
        <f t="shared" ref="S13:S70" si="11">R13*AVERAGE(L13:L14)</f>
        <v>0.12131310081539745</v>
      </c>
      <c r="T13" s="101">
        <f t="shared" si="9"/>
        <v>2663.8786868991847</v>
      </c>
      <c r="AE13" s="93">
        <f t="shared" ref="AE13:AE76" si="12">J13</f>
        <v>37770.5</v>
      </c>
      <c r="AF13" s="92">
        <f>Logistic2010!Q13</f>
        <v>1.7045928901654236E-4</v>
      </c>
      <c r="AG13" s="4">
        <f t="shared" si="10"/>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13">L13</f>
        <v>3.9537066610860712E-5</v>
      </c>
      <c r="AM13" s="113">
        <v>2011</v>
      </c>
      <c r="AO13" s="113">
        <v>2010</v>
      </c>
      <c r="AP13" s="113">
        <v>2012</v>
      </c>
      <c r="AQ13" s="113"/>
      <c r="AR13" t="s">
        <v>28</v>
      </c>
      <c r="AS13"/>
      <c r="AT13"/>
      <c r="AU13"/>
      <c r="AV13"/>
      <c r="AW13"/>
      <c r="AX13"/>
    </row>
    <row r="14" spans="1:50" x14ac:dyDescent="0.25">
      <c r="A14" s="120">
        <v>2.1000000000000001E-2</v>
      </c>
      <c r="B14" s="124">
        <v>37826.5</v>
      </c>
      <c r="C14" s="121">
        <f t="shared" si="0"/>
        <v>2267.5736961451244</v>
      </c>
      <c r="D14" s="106">
        <f t="shared" si="1"/>
        <v>61</v>
      </c>
      <c r="E14" s="81">
        <v>0.92300000000000004</v>
      </c>
      <c r="F14" s="41">
        <f t="shared" si="2"/>
        <v>0.99105672728955652</v>
      </c>
      <c r="G14" s="42">
        <f t="shared" si="3"/>
        <v>-6.8056727289556473E-2</v>
      </c>
      <c r="H14" s="43">
        <f t="shared" si="4"/>
        <v>10.502762198106712</v>
      </c>
      <c r="J14" s="105">
        <f t="shared" si="7"/>
        <v>37771.5</v>
      </c>
      <c r="K14" s="109">
        <v>6</v>
      </c>
      <c r="L14" s="125">
        <f t="shared" si="5"/>
        <v>5.1538834902200428E-5</v>
      </c>
      <c r="M14" s="46">
        <f t="shared" si="8"/>
        <v>1.8291437965967419E-6</v>
      </c>
      <c r="N14" s="130">
        <v>1.8291437965967419E-6</v>
      </c>
      <c r="O14" s="89">
        <f t="shared" si="6"/>
        <v>1.8291437965967419E-6</v>
      </c>
      <c r="P14" s="48">
        <v>40328</v>
      </c>
      <c r="Q14" s="1">
        <v>0</v>
      </c>
      <c r="R14" s="100">
        <v>963</v>
      </c>
      <c r="S14" s="100">
        <f t="shared" si="11"/>
        <v>5.7164844575262955E-2</v>
      </c>
      <c r="T14" s="101">
        <f t="shared" si="9"/>
        <v>962.94283515542475</v>
      </c>
      <c r="AE14" s="93">
        <f t="shared" si="12"/>
        <v>37771.5</v>
      </c>
      <c r="AF14" s="92">
        <f>Logistic2010!Q14</f>
        <v>2.0816384458125417E-4</v>
      </c>
      <c r="AG14" s="4">
        <f t="shared" si="10"/>
        <v>0</v>
      </c>
      <c r="AH14" s="92">
        <f>Logistic2011!Q14</f>
        <v>2.0816384458125417E-4</v>
      </c>
      <c r="AI14" s="92">
        <f>Logistic2012!Q14</f>
        <v>0</v>
      </c>
      <c r="AJ14" s="92">
        <f>Logistic2013!L14</f>
        <v>4.436902928409236E-4</v>
      </c>
      <c r="AK14" s="119">
        <f>Logistic2014!AK14</f>
        <v>6.0857479252525697E-4</v>
      </c>
      <c r="AL14" s="119">
        <f t="shared" si="13"/>
        <v>5.1538834902200428E-5</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7"/>
        <v>37772.5</v>
      </c>
      <c r="K15" s="109">
        <v>7</v>
      </c>
      <c r="L15" s="125">
        <f t="shared" si="5"/>
        <v>6.7183583738013395E-5</v>
      </c>
      <c r="M15" s="46">
        <f t="shared" si="8"/>
        <v>2.6066622560821447E-6</v>
      </c>
      <c r="N15" s="130">
        <v>2.6066622560821447E-6</v>
      </c>
      <c r="O15" s="89">
        <f t="shared" si="6"/>
        <v>2.6066622560821447E-6</v>
      </c>
      <c r="P15" s="48">
        <v>40329</v>
      </c>
      <c r="Q15" s="1">
        <v>6.2104077545281245E-5</v>
      </c>
      <c r="R15" s="100">
        <v>1106</v>
      </c>
      <c r="S15" s="100">
        <f t="shared" si="11"/>
        <v>8.5582559280522469E-2</v>
      </c>
      <c r="T15" s="101">
        <f t="shared" si="9"/>
        <v>1105.9144174407195</v>
      </c>
      <c r="AE15" s="93">
        <f t="shared" si="12"/>
        <v>37772.5</v>
      </c>
      <c r="AF15" s="92">
        <f>Logistic2010!Q15</f>
        <v>2.542062975332477E-4</v>
      </c>
      <c r="AG15" s="4">
        <f t="shared" si="10"/>
        <v>6.2104077545281245E-5</v>
      </c>
      <c r="AH15" s="92">
        <f>Logistic2011!Q15</f>
        <v>3.5888786587624556E-5</v>
      </c>
      <c r="AI15" s="92">
        <f>Logistic2012!Q15</f>
        <v>6.2104077545281245E-5</v>
      </c>
      <c r="AJ15" s="92">
        <f>Logistic2013!L15</f>
        <v>5.4063505283763783E-4</v>
      </c>
      <c r="AK15" s="119">
        <f>Logistic2014!AK15</f>
        <v>7.3666320070702633E-4</v>
      </c>
      <c r="AL15" s="119">
        <f t="shared" si="13"/>
        <v>6.7183583738013395E-5</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I16" s="146"/>
      <c r="J16" s="105">
        <f t="shared" si="7"/>
        <v>37773.5</v>
      </c>
      <c r="K16" s="109">
        <v>8</v>
      </c>
      <c r="L16" s="125">
        <f t="shared" si="5"/>
        <v>8.7576921290056169E-5</v>
      </c>
      <c r="M16" s="46">
        <f t="shared" si="8"/>
        <v>3.7146810897353246E-6</v>
      </c>
      <c r="N16" s="130">
        <v>3.7146810897353246E-6</v>
      </c>
      <c r="O16" s="89">
        <f t="shared" si="6"/>
        <v>3.7146810897353246E-6</v>
      </c>
      <c r="P16" s="48">
        <v>40330</v>
      </c>
      <c r="Q16" s="1">
        <v>8.271689671114933E-5</v>
      </c>
      <c r="R16" s="100">
        <v>3668</v>
      </c>
      <c r="S16" s="100">
        <f t="shared" si="11"/>
        <v>0.36998528822109955</v>
      </c>
      <c r="T16" s="101">
        <f t="shared" si="9"/>
        <v>3667.630014711779</v>
      </c>
      <c r="AE16" s="93">
        <f t="shared" si="12"/>
        <v>37773.5</v>
      </c>
      <c r="AF16" s="92">
        <f>Logistic2010!Q16</f>
        <v>3.1042942936064727E-4</v>
      </c>
      <c r="AG16" s="4">
        <f t="shared" si="10"/>
        <v>8.271689671114933E-5</v>
      </c>
      <c r="AH16" s="92">
        <f>Logistic2011!Q16</f>
        <v>4.6160789501698919E-5</v>
      </c>
      <c r="AI16" s="92">
        <f>Logistic2012!Q16</f>
        <v>8.271689671114933E-5</v>
      </c>
      <c r="AJ16" s="92">
        <f>Logistic2013!L16</f>
        <v>6.5874794022489089E-4</v>
      </c>
      <c r="AK16" s="119">
        <f>Logistic2014!AK16</f>
        <v>8.9168667425910237E-4</v>
      </c>
      <c r="AL16" s="119">
        <f t="shared" si="13"/>
        <v>8.7576921290056169E-5</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14">IF(B17&lt;&gt;0,B17-$A$3+1,"")</f>
        <v/>
      </c>
      <c r="E17" s="81"/>
      <c r="F17" s="50" t="str">
        <f t="shared" ref="F17:F65" si="15">IF(B17&lt;&gt;0,$G$3/(1+EXP(-$G$4*(D17-$G$5))),"")</f>
        <v/>
      </c>
      <c r="G17" s="16" t="str">
        <f t="shared" ref="G17:G65" si="16">IF(B17&lt;&gt;0,E17-F17,"")</f>
        <v/>
      </c>
      <c r="H17" s="51" t="str">
        <f t="shared" ref="H17:H65" si="17">IF(B17&lt;&gt;0,C17*(G17)^2,"")</f>
        <v/>
      </c>
      <c r="J17" s="105">
        <f t="shared" si="7"/>
        <v>37774.5</v>
      </c>
      <c r="K17" s="109">
        <v>9</v>
      </c>
      <c r="L17" s="125">
        <f t="shared" si="5"/>
        <v>1.1415987708567967E-4</v>
      </c>
      <c r="M17" s="46">
        <f t="shared" si="8"/>
        <v>5.2936850821911276E-6</v>
      </c>
      <c r="N17" s="130">
        <v>5.2936850821911276E-6</v>
      </c>
      <c r="O17" s="89">
        <f t="shared" si="6"/>
        <v>5.2936850821911276E-6</v>
      </c>
      <c r="P17" s="48">
        <v>40331</v>
      </c>
      <c r="Q17" s="1">
        <v>1.1017051470513796E-4</v>
      </c>
      <c r="R17" s="100">
        <v>2939</v>
      </c>
      <c r="S17" s="100">
        <f t="shared" si="11"/>
        <v>0.38643508530640686</v>
      </c>
      <c r="T17" s="101">
        <f t="shared" si="9"/>
        <v>2938.6135649146936</v>
      </c>
      <c r="AE17" s="93">
        <f t="shared" si="12"/>
        <v>37774.5</v>
      </c>
      <c r="AF17" s="92">
        <f>Logistic2010!Q17</f>
        <v>3.7908278806435145E-4</v>
      </c>
      <c r="AG17" s="4">
        <f t="shared" si="10"/>
        <v>1.1017051470513796E-4</v>
      </c>
      <c r="AH17" s="92">
        <f>Logistic2011!Q17</f>
        <v>5.9372646030949961E-5</v>
      </c>
      <c r="AI17" s="92">
        <f>Logistic2012!Q17</f>
        <v>1.1017051470513796E-4</v>
      </c>
      <c r="AJ17" s="92">
        <f>Logistic2013!L17</f>
        <v>8.0264430321866907E-4</v>
      </c>
      <c r="AK17" s="119">
        <f>Logistic2014!AK17</f>
        <v>1.0792980661665267E-3</v>
      </c>
      <c r="AL17" s="119">
        <f t="shared" si="13"/>
        <v>1.1415987708567967E-4</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14"/>
        <v/>
      </c>
      <c r="E18" s="81"/>
      <c r="F18" s="50" t="str">
        <f t="shared" si="15"/>
        <v/>
      </c>
      <c r="G18" s="16" t="str">
        <f t="shared" si="16"/>
        <v/>
      </c>
      <c r="H18" s="51" t="str">
        <f t="shared" si="17"/>
        <v/>
      </c>
      <c r="J18" s="105">
        <f t="shared" si="7"/>
        <v>37775.5</v>
      </c>
      <c r="K18" s="109">
        <v>10</v>
      </c>
      <c r="L18" s="125">
        <f t="shared" si="5"/>
        <v>1.4881057906022496E-4</v>
      </c>
      <c r="M18" s="46">
        <f t="shared" si="8"/>
        <v>7.543873151853996E-6</v>
      </c>
      <c r="N18" s="130">
        <v>7.543873151853996E-6</v>
      </c>
      <c r="O18" s="89">
        <f t="shared" si="6"/>
        <v>7.543873151853996E-6</v>
      </c>
      <c r="P18" s="48">
        <v>40332</v>
      </c>
      <c r="Q18" s="1">
        <v>1.4673461154601208E-4</v>
      </c>
      <c r="R18" s="100">
        <v>2148</v>
      </c>
      <c r="S18" s="100">
        <f t="shared" si="11"/>
        <v>0.36815353095530451</v>
      </c>
      <c r="T18" s="101">
        <f t="shared" si="9"/>
        <v>2147.6318464690448</v>
      </c>
      <c r="W18" s="4" t="s">
        <v>48</v>
      </c>
      <c r="AE18" s="93">
        <f t="shared" si="12"/>
        <v>37775.5</v>
      </c>
      <c r="AF18" s="92">
        <f>Logistic2010!Q18</f>
        <v>4.6291222449000769E-4</v>
      </c>
      <c r="AG18" s="4">
        <f t="shared" si="10"/>
        <v>1.4673461154601208E-4</v>
      </c>
      <c r="AH18" s="92">
        <f>Logistic2011!Q18</f>
        <v>7.6365629883993208E-5</v>
      </c>
      <c r="AI18" s="92">
        <f>Logistic2012!Q18</f>
        <v>1.4673461154601208E-4</v>
      </c>
      <c r="AJ18" s="92">
        <f>Logistic2013!L18</f>
        <v>9.7794251088522961E-4</v>
      </c>
      <c r="AK18" s="119">
        <f>Logistic2014!AK18</f>
        <v>1.3063313918701522E-3</v>
      </c>
      <c r="AL18" s="119">
        <f t="shared" si="13"/>
        <v>1.4881057906022496E-4</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14"/>
        <v/>
      </c>
      <c r="E19" s="81"/>
      <c r="F19" s="50" t="str">
        <f t="shared" si="15"/>
        <v/>
      </c>
      <c r="G19" s="16" t="str">
        <f t="shared" si="16"/>
        <v/>
      </c>
      <c r="H19" s="51" t="str">
        <f t="shared" si="17"/>
        <v/>
      </c>
      <c r="J19" s="105">
        <f t="shared" si="7"/>
        <v>37776.5</v>
      </c>
      <c r="K19" s="109">
        <v>11</v>
      </c>
      <c r="L19" s="125">
        <f t="shared" si="5"/>
        <v>1.939766937100772E-4</v>
      </c>
      <c r="M19" s="46">
        <f t="shared" si="8"/>
        <v>1.0750538956072072E-5</v>
      </c>
      <c r="N19" s="130">
        <v>1.0750538956072072E-5</v>
      </c>
      <c r="O19" s="89">
        <f t="shared" si="6"/>
        <v>1.0750538956072072E-5</v>
      </c>
      <c r="P19" s="48">
        <v>40333</v>
      </c>
      <c r="Q19" s="1">
        <v>1.9543146345089269E-4</v>
      </c>
      <c r="R19" s="100">
        <v>5309</v>
      </c>
      <c r="S19" s="100">
        <f t="shared" si="11"/>
        <v>1.186095873454647</v>
      </c>
      <c r="T19" s="101">
        <f t="shared" si="9"/>
        <v>5307.8139041265449</v>
      </c>
      <c r="W19" s="4">
        <v>1</v>
      </c>
      <c r="X19" s="4">
        <v>0.23502364558685596</v>
      </c>
      <c r="AE19" s="93">
        <f t="shared" si="12"/>
        <v>37776.5</v>
      </c>
      <c r="AF19" s="92">
        <f>Logistic2010!Q19</f>
        <v>5.6526901369757224E-4</v>
      </c>
      <c r="AG19" s="4">
        <f t="shared" si="10"/>
        <v>1.9543146345089269E-4</v>
      </c>
      <c r="AH19" s="92">
        <f>Logistic2011!Q19</f>
        <v>9.8221680405067934E-5</v>
      </c>
      <c r="AI19" s="92">
        <f>Logistic2012!Q19</f>
        <v>1.9543146345089269E-4</v>
      </c>
      <c r="AJ19" s="92">
        <f>Logistic2013!L19</f>
        <v>1.19148034540422E-3</v>
      </c>
      <c r="AK19" s="119">
        <f>Logistic2014!AK19</f>
        <v>1.5810462162153941E-3</v>
      </c>
      <c r="AL19" s="119">
        <f t="shared" si="13"/>
        <v>1.939766937100772E-4</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14"/>
        <v/>
      </c>
      <c r="E20" s="81"/>
      <c r="F20" s="50" t="str">
        <f t="shared" si="15"/>
        <v/>
      </c>
      <c r="G20" s="16" t="str">
        <f t="shared" si="16"/>
        <v/>
      </c>
      <c r="H20" s="51" t="str">
        <f t="shared" si="17"/>
        <v/>
      </c>
      <c r="J20" s="105">
        <f t="shared" si="7"/>
        <v>37777.5</v>
      </c>
      <c r="K20" s="109">
        <v>12</v>
      </c>
      <c r="L20" s="125">
        <f t="shared" si="5"/>
        <v>2.5284789602608666E-4</v>
      </c>
      <c r="M20" s="46">
        <f t="shared" si="8"/>
        <v>1.5320237759159121E-5</v>
      </c>
      <c r="N20" s="130">
        <v>1.5320237759159121E-5</v>
      </c>
      <c r="O20" s="89">
        <f t="shared" si="6"/>
        <v>1.5320237759159121E-5</v>
      </c>
      <c r="P20" s="48">
        <v>40334</v>
      </c>
      <c r="Q20" s="1">
        <v>2.6028514457293443E-4</v>
      </c>
      <c r="R20" s="100">
        <v>3853</v>
      </c>
      <c r="S20" s="100">
        <f t="shared" si="11"/>
        <v>1.1220481096497439</v>
      </c>
      <c r="T20" s="101">
        <f t="shared" si="9"/>
        <v>3851.8779518903502</v>
      </c>
      <c r="U20" s="40">
        <v>40712</v>
      </c>
      <c r="V20" s="92">
        <v>3.5999999999999997E-2</v>
      </c>
      <c r="W20" s="92">
        <v>0.2350236455868559</v>
      </c>
      <c r="X20" s="92">
        <v>1</v>
      </c>
      <c r="Y20" s="92"/>
      <c r="Z20" s="92"/>
      <c r="AE20" s="93">
        <f t="shared" si="12"/>
        <v>37777.5</v>
      </c>
      <c r="AF20" s="92">
        <f>Logistic2010!Q20</f>
        <v>6.9024278465830858E-4</v>
      </c>
      <c r="AG20" s="4">
        <f t="shared" si="10"/>
        <v>2.6028514457293443E-4</v>
      </c>
      <c r="AH20" s="92">
        <f>Logistic2011!Q20</f>
        <v>1.2633220159905076E-4</v>
      </c>
      <c r="AI20" s="92">
        <f>Logistic2012!Q20</f>
        <v>2.6028514457293443E-4</v>
      </c>
      <c r="AJ20" s="92">
        <f>Logistic2013!L20</f>
        <v>1.4515773097888444E-3</v>
      </c>
      <c r="AK20" s="119">
        <f>Logistic2014!AK20</f>
        <v>1.9134214809037675E-3</v>
      </c>
      <c r="AL20" s="119">
        <f t="shared" si="13"/>
        <v>2.5284789602608666E-4</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14"/>
        <v/>
      </c>
      <c r="E21" s="81"/>
      <c r="F21" s="50" t="str">
        <f t="shared" si="15"/>
        <v/>
      </c>
      <c r="G21" s="16" t="str">
        <f t="shared" si="16"/>
        <v/>
      </c>
      <c r="H21" s="51" t="str">
        <f t="shared" si="17"/>
        <v/>
      </c>
      <c r="I21" s="9">
        <f>1-0.15</f>
        <v>0.85</v>
      </c>
      <c r="J21" s="105">
        <f t="shared" si="7"/>
        <v>37778.5</v>
      </c>
      <c r="K21" s="109">
        <v>13</v>
      </c>
      <c r="L21" s="125">
        <f t="shared" si="5"/>
        <v>3.2958039862729708E-4</v>
      </c>
      <c r="M21" s="46">
        <f>IF(J22&gt;MAX($B$9:$B$64),L21,N21)</f>
        <v>2.1832322085948411E-5</v>
      </c>
      <c r="N21" s="130">
        <v>2.1832322085948411E-5</v>
      </c>
      <c r="O21" s="89">
        <f t="shared" si="6"/>
        <v>2.1832322085948411E-5</v>
      </c>
      <c r="P21" s="48">
        <v>40335</v>
      </c>
      <c r="Q21" s="1">
        <v>3.4665297481631412E-4</v>
      </c>
      <c r="R21" s="100">
        <v>10476</v>
      </c>
      <c r="S21" s="100">
        <f t="shared" si="11"/>
        <v>3.9765300215156505</v>
      </c>
      <c r="T21" s="101">
        <f t="shared" si="9"/>
        <v>10472.023469978485</v>
      </c>
      <c r="U21" s="49">
        <v>40713</v>
      </c>
      <c r="V21" s="92"/>
      <c r="W21" s="92"/>
      <c r="X21" s="92"/>
      <c r="Y21" s="92"/>
      <c r="Z21" s="92"/>
      <c r="AE21" s="93">
        <f t="shared" si="12"/>
        <v>37778.5</v>
      </c>
      <c r="AF21" s="92">
        <f>Logistic2010!Q21</f>
        <v>8.428233623178356E-4</v>
      </c>
      <c r="AG21" s="4">
        <f t="shared" si="10"/>
        <v>3.4665297481631412E-4</v>
      </c>
      <c r="AH21" s="92">
        <f>Logistic2011!Q21</f>
        <v>1.624864967222617E-4</v>
      </c>
      <c r="AI21" s="92">
        <f>Logistic2012!Q21</f>
        <v>3.4665297481631412E-4</v>
      </c>
      <c r="AJ21" s="92">
        <f>Logistic2013!L21</f>
        <v>1.7683522199292421E-3</v>
      </c>
      <c r="AK21" s="119">
        <f>Logistic2014!AK21</f>
        <v>2.3155082495920514E-3</v>
      </c>
      <c r="AL21" s="119">
        <f t="shared" si="13"/>
        <v>3.2958039862729708E-4</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14"/>
        <v/>
      </c>
      <c r="E22" s="81"/>
      <c r="F22" s="50" t="str">
        <f t="shared" si="15"/>
        <v/>
      </c>
      <c r="G22" s="16" t="str">
        <f t="shared" si="16"/>
        <v/>
      </c>
      <c r="H22" s="51" t="str">
        <f t="shared" si="17"/>
        <v/>
      </c>
      <c r="I22" s="53"/>
      <c r="J22" s="105">
        <f t="shared" si="7"/>
        <v>37779.5</v>
      </c>
      <c r="K22" s="109">
        <v>14</v>
      </c>
      <c r="L22" s="125">
        <f t="shared" si="5"/>
        <v>4.2958913583540827E-4</v>
      </c>
      <c r="M22" s="46">
        <f t="shared" si="8"/>
        <v>3.1112374086324488E-5</v>
      </c>
      <c r="N22" s="130">
        <v>3.1112374086324488E-5</v>
      </c>
      <c r="O22" s="89">
        <f t="shared" si="6"/>
        <v>3.1112374086324488E-5</v>
      </c>
      <c r="P22" s="48">
        <v>40336</v>
      </c>
      <c r="Q22" s="1">
        <v>4.6166614885428784E-4</v>
      </c>
      <c r="R22" s="100">
        <v>15768</v>
      </c>
      <c r="S22" s="100">
        <f t="shared" si="11"/>
        <v>7.8013514264076074</v>
      </c>
      <c r="T22" s="101">
        <f t="shared" si="9"/>
        <v>15760.198648573592</v>
      </c>
      <c r="U22" s="49">
        <v>40714</v>
      </c>
      <c r="V22" s="92"/>
      <c r="W22" s="92"/>
      <c r="X22" s="92"/>
      <c r="Y22" s="92"/>
      <c r="Z22" s="92"/>
      <c r="AE22" s="93">
        <f t="shared" si="12"/>
        <v>37779.5</v>
      </c>
      <c r="AF22" s="92">
        <f>Logistic2010!Q22</f>
        <v>1.0290976755680944E-3</v>
      </c>
      <c r="AG22" s="4">
        <f t="shared" si="10"/>
        <v>4.6166614885428784E-4</v>
      </c>
      <c r="AH22" s="92">
        <f>Logistic2011!Q22</f>
        <v>2.0898542158394941E-4</v>
      </c>
      <c r="AI22" s="92">
        <f>Logistic2012!Q22</f>
        <v>4.6166614885428784E-4</v>
      </c>
      <c r="AJ22" s="92">
        <f>Logistic2013!L22</f>
        <v>2.1541071781976768E-3</v>
      </c>
      <c r="AK22" s="119">
        <f>Logistic2014!AK22</f>
        <v>2.801852416196298E-3</v>
      </c>
      <c r="AL22" s="119">
        <f t="shared" si="13"/>
        <v>4.2958913583540827E-4</v>
      </c>
      <c r="AM22" s="110">
        <v>0.69199999999999995</v>
      </c>
      <c r="AO22" s="110">
        <v>0.70699999999999996</v>
      </c>
      <c r="AP22" s="113">
        <v>0.997</v>
      </c>
      <c r="AQ22" s="110"/>
      <c r="AR22" t="s">
        <v>35</v>
      </c>
      <c r="AS22"/>
      <c r="AT22"/>
      <c r="AU22"/>
      <c r="AV22"/>
      <c r="AW22"/>
      <c r="AX22"/>
    </row>
    <row r="23" spans="1:50" x14ac:dyDescent="0.25">
      <c r="A23" s="39"/>
      <c r="B23" s="49"/>
      <c r="C23" s="79"/>
      <c r="D23" s="86" t="str">
        <f t="shared" si="14"/>
        <v/>
      </c>
      <c r="E23" s="81"/>
      <c r="F23" s="50" t="str">
        <f t="shared" si="15"/>
        <v/>
      </c>
      <c r="G23" s="16" t="str">
        <f t="shared" si="16"/>
        <v/>
      </c>
      <c r="H23" s="51" t="str">
        <f t="shared" si="17"/>
        <v/>
      </c>
      <c r="I23" s="53"/>
      <c r="J23" s="105">
        <f t="shared" si="7"/>
        <v>37780.5</v>
      </c>
      <c r="K23" s="109">
        <v>15</v>
      </c>
      <c r="L23" s="125">
        <f t="shared" si="5"/>
        <v>5.5992778785911323E-4</v>
      </c>
      <c r="M23" s="46">
        <f t="shared" si="8"/>
        <v>4.4336832295415093E-5</v>
      </c>
      <c r="N23" s="130">
        <v>4.4336832295415093E-5</v>
      </c>
      <c r="O23" s="89">
        <f t="shared" si="6"/>
        <v>4.4336832295415093E-5</v>
      </c>
      <c r="P23" s="48">
        <v>40337</v>
      </c>
      <c r="Q23" s="1">
        <v>6.1481514040778599E-4</v>
      </c>
      <c r="R23" s="100">
        <v>13548</v>
      </c>
      <c r="S23" s="100">
        <f t="shared" si="11"/>
        <v>8.7364989264296877</v>
      </c>
      <c r="T23" s="101">
        <f t="shared" si="9"/>
        <v>13539.26350107357</v>
      </c>
      <c r="U23" s="49">
        <v>40715</v>
      </c>
      <c r="V23" s="92"/>
      <c r="W23" s="92"/>
      <c r="X23" s="92"/>
      <c r="Y23" s="92"/>
      <c r="Z23" s="92"/>
      <c r="AE23" s="93">
        <f t="shared" si="12"/>
        <v>37780.5</v>
      </c>
      <c r="AF23" s="92">
        <f>Logistic2010!Q23</f>
        <v>1.2564891276397731E-3</v>
      </c>
      <c r="AG23" s="4">
        <f t="shared" si="10"/>
        <v>6.1481514040778599E-4</v>
      </c>
      <c r="AH23" s="92">
        <f>Logistic2011!Q23</f>
        <v>2.6878741349269233E-4</v>
      </c>
      <c r="AI23" s="92">
        <f>Logistic2012!Q23</f>
        <v>6.1481514040778599E-4</v>
      </c>
      <c r="AJ23" s="92">
        <f>Logistic2013!L23</f>
        <v>2.6237909806921655E-3</v>
      </c>
      <c r="AK23" s="119">
        <f>Logistic2014!AK23</f>
        <v>3.3900001278880923E-3</v>
      </c>
      <c r="AL23" s="119">
        <f t="shared" si="13"/>
        <v>5.5992778785911323E-4</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14"/>
        <v/>
      </c>
      <c r="E24" s="81"/>
      <c r="F24" s="50" t="str">
        <f t="shared" si="15"/>
        <v/>
      </c>
      <c r="G24" s="16" t="str">
        <f t="shared" si="16"/>
        <v/>
      </c>
      <c r="H24" s="51" t="str">
        <f t="shared" si="17"/>
        <v/>
      </c>
      <c r="I24" s="53"/>
      <c r="J24" s="105">
        <f t="shared" si="7"/>
        <v>37781.5</v>
      </c>
      <c r="K24" s="109">
        <v>16</v>
      </c>
      <c r="L24" s="125">
        <f t="shared" si="5"/>
        <v>7.2978271205669562E-4</v>
      </c>
      <c r="M24" s="46">
        <f t="shared" si="8"/>
        <v>6.3182052340935858E-5</v>
      </c>
      <c r="N24" s="130">
        <v>6.3182052340935858E-5</v>
      </c>
      <c r="O24" s="89">
        <f t="shared" si="6"/>
        <v>6.3182052340935858E-5</v>
      </c>
      <c r="P24" s="48">
        <v>40338</v>
      </c>
      <c r="Q24" s="1">
        <v>8.1872679212602632E-4</v>
      </c>
      <c r="R24" s="100">
        <v>8722</v>
      </c>
      <c r="S24" s="100">
        <f t="shared" si="11"/>
        <v>7.330392065330237</v>
      </c>
      <c r="T24" s="101">
        <f t="shared" si="9"/>
        <v>8714.6696079346693</v>
      </c>
      <c r="U24" s="49">
        <v>40716</v>
      </c>
      <c r="V24" s="92"/>
      <c r="W24" s="92"/>
      <c r="X24" s="92"/>
      <c r="Y24" s="92"/>
      <c r="Z24" s="92"/>
      <c r="AE24" s="93">
        <f t="shared" si="12"/>
        <v>37781.5</v>
      </c>
      <c r="AF24" s="92">
        <f>Logistic2010!Q24</f>
        <v>1.5340482859932569E-3</v>
      </c>
      <c r="AG24" s="4">
        <f t="shared" si="10"/>
        <v>8.1872679212602632E-4</v>
      </c>
      <c r="AH24" s="92">
        <f>Logistic2011!Q24</f>
        <v>3.4569606119318159E-4</v>
      </c>
      <c r="AI24" s="92">
        <f>Logistic2012!Q24</f>
        <v>8.1872679212602632E-4</v>
      </c>
      <c r="AJ24" s="92">
        <f>Logistic2013!L24</f>
        <v>3.1955571705628975E-3</v>
      </c>
      <c r="AK24" s="119">
        <f>Logistic2014!AK24</f>
        <v>4.101100461714453E-3</v>
      </c>
      <c r="AL24" s="119">
        <f t="shared" si="13"/>
        <v>7.2978271205669562E-4</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14"/>
        <v/>
      </c>
      <c r="E25" s="81"/>
      <c r="F25" s="50" t="str">
        <f t="shared" si="15"/>
        <v/>
      </c>
      <c r="G25" s="16" t="str">
        <f t="shared" si="16"/>
        <v/>
      </c>
      <c r="H25" s="51" t="str">
        <f t="shared" si="17"/>
        <v/>
      </c>
      <c r="I25" s="54"/>
      <c r="J25" s="105">
        <f t="shared" si="7"/>
        <v>37782.5</v>
      </c>
      <c r="K25" s="109">
        <v>17</v>
      </c>
      <c r="L25" s="125">
        <f t="shared" si="5"/>
        <v>9.5111434488672039E-4</v>
      </c>
      <c r="M25" s="46">
        <f t="shared" si="8"/>
        <v>9.003664795384782E-5</v>
      </c>
      <c r="N25" s="130">
        <v>9.003664795384782E-5</v>
      </c>
      <c r="O25" s="89">
        <f t="shared" si="6"/>
        <v>9.003664795384782E-5</v>
      </c>
      <c r="P25" s="48">
        <v>40339</v>
      </c>
      <c r="Q25" s="1">
        <v>1.0901946909765959E-3</v>
      </c>
      <c r="R25" s="100">
        <v>10831</v>
      </c>
      <c r="S25" s="100">
        <f t="shared" si="11"/>
        <v>11.863213074745776</v>
      </c>
      <c r="T25" s="101">
        <f t="shared" si="9"/>
        <v>10819.136786925254</v>
      </c>
      <c r="U25" s="49">
        <v>40717</v>
      </c>
      <c r="V25" s="92"/>
      <c r="W25" s="92"/>
      <c r="X25" s="92"/>
      <c r="Y25" s="92"/>
      <c r="Z25" s="92"/>
      <c r="AE25" s="93">
        <f t="shared" si="12"/>
        <v>37782.5</v>
      </c>
      <c r="AF25" s="92">
        <f>Logistic2010!Q25</f>
        <v>1.8728054475450151E-3</v>
      </c>
      <c r="AG25" s="4">
        <f t="shared" si="10"/>
        <v>1.0901946909765959E-3</v>
      </c>
      <c r="AH25" s="92">
        <f>Logistic2011!Q25</f>
        <v>4.4460093825327419E-4</v>
      </c>
      <c r="AI25" s="92">
        <f>Logistic2012!Q25</f>
        <v>1.0901946909765959E-3</v>
      </c>
      <c r="AJ25" s="92">
        <f>Logistic2013!L25</f>
        <v>3.8914342584479623E-3</v>
      </c>
      <c r="AK25" s="119">
        <f>Logistic2014!AK25</f>
        <v>4.960621659003208E-3</v>
      </c>
      <c r="AL25" s="119">
        <f t="shared" si="13"/>
        <v>9.5111434488672039E-4</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14"/>
        <v/>
      </c>
      <c r="E26" s="81"/>
      <c r="F26" s="50" t="str">
        <f t="shared" si="15"/>
        <v/>
      </c>
      <c r="G26" s="16" t="str">
        <f t="shared" si="16"/>
        <v/>
      </c>
      <c r="H26" s="51" t="str">
        <f t="shared" si="17"/>
        <v/>
      </c>
      <c r="I26" s="54"/>
      <c r="J26" s="105">
        <f t="shared" si="7"/>
        <v>37783.5</v>
      </c>
      <c r="K26" s="109">
        <v>18</v>
      </c>
      <c r="L26" s="125">
        <f t="shared" si="5"/>
        <v>1.2394891219668987E-3</v>
      </c>
      <c r="M26" s="46">
        <f t="shared" si="8"/>
        <v>1.2830392713932698E-4</v>
      </c>
      <c r="N26" s="130">
        <v>1.2830392713932698E-4</v>
      </c>
      <c r="O26" s="89">
        <f t="shared" si="6"/>
        <v>1.2830392713932698E-4</v>
      </c>
      <c r="P26" s="48">
        <v>40340</v>
      </c>
      <c r="Q26" s="1">
        <v>1.4515433191966043E-3</v>
      </c>
      <c r="R26" s="100">
        <v>10194</v>
      </c>
      <c r="S26" s="100">
        <f t="shared" si="11"/>
        <v>14.550130464791645</v>
      </c>
      <c r="T26" s="101">
        <f t="shared" si="9"/>
        <v>10179.449869535209</v>
      </c>
      <c r="U26" s="49">
        <v>40718</v>
      </c>
      <c r="V26" s="92"/>
      <c r="W26" s="92"/>
      <c r="X26" s="92"/>
      <c r="Y26" s="92"/>
      <c r="Z26" s="92"/>
      <c r="AE26" s="93">
        <f t="shared" si="12"/>
        <v>37783.5</v>
      </c>
      <c r="AF26" s="92">
        <f>Logistic2010!Q26</f>
        <v>2.2861975841660187E-3</v>
      </c>
      <c r="AG26" s="4">
        <f t="shared" si="10"/>
        <v>1.4515433191966043E-3</v>
      </c>
      <c r="AH26" s="92">
        <f>Logistic2011!Q26</f>
        <v>5.7178666821399956E-4</v>
      </c>
      <c r="AI26" s="92">
        <f>Logistic2012!Q26</f>
        <v>1.4515433191966043E-3</v>
      </c>
      <c r="AJ26" s="92">
        <f>Logistic2013!L26</f>
        <v>4.7381279726284222E-3</v>
      </c>
      <c r="AK26" s="119">
        <f>Logistic2014!AK26</f>
        <v>5.9991987892107617E-3</v>
      </c>
      <c r="AL26" s="119">
        <f t="shared" si="13"/>
        <v>1.2394891219668987E-3</v>
      </c>
      <c r="AM26" s="114"/>
      <c r="AN26" s="114"/>
      <c r="AO26" s="114"/>
      <c r="AP26" s="114"/>
      <c r="AQ26" s="114"/>
      <c r="AR26" s="110"/>
      <c r="AS26" s="110"/>
      <c r="AT26" s="110"/>
      <c r="AU26" s="110"/>
      <c r="AV26" s="110"/>
      <c r="AW26" s="110"/>
      <c r="AX26" s="110"/>
    </row>
    <row r="27" spans="1:50" ht="16.5" thickBot="1" x14ac:dyDescent="0.3">
      <c r="A27" s="39"/>
      <c r="B27" s="49"/>
      <c r="C27" s="79"/>
      <c r="D27" s="86" t="str">
        <f t="shared" si="14"/>
        <v/>
      </c>
      <c r="E27" s="81"/>
      <c r="F27" s="50" t="str">
        <f t="shared" si="15"/>
        <v/>
      </c>
      <c r="G27" s="16" t="str">
        <f t="shared" si="16"/>
        <v/>
      </c>
      <c r="H27" s="51" t="str">
        <f t="shared" si="17"/>
        <v/>
      </c>
      <c r="I27" s="54"/>
      <c r="J27" s="105">
        <f t="shared" si="7"/>
        <v>37784.5</v>
      </c>
      <c r="K27" s="109">
        <v>19</v>
      </c>
      <c r="L27" s="125">
        <f t="shared" si="5"/>
        <v>1.6151568393420366E-3</v>
      </c>
      <c r="M27" s="46">
        <f t="shared" si="8"/>
        <v>1.8283255021357849E-4</v>
      </c>
      <c r="N27" s="130">
        <v>1.8283255021357849E-4</v>
      </c>
      <c r="O27" s="89">
        <f t="shared" si="6"/>
        <v>1.8283255021357849E-4</v>
      </c>
      <c r="P27" s="48">
        <v>40341</v>
      </c>
      <c r="Q27" s="1">
        <v>1.9324304426046567E-3</v>
      </c>
      <c r="R27" s="100">
        <v>4837</v>
      </c>
      <c r="S27" s="100">
        <f t="shared" si="11"/>
        <v>8.995852306429736</v>
      </c>
      <c r="T27" s="101">
        <f t="shared" si="9"/>
        <v>4828.0041476935703</v>
      </c>
      <c r="U27" s="49">
        <v>40719</v>
      </c>
      <c r="V27" s="92">
        <v>7.0000000000000001E-3</v>
      </c>
      <c r="W27" s="92"/>
      <c r="X27" s="92"/>
      <c r="Y27" s="92"/>
      <c r="Z27" s="92"/>
      <c r="AE27" s="93">
        <f t="shared" si="12"/>
        <v>37784.5</v>
      </c>
      <c r="AF27" s="92">
        <f>Logistic2010!Q27</f>
        <v>2.7905843687065831E-3</v>
      </c>
      <c r="AG27" s="4">
        <f t="shared" si="10"/>
        <v>1.9324304426046567E-3</v>
      </c>
      <c r="AH27" s="92">
        <f>Logistic2011!Q27</f>
        <v>7.3532929350053459E-4</v>
      </c>
      <c r="AI27" s="92">
        <f>Logistic2012!Q27</f>
        <v>1.9324304426046567E-3</v>
      </c>
      <c r="AJ27" s="92">
        <f>Logistic2013!L27</f>
        <v>5.7679775716238009E-3</v>
      </c>
      <c r="AK27" s="119">
        <f>Logistic2014!AK27</f>
        <v>7.2536318036214055E-3</v>
      </c>
      <c r="AL27" s="119">
        <f t="shared" si="13"/>
        <v>1.6151568393420366E-3</v>
      </c>
      <c r="AM27" s="114"/>
      <c r="AO27" s="114"/>
      <c r="AP27" s="114"/>
      <c r="AQ27" s="114"/>
      <c r="AR27" s="111" t="s">
        <v>45</v>
      </c>
      <c r="AS27" s="111">
        <v>4.8233989090909093</v>
      </c>
      <c r="AT27" s="111">
        <v>32</v>
      </c>
      <c r="AU27" s="111"/>
      <c r="AV27" s="111"/>
      <c r="AW27" s="111"/>
      <c r="AX27" s="111"/>
    </row>
    <row r="28" spans="1:50" x14ac:dyDescent="0.25">
      <c r="A28" s="39"/>
      <c r="B28" s="49"/>
      <c r="C28" s="79"/>
      <c r="D28" s="86" t="str">
        <f t="shared" si="14"/>
        <v/>
      </c>
      <c r="E28" s="81"/>
      <c r="F28" s="50" t="str">
        <f t="shared" si="15"/>
        <v/>
      </c>
      <c r="G28" s="16" t="str">
        <f t="shared" si="16"/>
        <v/>
      </c>
      <c r="H28" s="51" t="str">
        <f t="shared" si="17"/>
        <v/>
      </c>
      <c r="I28" s="54"/>
      <c r="J28" s="105">
        <f t="shared" si="7"/>
        <v>37785.5</v>
      </c>
      <c r="K28" s="109">
        <v>20</v>
      </c>
      <c r="L28" s="125">
        <f t="shared" si="5"/>
        <v>2.1044430392726981E-3</v>
      </c>
      <c r="M28" s="46">
        <f t="shared" si="8"/>
        <v>2.6052956766402371E-4</v>
      </c>
      <c r="N28" s="130">
        <v>2.6052956766402371E-4</v>
      </c>
      <c r="O28" s="89">
        <f t="shared" si="6"/>
        <v>2.6052956766402371E-4</v>
      </c>
      <c r="P28" s="48">
        <v>40342</v>
      </c>
      <c r="Q28" s="1">
        <v>2.5722220404043386E-3</v>
      </c>
      <c r="R28" s="100">
        <v>8645</v>
      </c>
      <c r="S28" s="100">
        <f t="shared" si="11"/>
        <v>20.946777835922251</v>
      </c>
      <c r="T28" s="101">
        <f t="shared" si="9"/>
        <v>8624.0532221640769</v>
      </c>
      <c r="U28" s="40">
        <v>40720</v>
      </c>
      <c r="V28" s="92"/>
      <c r="W28" s="92"/>
      <c r="X28" s="92"/>
      <c r="Y28" s="92"/>
      <c r="Z28" s="92"/>
      <c r="AE28" s="93">
        <f t="shared" si="12"/>
        <v>37785.5</v>
      </c>
      <c r="AF28" s="92">
        <f>Logistic2010!Q28</f>
        <v>3.4058703908046778E-3</v>
      </c>
      <c r="AG28" s="4">
        <f t="shared" si="10"/>
        <v>2.5722220404043386E-3</v>
      </c>
      <c r="AH28" s="92">
        <f>Logistic2011!Q28</f>
        <v>9.4560418099634688E-4</v>
      </c>
      <c r="AI28" s="92">
        <f>Logistic2012!Q28</f>
        <v>2.5722220404043386E-3</v>
      </c>
      <c r="AJ28" s="92">
        <f>Logistic2013!L28</f>
        <v>7.0200899120878707E-3</v>
      </c>
      <c r="AK28" s="119">
        <f>Logistic2014!AK28</f>
        <v>8.7680531167695416E-3</v>
      </c>
      <c r="AL28" s="119">
        <f t="shared" si="13"/>
        <v>2.1044430392726981E-3</v>
      </c>
      <c r="AM28" s="114"/>
      <c r="AN28" s="114"/>
      <c r="AQ28" s="114"/>
      <c r="AR28" s="114"/>
      <c r="AS28" s="114"/>
      <c r="AT28" s="114"/>
      <c r="AU28" s="114"/>
    </row>
    <row r="29" spans="1:50" x14ac:dyDescent="0.25">
      <c r="A29" s="39"/>
      <c r="B29" s="49"/>
      <c r="C29" s="79"/>
      <c r="D29" s="86" t="str">
        <f t="shared" si="14"/>
        <v/>
      </c>
      <c r="E29" s="81"/>
      <c r="F29" s="50" t="str">
        <f t="shared" si="15"/>
        <v/>
      </c>
      <c r="G29" s="16" t="str">
        <f t="shared" si="16"/>
        <v/>
      </c>
      <c r="H29" s="51" t="str">
        <f t="shared" si="17"/>
        <v/>
      </c>
      <c r="I29" s="54"/>
      <c r="J29" s="105">
        <f t="shared" si="7"/>
        <v>37786.5</v>
      </c>
      <c r="K29" s="109">
        <v>21</v>
      </c>
      <c r="L29" s="125">
        <f t="shared" si="5"/>
        <v>2.7415437359551219E-3</v>
      </c>
      <c r="M29" s="46">
        <f t="shared" si="8"/>
        <v>3.7123266109304417E-4</v>
      </c>
      <c r="N29" s="130">
        <v>3.7123266109304417E-4</v>
      </c>
      <c r="O29" s="89">
        <f t="shared" si="6"/>
        <v>3.7123266109304417E-4</v>
      </c>
      <c r="P29" s="48">
        <v>40343</v>
      </c>
      <c r="Q29" s="1">
        <v>3.4231101794941045E-3</v>
      </c>
      <c r="R29" s="100">
        <v>6148</v>
      </c>
      <c r="S29" s="100">
        <f t="shared" si="11"/>
        <v>19.404238721109863</v>
      </c>
      <c r="T29" s="101">
        <f t="shared" si="9"/>
        <v>6128.5957612788898</v>
      </c>
      <c r="U29" s="49">
        <v>40721</v>
      </c>
      <c r="V29" s="92"/>
      <c r="W29" s="92"/>
      <c r="X29" s="92"/>
      <c r="Y29" s="92"/>
      <c r="Z29" s="92"/>
      <c r="AE29" s="93">
        <f t="shared" si="12"/>
        <v>37786.5</v>
      </c>
      <c r="AF29" s="92">
        <f>Logistic2010!Q29</f>
        <v>4.156253215078223E-3</v>
      </c>
      <c r="AG29" s="4">
        <f t="shared" si="10"/>
        <v>3.4231101794941045E-3</v>
      </c>
      <c r="AH29" s="92">
        <f>Logistic2011!Q29</f>
        <v>1.2159361420781157E-3</v>
      </c>
      <c r="AI29" s="92">
        <f>Logistic2012!Q29</f>
        <v>3.4231101794941045E-3</v>
      </c>
      <c r="AJ29" s="92">
        <f>Logistic2013!L29</f>
        <v>8.5416755801183825E-3</v>
      </c>
      <c r="AK29" s="119">
        <f>Logistic2014!AK29</f>
        <v>1.0595282474405681E-2</v>
      </c>
      <c r="AL29" s="119">
        <f t="shared" si="13"/>
        <v>2.7415437359551219E-3</v>
      </c>
      <c r="AM29" s="113"/>
      <c r="AN29" s="113"/>
      <c r="AP29" s="113"/>
      <c r="AQ29" s="113"/>
      <c r="AR29" s="113"/>
      <c r="AS29" s="113"/>
      <c r="AT29" s="114"/>
      <c r="AU29" s="114"/>
    </row>
    <row r="30" spans="1:50" x14ac:dyDescent="0.25">
      <c r="A30" s="39"/>
      <c r="B30" s="49"/>
      <c r="C30" s="79"/>
      <c r="D30" s="86" t="str">
        <f t="shared" si="14"/>
        <v/>
      </c>
      <c r="E30" s="81"/>
      <c r="F30" s="50" t="str">
        <f t="shared" si="15"/>
        <v/>
      </c>
      <c r="G30" s="16" t="str">
        <f t="shared" si="16"/>
        <v/>
      </c>
      <c r="H30" s="51" t="str">
        <f t="shared" si="17"/>
        <v/>
      </c>
      <c r="I30" s="54"/>
      <c r="J30" s="105">
        <f t="shared" si="7"/>
        <v>37787.5</v>
      </c>
      <c r="K30" s="109">
        <v>22</v>
      </c>
      <c r="L30" s="125">
        <f t="shared" si="5"/>
        <v>3.5708306040285677E-3</v>
      </c>
      <c r="M30" s="46">
        <f t="shared" si="8"/>
        <v>5.2895034459836269E-4</v>
      </c>
      <c r="N30" s="131">
        <v>5.2895034459836269E-4</v>
      </c>
      <c r="O30" s="89">
        <f t="shared" si="6"/>
        <v>5.2895034459836269E-4</v>
      </c>
      <c r="P30" s="48">
        <v>40344</v>
      </c>
      <c r="Q30" s="1">
        <v>4.5541859663405402E-3</v>
      </c>
      <c r="R30" s="100">
        <v>5114</v>
      </c>
      <c r="S30" s="100">
        <f t="shared" si="11"/>
        <v>21.020147422253526</v>
      </c>
      <c r="T30" s="101">
        <f t="shared" si="9"/>
        <v>5092.9798525777469</v>
      </c>
      <c r="U30" s="49">
        <v>40722</v>
      </c>
      <c r="V30" s="92"/>
      <c r="W30" s="92"/>
      <c r="X30" s="92"/>
      <c r="Y30" s="92"/>
      <c r="Z30" s="92"/>
      <c r="AE30" s="93">
        <f t="shared" si="12"/>
        <v>37787.5</v>
      </c>
      <c r="AF30" s="92">
        <f>Logistic2010!Q30</f>
        <v>5.0711194585093189E-3</v>
      </c>
      <c r="AG30" s="4">
        <f t="shared" si="10"/>
        <v>4.5541859663405402E-3</v>
      </c>
      <c r="AH30" s="92">
        <f>Logistic2011!Q30</f>
        <v>1.5634304169464023E-3</v>
      </c>
      <c r="AI30" s="92">
        <f>Logistic2012!Q30</f>
        <v>4.5541859663405402E-3</v>
      </c>
      <c r="AJ30" s="92">
        <f>Logistic2013!L30</f>
        <v>1.0389610148679944E-2</v>
      </c>
      <c r="AK30" s="119">
        <f>Logistic2014!AK30</f>
        <v>1.2798382995327439E-2</v>
      </c>
      <c r="AL30" s="119">
        <f t="shared" si="13"/>
        <v>3.5708306040285677E-3</v>
      </c>
      <c r="AM30" s="113"/>
      <c r="AN30" s="113"/>
      <c r="AO30" s="113"/>
      <c r="AP30" s="113"/>
      <c r="AQ30" s="113"/>
      <c r="AR30" s="113"/>
      <c r="AS30" s="113"/>
      <c r="AT30" s="114"/>
      <c r="AU30" s="114"/>
    </row>
    <row r="31" spans="1:50" x14ac:dyDescent="0.25">
      <c r="A31" s="39"/>
      <c r="B31" s="49"/>
      <c r="C31" s="79"/>
      <c r="D31" s="86" t="str">
        <f t="shared" si="14"/>
        <v/>
      </c>
      <c r="E31" s="81"/>
      <c r="F31" s="50" t="str">
        <f t="shared" si="15"/>
        <v/>
      </c>
      <c r="G31" s="16" t="str">
        <f t="shared" si="16"/>
        <v/>
      </c>
      <c r="H31" s="51" t="str">
        <f t="shared" si="17"/>
        <v/>
      </c>
      <c r="I31" s="54"/>
      <c r="J31" s="105">
        <f t="shared" si="7"/>
        <v>37788.5</v>
      </c>
      <c r="K31" s="109">
        <v>23</v>
      </c>
      <c r="L31" s="125">
        <f t="shared" si="5"/>
        <v>4.6497980319720284E-3</v>
      </c>
      <c r="M31" s="46">
        <f t="shared" si="8"/>
        <v>7.5362365201523903E-4</v>
      </c>
      <c r="N31" s="131">
        <v>7.5362365201523903E-4</v>
      </c>
      <c r="O31" s="89">
        <f t="shared" si="6"/>
        <v>7.5362365201523903E-4</v>
      </c>
      <c r="P31" s="48">
        <v>40345</v>
      </c>
      <c r="Q31" s="1">
        <v>6.0567243090960737E-3</v>
      </c>
      <c r="R31" s="100">
        <v>7184</v>
      </c>
      <c r="S31" s="100">
        <f t="shared" si="11"/>
        <v>38.443758792892048</v>
      </c>
      <c r="T31" s="101">
        <f t="shared" si="9"/>
        <v>7145.5562412071076</v>
      </c>
      <c r="U31" s="49">
        <v>40723</v>
      </c>
      <c r="V31" s="92"/>
      <c r="W31" s="92"/>
      <c r="X31" s="92"/>
      <c r="Y31" s="92"/>
      <c r="Z31" s="92"/>
      <c r="AE31" s="93">
        <f t="shared" si="12"/>
        <v>37788.5</v>
      </c>
      <c r="AF31" s="92">
        <f>Logistic2010!Q31</f>
        <v>6.18611330154804E-3</v>
      </c>
      <c r="AG31" s="4">
        <f t="shared" si="10"/>
        <v>6.0567243090960737E-3</v>
      </c>
      <c r="AH31" s="92">
        <f>Logistic2011!Q31</f>
        <v>2.0100329059479318E-3</v>
      </c>
      <c r="AI31" s="92">
        <f>Logistic2012!Q31</f>
        <v>6.0567243090960737E-3</v>
      </c>
      <c r="AJ31" s="92">
        <f>Logistic2013!L31</f>
        <v>1.263223931108238E-2</v>
      </c>
      <c r="AK31" s="119">
        <f>Logistic2014!AK31</f>
        <v>1.5452424589650317E-2</v>
      </c>
      <c r="AL31" s="119">
        <f t="shared" si="13"/>
        <v>4.6497980319720284E-3</v>
      </c>
      <c r="AM31" s="113"/>
      <c r="AO31" s="113"/>
      <c r="AP31" s="113"/>
      <c r="AQ31" s="113"/>
      <c r="AR31" t="s">
        <v>28</v>
      </c>
      <c r="AS31"/>
      <c r="AT31"/>
      <c r="AU31"/>
      <c r="AV31"/>
      <c r="AW31"/>
      <c r="AX31"/>
    </row>
    <row r="32" spans="1:50" x14ac:dyDescent="0.25">
      <c r="B32" s="49"/>
      <c r="C32" s="79"/>
      <c r="D32" s="86" t="str">
        <f t="shared" si="14"/>
        <v/>
      </c>
      <c r="E32" s="81"/>
      <c r="F32" s="50" t="str">
        <f t="shared" si="15"/>
        <v/>
      </c>
      <c r="G32" s="16" t="str">
        <f t="shared" si="16"/>
        <v/>
      </c>
      <c r="H32" s="51" t="str">
        <f t="shared" si="17"/>
        <v/>
      </c>
      <c r="I32" s="54"/>
      <c r="J32" s="105">
        <f t="shared" si="7"/>
        <v>37789.5</v>
      </c>
      <c r="K32" s="109">
        <v>24</v>
      </c>
      <c r="L32" s="125">
        <f t="shared" si="5"/>
        <v>6.0528074226192984E-3</v>
      </c>
      <c r="M32" s="46">
        <f t="shared" si="8"/>
        <v>1.0736251359755081E-3</v>
      </c>
      <c r="N32" s="131">
        <v>1.0736251359755081E-3</v>
      </c>
      <c r="O32" s="89">
        <f t="shared" si="6"/>
        <v>1.0736251359755081E-3</v>
      </c>
      <c r="P32" s="48">
        <v>40346</v>
      </c>
      <c r="Q32" s="1">
        <v>8.0509778061675936E-3</v>
      </c>
      <c r="R32" s="100">
        <v>8109</v>
      </c>
      <c r="S32" s="100">
        <f t="shared" si="11"/>
        <v>56.473558780331132</v>
      </c>
      <c r="T32" s="101">
        <f t="shared" si="9"/>
        <v>8052.5264412196684</v>
      </c>
      <c r="U32" s="49">
        <v>40724</v>
      </c>
      <c r="V32" s="92"/>
      <c r="W32" s="92"/>
      <c r="X32" s="92"/>
      <c r="Y32" s="92"/>
      <c r="Z32" s="92"/>
      <c r="AE32" s="93">
        <f t="shared" si="12"/>
        <v>37789.5</v>
      </c>
      <c r="AF32" s="92">
        <f>Logistic2010!Q32</f>
        <v>7.5444033609171311E-3</v>
      </c>
      <c r="AG32" s="4">
        <f t="shared" si="10"/>
        <v>8.0509778061675936E-3</v>
      </c>
      <c r="AH32" s="92">
        <f>Logistic2011!Q32</f>
        <v>2.5838796966125908E-3</v>
      </c>
      <c r="AI32" s="92">
        <f>Logistic2012!Q32</f>
        <v>8.0509778061675936E-3</v>
      </c>
      <c r="AJ32" s="92">
        <f>Logistic2013!L32</f>
        <v>1.5351437527105454E-2</v>
      </c>
      <c r="AK32" s="119">
        <f>Logistic2014!AK32</f>
        <v>1.864644764878538E-2</v>
      </c>
      <c r="AL32" s="119">
        <f t="shared" si="13"/>
        <v>6.0528074226192984E-3</v>
      </c>
      <c r="AM32" s="115"/>
      <c r="AN32" s="115"/>
      <c r="AP32" s="115"/>
      <c r="AQ32" s="115"/>
      <c r="AR32"/>
      <c r="AS32"/>
      <c r="AT32"/>
      <c r="AU32"/>
      <c r="AV32"/>
      <c r="AW32"/>
      <c r="AX32"/>
    </row>
    <row r="33" spans="2:50" ht="16.5" thickBot="1" x14ac:dyDescent="0.3">
      <c r="B33" s="49"/>
      <c r="C33" s="79"/>
      <c r="D33" s="86" t="str">
        <f t="shared" si="14"/>
        <v/>
      </c>
      <c r="E33" s="81"/>
      <c r="F33" s="50" t="str">
        <f t="shared" si="15"/>
        <v/>
      </c>
      <c r="G33" s="16" t="str">
        <f t="shared" si="16"/>
        <v/>
      </c>
      <c r="H33" s="51" t="str">
        <f t="shared" si="17"/>
        <v/>
      </c>
      <c r="I33" s="54"/>
      <c r="J33" s="105">
        <f t="shared" si="7"/>
        <v>37790.5</v>
      </c>
      <c r="K33" s="109">
        <v>25</v>
      </c>
      <c r="L33" s="125">
        <f t="shared" si="5"/>
        <v>7.8758049291703502E-3</v>
      </c>
      <c r="M33" s="46">
        <f t="shared" si="8"/>
        <v>1.5292967649937837E-3</v>
      </c>
      <c r="N33" s="131">
        <v>1.5292967649937837E-3</v>
      </c>
      <c r="O33" s="89">
        <f t="shared" si="6"/>
        <v>1.5292967649937837E-3</v>
      </c>
      <c r="P33" s="48">
        <v>40347</v>
      </c>
      <c r="Q33" s="1">
        <v>1.0694799271914295E-2</v>
      </c>
      <c r="R33" s="100">
        <v>18981</v>
      </c>
      <c r="S33" s="100">
        <f t="shared" si="11"/>
        <v>171.94891592408803</v>
      </c>
      <c r="T33" s="101">
        <f t="shared" si="9"/>
        <v>18809.051084075913</v>
      </c>
      <c r="U33" s="49">
        <v>40725</v>
      </c>
      <c r="V33" s="92">
        <v>0.35599999999999998</v>
      </c>
      <c r="W33" s="92"/>
      <c r="X33" s="92"/>
      <c r="Y33" s="92"/>
      <c r="Z33" s="92"/>
      <c r="AE33" s="93">
        <f t="shared" si="12"/>
        <v>37790.5</v>
      </c>
      <c r="AF33" s="92">
        <f>Logistic2010!Q33</f>
        <v>9.1981739546595914E-3</v>
      </c>
      <c r="AG33" s="4">
        <f t="shared" si="10"/>
        <v>1.0694799271914295E-2</v>
      </c>
      <c r="AH33" s="92">
        <f>Logistic2011!Q33</f>
        <v>3.3210095492913049E-3</v>
      </c>
      <c r="AI33" s="92">
        <f>Logistic2012!Q33</f>
        <v>1.0694799271914295E-2</v>
      </c>
      <c r="AJ33" s="92">
        <f>Logistic2013!L33</f>
        <v>1.8644913491254085E-2</v>
      </c>
      <c r="AK33" s="119">
        <f>Logistic2014!AK33</f>
        <v>2.2485598579313124E-2</v>
      </c>
      <c r="AL33" s="119">
        <f t="shared" si="13"/>
        <v>7.8758049291703502E-3</v>
      </c>
      <c r="AM33" s="110"/>
      <c r="AN33" s="110"/>
      <c r="AO33" s="110"/>
      <c r="AP33" s="110"/>
      <c r="AQ33" s="110"/>
      <c r="AR33" t="s">
        <v>29</v>
      </c>
      <c r="AS33"/>
      <c r="AT33"/>
      <c r="AU33"/>
      <c r="AV33"/>
      <c r="AW33"/>
      <c r="AX33"/>
    </row>
    <row r="34" spans="2:50" ht="16.5" thickBot="1" x14ac:dyDescent="0.3">
      <c r="B34" s="49"/>
      <c r="C34" s="79"/>
      <c r="D34" s="86" t="str">
        <f t="shared" si="14"/>
        <v/>
      </c>
      <c r="E34" s="81"/>
      <c r="F34" s="50" t="str">
        <f t="shared" si="15"/>
        <v/>
      </c>
      <c r="G34" s="16" t="str">
        <f t="shared" si="16"/>
        <v/>
      </c>
      <c r="H34" s="51" t="str">
        <f t="shared" si="17"/>
        <v/>
      </c>
      <c r="I34" s="54"/>
      <c r="J34" s="105">
        <f t="shared" si="7"/>
        <v>37791.5</v>
      </c>
      <c r="K34" s="109">
        <v>26</v>
      </c>
      <c r="L34" s="125">
        <f t="shared" si="5"/>
        <v>1.0242198961466395E-2</v>
      </c>
      <c r="M34" s="46">
        <f t="shared" si="8"/>
        <v>2.1779444332849758E-3</v>
      </c>
      <c r="N34" s="131">
        <v>2.1779444332849758E-3</v>
      </c>
      <c r="O34" s="89">
        <f t="shared" si="6"/>
        <v>2.1779444332849758E-3</v>
      </c>
      <c r="P34" s="48">
        <v>40348</v>
      </c>
      <c r="Q34" s="1">
        <v>1.4194388945639416E-2</v>
      </c>
      <c r="R34" s="100">
        <v>7954</v>
      </c>
      <c r="S34" s="100">
        <f t="shared" si="11"/>
        <v>93.667373140886184</v>
      </c>
      <c r="T34" s="101">
        <f t="shared" si="9"/>
        <v>7860.3326268591136</v>
      </c>
      <c r="U34" s="49">
        <v>40726</v>
      </c>
      <c r="V34" s="92"/>
      <c r="W34" s="92"/>
      <c r="X34" s="92"/>
      <c r="Y34" s="92"/>
      <c r="Z34" s="92"/>
      <c r="AE34" s="93">
        <f t="shared" si="12"/>
        <v>37791.5</v>
      </c>
      <c r="AF34" s="92">
        <f>Logistic2010!Q34</f>
        <v>1.1210364440860094E-2</v>
      </c>
      <c r="AG34" s="4">
        <f t="shared" si="10"/>
        <v>1.4194388945639416E-2</v>
      </c>
      <c r="AH34" s="92">
        <f>Logistic2011!Q34</f>
        <v>4.2675282552662704E-3</v>
      </c>
      <c r="AI34" s="92">
        <f>Logistic2012!Q34</f>
        <v>1.4194388945639416E-2</v>
      </c>
      <c r="AJ34" s="92">
        <f>Logistic2013!L34</f>
        <v>2.2628728952144059E-2</v>
      </c>
      <c r="AK34" s="119">
        <f>Logistic2014!AK34</f>
        <v>2.7093376387433324E-2</v>
      </c>
      <c r="AL34" s="119">
        <f t="shared" si="13"/>
        <v>1.0242198961466395E-2</v>
      </c>
      <c r="AM34" s="110"/>
      <c r="AN34" s="110"/>
      <c r="AO34" s="110"/>
      <c r="AQ34" s="110"/>
      <c r="AR34" s="112" t="s">
        <v>30</v>
      </c>
      <c r="AS34" s="112" t="s">
        <v>31</v>
      </c>
      <c r="AT34" s="112" t="s">
        <v>32</v>
      </c>
      <c r="AU34" s="112" t="s">
        <v>33</v>
      </c>
      <c r="AV34" s="112" t="s">
        <v>34</v>
      </c>
      <c r="AW34"/>
      <c r="AX34"/>
    </row>
    <row r="35" spans="2:50" x14ac:dyDescent="0.25">
      <c r="B35" s="49"/>
      <c r="C35" s="79"/>
      <c r="D35" s="86" t="str">
        <f t="shared" si="14"/>
        <v/>
      </c>
      <c r="E35" s="81"/>
      <c r="F35" s="50" t="str">
        <f t="shared" si="15"/>
        <v/>
      </c>
      <c r="G35" s="16" t="str">
        <f t="shared" si="16"/>
        <v/>
      </c>
      <c r="H35" s="51" t="str">
        <f t="shared" si="17"/>
        <v/>
      </c>
      <c r="I35" s="54"/>
      <c r="J35" s="105">
        <f t="shared" si="7"/>
        <v>37792.5</v>
      </c>
      <c r="K35" s="109">
        <v>27</v>
      </c>
      <c r="L35" s="125">
        <f t="shared" si="5"/>
        <v>1.3310069869533399E-2</v>
      </c>
      <c r="M35" s="46">
        <f t="shared" si="8"/>
        <v>3.1008600796789275E-3</v>
      </c>
      <c r="N35" s="131">
        <v>3.1008600796789275E-3</v>
      </c>
      <c r="O35" s="89">
        <f t="shared" si="6"/>
        <v>3.1008600796789275E-3</v>
      </c>
      <c r="P35" s="48">
        <v>40349</v>
      </c>
      <c r="Q35" s="1">
        <v>1.8817345014281332E-2</v>
      </c>
      <c r="R35" s="100">
        <v>10420</v>
      </c>
      <c r="S35" s="100">
        <f t="shared" si="11"/>
        <v>159.37855453057011</v>
      </c>
      <c r="T35" s="101">
        <f t="shared" si="9"/>
        <v>10260.621445469429</v>
      </c>
      <c r="U35" s="40">
        <v>40727</v>
      </c>
      <c r="AE35" s="93">
        <f t="shared" si="12"/>
        <v>37792.5</v>
      </c>
      <c r="AF35" s="92">
        <f>Logistic2010!Q35</f>
        <v>1.3656673980419356E-2</v>
      </c>
      <c r="AG35" s="4">
        <f t="shared" si="10"/>
        <v>1.8817345014281332E-2</v>
      </c>
      <c r="AH35" s="92">
        <f>Logistic2011!Q35</f>
        <v>5.4823297455268887E-3</v>
      </c>
      <c r="AI35" s="92">
        <f>Logistic2012!Q35</f>
        <v>1.8817345014281332E-2</v>
      </c>
      <c r="AJ35" s="92">
        <f>Logistic2013!L35</f>
        <v>2.7439956026617411E-2</v>
      </c>
      <c r="AK35" s="119">
        <f>Logistic2014!AK35</f>
        <v>3.2613882518552371E-2</v>
      </c>
      <c r="AL35" s="119">
        <f t="shared" si="13"/>
        <v>1.3310069869533399E-2</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14"/>
        <v/>
      </c>
      <c r="E36" s="81"/>
      <c r="F36" s="50" t="str">
        <f t="shared" si="15"/>
        <v/>
      </c>
      <c r="G36" s="16" t="str">
        <f t="shared" si="16"/>
        <v/>
      </c>
      <c r="H36" s="51" t="str">
        <f t="shared" si="17"/>
        <v/>
      </c>
      <c r="I36" s="54"/>
      <c r="J36" s="105">
        <f t="shared" si="7"/>
        <v>37793.5</v>
      </c>
      <c r="K36" s="109">
        <v>28</v>
      </c>
      <c r="L36" s="125">
        <f t="shared" si="5"/>
        <v>1.7280823514453189E-2</v>
      </c>
      <c r="M36" s="46">
        <f t="shared" si="8"/>
        <v>4.4131364833405974E-3</v>
      </c>
      <c r="N36" s="131">
        <v>4.4131364833405974E-3</v>
      </c>
      <c r="O36" s="89">
        <f t="shared" si="6"/>
        <v>4.4131364833405974E-3</v>
      </c>
      <c r="P36" s="48">
        <v>40350</v>
      </c>
      <c r="Q36" s="1">
        <v>2.4907904460513997E-2</v>
      </c>
      <c r="R36" s="100">
        <v>14984</v>
      </c>
      <c r="S36" s="100">
        <f t="shared" si="11"/>
        <v>297.35808016059582</v>
      </c>
      <c r="T36" s="101">
        <f t="shared" si="9"/>
        <v>14686.641919839403</v>
      </c>
      <c r="U36" s="49">
        <v>40728</v>
      </c>
      <c r="AE36" s="93">
        <f t="shared" si="12"/>
        <v>37793.5</v>
      </c>
      <c r="AF36" s="92">
        <f>Logistic2010!Q36</f>
        <v>1.6627836578475143E-2</v>
      </c>
      <c r="AG36" s="4">
        <f t="shared" si="10"/>
        <v>2.4907904460513997E-2</v>
      </c>
      <c r="AH36" s="92">
        <f>Logistic2011!Q36</f>
        <v>7.0404935024234346E-3</v>
      </c>
      <c r="AI36" s="92">
        <f>Logistic2012!Q36</f>
        <v>2.4907904460513997E-2</v>
      </c>
      <c r="AJ36" s="92">
        <f>Logistic2013!L36</f>
        <v>3.3239337178441269E-2</v>
      </c>
      <c r="AK36" s="119">
        <f>Logistic2014!AK36</f>
        <v>3.9213900655283261E-2</v>
      </c>
      <c r="AL36" s="119">
        <f t="shared" si="13"/>
        <v>1.7280823514453189E-2</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14"/>
        <v/>
      </c>
      <c r="E37" s="81"/>
      <c r="F37" s="50" t="str">
        <f t="shared" si="15"/>
        <v/>
      </c>
      <c r="G37" s="16" t="str">
        <f t="shared" si="16"/>
        <v/>
      </c>
      <c r="H37" s="51" t="str">
        <f t="shared" si="17"/>
        <v/>
      </c>
      <c r="I37" s="54"/>
      <c r="J37" s="105">
        <f t="shared" si="7"/>
        <v>37794.5</v>
      </c>
      <c r="K37" s="109">
        <v>29</v>
      </c>
      <c r="L37" s="125">
        <f t="shared" si="5"/>
        <v>2.24092565924069E-2</v>
      </c>
      <c r="M37" s="46">
        <f t="shared" si="8"/>
        <v>6.2772681143683619E-3</v>
      </c>
      <c r="N37" s="131">
        <v>6.2772681143683619E-3</v>
      </c>
      <c r="O37" s="89">
        <f t="shared" si="6"/>
        <v>6.2772681143683619E-3</v>
      </c>
      <c r="P37" s="48">
        <v>40351</v>
      </c>
      <c r="Q37" s="1">
        <v>3.2903671432563369E-2</v>
      </c>
      <c r="R37" s="100">
        <v>16806</v>
      </c>
      <c r="S37" s="100">
        <f t="shared" si="11"/>
        <v>432.11567297783995</v>
      </c>
      <c r="T37" s="101">
        <f t="shared" si="9"/>
        <v>16373.884327022161</v>
      </c>
      <c r="U37" s="49">
        <v>40729</v>
      </c>
      <c r="V37" s="4">
        <v>0.51500000000000001</v>
      </c>
      <c r="AE37" s="93">
        <f t="shared" si="12"/>
        <v>37794.5</v>
      </c>
      <c r="AF37" s="92">
        <f>Logistic2010!Q37</f>
        <v>2.0232149587218227E-2</v>
      </c>
      <c r="AG37" s="4">
        <f t="shared" si="10"/>
        <v>3.2903671432563369E-2</v>
      </c>
      <c r="AH37" s="92">
        <f>Logistic2011!Q37</f>
        <v>9.0374873855469922E-3</v>
      </c>
      <c r="AI37" s="92">
        <f>Logistic2012!Q37</f>
        <v>3.2903671432563369E-2</v>
      </c>
      <c r="AJ37" s="92">
        <f>Logistic2013!L37</f>
        <v>4.0213726080353264E-2</v>
      </c>
      <c r="AK37" s="119">
        <f>Logistic2014!AK37</f>
        <v>4.7084545759597696E-2</v>
      </c>
      <c r="AL37" s="119">
        <f t="shared" si="13"/>
        <v>2.24092565924069E-2</v>
      </c>
      <c r="AM37" s="113"/>
      <c r="AN37" s="113"/>
      <c r="AO37" s="113"/>
      <c r="AP37" s="113"/>
      <c r="AQ37" s="113"/>
      <c r="AR37"/>
      <c r="AS37"/>
      <c r="AT37"/>
      <c r="AU37"/>
      <c r="AV37"/>
      <c r="AW37"/>
      <c r="AX37"/>
    </row>
    <row r="38" spans="2:50" x14ac:dyDescent="0.25">
      <c r="B38" s="49"/>
      <c r="C38" s="79"/>
      <c r="D38" s="86" t="str">
        <f t="shared" si="14"/>
        <v/>
      </c>
      <c r="E38" s="81"/>
      <c r="F38" s="50" t="str">
        <f t="shared" si="15"/>
        <v/>
      </c>
      <c r="G38" s="16" t="str">
        <f t="shared" si="16"/>
        <v/>
      </c>
      <c r="H38" s="51" t="str">
        <f t="shared" si="17"/>
        <v/>
      </c>
      <c r="I38" s="54"/>
      <c r="J38" s="105">
        <f t="shared" si="7"/>
        <v>37795.5</v>
      </c>
      <c r="K38" s="109">
        <v>30</v>
      </c>
      <c r="L38" s="125">
        <f t="shared" si="5"/>
        <v>2.9014719722937614E-2</v>
      </c>
      <c r="M38" s="46">
        <f t="shared" si="8"/>
        <v>8.9217622649491162E-3</v>
      </c>
      <c r="N38" s="131">
        <v>8.9217622649491162E-3</v>
      </c>
      <c r="O38" s="89">
        <f t="shared" si="6"/>
        <v>8.9217622649491162E-3</v>
      </c>
      <c r="P38" s="48">
        <v>40352</v>
      </c>
      <c r="Q38" s="1">
        <v>4.3352069231991391E-2</v>
      </c>
      <c r="R38" s="100">
        <v>28505</v>
      </c>
      <c r="S38" s="100">
        <f t="shared" si="11"/>
        <v>947.8951206051421</v>
      </c>
      <c r="T38" s="101">
        <f t="shared" si="9"/>
        <v>27557.104879394858</v>
      </c>
      <c r="U38" s="49"/>
      <c r="AE38" s="93">
        <f t="shared" si="12"/>
        <v>37795.5</v>
      </c>
      <c r="AF38" s="92">
        <f>Logistic2010!Q38</f>
        <v>2.4598204014952465E-2</v>
      </c>
      <c r="AG38" s="4">
        <f t="shared" si="10"/>
        <v>4.3352069231991391E-2</v>
      </c>
      <c r="AH38" s="92">
        <f>Logistic2011!Q38</f>
        <v>1.1594302653630432E-2</v>
      </c>
      <c r="AI38" s="92">
        <f>Logistic2012!Q38</f>
        <v>4.3352069231991391E-2</v>
      </c>
      <c r="AJ38" s="92">
        <f>Logistic2013!L38</f>
        <v>4.8577971912167145E-2</v>
      </c>
      <c r="AK38" s="119">
        <f>Logistic2014!AK38</f>
        <v>5.6442110719466705E-2</v>
      </c>
      <c r="AL38" s="119">
        <f t="shared" si="13"/>
        <v>2.9014719722937614E-2</v>
      </c>
      <c r="AM38" s="115"/>
      <c r="AQ38" s="115"/>
      <c r="AR38"/>
      <c r="AS38"/>
      <c r="AT38"/>
      <c r="AU38"/>
      <c r="AV38"/>
      <c r="AW38"/>
      <c r="AX38"/>
    </row>
    <row r="39" spans="2:50" ht="16.5" thickBot="1" x14ac:dyDescent="0.3">
      <c r="B39" s="49"/>
      <c r="C39" s="79"/>
      <c r="D39" s="86" t="str">
        <f t="shared" si="14"/>
        <v/>
      </c>
      <c r="E39" s="81"/>
      <c r="F39" s="50" t="str">
        <f t="shared" si="15"/>
        <v/>
      </c>
      <c r="G39" s="16" t="str">
        <f t="shared" si="16"/>
        <v/>
      </c>
      <c r="H39" s="51" t="str">
        <f t="shared" si="17"/>
        <v/>
      </c>
      <c r="I39" s="54"/>
      <c r="J39" s="105">
        <f t="shared" si="7"/>
        <v>37796.5</v>
      </c>
      <c r="K39" s="109">
        <v>31</v>
      </c>
      <c r="L39" s="125">
        <f t="shared" si="5"/>
        <v>3.7492568163758913E-2</v>
      </c>
      <c r="M39" s="46">
        <f t="shared" si="8"/>
        <v>1.2666131545885561E-2</v>
      </c>
      <c r="N39" s="131">
        <v>1.2666131545885561E-2</v>
      </c>
      <c r="O39" s="89">
        <f t="shared" si="6"/>
        <v>1.2666131545885561E-2</v>
      </c>
      <c r="P39" s="48">
        <v>40353</v>
      </c>
      <c r="Q39" s="1">
        <v>5.6923017026269736E-2</v>
      </c>
      <c r="R39" s="100">
        <v>37919</v>
      </c>
      <c r="S39" s="100">
        <f t="shared" si="11"/>
        <v>1627.0446536504219</v>
      </c>
      <c r="T39" s="101">
        <f t="shared" si="9"/>
        <v>36291.955346349576</v>
      </c>
      <c r="U39" s="49"/>
      <c r="AE39" s="93">
        <f t="shared" si="12"/>
        <v>37796.5</v>
      </c>
      <c r="AF39" s="92">
        <f>Logistic2010!Q39</f>
        <v>2.9877711971165448E-2</v>
      </c>
      <c r="AG39" s="4">
        <f t="shared" si="10"/>
        <v>5.6923017026269736E-2</v>
      </c>
      <c r="AH39" s="92">
        <f>Logistic2011!Q39</f>
        <v>1.4863622388293144E-2</v>
      </c>
      <c r="AI39" s="92">
        <f>Logistic2012!Q39</f>
        <v>5.6923017026269736E-2</v>
      </c>
      <c r="AJ39" s="92">
        <f>Logistic2013!L39</f>
        <v>5.8575762266613804E-2</v>
      </c>
      <c r="AK39" s="119">
        <f>Logistic2014!AK39</f>
        <v>6.7527607102486259E-2</v>
      </c>
      <c r="AL39" s="119">
        <f t="shared" si="13"/>
        <v>3.7492568163758913E-2</v>
      </c>
      <c r="AM39" s="110"/>
      <c r="AN39" s="110"/>
      <c r="AP39" s="110"/>
      <c r="AQ39" s="110"/>
      <c r="AR39" t="s">
        <v>35</v>
      </c>
      <c r="AS39"/>
      <c r="AT39"/>
      <c r="AU39"/>
      <c r="AV39"/>
      <c r="AW39"/>
      <c r="AX39"/>
    </row>
    <row r="40" spans="2:50" x14ac:dyDescent="0.25">
      <c r="B40" s="49"/>
      <c r="C40" s="79"/>
      <c r="D40" s="86" t="str">
        <f t="shared" si="14"/>
        <v/>
      </c>
      <c r="E40" s="81"/>
      <c r="F40" s="50" t="str">
        <f t="shared" si="15"/>
        <v/>
      </c>
      <c r="G40" s="16" t="str">
        <f t="shared" si="16"/>
        <v/>
      </c>
      <c r="H40" s="51" t="str">
        <f t="shared" si="17"/>
        <v/>
      </c>
      <c r="I40" s="54"/>
      <c r="J40" s="105">
        <f t="shared" si="7"/>
        <v>37797.5</v>
      </c>
      <c r="K40" s="109">
        <v>32</v>
      </c>
      <c r="L40" s="125">
        <f t="shared" si="5"/>
        <v>4.8324286376203736E-2</v>
      </c>
      <c r="M40" s="46">
        <f t="shared" si="8"/>
        <v>1.7953505605503725E-2</v>
      </c>
      <c r="N40" s="131">
        <v>1.7953505605503725E-2</v>
      </c>
      <c r="O40" s="89">
        <f t="shared" si="6"/>
        <v>1.7953505605503725E-2</v>
      </c>
      <c r="P40" s="48">
        <v>40354</v>
      </c>
      <c r="Q40" s="1">
        <v>7.4411773683001156E-2</v>
      </c>
      <c r="R40" s="100">
        <v>41134</v>
      </c>
      <c r="S40" s="100">
        <f t="shared" si="11"/>
        <v>2270.7564216615733</v>
      </c>
      <c r="T40" s="101">
        <f t="shared" si="9"/>
        <v>38863.243578338428</v>
      </c>
      <c r="U40" s="49"/>
      <c r="AE40" s="93">
        <f t="shared" si="12"/>
        <v>37797.5</v>
      </c>
      <c r="AF40" s="92">
        <f>Logistic2010!Q40</f>
        <v>3.624824956962025E-2</v>
      </c>
      <c r="AG40" s="4">
        <f t="shared" si="10"/>
        <v>7.4411773683001156E-2</v>
      </c>
      <c r="AH40" s="92">
        <f>Logistic2011!Q40</f>
        <v>1.9037057560494706E-2</v>
      </c>
      <c r="AI40" s="92">
        <f>Logistic2012!Q40</f>
        <v>7.4411773683001156E-2</v>
      </c>
      <c r="AJ40" s="92">
        <f>Logistic2013!L40</f>
        <v>7.0478765060004542E-2</v>
      </c>
      <c r="AK40" s="119">
        <f>Logistic2014!AK40</f>
        <v>8.060435401777398E-2</v>
      </c>
      <c r="AL40" s="119">
        <f t="shared" si="13"/>
        <v>4.8324286376203736E-2</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14"/>
        <v/>
      </c>
      <c r="E41" s="81"/>
      <c r="F41" s="50" t="str">
        <f t="shared" si="15"/>
        <v/>
      </c>
      <c r="G41" s="16" t="str">
        <f t="shared" si="16"/>
        <v/>
      </c>
      <c r="H41" s="51" t="str">
        <f t="shared" si="17"/>
        <v/>
      </c>
      <c r="I41" s="54"/>
      <c r="J41" s="105">
        <f t="shared" si="7"/>
        <v>37798.5</v>
      </c>
      <c r="K41" s="109">
        <v>33</v>
      </c>
      <c r="L41" s="125">
        <f t="shared" si="5"/>
        <v>6.208347468090588E-2</v>
      </c>
      <c r="M41" s="46">
        <f t="shared" si="8"/>
        <v>2.5391289272607597E-2</v>
      </c>
      <c r="N41" s="131">
        <v>2.5391289272607597E-2</v>
      </c>
      <c r="O41" s="89">
        <f t="shared" si="6"/>
        <v>2.5391289272607597E-2</v>
      </c>
      <c r="P41" s="48">
        <v>40355</v>
      </c>
      <c r="Q41" s="1">
        <v>9.6722617460862401E-2</v>
      </c>
      <c r="R41" s="100">
        <v>21594</v>
      </c>
      <c r="S41" s="100">
        <f t="shared" si="11"/>
        <v>1527.9563397658105</v>
      </c>
      <c r="T41" s="101">
        <f t="shared" si="9"/>
        <v>20066.043660234191</v>
      </c>
      <c r="U41" s="49"/>
      <c r="AE41" s="93">
        <f t="shared" si="12"/>
        <v>37798.5</v>
      </c>
      <c r="AF41" s="92">
        <f>Logistic2010!Q41</f>
        <v>4.3915626721520266E-2</v>
      </c>
      <c r="AG41" s="4">
        <f t="shared" si="10"/>
        <v>9.6722617460862401E-2</v>
      </c>
      <c r="AH41" s="92">
        <f>Logistic2011!Q41</f>
        <v>2.4353349085554369E-2</v>
      </c>
      <c r="AI41" s="92">
        <f>Logistic2012!Q41</f>
        <v>9.6722617460862401E-2</v>
      </c>
      <c r="AJ41" s="92">
        <f>Logistic2013!L41</f>
        <v>8.458322376954866E-2</v>
      </c>
      <c r="AK41" s="119">
        <f>Logistic2014!AK41</f>
        <v>9.5952838664410234E-2</v>
      </c>
      <c r="AL41" s="119">
        <f t="shared" si="13"/>
        <v>6.208347468090588E-2</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14"/>
        <v/>
      </c>
      <c r="E42" s="81"/>
      <c r="F42" s="50" t="str">
        <f t="shared" si="15"/>
        <v/>
      </c>
      <c r="G42" s="16" t="str">
        <f t="shared" si="16"/>
        <v/>
      </c>
      <c r="H42" s="51" t="str">
        <f t="shared" si="17"/>
        <v/>
      </c>
      <c r="I42" s="54"/>
      <c r="J42" s="105">
        <f t="shared" si="7"/>
        <v>37799.5</v>
      </c>
      <c r="K42" s="109">
        <v>34</v>
      </c>
      <c r="L42" s="125">
        <f t="shared" si="5"/>
        <v>7.9433274394375253E-2</v>
      </c>
      <c r="M42" s="46">
        <f t="shared" si="8"/>
        <v>3.5798078010252969E-2</v>
      </c>
      <c r="N42" s="131">
        <v>3.5798078010252969E-2</v>
      </c>
      <c r="O42" s="89">
        <f t="shared" si="6"/>
        <v>3.5798078010252969E-2</v>
      </c>
      <c r="P42" s="48">
        <v>40356</v>
      </c>
      <c r="Q42" s="1">
        <v>0.12482080008468176</v>
      </c>
      <c r="R42" s="100">
        <v>17704</v>
      </c>
      <c r="S42" s="100">
        <f t="shared" si="11"/>
        <v>1598.1597945064309</v>
      </c>
      <c r="T42" s="101">
        <f t="shared" si="9"/>
        <v>16105.840205493569</v>
      </c>
      <c r="AE42" s="93">
        <f t="shared" si="12"/>
        <v>37799.5</v>
      </c>
      <c r="AF42" s="92">
        <f>Logistic2010!Q42</f>
        <v>5.3115454143665003E-2</v>
      </c>
      <c r="AG42" s="4">
        <f t="shared" si="10"/>
        <v>0.12482080008468176</v>
      </c>
      <c r="AH42" s="92">
        <f>Logistic2011!Q42</f>
        <v>3.1107190112750017E-2</v>
      </c>
      <c r="AI42" s="92">
        <f>Logistic2012!Q42</f>
        <v>0.12482080008468176</v>
      </c>
      <c r="AJ42" s="92">
        <f>Logistic2013!L42</f>
        <v>0.1012029979928537</v>
      </c>
      <c r="AK42" s="119">
        <f>Logistic2014!AK42</f>
        <v>0.11386199412717302</v>
      </c>
      <c r="AL42" s="119">
        <f t="shared" si="13"/>
        <v>7.9433274394375253E-2</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14"/>
        <v/>
      </c>
      <c r="E43" s="81"/>
      <c r="F43" s="50" t="str">
        <f t="shared" si="15"/>
        <v/>
      </c>
      <c r="G43" s="16" t="str">
        <f t="shared" si="16"/>
        <v/>
      </c>
      <c r="H43" s="51" t="str">
        <f t="shared" si="17"/>
        <v/>
      </c>
      <c r="I43" s="54"/>
      <c r="J43" s="105">
        <f t="shared" si="7"/>
        <v>37800.5</v>
      </c>
      <c r="K43" s="109">
        <v>35</v>
      </c>
      <c r="L43" s="125">
        <f t="shared" si="5"/>
        <v>0.10110895273016507</v>
      </c>
      <c r="M43" s="46">
        <f t="shared" si="8"/>
        <v>5.0250242425127004E-2</v>
      </c>
      <c r="N43" s="131">
        <v>5.0250242425127004E-2</v>
      </c>
      <c r="O43" s="89">
        <f t="shared" si="6"/>
        <v>5.0250242425127004E-2</v>
      </c>
      <c r="P43" s="48">
        <v>40357</v>
      </c>
      <c r="Q43" s="1">
        <v>0.15963897994445775</v>
      </c>
      <c r="R43" s="100">
        <v>13702</v>
      </c>
      <c r="S43" s="100">
        <f t="shared" si="11"/>
        <v>1568.788431841178</v>
      </c>
      <c r="T43" s="101">
        <f t="shared" si="9"/>
        <v>12133.211568158822</v>
      </c>
      <c r="U43" s="40">
        <v>40705</v>
      </c>
      <c r="AE43" s="93">
        <f t="shared" si="12"/>
        <v>37800.5</v>
      </c>
      <c r="AF43" s="92">
        <f>Logistic2010!Q43</f>
        <v>6.4113302836932173E-2</v>
      </c>
      <c r="AG43" s="4">
        <f t="shared" si="10"/>
        <v>0.15963897994445775</v>
      </c>
      <c r="AH43" s="92">
        <f>Logistic2011!Q43</f>
        <v>3.9657919254324193E-2</v>
      </c>
      <c r="AI43" s="92">
        <f>Logistic2012!Q43</f>
        <v>0.15963897994445775</v>
      </c>
      <c r="AJ43" s="92">
        <f>Logistic2013!L43</f>
        <v>0.12065796431808783</v>
      </c>
      <c r="AK43" s="119">
        <f>Logistic2014!AK43</f>
        <v>0.13461607593232877</v>
      </c>
      <c r="AL43" s="119">
        <f t="shared" si="13"/>
        <v>0.10110895273016507</v>
      </c>
      <c r="AM43" s="114"/>
      <c r="AN43" s="114"/>
      <c r="AP43" s="114"/>
      <c r="AQ43" s="114"/>
      <c r="AR43" s="110"/>
      <c r="AS43" s="110"/>
      <c r="AT43" s="110"/>
      <c r="AU43" s="110"/>
      <c r="AV43" s="110"/>
      <c r="AW43" s="110"/>
      <c r="AX43" s="110"/>
    </row>
    <row r="44" spans="2:50" ht="16.5" thickBot="1" x14ac:dyDescent="0.3">
      <c r="B44" s="49"/>
      <c r="C44" s="79"/>
      <c r="D44" s="86" t="str">
        <f t="shared" si="14"/>
        <v/>
      </c>
      <c r="E44" s="81"/>
      <c r="F44" s="50" t="str">
        <f t="shared" si="15"/>
        <v/>
      </c>
      <c r="G44" s="16" t="str">
        <f t="shared" si="16"/>
        <v/>
      </c>
      <c r="H44" s="51" t="str">
        <f t="shared" si="17"/>
        <v/>
      </c>
      <c r="I44" s="54"/>
      <c r="J44" s="105">
        <f t="shared" si="7"/>
        <v>37801.5</v>
      </c>
      <c r="K44" s="109">
        <v>36</v>
      </c>
      <c r="L44" s="125">
        <f t="shared" si="5"/>
        <v>0.12787782757069291</v>
      </c>
      <c r="M44" s="46">
        <f t="shared" si="8"/>
        <v>7.0112677039206914E-2</v>
      </c>
      <c r="N44" s="131">
        <v>7.0112677039206914E-2</v>
      </c>
      <c r="O44" s="89">
        <f t="shared" si="6"/>
        <v>7.0112677039206914E-2</v>
      </c>
      <c r="P44" s="48">
        <v>40358</v>
      </c>
      <c r="Q44" s="1">
        <v>0.20192861027500136</v>
      </c>
      <c r="R44" s="100">
        <v>6021</v>
      </c>
      <c r="S44" s="100">
        <f t="shared" si="11"/>
        <v>868.06707620010536</v>
      </c>
      <c r="T44" s="101">
        <f t="shared" si="9"/>
        <v>5152.9329237998945</v>
      </c>
      <c r="U44" s="49">
        <v>40706</v>
      </c>
      <c r="V44" s="95"/>
      <c r="W44" s="95"/>
      <c r="X44" s="95"/>
      <c r="Y44" s="95"/>
      <c r="Z44" s="95"/>
      <c r="AE44" s="93">
        <f t="shared" si="12"/>
        <v>37801.5</v>
      </c>
      <c r="AF44" s="92">
        <f>Logistic2010!Q44</f>
        <v>7.72026520734653E-2</v>
      </c>
      <c r="AG44" s="4">
        <f t="shared" si="10"/>
        <v>0.20192861027500136</v>
      </c>
      <c r="AH44" s="92">
        <f>Logistic2011!Q44</f>
        <v>5.0436715072649276E-2</v>
      </c>
      <c r="AI44" s="92">
        <f>Logistic2012!Q44</f>
        <v>0.20192861027500136</v>
      </c>
      <c r="AJ44" s="92">
        <f>Logistic2013!L44</f>
        <v>0.14325679323024673</v>
      </c>
      <c r="AK44" s="119">
        <f>Logistic2014!AK44</f>
        <v>0.15847654981878281</v>
      </c>
      <c r="AL44" s="119">
        <f t="shared" si="13"/>
        <v>0.12787782757069291</v>
      </c>
      <c r="AM44" s="113"/>
      <c r="AQ44" s="113"/>
      <c r="AR44" s="111" t="s">
        <v>45</v>
      </c>
      <c r="AS44" s="111">
        <v>2.7416072727272724</v>
      </c>
      <c r="AT44" s="111">
        <v>21</v>
      </c>
      <c r="AU44" s="111"/>
      <c r="AV44" s="111"/>
      <c r="AW44" s="111"/>
      <c r="AX44" s="111"/>
    </row>
    <row r="45" spans="2:50" x14ac:dyDescent="0.25">
      <c r="B45" s="49"/>
      <c r="C45" s="79"/>
      <c r="D45" s="86" t="str">
        <f t="shared" si="14"/>
        <v/>
      </c>
      <c r="E45" s="81"/>
      <c r="F45" s="50" t="str">
        <f t="shared" si="15"/>
        <v/>
      </c>
      <c r="G45" s="16" t="str">
        <f t="shared" si="16"/>
        <v/>
      </c>
      <c r="H45" s="51" t="str">
        <f t="shared" si="17"/>
        <v/>
      </c>
      <c r="I45" s="54"/>
      <c r="J45" s="105">
        <f t="shared" si="7"/>
        <v>37802.5</v>
      </c>
      <c r="K45" s="109">
        <v>37</v>
      </c>
      <c r="L45" s="125">
        <f t="shared" si="5"/>
        <v>0.16046865181814796</v>
      </c>
      <c r="M45" s="46">
        <f t="shared" si="8"/>
        <v>9.7024102357607847E-2</v>
      </c>
      <c r="N45" s="131">
        <v>9.7024102357607847E-2</v>
      </c>
      <c r="O45" s="89">
        <f t="shared" si="6"/>
        <v>9.7024102357607847E-2</v>
      </c>
      <c r="P45" s="48">
        <v>40359</v>
      </c>
      <c r="Q45" s="1">
        <v>0.25206087357123486</v>
      </c>
      <c r="R45" s="100">
        <v>4676</v>
      </c>
      <c r="S45" s="100">
        <f t="shared" si="11"/>
        <v>841.52683296538771</v>
      </c>
      <c r="T45" s="101">
        <f t="shared" si="9"/>
        <v>3834.4731670346123</v>
      </c>
      <c r="U45" s="49">
        <v>40707</v>
      </c>
      <c r="V45" s="95"/>
      <c r="W45" s="95"/>
      <c r="X45" s="95"/>
      <c r="Y45" s="95"/>
      <c r="Z45" s="95"/>
      <c r="AE45" s="93">
        <f t="shared" si="12"/>
        <v>37802.5</v>
      </c>
      <c r="AF45" s="92">
        <f>Logistic2010!Q45</f>
        <v>9.2699625095272714E-2</v>
      </c>
      <c r="AG45" s="4">
        <f t="shared" si="10"/>
        <v>0.25206087357123486</v>
      </c>
      <c r="AH45" s="92">
        <f>Logistic2011!Q45</f>
        <v>6.3950040299436198E-2</v>
      </c>
      <c r="AI45" s="92">
        <f>Logistic2012!Q45</f>
        <v>0.25206087357123486</v>
      </c>
      <c r="AJ45" s="92">
        <f>Logistic2013!L45</f>
        <v>0.16927351386641812</v>
      </c>
      <c r="AK45" s="119">
        <f>Logistic2014!AK45</f>
        <v>0.18565891661671166</v>
      </c>
      <c r="AL45" s="119">
        <f t="shared" si="13"/>
        <v>0.16046865181814796</v>
      </c>
      <c r="AM45" s="113"/>
      <c r="AN45" s="113"/>
      <c r="AP45" s="113"/>
      <c r="AQ45" s="113"/>
      <c r="AR45" s="113"/>
      <c r="AS45" s="113"/>
      <c r="AT45" s="114"/>
      <c r="AU45" s="114"/>
    </row>
    <row r="46" spans="2:50" x14ac:dyDescent="0.25">
      <c r="B46" s="49"/>
      <c r="C46" s="79"/>
      <c r="D46" s="86" t="str">
        <f t="shared" si="14"/>
        <v/>
      </c>
      <c r="E46" s="81"/>
      <c r="F46" s="50" t="str">
        <f t="shared" si="15"/>
        <v/>
      </c>
      <c r="G46" s="16" t="str">
        <f t="shared" si="16"/>
        <v/>
      </c>
      <c r="H46" s="51" t="str">
        <f t="shared" si="17"/>
        <v/>
      </c>
      <c r="I46" s="54"/>
      <c r="J46" s="105">
        <f t="shared" si="7"/>
        <v>37803.5</v>
      </c>
      <c r="K46" s="109">
        <v>38</v>
      </c>
      <c r="L46" s="125">
        <f t="shared" si="5"/>
        <v>0.19946583619099989</v>
      </c>
      <c r="M46" s="46">
        <f t="shared" si="8"/>
        <v>0.13278990299316346</v>
      </c>
      <c r="N46" s="131">
        <v>0.13278990299316346</v>
      </c>
      <c r="O46" s="89">
        <f t="shared" si="6"/>
        <v>0.13278990299316346</v>
      </c>
      <c r="P46" s="48">
        <v>40360</v>
      </c>
      <c r="Q46" s="1">
        <v>0.30980777704027063</v>
      </c>
      <c r="R46" s="100">
        <v>3828</v>
      </c>
      <c r="S46" s="100">
        <f t="shared" si="11"/>
        <v>851.03775466529851</v>
      </c>
      <c r="T46" s="101">
        <f t="shared" si="9"/>
        <v>2976.9622453347015</v>
      </c>
      <c r="U46" s="49">
        <v>40708</v>
      </c>
      <c r="V46" s="95"/>
      <c r="W46" s="95"/>
      <c r="X46" s="95"/>
      <c r="Y46" s="95"/>
      <c r="Z46" s="95"/>
      <c r="AE46" s="93">
        <f t="shared" si="12"/>
        <v>37803.5</v>
      </c>
      <c r="AF46" s="92">
        <f>Logistic2010!Q46</f>
        <v>0.11093336918210217</v>
      </c>
      <c r="AG46" s="4">
        <f t="shared" si="10"/>
        <v>0.30980777704027063</v>
      </c>
      <c r="AH46" s="92">
        <f>Logistic2011!Q46</f>
        <v>8.0775952050874497E-2</v>
      </c>
      <c r="AI46" s="92">
        <f>Logistic2012!Q46</f>
        <v>0.30980777704027063</v>
      </c>
      <c r="AJ46" s="92">
        <f>Logistic2013!L46</f>
        <v>0.19891808737150862</v>
      </c>
      <c r="AK46" s="119">
        <f>Logistic2014!AK46</f>
        <v>0.21630525971395512</v>
      </c>
      <c r="AL46" s="119">
        <f t="shared" si="13"/>
        <v>0.19946583619099989</v>
      </c>
      <c r="AM46" s="113"/>
      <c r="AN46" s="113"/>
      <c r="AP46" s="113"/>
      <c r="AQ46" s="113"/>
      <c r="AR46" s="113"/>
      <c r="AS46" s="113"/>
      <c r="AT46" s="114"/>
      <c r="AU46" s="114"/>
    </row>
    <row r="47" spans="2:50" x14ac:dyDescent="0.25">
      <c r="B47" s="49"/>
      <c r="C47" s="79"/>
      <c r="D47" s="86" t="str">
        <f t="shared" si="14"/>
        <v/>
      </c>
      <c r="E47" s="81"/>
      <c r="F47" s="50" t="str">
        <f t="shared" si="15"/>
        <v/>
      </c>
      <c r="G47" s="16" t="str">
        <f t="shared" si="16"/>
        <v/>
      </c>
      <c r="H47" s="51" t="str">
        <f t="shared" si="17"/>
        <v/>
      </c>
      <c r="I47" s="54"/>
      <c r="J47" s="105">
        <f t="shared" si="7"/>
        <v>37804.5</v>
      </c>
      <c r="K47" s="109">
        <v>39</v>
      </c>
      <c r="L47" s="125">
        <f t="shared" si="5"/>
        <v>0.24517248913047268</v>
      </c>
      <c r="M47" s="46">
        <f t="shared" si="8"/>
        <v>0.17912459589298799</v>
      </c>
      <c r="N47" s="131">
        <v>0.17912459589298799</v>
      </c>
      <c r="O47" s="89">
        <f t="shared" si="6"/>
        <v>0.17912459589298799</v>
      </c>
      <c r="P47" s="48">
        <v>40361</v>
      </c>
      <c r="Q47" s="1">
        <v>0.37416608438208854</v>
      </c>
      <c r="R47" s="100">
        <v>3893</v>
      </c>
      <c r="S47" s="100">
        <f t="shared" si="11"/>
        <v>1056.2358854739764</v>
      </c>
      <c r="T47" s="101">
        <f t="shared" si="9"/>
        <v>2836.7641145260236</v>
      </c>
      <c r="U47" s="49">
        <v>40709</v>
      </c>
      <c r="V47" s="95"/>
      <c r="W47" s="95"/>
      <c r="X47" s="95"/>
      <c r="Y47" s="95"/>
      <c r="Z47" s="95"/>
      <c r="AE47" s="93">
        <f t="shared" si="12"/>
        <v>37804.5</v>
      </c>
      <c r="AF47" s="92">
        <f>Logistic2010!Q47</f>
        <v>0.13223093333791724</v>
      </c>
      <c r="AG47" s="4">
        <f t="shared" si="10"/>
        <v>0.37416608438208854</v>
      </c>
      <c r="AH47" s="92">
        <f>Logistic2011!Q47</f>
        <v>0.10154865709169383</v>
      </c>
      <c r="AI47" s="92">
        <f>Logistic2012!Q47</f>
        <v>0.37416608438208854</v>
      </c>
      <c r="AJ47" s="92">
        <f>Logistic2013!L47</f>
        <v>0.23230249502167508</v>
      </c>
      <c r="AK47" s="119">
        <f>Logistic2014!AK47</f>
        <v>0.25045449624933086</v>
      </c>
      <c r="AL47" s="119">
        <f t="shared" si="13"/>
        <v>0.24517248913047268</v>
      </c>
      <c r="AM47" s="115"/>
      <c r="AN47" s="115"/>
      <c r="AQ47" s="115"/>
      <c r="AR47" t="s">
        <v>28</v>
      </c>
      <c r="AS47"/>
      <c r="AT47"/>
      <c r="AU47"/>
      <c r="AV47"/>
      <c r="AW47"/>
      <c r="AX47"/>
    </row>
    <row r="48" spans="2:50" x14ac:dyDescent="0.25">
      <c r="B48" s="49"/>
      <c r="C48" s="79"/>
      <c r="D48" s="86" t="str">
        <f t="shared" si="14"/>
        <v/>
      </c>
      <c r="E48" s="81"/>
      <c r="F48" s="50" t="str">
        <f t="shared" si="15"/>
        <v/>
      </c>
      <c r="G48" s="16" t="str">
        <f t="shared" si="16"/>
        <v/>
      </c>
      <c r="H48" s="51" t="str">
        <f t="shared" si="17"/>
        <v/>
      </c>
      <c r="I48" s="54"/>
      <c r="J48" s="105">
        <f t="shared" si="7"/>
        <v>37805.5</v>
      </c>
      <c r="K48" s="109">
        <v>40</v>
      </c>
      <c r="L48" s="125">
        <f t="shared" si="5"/>
        <v>0.29746089667686176</v>
      </c>
      <c r="M48" s="46">
        <f t="shared" si="8"/>
        <v>0.23720467988333704</v>
      </c>
      <c r="N48" s="131">
        <v>0.23720467988333704</v>
      </c>
      <c r="O48" s="89">
        <f t="shared" si="6"/>
        <v>0.23720467988333704</v>
      </c>
      <c r="P48" s="48">
        <v>40362</v>
      </c>
      <c r="Q48" s="1">
        <v>0.44330675299696459</v>
      </c>
      <c r="R48" s="100">
        <v>3621</v>
      </c>
      <c r="S48" s="100">
        <f t="shared" si="11"/>
        <v>1182.4513220991973</v>
      </c>
      <c r="T48" s="101">
        <f>R48-S48</f>
        <v>2438.5486779008024</v>
      </c>
      <c r="U48" s="49">
        <v>40710</v>
      </c>
      <c r="V48" s="95"/>
      <c r="W48" s="95"/>
      <c r="X48" s="95"/>
      <c r="Y48" s="95"/>
      <c r="Z48" s="95"/>
      <c r="AE48" s="93">
        <f t="shared" si="12"/>
        <v>37805.5</v>
      </c>
      <c r="AF48" s="92">
        <f>Logistic2010!Q48</f>
        <v>0.15689575096130998</v>
      </c>
      <c r="AG48" s="4">
        <f t="shared" si="10"/>
        <v>0.44330675299696459</v>
      </c>
      <c r="AH48" s="92">
        <f>Logistic2011!Q48</f>
        <v>0.12692574439278323</v>
      </c>
      <c r="AI48" s="92">
        <f>Logistic2012!Q48</f>
        <v>0.44330675299696459</v>
      </c>
      <c r="AJ48" s="92">
        <f>Logistic2013!L48</f>
        <v>0.26940553732402189</v>
      </c>
      <c r="AK48" s="119">
        <f>Logistic2014!AK48</f>
        <v>0.28801370069768495</v>
      </c>
      <c r="AL48" s="119">
        <f t="shared" si="13"/>
        <v>0.29746089667686176</v>
      </c>
      <c r="AM48" s="110"/>
      <c r="AP48" s="110"/>
      <c r="AQ48" s="110"/>
      <c r="AR48"/>
      <c r="AS48"/>
      <c r="AT48"/>
      <c r="AU48"/>
      <c r="AV48"/>
      <c r="AW48"/>
      <c r="AX48"/>
    </row>
    <row r="49" spans="2:50" ht="16.5" thickBot="1" x14ac:dyDescent="0.3">
      <c r="B49" s="49"/>
      <c r="C49" s="79"/>
      <c r="D49" s="86" t="str">
        <f t="shared" si="14"/>
        <v/>
      </c>
      <c r="E49" s="81"/>
      <c r="F49" s="50" t="str">
        <f t="shared" si="15"/>
        <v/>
      </c>
      <c r="G49" s="16" t="str">
        <f t="shared" si="16"/>
        <v/>
      </c>
      <c r="H49" s="51" t="str">
        <f t="shared" si="17"/>
        <v/>
      </c>
      <c r="I49" s="54"/>
      <c r="J49" s="105">
        <f t="shared" si="7"/>
        <v>37806.5</v>
      </c>
      <c r="K49" s="109">
        <v>41</v>
      </c>
      <c r="L49" s="143">
        <f t="shared" si="5"/>
        <v>0.35564671011639831</v>
      </c>
      <c r="M49" s="46">
        <f t="shared" si="8"/>
        <v>0.30707218568713457</v>
      </c>
      <c r="N49" s="131">
        <v>0.30707218568713457</v>
      </c>
      <c r="O49" s="89">
        <f t="shared" si="6"/>
        <v>0.30707218568713457</v>
      </c>
      <c r="P49" s="4">
        <v>40363</v>
      </c>
      <c r="Q49" s="4">
        <v>0.51471586655781365</v>
      </c>
      <c r="R49" s="4">
        <v>2271</v>
      </c>
      <c r="S49" s="100">
        <f t="shared" si="11"/>
        <v>878.97001592183278</v>
      </c>
      <c r="T49" s="101">
        <f t="shared" ref="T49:T70" si="18">R49-S49</f>
        <v>1392.0299840781672</v>
      </c>
      <c r="U49" s="49">
        <v>40711</v>
      </c>
      <c r="V49" s="95"/>
      <c r="W49" s="95"/>
      <c r="X49" s="95"/>
      <c r="Y49" s="95"/>
      <c r="Z49" s="95"/>
      <c r="AE49" s="93">
        <f t="shared" si="12"/>
        <v>37806.5</v>
      </c>
      <c r="AF49" s="92">
        <f>Logistic2010!Q49</f>
        <v>0.1851794824455581</v>
      </c>
      <c r="AG49" s="4">
        <f t="shared" si="10"/>
        <v>0.51471586655781365</v>
      </c>
      <c r="AH49" s="92">
        <f>Logistic2011!Q49</f>
        <v>0.15753263507351994</v>
      </c>
      <c r="AI49" s="92">
        <f>Logistic2012!Q49</f>
        <v>0.51471586655781365</v>
      </c>
      <c r="AJ49" s="92">
        <f>Logistic2013!L49</f>
        <v>0.31004134142241851</v>
      </c>
      <c r="AK49" s="119">
        <f>Logistic2014!AK49</f>
        <v>0.32873512727698778</v>
      </c>
      <c r="AL49" s="119">
        <f t="shared" si="13"/>
        <v>0.35564671011639831</v>
      </c>
      <c r="AM49" s="110"/>
      <c r="AN49" s="110"/>
      <c r="AO49" s="110"/>
      <c r="AP49" s="110"/>
      <c r="AQ49" s="110"/>
      <c r="AR49" t="s">
        <v>29</v>
      </c>
      <c r="AS49"/>
      <c r="AT49"/>
      <c r="AU49"/>
      <c r="AV49"/>
      <c r="AW49"/>
      <c r="AX49"/>
    </row>
    <row r="50" spans="2:50" ht="16.5" thickBot="1" x14ac:dyDescent="0.3">
      <c r="B50" s="49"/>
      <c r="C50" s="79"/>
      <c r="D50" s="86" t="str">
        <f t="shared" si="14"/>
        <v/>
      </c>
      <c r="E50" s="81"/>
      <c r="F50" s="50" t="str">
        <f t="shared" si="15"/>
        <v/>
      </c>
      <c r="G50" s="16" t="str">
        <f t="shared" si="16"/>
        <v/>
      </c>
      <c r="H50" s="51" t="str">
        <f t="shared" si="17"/>
        <v/>
      </c>
      <c r="I50" s="54"/>
      <c r="J50" s="105">
        <f t="shared" si="7"/>
        <v>37807.5</v>
      </c>
      <c r="K50" s="109">
        <v>42</v>
      </c>
      <c r="L50" s="125">
        <f t="shared" si="5"/>
        <v>0.41843520615117785</v>
      </c>
      <c r="M50" s="46">
        <f t="shared" si="8"/>
        <v>0.38707606622199253</v>
      </c>
      <c r="N50" s="131">
        <v>0.38707606622199253</v>
      </c>
      <c r="O50" s="89">
        <f t="shared" si="6"/>
        <v>0.38707606622199253</v>
      </c>
      <c r="P50" s="4">
        <v>40364</v>
      </c>
      <c r="Q50" s="4">
        <v>0.58552915257129856</v>
      </c>
      <c r="R50" s="4">
        <v>2403</v>
      </c>
      <c r="S50" s="100">
        <f t="shared" si="11"/>
        <v>1084.2550443472492</v>
      </c>
      <c r="T50" s="101">
        <f t="shared" si="18"/>
        <v>1318.7449556527508</v>
      </c>
      <c r="U50" s="49">
        <v>40712</v>
      </c>
      <c r="V50" s="95">
        <v>3.5999999999999997E-2</v>
      </c>
      <c r="W50" s="95"/>
      <c r="X50" s="95"/>
      <c r="Y50" s="95"/>
      <c r="Z50" s="95"/>
      <c r="AE50" s="93">
        <f t="shared" si="12"/>
        <v>37807.5</v>
      </c>
      <c r="AF50" s="92">
        <f>Logistic2010!Q50</f>
        <v>0.21724812306999194</v>
      </c>
      <c r="AG50" s="4">
        <f t="shared" si="10"/>
        <v>0.58552915257129856</v>
      </c>
      <c r="AH50" s="92">
        <f>Logistic2011!Q50</f>
        <v>0.19388109788722835</v>
      </c>
      <c r="AI50" s="92">
        <f>Logistic2012!Q50</f>
        <v>0.58552915257129856</v>
      </c>
      <c r="AJ50" s="92">
        <f>Logistic2013!L50</f>
        <v>0.35383793526166868</v>
      </c>
      <c r="AK50" s="119">
        <f>Logistic2014!AK50</f>
        <v>0.37220420551064748</v>
      </c>
      <c r="AL50" s="119">
        <f t="shared" si="13"/>
        <v>0.41843520615117785</v>
      </c>
      <c r="AM50" s="113"/>
      <c r="AN50" s="113"/>
      <c r="AO50" s="113"/>
      <c r="AQ50" s="113"/>
      <c r="AR50" s="112" t="s">
        <v>30</v>
      </c>
      <c r="AS50" s="112" t="s">
        <v>31</v>
      </c>
      <c r="AT50" s="112" t="s">
        <v>32</v>
      </c>
      <c r="AU50" s="112" t="s">
        <v>33</v>
      </c>
      <c r="AV50" s="112" t="s">
        <v>34</v>
      </c>
      <c r="AW50"/>
      <c r="AX50"/>
    </row>
    <row r="51" spans="2:50" x14ac:dyDescent="0.25">
      <c r="B51" s="49"/>
      <c r="C51" s="79"/>
      <c r="D51" s="86" t="str">
        <f t="shared" si="14"/>
        <v/>
      </c>
      <c r="E51" s="81"/>
      <c r="F51" s="50" t="str">
        <f t="shared" si="15"/>
        <v/>
      </c>
      <c r="G51" s="16" t="str">
        <f t="shared" si="16"/>
        <v/>
      </c>
      <c r="H51" s="51" t="str">
        <f t="shared" si="17"/>
        <v/>
      </c>
      <c r="I51" s="54"/>
      <c r="J51" s="105">
        <f t="shared" si="7"/>
        <v>37808.5</v>
      </c>
      <c r="K51" s="109">
        <v>43</v>
      </c>
      <c r="L51" s="125">
        <f t="shared" si="5"/>
        <v>0.4839826418282222</v>
      </c>
      <c r="M51" s="46">
        <f t="shared" si="8"/>
        <v>0.47367530224191001</v>
      </c>
      <c r="N51" s="131">
        <v>0.47367530224191001</v>
      </c>
      <c r="O51" s="89">
        <f t="shared" si="6"/>
        <v>0.47367530224191001</v>
      </c>
      <c r="P51" s="4">
        <v>40365</v>
      </c>
      <c r="Q51" s="4">
        <v>0.65297594566306583</v>
      </c>
      <c r="R51" s="4">
        <v>2644</v>
      </c>
      <c r="S51" s="100">
        <f t="shared" si="11"/>
        <v>1367.0385598117157</v>
      </c>
      <c r="T51" s="101">
        <f t="shared" si="18"/>
        <v>1276.9614401882843</v>
      </c>
      <c r="U51" s="40">
        <v>40713</v>
      </c>
      <c r="V51" s="95"/>
      <c r="W51" s="95"/>
      <c r="X51" s="95"/>
      <c r="Y51" s="95"/>
      <c r="Z51" s="95"/>
      <c r="AE51" s="93">
        <f t="shared" si="12"/>
        <v>37808.5</v>
      </c>
      <c r="AF51" s="92">
        <f>Logistic2010!Q51</f>
        <v>0.25314493902860469</v>
      </c>
      <c r="AG51" s="4">
        <f t="shared" si="10"/>
        <v>0.65297594566306583</v>
      </c>
      <c r="AH51" s="92">
        <f>Logistic2011!Q51</f>
        <v>0.2362644112915534</v>
      </c>
      <c r="AI51" s="92">
        <f>Logistic2012!Q51</f>
        <v>0.65297594566306583</v>
      </c>
      <c r="AJ51" s="92">
        <f>Logistic2013!L51</f>
        <v>0.40023244913820061</v>
      </c>
      <c r="AK51" s="119">
        <f>Logistic2014!AK51</f>
        <v>0.41784330704514244</v>
      </c>
      <c r="AL51" s="119">
        <f t="shared" si="13"/>
        <v>0.4839826418282222</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14"/>
        <v/>
      </c>
      <c r="E52" s="81"/>
      <c r="F52" s="50" t="str">
        <f t="shared" si="15"/>
        <v/>
      </c>
      <c r="G52" s="16" t="str">
        <f t="shared" si="16"/>
        <v/>
      </c>
      <c r="H52" s="51" t="str">
        <f t="shared" si="17"/>
        <v/>
      </c>
      <c r="I52" s="54"/>
      <c r="J52" s="105">
        <f t="shared" si="7"/>
        <v>37809.5</v>
      </c>
      <c r="K52" s="109">
        <v>44</v>
      </c>
      <c r="L52" s="125">
        <f t="shared" si="5"/>
        <v>0.55008586029864304</v>
      </c>
      <c r="M52" s="46">
        <f t="shared" si="8"/>
        <v>0.56188779335925654</v>
      </c>
      <c r="N52" s="131">
        <v>0.56188779335925654</v>
      </c>
      <c r="O52" s="89">
        <f t="shared" si="6"/>
        <v>0.56188779335925654</v>
      </c>
      <c r="P52" s="4">
        <v>40366</v>
      </c>
      <c r="Q52" s="4">
        <v>0.71479326435445212</v>
      </c>
      <c r="R52" s="4">
        <v>1901</v>
      </c>
      <c r="S52" s="100">
        <f t="shared" si="11"/>
        <v>1106.9070779014712</v>
      </c>
      <c r="T52" s="101">
        <f t="shared" si="18"/>
        <v>794.09292209852879</v>
      </c>
      <c r="U52" s="49">
        <v>40714</v>
      </c>
      <c r="V52" s="95"/>
      <c r="W52" s="95"/>
      <c r="X52" s="95"/>
      <c r="Y52" s="95"/>
      <c r="Z52" s="95"/>
      <c r="AE52" s="93">
        <f t="shared" si="12"/>
        <v>37809.5</v>
      </c>
      <c r="AF52" s="92">
        <f>Logistic2010!Q52</f>
        <v>0.29275475741502793</v>
      </c>
      <c r="AG52" s="4">
        <f t="shared" si="10"/>
        <v>0.71479326435445212</v>
      </c>
      <c r="AH52" s="92">
        <f>Logistic2011!Q52</f>
        <v>0.28464136726106892</v>
      </c>
      <c r="AI52" s="92">
        <f>Logistic2012!Q52</f>
        <v>0.71479326435445212</v>
      </c>
      <c r="AJ52" s="92">
        <f>Logistic2013!L52</f>
        <v>0.44848792399421938</v>
      </c>
      <c r="AK52" s="119">
        <f>Logistic2014!AK52</f>
        <v>0.46493416339222882</v>
      </c>
      <c r="AL52" s="119">
        <f t="shared" si="13"/>
        <v>0.55008586029864304</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14"/>
        <v/>
      </c>
      <c r="E53" s="81"/>
      <c r="F53" s="50" t="str">
        <f t="shared" si="15"/>
        <v/>
      </c>
      <c r="G53" s="16" t="str">
        <f t="shared" si="16"/>
        <v/>
      </c>
      <c r="H53" s="51" t="str">
        <f t="shared" si="17"/>
        <v/>
      </c>
      <c r="I53" s="54"/>
      <c r="J53" s="105">
        <f t="shared" si="7"/>
        <v>37810.5</v>
      </c>
      <c r="K53" s="109">
        <v>45</v>
      </c>
      <c r="L53" s="125">
        <f t="shared" si="5"/>
        <v>0.61446656253299436</v>
      </c>
      <c r="M53" s="46">
        <f t="shared" si="8"/>
        <v>0.64635389784882469</v>
      </c>
      <c r="N53" s="130">
        <v>0.64635389784882469</v>
      </c>
      <c r="O53" s="89">
        <f t="shared" si="6"/>
        <v>0.64635389784882469</v>
      </c>
      <c r="P53" s="4">
        <v>40367</v>
      </c>
      <c r="Q53" s="4">
        <v>0.76948613379160047</v>
      </c>
      <c r="R53" s="4">
        <v>2421</v>
      </c>
      <c r="S53" s="100">
        <f t="shared" si="11"/>
        <v>1560.9916947745744</v>
      </c>
      <c r="T53" s="101">
        <f t="shared" si="18"/>
        <v>860.0083052254256</v>
      </c>
      <c r="U53" s="49">
        <v>40715</v>
      </c>
      <c r="V53" s="95"/>
      <c r="W53" s="95"/>
      <c r="X53" s="95"/>
      <c r="Y53" s="95"/>
      <c r="Z53" s="95"/>
      <c r="AE53" s="93">
        <f t="shared" si="12"/>
        <v>37810.5</v>
      </c>
      <c r="AF53" s="92">
        <f>Logistic2010!Q53</f>
        <v>0.33577592018640684</v>
      </c>
      <c r="AG53" s="4">
        <f t="shared" si="10"/>
        <v>0.76948613379160047</v>
      </c>
      <c r="AH53" s="92">
        <f>Logistic2011!Q53</f>
        <v>0.33853314511451504</v>
      </c>
      <c r="AI53" s="92">
        <f>Logistic2012!Q53</f>
        <v>0.76948613379160047</v>
      </c>
      <c r="AJ53" s="92">
        <f>Logistic2013!L53</f>
        <v>0.49773319182267894</v>
      </c>
      <c r="AK53" s="119">
        <f>Logistic2014!AK53</f>
        <v>0.51265858710560919</v>
      </c>
      <c r="AL53" s="119">
        <f t="shared" si="13"/>
        <v>0.61446656253299436</v>
      </c>
      <c r="AM53" s="115"/>
      <c r="AO53" s="115"/>
      <c r="AP53" s="115"/>
      <c r="AQ53" s="115"/>
      <c r="AR53"/>
      <c r="AS53"/>
      <c r="AT53"/>
      <c r="AU53"/>
      <c r="AV53"/>
      <c r="AW53"/>
      <c r="AX53"/>
    </row>
    <row r="54" spans="2:50" x14ac:dyDescent="0.25">
      <c r="B54" s="49"/>
      <c r="C54" s="79"/>
      <c r="D54" s="86" t="str">
        <f t="shared" si="14"/>
        <v/>
      </c>
      <c r="E54" s="81"/>
      <c r="F54" s="50" t="str">
        <f t="shared" si="15"/>
        <v/>
      </c>
      <c r="G54" s="16" t="str">
        <f t="shared" si="16"/>
        <v/>
      </c>
      <c r="H54" s="51" t="str">
        <f t="shared" si="17"/>
        <v/>
      </c>
      <c r="I54" s="54"/>
      <c r="J54" s="105">
        <f t="shared" si="7"/>
        <v>37811.5</v>
      </c>
      <c r="K54" s="109">
        <v>46</v>
      </c>
      <c r="L54" s="125">
        <f t="shared" si="5"/>
        <v>0.67507634930060689</v>
      </c>
      <c r="M54" s="46">
        <f t="shared" si="8"/>
        <v>0.72257565187378159</v>
      </c>
      <c r="N54" s="130">
        <v>0.72257565187378159</v>
      </c>
      <c r="O54" s="89">
        <f t="shared" si="6"/>
        <v>0.72257565187378159</v>
      </c>
      <c r="P54" s="4">
        <v>40368</v>
      </c>
      <c r="Q54" s="4">
        <v>0.81638498403003179</v>
      </c>
      <c r="R54" s="4">
        <v>2560</v>
      </c>
      <c r="S54" s="100">
        <f t="shared" si="11"/>
        <v>1798.9319848745877</v>
      </c>
      <c r="T54" s="101">
        <f t="shared" si="18"/>
        <v>761.06801512541233</v>
      </c>
      <c r="U54" s="49">
        <v>40716</v>
      </c>
      <c r="V54" s="95"/>
      <c r="W54" s="95"/>
      <c r="X54" s="95"/>
      <c r="Y54" s="95"/>
      <c r="Z54" s="95"/>
      <c r="AE54" s="93">
        <f t="shared" si="12"/>
        <v>37811.5</v>
      </c>
      <c r="AF54" s="92">
        <f>Logistic2010!Q54</f>
        <v>0.3817070776941604</v>
      </c>
      <c r="AG54" s="4">
        <f t="shared" si="10"/>
        <v>0.81638498403003179</v>
      </c>
      <c r="AH54" s="92">
        <f>Logistic2011!Q54</f>
        <v>0.39696628169175319</v>
      </c>
      <c r="AI54" s="92">
        <f>Logistic2012!Q54</f>
        <v>0.81638498403003179</v>
      </c>
      <c r="AJ54" s="92">
        <f>Logistic2013!L54</f>
        <v>0.54702247769245926</v>
      </c>
      <c r="AK54" s="119">
        <f>Logistic2014!AK54</f>
        <v>0.56015332200960266</v>
      </c>
      <c r="AL54" s="119">
        <f t="shared" si="13"/>
        <v>0.67507634930060689</v>
      </c>
      <c r="AM54" s="110"/>
      <c r="AN54" s="110"/>
      <c r="AO54" s="110"/>
      <c r="AQ54" s="110"/>
      <c r="AR54"/>
      <c r="AS54"/>
      <c r="AT54"/>
      <c r="AU54"/>
      <c r="AV54"/>
      <c r="AW54"/>
      <c r="AX54"/>
    </row>
    <row r="55" spans="2:50" ht="16.5" thickBot="1" x14ac:dyDescent="0.3">
      <c r="B55" s="49"/>
      <c r="C55" s="79"/>
      <c r="D55" s="86" t="str">
        <f t="shared" si="14"/>
        <v/>
      </c>
      <c r="E55" s="81"/>
      <c r="F55" s="50" t="str">
        <f t="shared" si="15"/>
        <v/>
      </c>
      <c r="G55" s="16" t="str">
        <f t="shared" si="16"/>
        <v/>
      </c>
      <c r="H55" s="51" t="str">
        <f t="shared" si="17"/>
        <v/>
      </c>
      <c r="I55" s="54"/>
      <c r="J55" s="105">
        <f t="shared" si="7"/>
        <v>37812.5</v>
      </c>
      <c r="K55" s="109">
        <v>47</v>
      </c>
      <c r="L55" s="125">
        <f t="shared" si="5"/>
        <v>0.73033926388266468</v>
      </c>
      <c r="M55" s="46">
        <f t="shared" si="8"/>
        <v>0.67992615512835608</v>
      </c>
      <c r="N55" s="131">
        <v>0.67992615512835608</v>
      </c>
      <c r="O55" s="89">
        <f t="shared" si="6"/>
        <v>0.67992615512835608</v>
      </c>
      <c r="P55" s="4">
        <v>40369</v>
      </c>
      <c r="Q55" s="4">
        <v>0.85553350414652685</v>
      </c>
      <c r="R55" s="4">
        <v>3011</v>
      </c>
      <c r="S55" s="100">
        <f t="shared" si="11"/>
        <v>2272.7261108355137</v>
      </c>
      <c r="T55" s="101">
        <f t="shared" si="18"/>
        <v>738.27388916448626</v>
      </c>
      <c r="U55" s="49">
        <v>40717</v>
      </c>
      <c r="V55" s="95"/>
      <c r="W55" s="95"/>
      <c r="X55" s="95"/>
      <c r="Y55" s="95"/>
      <c r="Z55" s="95"/>
      <c r="AE55" s="93">
        <f t="shared" si="12"/>
        <v>37812.5</v>
      </c>
      <c r="AF55" s="92">
        <f>Logistic2010!Q55</f>
        <v>0.42985515834963317</v>
      </c>
      <c r="AG55" s="4">
        <f t="shared" si="10"/>
        <v>0.85553350414652685</v>
      </c>
      <c r="AH55" s="92">
        <f>Logistic2011!Q55</f>
        <v>0.45849431667616858</v>
      </c>
      <c r="AI55" s="92">
        <f>Logistic2012!Q55</f>
        <v>0.85553350414652685</v>
      </c>
      <c r="AJ55" s="92">
        <f>Logistic2013!L55</f>
        <v>0.59540663680406558</v>
      </c>
      <c r="AK55" s="119">
        <f>Logistic2014!AK55</f>
        <v>0.60657155343516</v>
      </c>
      <c r="AL55" s="119">
        <f t="shared" si="13"/>
        <v>0.73033926388266468</v>
      </c>
      <c r="AM55" s="110"/>
      <c r="AN55" s="110"/>
      <c r="AP55" s="110"/>
      <c r="AQ55" s="110"/>
      <c r="AR55" t="s">
        <v>35</v>
      </c>
      <c r="AS55"/>
      <c r="AT55"/>
      <c r="AU55"/>
      <c r="AV55"/>
      <c r="AW55"/>
      <c r="AX55"/>
    </row>
    <row r="56" spans="2:50" x14ac:dyDescent="0.25">
      <c r="B56" s="49"/>
      <c r="C56" s="79"/>
      <c r="D56" s="86" t="str">
        <f t="shared" si="14"/>
        <v/>
      </c>
      <c r="E56" s="81"/>
      <c r="F56" s="50" t="str">
        <f t="shared" si="15"/>
        <v/>
      </c>
      <c r="G56" s="16" t="str">
        <f t="shared" si="16"/>
        <v/>
      </c>
      <c r="H56" s="51" t="str">
        <f t="shared" si="17"/>
        <v/>
      </c>
      <c r="I56" s="54"/>
      <c r="J56" s="105">
        <f t="shared" si="7"/>
        <v>37813.5</v>
      </c>
      <c r="K56" s="109">
        <v>48</v>
      </c>
      <c r="L56" s="125">
        <f t="shared" si="5"/>
        <v>0.77927621990047291</v>
      </c>
      <c r="M56" s="46">
        <f t="shared" si="8"/>
        <v>0.73462826392623781</v>
      </c>
      <c r="N56" s="131">
        <v>0.73462826392623781</v>
      </c>
      <c r="O56" s="89">
        <f t="shared" si="6"/>
        <v>0.73462826392623781</v>
      </c>
      <c r="P56" s="4">
        <v>40370</v>
      </c>
      <c r="Q56" s="4">
        <v>0.88748554172196392</v>
      </c>
      <c r="R56" s="4">
        <v>582</v>
      </c>
      <c r="S56" s="100">
        <f t="shared" si="11"/>
        <v>465.82669705864879</v>
      </c>
      <c r="T56" s="101">
        <f t="shared" si="18"/>
        <v>116.17330294135121</v>
      </c>
      <c r="U56" s="49">
        <v>40718</v>
      </c>
      <c r="V56" s="95"/>
      <c r="W56" s="95"/>
      <c r="X56" s="95"/>
      <c r="Y56" s="95"/>
      <c r="Z56" s="95"/>
      <c r="AE56" s="93">
        <f t="shared" si="12"/>
        <v>37813.5</v>
      </c>
      <c r="AF56" s="92">
        <f>Logistic2010!Q56</f>
        <v>0.47936786629286093</v>
      </c>
      <c r="AG56" s="4">
        <f t="shared" si="10"/>
        <v>0.88748554172196392</v>
      </c>
      <c r="AH56" s="92">
        <f>Logistic2011!Q56</f>
        <v>0.52131468367366807</v>
      </c>
      <c r="AI56" s="92">
        <f>Logistic2012!Q56</f>
        <v>0.88748554172196392</v>
      </c>
      <c r="AJ56" s="92">
        <f>Logistic2013!L56</f>
        <v>0.64200492795904929</v>
      </c>
      <c r="AK56" s="119">
        <f>Logistic2014!AK56</f>
        <v>0.65114196868570062</v>
      </c>
      <c r="AL56" s="119">
        <f t="shared" si="13"/>
        <v>0.77927621990047291</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14"/>
        <v/>
      </c>
      <c r="E57" s="81"/>
      <c r="F57" s="50" t="str">
        <f t="shared" si="15"/>
        <v/>
      </c>
      <c r="G57" s="16" t="str">
        <f t="shared" si="16"/>
        <v/>
      </c>
      <c r="H57" s="51" t="str">
        <f t="shared" si="17"/>
        <v/>
      </c>
      <c r="I57" s="54"/>
      <c r="J57" s="105">
        <f t="shared" si="7"/>
        <v>37814.5</v>
      </c>
      <c r="K57" s="109">
        <v>49</v>
      </c>
      <c r="L57" s="125">
        <f t="shared" si="5"/>
        <v>0.82150280779247842</v>
      </c>
      <c r="M57" s="46">
        <f t="shared" si="8"/>
        <v>0.78296570483334704</v>
      </c>
      <c r="N57" s="131">
        <v>0.78296570483334704</v>
      </c>
      <c r="O57" s="89">
        <f t="shared" si="6"/>
        <v>0.78296570483334704</v>
      </c>
      <c r="P57" s="4">
        <v>40371</v>
      </c>
      <c r="Q57" s="4">
        <v>0.91308857223820117</v>
      </c>
      <c r="R57" s="4">
        <v>2638</v>
      </c>
      <c r="S57" s="100">
        <f t="shared" si="11"/>
        <v>2214.1194170000722</v>
      </c>
      <c r="T57" s="101">
        <f t="shared" si="18"/>
        <v>423.88058299992781</v>
      </c>
      <c r="U57" s="49">
        <v>40719</v>
      </c>
      <c r="V57" s="95">
        <v>7.0000000000000001E-3</v>
      </c>
      <c r="W57" s="95"/>
      <c r="X57" s="95"/>
      <c r="Y57" s="95"/>
      <c r="Z57" s="95"/>
      <c r="AE57" s="93">
        <f t="shared" si="12"/>
        <v>37814.5</v>
      </c>
      <c r="AF57" s="92">
        <f>Logistic2010!Q57</f>
        <v>0.52928924873066352</v>
      </c>
      <c r="AG57" s="4">
        <f t="shared" si="10"/>
        <v>0.91308857223820117</v>
      </c>
      <c r="AH57" s="92">
        <f>Logistic2011!Q57</f>
        <v>0.58346805352827824</v>
      </c>
      <c r="AI57" s="92">
        <f>Logistic2012!Q57</f>
        <v>0.91308857223820117</v>
      </c>
      <c r="AJ57" s="92">
        <f>Logistic2013!L57</f>
        <v>0.68606608243321232</v>
      </c>
      <c r="AK57" s="119">
        <f>Logistic2014!AK57</f>
        <v>0.69321686759508971</v>
      </c>
      <c r="AL57" s="119">
        <f t="shared" si="13"/>
        <v>0.82150280779247842</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14"/>
        <v/>
      </c>
      <c r="E58" s="81"/>
      <c r="F58" s="50" t="str">
        <f t="shared" si="15"/>
        <v/>
      </c>
      <c r="G58" s="16" t="str">
        <f t="shared" si="16"/>
        <v/>
      </c>
      <c r="H58" s="51" t="str">
        <f t="shared" si="17"/>
        <v/>
      </c>
      <c r="I58" s="54"/>
      <c r="J58" s="105">
        <f t="shared" si="7"/>
        <v>37815.5</v>
      </c>
      <c r="K58" s="109">
        <v>50</v>
      </c>
      <c r="L58" s="125">
        <f t="shared" si="5"/>
        <v>0.85713208000135932</v>
      </c>
      <c r="M58" s="46">
        <f t="shared" si="8"/>
        <v>0.82460067927314873</v>
      </c>
      <c r="N58" s="130">
        <v>0.82460067927314873</v>
      </c>
      <c r="O58" s="89">
        <f t="shared" si="6"/>
        <v>0.82460067927314873</v>
      </c>
      <c r="P58" s="4">
        <v>40372</v>
      </c>
      <c r="Q58" s="4">
        <v>0.93330339143718788</v>
      </c>
      <c r="R58" s="4">
        <v>4264</v>
      </c>
      <c r="S58" s="100">
        <f t="shared" si="11"/>
        <v>3717.7027862130517</v>
      </c>
      <c r="T58" s="101">
        <f t="shared" si="18"/>
        <v>546.2972137869483</v>
      </c>
      <c r="U58" s="40">
        <v>40720</v>
      </c>
      <c r="V58" s="95"/>
      <c r="W58" s="95"/>
      <c r="X58" s="95"/>
      <c r="Y58" s="95"/>
      <c r="Z58" s="95"/>
      <c r="AE58" s="93">
        <f t="shared" si="12"/>
        <v>37815.5</v>
      </c>
      <c r="AF58" s="92">
        <f>Logistic2010!Q58</f>
        <v>0.57863147408369076</v>
      </c>
      <c r="AG58" s="4">
        <f t="shared" si="10"/>
        <v>0.93330339143718788</v>
      </c>
      <c r="AH58" s="92">
        <f>Logistic2011!Q58</f>
        <v>0.64307659747584256</v>
      </c>
      <c r="AI58" s="92">
        <f>Logistic2012!Q58</f>
        <v>0.93330339143718788</v>
      </c>
      <c r="AJ58" s="92">
        <f>Logistic2013!L58</f>
        <v>0.7270102102463335</v>
      </c>
      <c r="AK58" s="119">
        <f>Logistic2014!AK58</f>
        <v>0.73230345881884595</v>
      </c>
      <c r="AL58" s="119">
        <f t="shared" si="13"/>
        <v>0.85713208000135932</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14"/>
        <v/>
      </c>
      <c r="E59" s="81"/>
      <c r="F59" s="50" t="str">
        <f t="shared" si="15"/>
        <v/>
      </c>
      <c r="G59" s="16" t="str">
        <f t="shared" si="16"/>
        <v/>
      </c>
      <c r="H59" s="51" t="str">
        <f t="shared" si="17"/>
        <v/>
      </c>
      <c r="I59" s="54"/>
      <c r="J59" s="105">
        <f t="shared" si="7"/>
        <v>37816.5</v>
      </c>
      <c r="K59" s="109">
        <v>51</v>
      </c>
      <c r="L59" s="125">
        <f t="shared" si="5"/>
        <v>0.88663095293159155</v>
      </c>
      <c r="M59" s="46">
        <f t="shared" si="8"/>
        <v>0.85967998350172414</v>
      </c>
      <c r="N59" s="130">
        <v>0.85967998350172414</v>
      </c>
      <c r="O59" s="89">
        <f t="shared" si="6"/>
        <v>0.85967998350172414</v>
      </c>
      <c r="P59" s="4">
        <v>40373</v>
      </c>
      <c r="Q59" s="4">
        <v>0.94907863528681002</v>
      </c>
      <c r="R59" s="4">
        <v>29205</v>
      </c>
      <c r="S59" s="100">
        <f t="shared" si="11"/>
        <v>26245.142037541176</v>
      </c>
      <c r="T59" s="101">
        <f t="shared" si="18"/>
        <v>2959.8579624588237</v>
      </c>
      <c r="U59" s="49">
        <v>40721</v>
      </c>
      <c r="V59" s="95"/>
      <c r="W59" s="95"/>
      <c r="X59" s="95"/>
      <c r="Y59" s="95"/>
      <c r="Z59" s="95"/>
      <c r="AE59" s="93">
        <f t="shared" si="12"/>
        <v>37816.5</v>
      </c>
      <c r="AF59" s="92">
        <f>Logistic2010!Q59</f>
        <v>0.62645177427350185</v>
      </c>
      <c r="AG59" s="4">
        <f t="shared" si="10"/>
        <v>0.94907863528681002</v>
      </c>
      <c r="AH59" s="92">
        <f>Logistic2011!Q59</f>
        <v>0.69856182420049406</v>
      </c>
      <c r="AI59" s="92">
        <f>Logistic2012!Q59</f>
        <v>0.94907863528681002</v>
      </c>
      <c r="AJ59" s="92">
        <f>Logistic2013!L59</f>
        <v>0.76444773045159664</v>
      </c>
      <c r="AK59" s="119">
        <f>Logistic2014!AK59</f>
        <v>0.76807620704019175</v>
      </c>
      <c r="AL59" s="119">
        <f t="shared" si="13"/>
        <v>0.88663095293159155</v>
      </c>
      <c r="AM59" s="114"/>
      <c r="AN59" s="114"/>
      <c r="AO59" s="114"/>
      <c r="AP59" s="114"/>
      <c r="AQ59" s="114"/>
      <c r="AR59" s="110"/>
      <c r="AS59" s="110"/>
      <c r="AT59" s="110"/>
      <c r="AU59" s="110"/>
      <c r="AV59" s="110"/>
      <c r="AW59" s="110"/>
      <c r="AX59" s="110"/>
    </row>
    <row r="60" spans="2:50" ht="16.5" thickBot="1" x14ac:dyDescent="0.3">
      <c r="B60" s="49"/>
      <c r="C60" s="79"/>
      <c r="D60" s="86" t="str">
        <f t="shared" si="14"/>
        <v/>
      </c>
      <c r="E60" s="81"/>
      <c r="F60" s="50" t="str">
        <f t="shared" si="15"/>
        <v/>
      </c>
      <c r="G60" s="16" t="str">
        <f t="shared" si="16"/>
        <v/>
      </c>
      <c r="H60" s="51" t="str">
        <f t="shared" si="17"/>
        <v/>
      </c>
      <c r="I60" s="54"/>
      <c r="J60" s="105">
        <f t="shared" si="7"/>
        <v>37817.5</v>
      </c>
      <c r="K60" s="109">
        <v>52</v>
      </c>
      <c r="L60" s="125">
        <f t="shared" si="5"/>
        <v>0.91067375773721004</v>
      </c>
      <c r="M60" s="46">
        <f t="shared" si="8"/>
        <v>0.8886905657803027</v>
      </c>
      <c r="N60" s="131">
        <v>0.8886905657803027</v>
      </c>
      <c r="O60" s="89">
        <f t="shared" si="6"/>
        <v>0.8886905657803027</v>
      </c>
      <c r="P60" s="4">
        <v>40374</v>
      </c>
      <c r="Q60" s="4">
        <v>0.96127748661561918</v>
      </c>
      <c r="R60" s="4">
        <v>27768</v>
      </c>
      <c r="S60" s="100">
        <f t="shared" si="11"/>
        <v>25556.193738827853</v>
      </c>
      <c r="T60" s="101">
        <f t="shared" si="18"/>
        <v>2211.8062611721471</v>
      </c>
      <c r="U60" s="49">
        <v>40722</v>
      </c>
      <c r="V60" s="95"/>
      <c r="W60" s="95"/>
      <c r="X60" s="95"/>
      <c r="Y60" s="95"/>
      <c r="Z60" s="95"/>
      <c r="AE60" s="93">
        <f t="shared" si="12"/>
        <v>37817.5</v>
      </c>
      <c r="AF60" s="92">
        <f>Logistic2010!Q60</f>
        <v>0.6719221112063114</v>
      </c>
      <c r="AG60" s="4">
        <f t="shared" si="10"/>
        <v>0.96127748661561918</v>
      </c>
      <c r="AH60" s="92">
        <f>Logistic2011!Q60</f>
        <v>0.74879103833236005</v>
      </c>
      <c r="AI60" s="92">
        <f>Logistic2012!Q60</f>
        <v>0.96127748661561918</v>
      </c>
      <c r="AJ60" s="92">
        <f>Logistic2013!L60</f>
        <v>0.79817638699971571</v>
      </c>
      <c r="AK60" s="119">
        <f>Logistic2014!AK60</f>
        <v>0.80037172674720769</v>
      </c>
      <c r="AL60" s="119">
        <f t="shared" si="13"/>
        <v>0.91067375773721004</v>
      </c>
      <c r="AM60" s="113"/>
      <c r="AO60" s="113"/>
      <c r="AP60" s="113"/>
      <c r="AQ60" s="113"/>
      <c r="AR60" s="111" t="s">
        <v>45</v>
      </c>
      <c r="AS60" s="111">
        <v>3.4619470909090904</v>
      </c>
      <c r="AT60" s="111">
        <v>21</v>
      </c>
      <c r="AU60" s="111"/>
      <c r="AV60" s="111"/>
      <c r="AW60" s="111"/>
      <c r="AX60" s="111"/>
    </row>
    <row r="61" spans="2:50" x14ac:dyDescent="0.25">
      <c r="B61" s="49"/>
      <c r="C61" s="79"/>
      <c r="D61" s="86" t="str">
        <f t="shared" si="14"/>
        <v/>
      </c>
      <c r="E61" s="81"/>
      <c r="F61" s="50" t="str">
        <f t="shared" si="15"/>
        <v/>
      </c>
      <c r="G61" s="16" t="str">
        <f t="shared" si="16"/>
        <v/>
      </c>
      <c r="H61" s="51" t="str">
        <f t="shared" si="17"/>
        <v/>
      </c>
      <c r="I61" s="54"/>
      <c r="J61" s="105">
        <f t="shared" si="7"/>
        <v>37818.5</v>
      </c>
      <c r="K61" s="109">
        <v>53</v>
      </c>
      <c r="L61" s="125">
        <f t="shared" si="5"/>
        <v>0.93002011570184584</v>
      </c>
      <c r="M61" s="46">
        <f t="shared" si="8"/>
        <v>0.91231509064301375</v>
      </c>
      <c r="N61" s="130">
        <v>0.91231509064301375</v>
      </c>
      <c r="O61" s="89">
        <f t="shared" si="6"/>
        <v>0.91231509064301375</v>
      </c>
      <c r="P61" s="4">
        <v>40375</v>
      </c>
      <c r="Q61" s="4">
        <v>0.97064434164342128</v>
      </c>
      <c r="R61" s="4">
        <v>21508</v>
      </c>
      <c r="S61" s="100">
        <f t="shared" si="11"/>
        <v>20168.563794259127</v>
      </c>
      <c r="T61" s="101">
        <f t="shared" si="18"/>
        <v>1339.4362057408725</v>
      </c>
      <c r="U61" s="49">
        <v>40723</v>
      </c>
      <c r="V61" s="95"/>
      <c r="W61" s="95"/>
      <c r="X61" s="95"/>
      <c r="Y61" s="95"/>
      <c r="Z61" s="95"/>
      <c r="AC61" s="93">
        <v>37783</v>
      </c>
      <c r="AD61" s="95">
        <v>2.4E-2</v>
      </c>
      <c r="AE61" s="93">
        <f t="shared" si="12"/>
        <v>37818.5</v>
      </c>
      <c r="AF61" s="92">
        <f>Logistic2010!Q61</f>
        <v>0.71438108258813315</v>
      </c>
      <c r="AG61" s="4">
        <f t="shared" si="10"/>
        <v>0.97064434164342128</v>
      </c>
      <c r="AH61" s="92">
        <f>Logistic2011!Q61</f>
        <v>0.79312907861690396</v>
      </c>
      <c r="AI61" s="92">
        <f>Logistic2012!Q61</f>
        <v>0.97064434164342128</v>
      </c>
      <c r="AJ61" s="92">
        <f>Logistic2013!L61</f>
        <v>0.82816108437109193</v>
      </c>
      <c r="AK61" s="119">
        <f>Logistic2014!AK61</f>
        <v>0.82917030340634412</v>
      </c>
      <c r="AL61" s="119">
        <f t="shared" si="13"/>
        <v>0.93002011570184584</v>
      </c>
      <c r="AM61" s="113"/>
      <c r="AN61" s="113"/>
      <c r="AO61" s="113"/>
      <c r="AP61" s="113"/>
      <c r="AQ61" s="113"/>
      <c r="AR61" s="113"/>
      <c r="AS61" s="113"/>
      <c r="AT61" s="114"/>
      <c r="AU61" s="114"/>
    </row>
    <row r="62" spans="2:50" ht="16.5" thickBot="1" x14ac:dyDescent="0.3">
      <c r="B62" s="49"/>
      <c r="C62" s="79"/>
      <c r="D62" s="86" t="str">
        <f t="shared" si="14"/>
        <v/>
      </c>
      <c r="E62" s="81"/>
      <c r="F62" s="50" t="str">
        <f t="shared" si="15"/>
        <v/>
      </c>
      <c r="G62" s="16" t="str">
        <f t="shared" si="16"/>
        <v/>
      </c>
      <c r="H62" s="51" t="str">
        <f t="shared" si="17"/>
        <v/>
      </c>
      <c r="I62" s="54"/>
      <c r="J62" s="105">
        <f t="shared" si="7"/>
        <v>37819.5</v>
      </c>
      <c r="K62" s="109">
        <v>54</v>
      </c>
      <c r="L62" s="125">
        <f t="shared" si="5"/>
        <v>0.94542751255360591</v>
      </c>
      <c r="M62" s="46">
        <f t="shared" si="8"/>
        <v>0.93131304287865924</v>
      </c>
      <c r="N62" s="130">
        <v>0.93131304287865924</v>
      </c>
      <c r="O62" s="89">
        <f t="shared" si="6"/>
        <v>0.93131304287865924</v>
      </c>
      <c r="P62" s="4">
        <v>40376</v>
      </c>
      <c r="Q62" s="4">
        <v>0.97779771637475388</v>
      </c>
      <c r="R62" s="4">
        <v>9686</v>
      </c>
      <c r="S62" s="100">
        <f t="shared" si="11"/>
        <v>9216.3493708948463</v>
      </c>
      <c r="T62" s="101">
        <f t="shared" si="18"/>
        <v>469.65062910515371</v>
      </c>
      <c r="U62" s="49">
        <v>40724</v>
      </c>
      <c r="V62" s="95"/>
      <c r="W62" s="95"/>
      <c r="X62" s="95"/>
      <c r="Y62" s="95"/>
      <c r="Z62" s="95"/>
      <c r="AC62" s="93">
        <v>37810</v>
      </c>
      <c r="AD62" s="95">
        <v>0.90100000000000002</v>
      </c>
      <c r="AE62" s="93">
        <f t="shared" si="12"/>
        <v>37819.5</v>
      </c>
      <c r="AF62" s="92">
        <f>Logistic2010!Q62</f>
        <v>0.75336211213144844</v>
      </c>
      <c r="AG62" s="4">
        <f t="shared" si="10"/>
        <v>0.97779771637475388</v>
      </c>
      <c r="AH62" s="92">
        <f>Logistic2011!Q62</f>
        <v>0.83140351438424964</v>
      </c>
      <c r="AI62" s="92">
        <f>Logistic2012!Q62</f>
        <v>0.97779771637475388</v>
      </c>
      <c r="AJ62" s="92">
        <f>Logistic2013!L62</f>
        <v>0.85450303975835906</v>
      </c>
      <c r="AK62" s="119">
        <f>Logistic2014!AK62</f>
        <v>0.85456925965431629</v>
      </c>
      <c r="AL62" s="119">
        <f t="shared" si="13"/>
        <v>0.94542751255360591</v>
      </c>
      <c r="AM62" s="113"/>
      <c r="AN62" s="113"/>
      <c r="AP62" s="113"/>
      <c r="AQ62" s="113"/>
      <c r="AR62" s="113"/>
      <c r="AS62" s="113"/>
      <c r="AT62" s="114"/>
      <c r="AU62" s="114"/>
    </row>
    <row r="63" spans="2:50" x14ac:dyDescent="0.25">
      <c r="B63" s="49"/>
      <c r="C63" s="79"/>
      <c r="D63" s="86" t="str">
        <f t="shared" si="14"/>
        <v/>
      </c>
      <c r="E63" s="81"/>
      <c r="F63" s="50" t="str">
        <f t="shared" si="15"/>
        <v/>
      </c>
      <c r="G63" s="16" t="str">
        <f t="shared" si="16"/>
        <v/>
      </c>
      <c r="H63" s="51" t="str">
        <f t="shared" si="17"/>
        <v/>
      </c>
      <c r="I63" s="54"/>
      <c r="J63" s="105">
        <f t="shared" si="7"/>
        <v>37820.5</v>
      </c>
      <c r="K63" s="109">
        <v>55</v>
      </c>
      <c r="L63" s="125">
        <f t="shared" si="5"/>
        <v>0.95759734206023794</v>
      </c>
      <c r="M63" s="46">
        <f t="shared" si="8"/>
        <v>0.94643653282667362</v>
      </c>
      <c r="N63" s="130">
        <v>0.94643653282667362</v>
      </c>
      <c r="O63" s="89">
        <f t="shared" si="6"/>
        <v>0.94643653282667362</v>
      </c>
      <c r="P63" s="4">
        <v>40377</v>
      </c>
      <c r="Q63" s="4">
        <v>0.98323806162233796</v>
      </c>
      <c r="R63" s="4">
        <v>3970</v>
      </c>
      <c r="S63" s="100">
        <f t="shared" si="11"/>
        <v>3820.6186460595864</v>
      </c>
      <c r="T63" s="101">
        <f t="shared" si="18"/>
        <v>149.38135394041365</v>
      </c>
      <c r="U63" s="40">
        <v>40725</v>
      </c>
      <c r="V63" s="95">
        <v>0.35599999999999998</v>
      </c>
      <c r="W63" s="95"/>
      <c r="X63" s="95"/>
      <c r="Y63" s="95"/>
      <c r="Z63" s="95"/>
      <c r="AC63" s="93">
        <v>37813</v>
      </c>
      <c r="AD63" s="95">
        <v>0.77500000000000002</v>
      </c>
      <c r="AE63" s="93">
        <f t="shared" si="12"/>
        <v>37820.5</v>
      </c>
      <c r="AF63" s="92">
        <f>Logistic2010!Q63</f>
        <v>0.78859738904460508</v>
      </c>
      <c r="AG63" s="4">
        <f t="shared" si="10"/>
        <v>0.98323806162233796</v>
      </c>
      <c r="AH63" s="92">
        <f>Logistic2011!Q63</f>
        <v>0.86381250435994517</v>
      </c>
      <c r="AI63" s="92">
        <f>Logistic2012!Q63</f>
        <v>0.98323806162233796</v>
      </c>
      <c r="AJ63" s="92">
        <f>Logistic2013!L63</f>
        <v>0.87740468827985718</v>
      </c>
      <c r="AK63" s="119">
        <f>Logistic2014!AK63</f>
        <v>0.87675320628420728</v>
      </c>
      <c r="AL63" s="119">
        <f t="shared" si="13"/>
        <v>0.95759734206023794</v>
      </c>
      <c r="AM63" s="115"/>
      <c r="AN63" s="115"/>
      <c r="AO63" s="115"/>
      <c r="AP63" s="115"/>
      <c r="AQ63" s="115"/>
      <c r="AR63" t="s">
        <v>28</v>
      </c>
      <c r="AS63"/>
      <c r="AT63"/>
      <c r="AU63"/>
      <c r="AV63"/>
      <c r="AW63"/>
      <c r="AX63"/>
    </row>
    <row r="64" spans="2:50" ht="16.5" thickBot="1" x14ac:dyDescent="0.3">
      <c r="B64" s="56"/>
      <c r="C64" s="80"/>
      <c r="D64" s="87" t="str">
        <f t="shared" si="14"/>
        <v/>
      </c>
      <c r="E64" s="82"/>
      <c r="F64" s="50" t="str">
        <f t="shared" si="15"/>
        <v/>
      </c>
      <c r="G64" s="16" t="str">
        <f t="shared" si="16"/>
        <v/>
      </c>
      <c r="H64" s="51" t="str">
        <f t="shared" si="17"/>
        <v/>
      </c>
      <c r="I64" s="54"/>
      <c r="J64" s="105">
        <f t="shared" si="7"/>
        <v>37821.5</v>
      </c>
      <c r="K64" s="109">
        <v>56</v>
      </c>
      <c r="L64" s="125">
        <f t="shared" si="5"/>
        <v>0.96714756779345812</v>
      </c>
      <c r="M64" s="46">
        <f t="shared" si="8"/>
        <v>0.95837894884125729</v>
      </c>
      <c r="N64" s="131">
        <v>0.95837894884125729</v>
      </c>
      <c r="O64" s="89">
        <f t="shared" si="6"/>
        <v>0.95837894884125729</v>
      </c>
      <c r="P64" s="4">
        <v>40378</v>
      </c>
      <c r="Q64" s="4">
        <v>0.98736255895680802</v>
      </c>
      <c r="R64" s="4">
        <v>5509</v>
      </c>
      <c r="S64" s="100">
        <f t="shared" si="11"/>
        <v>5348.5543339700807</v>
      </c>
      <c r="T64" s="101">
        <f t="shared" si="18"/>
        <v>160.44566602991927</v>
      </c>
      <c r="U64" s="49">
        <v>40726</v>
      </c>
      <c r="V64" s="95"/>
      <c r="W64" s="95"/>
      <c r="X64" s="95"/>
      <c r="Y64" s="95"/>
      <c r="Z64" s="95"/>
      <c r="AC64" s="93">
        <v>37816</v>
      </c>
      <c r="AD64" s="95">
        <v>0.93</v>
      </c>
      <c r="AE64" s="93">
        <f t="shared" si="12"/>
        <v>37821.5</v>
      </c>
      <c r="AF64" s="92">
        <f>Logistic2010!Q64</f>
        <v>0.82000157910537541</v>
      </c>
      <c r="AG64" s="4">
        <f t="shared" si="10"/>
        <v>0.98736255895680802</v>
      </c>
      <c r="AH64" s="92">
        <f>Logistic2011!Q64</f>
        <v>0.89080976473363638</v>
      </c>
      <c r="AI64" s="92">
        <f>Logistic2012!Q64</f>
        <v>0.98736255895680802</v>
      </c>
      <c r="AJ64" s="92">
        <f>Logistic2013!L64</f>
        <v>0.8971354919418093</v>
      </c>
      <c r="AK64" s="119">
        <f>Logistic2014!AK64</f>
        <v>0.89596518054214846</v>
      </c>
      <c r="AL64" s="119">
        <f t="shared" si="13"/>
        <v>0.96714756779345812</v>
      </c>
      <c r="AM64" s="110"/>
      <c r="AN64" s="110"/>
      <c r="AO64" s="110"/>
      <c r="AP64" s="110"/>
      <c r="AQ64" s="110"/>
      <c r="AR64"/>
      <c r="AS64"/>
      <c r="AT64"/>
      <c r="AU64"/>
      <c r="AV64"/>
      <c r="AW64"/>
      <c r="AX64"/>
    </row>
    <row r="65" spans="1:50" ht="16.5" thickBot="1" x14ac:dyDescent="0.3">
      <c r="A65" s="4">
        <v>2.5000000000000001E-2</v>
      </c>
      <c r="B65" s="104">
        <f>C5</f>
        <v>37834.5</v>
      </c>
      <c r="C65" s="121">
        <f t="shared" ref="C65" si="19">1/(A65^2)</f>
        <v>1599.9999999999998</v>
      </c>
      <c r="D65" s="84">
        <f t="shared" si="14"/>
        <v>69</v>
      </c>
      <c r="E65" s="59">
        <v>1</v>
      </c>
      <c r="F65" s="60">
        <f t="shared" si="15"/>
        <v>0.99891895121017837</v>
      </c>
      <c r="G65" s="61">
        <f t="shared" si="16"/>
        <v>1.0810487898216259E-3</v>
      </c>
      <c r="H65" s="62">
        <f t="shared" si="17"/>
        <v>1.8698663775596829E-3</v>
      </c>
      <c r="I65" s="54"/>
      <c r="J65" s="105">
        <f t="shared" si="7"/>
        <v>37822.5</v>
      </c>
      <c r="K65" s="109">
        <v>57</v>
      </c>
      <c r="L65" s="125">
        <f t="shared" si="5"/>
        <v>0.97460386948012367</v>
      </c>
      <c r="M65" s="46">
        <f t="shared" si="8"/>
        <v>0.96774943709406713</v>
      </c>
      <c r="N65" s="130">
        <v>0.96774943709406713</v>
      </c>
      <c r="O65" s="89">
        <f t="shared" si="6"/>
        <v>0.96774943709406713</v>
      </c>
      <c r="P65" s="4">
        <v>40379</v>
      </c>
      <c r="Q65" s="4">
        <v>0.99048199337810516</v>
      </c>
      <c r="R65" s="4">
        <v>2314</v>
      </c>
      <c r="S65" s="100">
        <f t="shared" si="11"/>
        <v>2261.9419706793174</v>
      </c>
      <c r="T65" s="101">
        <f t="shared" si="18"/>
        <v>52.058029320682635</v>
      </c>
      <c r="U65" s="49">
        <v>40727</v>
      </c>
      <c r="V65" s="95"/>
      <c r="W65" s="95"/>
      <c r="X65" s="95"/>
      <c r="Y65" s="95"/>
      <c r="Z65" s="95"/>
      <c r="AC65" s="93">
        <v>37819</v>
      </c>
      <c r="AD65" s="95">
        <v>0.997</v>
      </c>
      <c r="AE65" s="93">
        <f t="shared" si="12"/>
        <v>37822.5</v>
      </c>
      <c r="AF65" s="92">
        <f>Logistic2010!Q65</f>
        <v>0.84764193896050799</v>
      </c>
      <c r="AG65" s="4">
        <f t="shared" si="10"/>
        <v>0.99048199337810516</v>
      </c>
      <c r="AH65" s="92">
        <f>Logistic2011!Q65</f>
        <v>0.91299424895614467</v>
      </c>
      <c r="AI65" s="92">
        <f>Logistic2012!Q65</f>
        <v>0.99048199337810516</v>
      </c>
      <c r="AJ65" s="92">
        <f>Logistic2013!L65</f>
        <v>0.91400201566045702</v>
      </c>
      <c r="AK65" s="119">
        <f>Logistic2014!AK65</f>
        <v>0.91248129649139764</v>
      </c>
      <c r="AL65" s="119">
        <f t="shared" si="13"/>
        <v>0.97460386948012367</v>
      </c>
      <c r="AM65" s="110"/>
      <c r="AN65" s="110"/>
      <c r="AO65" s="110"/>
      <c r="AP65" s="110"/>
      <c r="AQ65" s="110"/>
      <c r="AR65" t="s">
        <v>29</v>
      </c>
      <c r="AS65"/>
      <c r="AT65"/>
      <c r="AU65"/>
      <c r="AV65"/>
      <c r="AW65"/>
      <c r="AX65"/>
    </row>
    <row r="66" spans="1:50" ht="16.5" thickBot="1" x14ac:dyDescent="0.3">
      <c r="A66" s="4">
        <v>2.5000000000000001E-2</v>
      </c>
      <c r="B66" s="104">
        <f>A3</f>
        <v>37766.5</v>
      </c>
      <c r="C66" s="121">
        <f>C65</f>
        <v>1599.9999999999998</v>
      </c>
      <c r="D66" s="84">
        <f>IF(B66&lt;&gt;0,B66-$A$3+1,"")</f>
        <v>1</v>
      </c>
      <c r="E66" s="59">
        <v>0</v>
      </c>
      <c r="F66" s="60">
        <f>IF(B66&lt;&gt;0,$G$3/(1+EXP(-$G$4*(D66-$G$5))),"")</f>
        <v>1.3692230767313023E-5</v>
      </c>
      <c r="G66" s="61">
        <f>IF(B66&lt;&gt;0,E66-F66,"")</f>
        <v>-1.3692230767313023E-5</v>
      </c>
      <c r="H66" s="62">
        <f>IF(B66&lt;&gt;0,C66*(G66)^2,"")</f>
        <v>2.9996349341656536E-7</v>
      </c>
      <c r="I66" s="68"/>
      <c r="J66" s="105">
        <f t="shared" si="7"/>
        <v>37823.5</v>
      </c>
      <c r="K66" s="109">
        <v>58</v>
      </c>
      <c r="L66" s="125">
        <f t="shared" si="5"/>
        <v>0.98040215530753172</v>
      </c>
      <c r="M66" s="46">
        <f t="shared" si="8"/>
        <v>0.97506515897383861</v>
      </c>
      <c r="N66" s="130">
        <v>0.97506515897383861</v>
      </c>
      <c r="O66" s="89">
        <f t="shared" si="6"/>
        <v>0.97506515897383861</v>
      </c>
      <c r="P66" s="4">
        <v>40380</v>
      </c>
      <c r="Q66" s="4">
        <v>0.99283701063466723</v>
      </c>
      <c r="R66" s="4">
        <v>2271</v>
      </c>
      <c r="S66" s="100">
        <f t="shared" si="11"/>
        <v>2231.5973354572784</v>
      </c>
      <c r="T66" s="101">
        <f t="shared" si="18"/>
        <v>39.402664542721595</v>
      </c>
      <c r="U66" s="49">
        <v>40728</v>
      </c>
      <c r="V66" s="95"/>
      <c r="W66" s="95"/>
      <c r="X66" s="95"/>
      <c r="Y66" s="95"/>
      <c r="Z66" s="95"/>
      <c r="AC66" s="93">
        <v>37823</v>
      </c>
      <c r="AD66" s="95">
        <v>0.99399999999999999</v>
      </c>
      <c r="AE66" s="93">
        <f t="shared" si="12"/>
        <v>37823.5</v>
      </c>
      <c r="AF66" s="92">
        <f>Logistic2010!Q66</f>
        <v>0.8717019610426997</v>
      </c>
      <c r="AG66" s="4">
        <f t="shared" si="10"/>
        <v>0.99283701063466723</v>
      </c>
      <c r="AH66" s="92">
        <f>Logistic2011!Q66</f>
        <v>0.93102046958550611</v>
      </c>
      <c r="AI66" s="92">
        <f>Logistic2012!Q66</f>
        <v>0.99283701063466723</v>
      </c>
      <c r="AJ66" s="92">
        <f>Logistic2013!L66</f>
        <v>0.92832391728718622</v>
      </c>
      <c r="AK66" s="119">
        <f>Logistic2014!AK66</f>
        <v>0.92659021810226538</v>
      </c>
      <c r="AL66" s="119">
        <f t="shared" si="13"/>
        <v>0.98040215530753172</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7"/>
        <v>37824.5</v>
      </c>
      <c r="K67" s="109">
        <v>59</v>
      </c>
      <c r="L67" s="125">
        <f t="shared" si="5"/>
        <v>0.98489712734969304</v>
      </c>
      <c r="M67" s="46">
        <f t="shared" si="8"/>
        <v>0.98075438398529091</v>
      </c>
      <c r="N67" s="131">
        <v>0.98075438398529091</v>
      </c>
      <c r="O67" s="89">
        <f t="shared" si="6"/>
        <v>0.98075438398529091</v>
      </c>
      <c r="P67" s="4">
        <v>40381</v>
      </c>
      <c r="Q67" s="4">
        <v>0.99461250113431077</v>
      </c>
      <c r="R67" s="4">
        <v>2019</v>
      </c>
      <c r="S67" s="100">
        <f t="shared" si="11"/>
        <v>1992.0165534898497</v>
      </c>
      <c r="T67" s="101">
        <f t="shared" si="18"/>
        <v>26.983446510150316</v>
      </c>
      <c r="U67" s="49">
        <v>40729</v>
      </c>
      <c r="V67" s="95">
        <v>0.51500000000000001</v>
      </c>
      <c r="W67" s="95"/>
      <c r="X67" s="95"/>
      <c r="Y67" s="95"/>
      <c r="Z67" s="95"/>
      <c r="AE67" s="93">
        <f t="shared" si="12"/>
        <v>37824.5</v>
      </c>
      <c r="AF67" s="92">
        <f>Logistic2010!Q67</f>
        <v>0.89244459206165738</v>
      </c>
      <c r="AG67" s="4">
        <f t="shared" si="10"/>
        <v>0.99461250113431077</v>
      </c>
      <c r="AH67" s="92">
        <f>Logistic2011!Q67</f>
        <v>0.94553474019587147</v>
      </c>
      <c r="AI67" s="92">
        <f>Logistic2012!Q67</f>
        <v>0.99461250113431077</v>
      </c>
      <c r="AJ67" s="92">
        <f>Logistic2013!L67</f>
        <v>0.94041617027076585</v>
      </c>
      <c r="AK67" s="119">
        <f>Logistic2014!AK67</f>
        <v>0.93857774011739092</v>
      </c>
      <c r="AL67" s="119">
        <f t="shared" si="13"/>
        <v>0.98489712734969304</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7"/>
        <v>37825.5</v>
      </c>
      <c r="K68" s="109">
        <v>60</v>
      </c>
      <c r="L68" s="125">
        <f t="shared" si="5"/>
        <v>0.98837335654317438</v>
      </c>
      <c r="M68" s="46">
        <f t="shared" si="8"/>
        <v>0.98516528350488675</v>
      </c>
      <c r="N68" s="131">
        <v>0.98516528350488675</v>
      </c>
      <c r="O68" s="89">
        <f t="shared" si="6"/>
        <v>0.98516528350488675</v>
      </c>
      <c r="P68" s="4">
        <v>40382</v>
      </c>
      <c r="Q68" s="4">
        <v>0.99594969608518535</v>
      </c>
      <c r="R68" s="4">
        <v>2115</v>
      </c>
      <c r="S68" s="100">
        <f t="shared" si="11"/>
        <v>2093.247313653113</v>
      </c>
      <c r="T68" s="101">
        <f t="shared" si="18"/>
        <v>21.752686346887003</v>
      </c>
      <c r="U68" s="49">
        <v>40730</v>
      </c>
      <c r="V68" s="95"/>
      <c r="W68" s="95"/>
      <c r="X68" s="95"/>
      <c r="Y68" s="95"/>
      <c r="Z68" s="95"/>
      <c r="AE68" s="93">
        <f t="shared" si="12"/>
        <v>37825.5</v>
      </c>
      <c r="AF68" s="92">
        <f>Logistic2010!Q68</f>
        <v>0.91017920532930874</v>
      </c>
      <c r="AG68" s="4">
        <f t="shared" si="10"/>
        <v>0.99594969608518535</v>
      </c>
      <c r="AH68" s="92">
        <f>Logistic2011!Q68</f>
        <v>0.95713560982756274</v>
      </c>
      <c r="AI68" s="92">
        <f>Logistic2012!Q68</f>
        <v>0.99594969608518535</v>
      </c>
      <c r="AJ68" s="92">
        <f>Logistic2013!L68</f>
        <v>0.95057698620331765</v>
      </c>
      <c r="AK68" s="119">
        <f>Logistic2014!AK68</f>
        <v>0.94871609038627402</v>
      </c>
      <c r="AL68" s="119">
        <f t="shared" si="13"/>
        <v>0.98837335654317438</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7"/>
        <v>37826.5</v>
      </c>
      <c r="K69" s="109">
        <v>61</v>
      </c>
      <c r="L69" s="125">
        <f t="shared" si="5"/>
        <v>0.99105672728955652</v>
      </c>
      <c r="M69" s="46">
        <f t="shared" si="8"/>
        <v>0.99105672728955652</v>
      </c>
      <c r="N69" s="131">
        <v>0.9885770241743157</v>
      </c>
      <c r="O69" s="89">
        <f t="shared" si="6"/>
        <v>0.99105672728955652</v>
      </c>
      <c r="P69" s="4">
        <v>40383</v>
      </c>
      <c r="Q69" s="4">
        <v>0.99695601060889649</v>
      </c>
      <c r="R69" s="4">
        <v>2946</v>
      </c>
      <c r="S69" s="100">
        <f t="shared" si="11"/>
        <v>2922.6998277000303</v>
      </c>
      <c r="T69" s="101">
        <f t="shared" si="18"/>
        <v>23.300172299969745</v>
      </c>
      <c r="U69" s="49">
        <v>40731</v>
      </c>
      <c r="V69" s="95"/>
      <c r="W69" s="95"/>
      <c r="X69" s="95"/>
      <c r="Y69" s="95"/>
      <c r="Z69" s="95"/>
      <c r="AE69" s="93">
        <f t="shared" si="12"/>
        <v>37826.5</v>
      </c>
      <c r="AF69" s="92">
        <f>Logistic2010!Q69</f>
        <v>0.92523457092805417</v>
      </c>
      <c r="AG69" s="4">
        <f t="shared" si="10"/>
        <v>0.99695601060889649</v>
      </c>
      <c r="AH69" s="92">
        <f>Logistic2011!Q69</f>
        <v>0.96635347078003297</v>
      </c>
      <c r="AI69" s="92">
        <f>Logistic2012!Q69</f>
        <v>0.99695601060889649</v>
      </c>
      <c r="AJ69" s="92">
        <f>Logistic2013!L69</f>
        <v>0.95908047510394157</v>
      </c>
      <c r="AK69" s="119">
        <f>Logistic2014!AK69</f>
        <v>0.95725721401262687</v>
      </c>
      <c r="AL69" s="119">
        <f t="shared" si="13"/>
        <v>0.99105672728955652</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7"/>
        <v>37827.5</v>
      </c>
      <c r="K70" s="109">
        <v>62</v>
      </c>
      <c r="L70" s="125">
        <f t="shared" si="5"/>
        <v>0.99312509735404841</v>
      </c>
      <c r="M70" s="46">
        <f t="shared" si="8"/>
        <v>0.99312509735404841</v>
      </c>
      <c r="N70" s="131">
        <v>0.99121112062050309</v>
      </c>
      <c r="O70" s="89">
        <f t="shared" si="6"/>
        <v>0.99312509735404841</v>
      </c>
      <c r="P70" s="4">
        <v>40384</v>
      </c>
      <c r="Q70" s="4">
        <v>0.99771287634461936</v>
      </c>
      <c r="R70" s="4">
        <v>2623</v>
      </c>
      <c r="S70" s="100">
        <f t="shared" si="11"/>
        <v>2607.055765038559</v>
      </c>
      <c r="T70" s="101">
        <f t="shared" si="18"/>
        <v>15.944234961440998</v>
      </c>
      <c r="U70" s="49">
        <v>40732</v>
      </c>
      <c r="AE70" s="93">
        <f t="shared" si="12"/>
        <v>37827.5</v>
      </c>
      <c r="AF70" s="92">
        <f>Logistic2010!Q70</f>
        <v>0.93793849093008874</v>
      </c>
      <c r="AG70" s="4">
        <f t="shared" si="10"/>
        <v>0.99771287634461936</v>
      </c>
      <c r="AH70" s="92">
        <f>Logistic2011!Q70</f>
        <v>0.97364364314605079</v>
      </c>
      <c r="AI70" s="92">
        <f>Logistic2012!Q70</f>
        <v>0.99771287634461936</v>
      </c>
      <c r="AJ70" s="92">
        <f>Logistic2013!L70</f>
        <v>0.96617295862288388</v>
      </c>
      <c r="AK70" s="119">
        <f>Logistic2014!AK70</f>
        <v>0.9644291830100955</v>
      </c>
      <c r="AL70" s="119">
        <f t="shared" si="13"/>
        <v>0.99312509735404841</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7"/>
        <v>37828.5</v>
      </c>
      <c r="K71" s="109">
        <v>63</v>
      </c>
      <c r="L71" s="125">
        <f t="shared" si="5"/>
        <v>0.99471765143631297</v>
      </c>
      <c r="M71" s="46">
        <f t="shared" si="8"/>
        <v>0.99471765143631297</v>
      </c>
      <c r="N71" s="131">
        <v>0.99324195641616453</v>
      </c>
      <c r="O71" s="89">
        <f t="shared" si="6"/>
        <v>0.99471765143631297</v>
      </c>
      <c r="P71" s="4">
        <v>40385</v>
      </c>
      <c r="Q71" s="4">
        <v>0.99828187726084372</v>
      </c>
      <c r="U71" s="40">
        <v>40733</v>
      </c>
      <c r="V71" s="95"/>
      <c r="W71" s="95"/>
      <c r="X71" s="95"/>
      <c r="Y71" s="95"/>
      <c r="Z71" s="95"/>
      <c r="AE71" s="93">
        <f t="shared" si="12"/>
        <v>37828.5</v>
      </c>
      <c r="AF71" s="92">
        <f>Logistic2010!Q71</f>
        <v>0.94860370829645768</v>
      </c>
      <c r="AG71" s="4">
        <f t="shared" si="10"/>
        <v>0.99828187726084372</v>
      </c>
      <c r="AH71" s="92">
        <f>Logistic2011!Q71</f>
        <v>0.97938794995342149</v>
      </c>
      <c r="AI71" s="92">
        <f>Logistic2012!Q71</f>
        <v>0.99828187726084372</v>
      </c>
      <c r="AJ71" s="92">
        <f>Logistic2013!L71</f>
        <v>0.97207191636988943</v>
      </c>
      <c r="AK71" s="119">
        <f>Logistic2014!AK71</f>
        <v>0.97043490859995651</v>
      </c>
      <c r="AL71" s="119">
        <f t="shared" si="13"/>
        <v>0.99471765143631297</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7"/>
        <v>37829.5</v>
      </c>
      <c r="K72" s="109">
        <v>64</v>
      </c>
      <c r="L72" s="125">
        <f t="shared" si="5"/>
        <v>0.99594280143738134</v>
      </c>
      <c r="M72" s="46">
        <f t="shared" si="8"/>
        <v>0.99594280143738134</v>
      </c>
      <c r="N72" s="131">
        <v>0.99480598839313295</v>
      </c>
      <c r="O72" s="89">
        <f t="shared" si="6"/>
        <v>0.99594280143738134</v>
      </c>
      <c r="P72" s="4">
        <v>40386</v>
      </c>
      <c r="Q72" s="4">
        <v>0.99870950266811021</v>
      </c>
      <c r="U72" s="49">
        <v>40734</v>
      </c>
      <c r="V72" s="95"/>
      <c r="W72" s="95"/>
      <c r="X72" s="95"/>
      <c r="Y72" s="95"/>
      <c r="Z72" s="95"/>
      <c r="AE72" s="93">
        <f t="shared" si="12"/>
        <v>37829.5</v>
      </c>
      <c r="AF72" s="92">
        <f>Logistic2010!Q72</f>
        <v>0.95751912825764318</v>
      </c>
      <c r="AG72" s="4">
        <f t="shared" si="10"/>
        <v>0.99870950266811021</v>
      </c>
      <c r="AH72" s="92">
        <f>Logistic2011!Q72</f>
        <v>0.98390099930162234</v>
      </c>
      <c r="AI72" s="92">
        <f>Logistic2012!Q72</f>
        <v>0.99870950266811021</v>
      </c>
      <c r="AJ72" s="92">
        <f>Logistic2013!L72</f>
        <v>0.97696670309022537</v>
      </c>
      <c r="AK72" s="119">
        <f>Logistic2014!AK72</f>
        <v>0.97545244534588094</v>
      </c>
      <c r="AL72" s="119">
        <f t="shared" si="13"/>
        <v>0.99594280143738134</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7"/>
        <v>37830.5</v>
      </c>
      <c r="K73" s="109">
        <v>65</v>
      </c>
      <c r="L73" s="125">
        <f t="shared" ref="L73:L104" si="20">$G$3/(1+EXP(-$G$4*(K73-$G$5)))</f>
        <v>0.99688468886752846</v>
      </c>
      <c r="M73" s="46">
        <f t="shared" si="8"/>
        <v>0.99688468886752846</v>
      </c>
      <c r="N73" s="132">
        <v>0.99600950655454856</v>
      </c>
      <c r="O73" s="89">
        <f t="shared" ref="O73:O104" si="21">IF(N73=M73,N73,M73)</f>
        <v>0.99688468886752846</v>
      </c>
      <c r="P73" s="4">
        <v>40387</v>
      </c>
      <c r="Q73" s="4">
        <v>0.99903079926177196</v>
      </c>
      <c r="U73" s="49">
        <v>40735</v>
      </c>
      <c r="AE73" s="93">
        <f t="shared" si="12"/>
        <v>37830.5</v>
      </c>
      <c r="AF73" s="92">
        <f>Logistic2010!Q73</f>
        <v>0.96494519123476252</v>
      </c>
      <c r="AG73" s="4">
        <f t="shared" si="10"/>
        <v>0.99903079926177196</v>
      </c>
      <c r="AH73" s="92">
        <f>Logistic2011!Q73</f>
        <v>0.98743858120527517</v>
      </c>
      <c r="AI73" s="92">
        <f>Logistic2012!Q73</f>
        <v>0.99903079926177196</v>
      </c>
      <c r="AJ73" s="92">
        <f>Logistic2013!L73</f>
        <v>0.98102036011876015</v>
      </c>
      <c r="AK73" s="119">
        <f>Logistic2014!AK73</f>
        <v>0.97963631693234787</v>
      </c>
      <c r="AL73" s="119">
        <f t="shared" si="13"/>
        <v>0.99688468886752846</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22">J73+1</f>
        <v>37831.5</v>
      </c>
      <c r="K74" s="109">
        <v>66</v>
      </c>
      <c r="L74" s="125">
        <f t="shared" si="20"/>
        <v>0.99760844016325889</v>
      </c>
      <c r="M74" s="46">
        <f t="shared" ref="M74:M107" si="23">IF(J75&gt;MAX($B$9:$B$64),L74,N74)</f>
        <v>0.99760844016325889</v>
      </c>
      <c r="N74" s="132">
        <v>0.99693501353750869</v>
      </c>
      <c r="O74" s="89">
        <f t="shared" si="21"/>
        <v>0.99760844016325889</v>
      </c>
      <c r="P74" s="4">
        <v>40388</v>
      </c>
      <c r="Q74" s="4">
        <v>0.99927216057350388</v>
      </c>
      <c r="U74" s="49">
        <v>40736</v>
      </c>
      <c r="V74" s="95"/>
      <c r="W74" s="95"/>
      <c r="X74" s="95"/>
      <c r="Y74" s="95"/>
      <c r="Z74" s="95"/>
      <c r="AE74" s="93">
        <f t="shared" si="12"/>
        <v>37831.5</v>
      </c>
      <c r="AF74" s="92">
        <f>Logistic2010!Q74</f>
        <v>0.97111227157250635</v>
      </c>
      <c r="AG74" s="4">
        <f t="shared" si="10"/>
        <v>0.99927216057350388</v>
      </c>
      <c r="AH74" s="92">
        <f>Logistic2011!Q74</f>
        <v>0.9902065550659539</v>
      </c>
      <c r="AI74" s="92">
        <f>Logistic2012!Q74</f>
        <v>0.99927216057350388</v>
      </c>
      <c r="AJ74" s="92">
        <f>Logistic2013!L74</f>
        <v>0.98437202125506518</v>
      </c>
      <c r="AK74" s="119">
        <f>Logistic2014!AK74</f>
        <v>0.98311943217332176</v>
      </c>
      <c r="AL74" s="119">
        <f t="shared" si="13"/>
        <v>0.99760844016325889</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22"/>
        <v>37832.5</v>
      </c>
      <c r="K75" s="109">
        <v>67</v>
      </c>
      <c r="L75" s="125">
        <f t="shared" si="20"/>
        <v>0.99816435865745046</v>
      </c>
      <c r="M75" s="46">
        <f t="shared" si="23"/>
        <v>0.99816435865745046</v>
      </c>
      <c r="N75" s="132">
        <v>0.99764637681040835</v>
      </c>
      <c r="O75" s="89">
        <f t="shared" si="21"/>
        <v>0.99816435865745046</v>
      </c>
      <c r="P75" s="4">
        <v>40389</v>
      </c>
      <c r="Q75" s="4">
        <v>0.99945344824920912</v>
      </c>
      <c r="U75" s="49">
        <v>40737</v>
      </c>
      <c r="V75" s="95"/>
      <c r="W75" s="95"/>
      <c r="X75" s="95"/>
      <c r="Y75" s="95"/>
      <c r="Z75" s="95"/>
      <c r="AE75" s="93">
        <f t="shared" si="12"/>
        <v>37832.5</v>
      </c>
      <c r="AF75" s="92">
        <f>Logistic2010!Q75</f>
        <v>0.97622113342645345</v>
      </c>
      <c r="AG75" s="4">
        <f t="shared" si="10"/>
        <v>0.99945344824920912</v>
      </c>
      <c r="AH75" s="92">
        <f>Logistic2011!Q75</f>
        <v>0.99236930496689024</v>
      </c>
      <c r="AI75" s="92">
        <f>Logistic2012!Q75</f>
        <v>0.99945344824920912</v>
      </c>
      <c r="AJ75" s="92">
        <f>Logistic2013!L75</f>
        <v>0.98713956340918307</v>
      </c>
      <c r="AK75" s="119">
        <f>Logistic2014!AK75</f>
        <v>0.98601528129691507</v>
      </c>
      <c r="AL75" s="119">
        <f t="shared" si="13"/>
        <v>0.99816435865745046</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22"/>
        <v>37833.5</v>
      </c>
      <c r="K76" s="109">
        <v>68</v>
      </c>
      <c r="L76" s="125">
        <f t="shared" si="20"/>
        <v>0.99859123628391133</v>
      </c>
      <c r="M76" s="46">
        <f t="shared" si="23"/>
        <v>0.99859123628391133</v>
      </c>
      <c r="N76" s="132">
        <v>0.9981929365976735</v>
      </c>
      <c r="O76" s="89">
        <f t="shared" si="21"/>
        <v>0.99859123628391133</v>
      </c>
      <c r="P76" s="4">
        <v>40390</v>
      </c>
      <c r="Q76" s="4">
        <v>0.99958959997534225</v>
      </c>
      <c r="U76" s="49">
        <v>40738</v>
      </c>
      <c r="AE76" s="93">
        <f t="shared" si="12"/>
        <v>37833.5</v>
      </c>
      <c r="AF76" s="92">
        <f>Logistic2010!Q76</f>
        <v>0.98044467529540402</v>
      </c>
      <c r="AG76" s="4">
        <f t="shared" ref="AG76" si="24">AI76</f>
        <v>0.99958959997534225</v>
      </c>
      <c r="AH76" s="92">
        <f>Logistic2011!Q76</f>
        <v>0.99405730717928753</v>
      </c>
      <c r="AI76" s="92">
        <f>Logistic2012!Q76</f>
        <v>0.99958959997534225</v>
      </c>
      <c r="AJ76" s="92">
        <f>Logistic2013!L76</f>
        <v>0.98942227092402102</v>
      </c>
      <c r="AK76" s="119">
        <f>Logistic2014!AK76</f>
        <v>0.98842020100800998</v>
      </c>
      <c r="AL76" s="119">
        <f t="shared" si="13"/>
        <v>0.99859123628391133</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22"/>
        <v>37834.5</v>
      </c>
      <c r="K77" s="109">
        <v>69</v>
      </c>
      <c r="L77" s="125">
        <f t="shared" si="20"/>
        <v>0.99891895121017837</v>
      </c>
      <c r="M77" s="46">
        <f t="shared" si="23"/>
        <v>0.99891895121017837</v>
      </c>
      <c r="N77" s="132">
        <v>0.99861275043215647</v>
      </c>
      <c r="O77" s="89">
        <f t="shared" si="21"/>
        <v>0.99891895121017837</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22"/>
        <v>37835.5</v>
      </c>
      <c r="K78" s="109">
        <v>70</v>
      </c>
      <c r="L78" s="125">
        <f t="shared" si="20"/>
        <v>0.99917049448357742</v>
      </c>
      <c r="M78" s="46">
        <f t="shared" si="23"/>
        <v>0.99917049448357742</v>
      </c>
      <c r="N78" s="132">
        <v>0.99893513788942956</v>
      </c>
      <c r="O78" s="89">
        <f t="shared" si="21"/>
        <v>0.99917049448357742</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22"/>
        <v>37836.5</v>
      </c>
      <c r="K79" s="109">
        <v>71</v>
      </c>
      <c r="L79" s="125">
        <f t="shared" si="20"/>
        <v>0.99936354483387269</v>
      </c>
      <c r="M79" s="46">
        <f t="shared" si="23"/>
        <v>0.99936354483387269</v>
      </c>
      <c r="N79" s="132">
        <v>0.99918266599299976</v>
      </c>
      <c r="O79" s="89">
        <f t="shared" si="21"/>
        <v>0.99936354483387269</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22"/>
        <v>37837.5</v>
      </c>
      <c r="K80" s="109">
        <v>72</v>
      </c>
      <c r="L80" s="125">
        <f t="shared" si="20"/>
        <v>0.9995116886424974</v>
      </c>
      <c r="M80" s="46">
        <f t="shared" si="23"/>
        <v>0.9995116886424974</v>
      </c>
      <c r="N80" s="132">
        <v>0.99937269211089375</v>
      </c>
      <c r="O80" s="89">
        <f t="shared" si="21"/>
        <v>0.9995116886424974</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22"/>
        <v>37838.5</v>
      </c>
      <c r="K81" s="109">
        <v>73</v>
      </c>
      <c r="L81" s="125">
        <f t="shared" si="20"/>
        <v>0.99962536284201564</v>
      </c>
      <c r="M81" s="46">
        <f t="shared" si="23"/>
        <v>0.99962536284201564</v>
      </c>
      <c r="N81" s="132">
        <v>0.99951855938287282</v>
      </c>
      <c r="O81" s="89">
        <f t="shared" si="21"/>
        <v>0.99962536284201564</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22"/>
        <v>37839.5</v>
      </c>
      <c r="K82" s="109">
        <v>74</v>
      </c>
      <c r="L82" s="125">
        <f t="shared" si="20"/>
        <v>0.99971258238783078</v>
      </c>
      <c r="M82" s="46">
        <f t="shared" si="23"/>
        <v>0.99971258238783078</v>
      </c>
      <c r="N82" s="132">
        <v>0.99963052082493253</v>
      </c>
      <c r="O82" s="89">
        <f t="shared" si="21"/>
        <v>0.99971258238783078</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22"/>
        <v>37840.5</v>
      </c>
      <c r="K83" s="109">
        <v>75</v>
      </c>
      <c r="L83" s="125">
        <f t="shared" si="20"/>
        <v>0.9997795007676008</v>
      </c>
      <c r="M83" s="46">
        <f t="shared" si="23"/>
        <v>0.9997795007676008</v>
      </c>
      <c r="N83" s="132">
        <v>0.99971645245567509</v>
      </c>
      <c r="O83" s="89">
        <f t="shared" si="21"/>
        <v>0.9997795007676008</v>
      </c>
      <c r="P83" s="4">
        <v>40397</v>
      </c>
      <c r="Q83" s="4">
        <v>0.99994479477502707</v>
      </c>
      <c r="U83" s="94">
        <v>40745</v>
      </c>
    </row>
    <row r="84" spans="2:41" x14ac:dyDescent="0.25">
      <c r="B84" s="63"/>
      <c r="C84" s="64"/>
      <c r="D84" s="65">
        <v>1</v>
      </c>
      <c r="E84" s="64">
        <v>3.9127199142977333E-2</v>
      </c>
      <c r="F84" s="71"/>
      <c r="G84" s="64"/>
      <c r="H84" s="64"/>
      <c r="I84" s="53"/>
      <c r="J84" s="105">
        <f t="shared" si="22"/>
        <v>37841.5</v>
      </c>
      <c r="K84" s="109">
        <v>76</v>
      </c>
      <c r="L84" s="125">
        <f t="shared" si="20"/>
        <v>0.99983084142478251</v>
      </c>
      <c r="M84" s="46">
        <f t="shared" si="23"/>
        <v>0.99983084142478251</v>
      </c>
      <c r="N84" s="132">
        <v>0.99978240288510523</v>
      </c>
      <c r="O84" s="89">
        <f t="shared" si="21"/>
        <v>0.99983084142478251</v>
      </c>
      <c r="P84" s="4">
        <v>40398</v>
      </c>
      <c r="Q84" s="4">
        <v>0.99995855204677475</v>
      </c>
    </row>
    <row r="85" spans="2:41" x14ac:dyDescent="0.25">
      <c r="B85" s="63"/>
      <c r="C85" s="64"/>
      <c r="D85" s="65">
        <v>3.9127199142977333E-2</v>
      </c>
      <c r="E85" s="64">
        <v>1</v>
      </c>
      <c r="F85" s="71"/>
      <c r="G85" s="64"/>
      <c r="H85" s="64"/>
      <c r="I85" s="53"/>
      <c r="J85" s="105">
        <f t="shared" si="22"/>
        <v>37842.5</v>
      </c>
      <c r="K85" s="109">
        <v>77</v>
      </c>
      <c r="L85" s="125">
        <f t="shared" si="20"/>
        <v>0.99987022956440352</v>
      </c>
      <c r="M85" s="46">
        <f t="shared" si="23"/>
        <v>0.99987022956440352</v>
      </c>
      <c r="N85" s="132">
        <v>0.99983301644163747</v>
      </c>
      <c r="O85" s="89">
        <f t="shared" si="21"/>
        <v>0.99987022956440352</v>
      </c>
      <c r="P85" s="4">
        <v>40399</v>
      </c>
      <c r="Q85" s="4">
        <v>0.99996888108077731</v>
      </c>
    </row>
    <row r="86" spans="2:41" x14ac:dyDescent="0.25">
      <c r="B86" s="63"/>
      <c r="C86" s="64"/>
      <c r="D86" s="65"/>
      <c r="E86" s="64"/>
      <c r="F86" s="71"/>
      <c r="G86" s="64"/>
      <c r="H86" s="64"/>
      <c r="I86" s="53"/>
      <c r="J86" s="105">
        <f t="shared" si="22"/>
        <v>37843.5</v>
      </c>
      <c r="K86" s="109">
        <v>78</v>
      </c>
      <c r="L86" s="125">
        <f t="shared" si="20"/>
        <v>0.99990044719010951</v>
      </c>
      <c r="M86" s="46">
        <f t="shared" si="23"/>
        <v>0.99990044719010951</v>
      </c>
      <c r="N86" s="132">
        <v>0.99987185868506689</v>
      </c>
      <c r="O86" s="89">
        <f t="shared" si="21"/>
        <v>0.99990044719010951</v>
      </c>
      <c r="P86" s="4">
        <v>40400</v>
      </c>
      <c r="Q86" s="4">
        <v>0.99997663612879639</v>
      </c>
      <c r="AO86" s="4">
        <v>0.96399999999999997</v>
      </c>
    </row>
    <row r="87" spans="2:41" x14ac:dyDescent="0.25">
      <c r="B87" s="63"/>
      <c r="C87" s="64"/>
      <c r="D87" s="65"/>
      <c r="E87" s="64"/>
      <c r="F87" s="71"/>
      <c r="G87" s="64"/>
      <c r="H87" s="64"/>
      <c r="I87" s="53"/>
      <c r="J87" s="105">
        <f t="shared" si="22"/>
        <v>37844.5</v>
      </c>
      <c r="K87" s="109">
        <v>79</v>
      </c>
      <c r="L87" s="125">
        <f t="shared" si="20"/>
        <v>0.99992362904410559</v>
      </c>
      <c r="M87" s="46">
        <f t="shared" si="23"/>
        <v>0.99992362904410559</v>
      </c>
      <c r="N87" s="132">
        <v>0.9999016666768179</v>
      </c>
      <c r="O87" s="89">
        <f t="shared" si="21"/>
        <v>0.99992362904410559</v>
      </c>
      <c r="P87" s="4">
        <v>40401</v>
      </c>
      <c r="Q87" s="4">
        <v>0.99998245859958268</v>
      </c>
    </row>
    <row r="88" spans="2:41" x14ac:dyDescent="0.25">
      <c r="B88" s="63"/>
      <c r="C88" s="64"/>
      <c r="D88" s="65" t="s">
        <v>46</v>
      </c>
      <c r="E88" s="64"/>
      <c r="F88" s="71"/>
      <c r="G88" s="64"/>
      <c r="H88" s="64"/>
      <c r="I88" s="53"/>
      <c r="J88" s="105">
        <f t="shared" si="22"/>
        <v>37845.5</v>
      </c>
      <c r="K88" s="109">
        <v>80</v>
      </c>
      <c r="L88" s="125">
        <f t="shared" si="20"/>
        <v>0.99994141309097162</v>
      </c>
      <c r="M88" s="46">
        <f t="shared" si="23"/>
        <v>0.99994141309097162</v>
      </c>
      <c r="N88" s="132">
        <v>0.99992454131286057</v>
      </c>
      <c r="O88" s="89">
        <f t="shared" si="21"/>
        <v>0.99994141309097162</v>
      </c>
      <c r="P88" s="4">
        <v>40402</v>
      </c>
      <c r="Q88" s="4">
        <v>0.99998683008139233</v>
      </c>
    </row>
    <row r="89" spans="2:41" x14ac:dyDescent="0.25">
      <c r="B89" s="63"/>
      <c r="C89" s="64"/>
      <c r="D89" s="65">
        <v>9.55619890821783</v>
      </c>
      <c r="E89" s="64">
        <v>-6.9767944351029924E-3</v>
      </c>
      <c r="F89" s="71"/>
      <c r="G89" s="64"/>
      <c r="H89" s="64"/>
      <c r="I89" s="53"/>
      <c r="J89" s="105">
        <f t="shared" si="22"/>
        <v>37846.5</v>
      </c>
      <c r="K89" s="109">
        <v>81</v>
      </c>
      <c r="L89" s="125">
        <f t="shared" si="20"/>
        <v>0.99995505605954893</v>
      </c>
      <c r="M89" s="46">
        <f t="shared" si="23"/>
        <v>0.99995505605954893</v>
      </c>
      <c r="N89" s="132">
        <v>0.99994209508049881</v>
      </c>
      <c r="O89" s="89">
        <f t="shared" si="21"/>
        <v>0.99995505605954893</v>
      </c>
      <c r="P89" s="4">
        <v>40403</v>
      </c>
      <c r="Q89" s="4">
        <v>0.99999011215963096</v>
      </c>
    </row>
    <row r="90" spans="2:41" x14ac:dyDescent="0.25">
      <c r="B90" s="63"/>
      <c r="C90" s="64"/>
      <c r="D90" s="65">
        <v>-6.9767944351029924E-3</v>
      </c>
      <c r="E90" s="64">
        <v>1.5680049670732246E-2</v>
      </c>
      <c r="F90" s="71"/>
      <c r="G90" s="64"/>
      <c r="H90" s="64"/>
      <c r="I90" s="53"/>
      <c r="J90" s="105">
        <f t="shared" si="22"/>
        <v>37847.5</v>
      </c>
      <c r="K90" s="109">
        <v>82</v>
      </c>
      <c r="L90" s="125">
        <f t="shared" si="20"/>
        <v>0.99996552213798284</v>
      </c>
      <c r="M90" s="46">
        <f t="shared" si="23"/>
        <v>0.99996552213798284</v>
      </c>
      <c r="N90" s="132">
        <v>0.99995556554007625</v>
      </c>
      <c r="O90" s="89">
        <f t="shared" si="21"/>
        <v>0.99996552213798284</v>
      </c>
      <c r="P90" s="4">
        <v>40404</v>
      </c>
      <c r="Q90" s="4">
        <v>0.9999925763165205</v>
      </c>
    </row>
    <row r="91" spans="2:41" x14ac:dyDescent="0.25">
      <c r="B91" s="63"/>
      <c r="C91" s="64"/>
      <c r="D91" s="65"/>
      <c r="E91" s="64"/>
      <c r="F91" s="71"/>
      <c r="G91" s="64"/>
      <c r="H91" s="64"/>
      <c r="I91" s="53"/>
      <c r="J91" s="105">
        <f t="shared" si="22"/>
        <v>37848.5</v>
      </c>
      <c r="K91" s="109">
        <v>83</v>
      </c>
      <c r="L91" s="125">
        <f t="shared" si="20"/>
        <v>0.99997355104915053</v>
      </c>
      <c r="M91" s="46">
        <f t="shared" si="23"/>
        <v>0.99997355104915053</v>
      </c>
      <c r="N91" s="132">
        <v>0.99996590246462225</v>
      </c>
      <c r="O91" s="89">
        <f t="shared" si="21"/>
        <v>0.99997355104915053</v>
      </c>
      <c r="P91" s="4">
        <v>40405</v>
      </c>
      <c r="Q91" s="4">
        <v>0.99999442638225311</v>
      </c>
    </row>
    <row r="92" spans="2:41" x14ac:dyDescent="0.25">
      <c r="B92" s="63"/>
      <c r="C92" s="64"/>
      <c r="D92" s="65" t="s">
        <v>47</v>
      </c>
      <c r="E92" s="64"/>
      <c r="F92" s="71" t="s">
        <v>8</v>
      </c>
      <c r="G92" s="64"/>
      <c r="H92" s="64"/>
      <c r="I92" s="53"/>
      <c r="J92" s="105">
        <f t="shared" si="22"/>
        <v>37849.5</v>
      </c>
      <c r="K92" s="109">
        <v>84</v>
      </c>
      <c r="L92" s="125">
        <f t="shared" si="20"/>
        <v>0.999979710293733</v>
      </c>
      <c r="M92" s="46">
        <f t="shared" si="23"/>
        <v>0.999979710293733</v>
      </c>
      <c r="N92" s="132">
        <v>0.99997383474166435</v>
      </c>
      <c r="O92" s="89">
        <f t="shared" si="21"/>
        <v>0.999979710293733</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22"/>
        <v>37850.5</v>
      </c>
      <c r="K93" s="109">
        <v>85</v>
      </c>
      <c r="L93" s="125">
        <f t="shared" si="20"/>
        <v>0.999984435239331</v>
      </c>
      <c r="M93" s="46">
        <f t="shared" si="23"/>
        <v>0.999984435239331</v>
      </c>
      <c r="N93" s="132">
        <v>0.99997992173121009</v>
      </c>
      <c r="O93" s="89">
        <f t="shared" si="21"/>
        <v>0.999984435239331</v>
      </c>
      <c r="P93" s="4">
        <v>40407</v>
      </c>
      <c r="Q93" s="4">
        <v>0.99999685824657825</v>
      </c>
    </row>
    <row r="94" spans="2:41" x14ac:dyDescent="0.25">
      <c r="B94" s="63"/>
      <c r="C94" s="64"/>
      <c r="D94" s="65">
        <v>9.2253535765261202E-5</v>
      </c>
      <c r="E94" s="64">
        <v>0.12636077298244341</v>
      </c>
      <c r="F94" s="71">
        <v>0.35547260510824658</v>
      </c>
      <c r="G94" s="64"/>
      <c r="H94" s="64"/>
      <c r="I94" s="53"/>
      <c r="J94" s="105">
        <f t="shared" si="22"/>
        <v>37851.5</v>
      </c>
      <c r="K94" s="109">
        <v>86</v>
      </c>
      <c r="L94" s="125">
        <f t="shared" si="20"/>
        <v>0.99998805988096007</v>
      </c>
      <c r="M94" s="46">
        <f t="shared" si="23"/>
        <v>0.99998805988096007</v>
      </c>
      <c r="N94" s="132">
        <v>0.99998459268769502</v>
      </c>
      <c r="O94" s="89">
        <f t="shared" si="21"/>
        <v>0.99998805988096007</v>
      </c>
      <c r="P94" s="4">
        <v>40408</v>
      </c>
      <c r="Q94" s="4">
        <v>0.99999764120951673</v>
      </c>
    </row>
    <row r="95" spans="2:41" x14ac:dyDescent="0.25">
      <c r="B95" s="63"/>
      <c r="C95" s="64"/>
      <c r="D95" s="65"/>
      <c r="E95" s="64"/>
      <c r="F95" s="71"/>
      <c r="G95" s="64"/>
      <c r="H95" s="64"/>
      <c r="I95" s="53"/>
      <c r="J95" s="105">
        <f t="shared" si="22"/>
        <v>37852.5</v>
      </c>
      <c r="K95" s="109">
        <v>87</v>
      </c>
      <c r="L95" s="125">
        <f t="shared" si="20"/>
        <v>0.99999084044236985</v>
      </c>
      <c r="M95" s="46">
        <f t="shared" si="23"/>
        <v>0.99999084044236985</v>
      </c>
      <c r="N95" s="132">
        <v>0.99998817701780018</v>
      </c>
      <c r="O95" s="89">
        <f t="shared" si="21"/>
        <v>0.99999084044236985</v>
      </c>
      <c r="P95" s="4">
        <v>40409</v>
      </c>
      <c r="Q95" s="4">
        <v>0.99999822904897007</v>
      </c>
    </row>
    <row r="96" spans="2:41" x14ac:dyDescent="0.25">
      <c r="B96" s="63"/>
      <c r="C96" s="64"/>
      <c r="D96" s="65" t="s">
        <v>48</v>
      </c>
      <c r="E96" s="64"/>
      <c r="F96" s="71"/>
      <c r="G96" s="64"/>
      <c r="H96" s="64"/>
      <c r="I96" s="53"/>
      <c r="J96" s="105">
        <f t="shared" si="22"/>
        <v>37853.5</v>
      </c>
      <c r="K96" s="109">
        <v>88</v>
      </c>
      <c r="L96" s="125">
        <f t="shared" si="20"/>
        <v>0.99999297348365013</v>
      </c>
      <c r="M96" s="46">
        <f t="shared" si="23"/>
        <v>0.99999297348365013</v>
      </c>
      <c r="N96" s="132">
        <v>0.99999092750320295</v>
      </c>
      <c r="O96" s="89">
        <f t="shared" si="21"/>
        <v>0.99999297348365013</v>
      </c>
      <c r="P96" s="4">
        <v>40410</v>
      </c>
      <c r="Q96" s="4">
        <v>0.99999867039183277</v>
      </c>
    </row>
    <row r="97" spans="2:17" x14ac:dyDescent="0.25">
      <c r="B97" s="63"/>
      <c r="C97" s="64"/>
      <c r="D97" s="65">
        <v>0.99999999999999989</v>
      </c>
      <c r="E97" s="64">
        <v>1.8023520282993657E-2</v>
      </c>
      <c r="F97" s="71"/>
      <c r="G97" s="64"/>
      <c r="H97" s="64"/>
      <c r="I97" s="53"/>
      <c r="J97" s="105">
        <f t="shared" si="22"/>
        <v>37854.5</v>
      </c>
      <c r="K97" s="109">
        <v>89</v>
      </c>
      <c r="L97" s="125">
        <f t="shared" si="20"/>
        <v>0.99999460979345467</v>
      </c>
      <c r="M97" s="46">
        <f t="shared" si="23"/>
        <v>0.99999460979345467</v>
      </c>
      <c r="N97" s="132">
        <v>0.99999303812320184</v>
      </c>
      <c r="O97" s="89">
        <f t="shared" si="21"/>
        <v>0.99999460979345467</v>
      </c>
      <c r="P97" s="4">
        <v>40411</v>
      </c>
      <c r="Q97" s="4">
        <v>0.99999900174671486</v>
      </c>
    </row>
    <row r="98" spans="2:17" x14ac:dyDescent="0.25">
      <c r="B98" s="63"/>
      <c r="C98" s="64"/>
      <c r="D98" s="65">
        <v>1.8023520282993654E-2</v>
      </c>
      <c r="E98" s="64">
        <v>1</v>
      </c>
      <c r="F98" s="71"/>
      <c r="G98" s="64"/>
      <c r="H98" s="64"/>
      <c r="I98" s="53"/>
      <c r="J98" s="105">
        <f t="shared" si="22"/>
        <v>37855.5</v>
      </c>
      <c r="K98" s="109">
        <v>90</v>
      </c>
      <c r="L98" s="125">
        <f t="shared" si="20"/>
        <v>0.99999586504690474</v>
      </c>
      <c r="M98" s="46">
        <f t="shared" si="23"/>
        <v>0.99999586504690474</v>
      </c>
      <c r="N98" s="132">
        <v>0.99999465773250285</v>
      </c>
      <c r="O98" s="89">
        <f t="shared" si="21"/>
        <v>0.99999586504690474</v>
      </c>
      <c r="P98" s="4">
        <v>40412</v>
      </c>
      <c r="Q98" s="4">
        <v>0.99999925052390337</v>
      </c>
    </row>
    <row r="99" spans="2:17" x14ac:dyDescent="0.25">
      <c r="B99" s="63"/>
      <c r="C99" s="64"/>
      <c r="D99" s="65"/>
      <c r="E99" s="64"/>
      <c r="F99" s="71"/>
      <c r="G99" s="64"/>
      <c r="H99" s="64"/>
      <c r="I99" s="53"/>
      <c r="J99" s="105">
        <f t="shared" si="22"/>
        <v>37856.5</v>
      </c>
      <c r="K99" s="109">
        <v>91</v>
      </c>
      <c r="L99" s="125">
        <f t="shared" si="20"/>
        <v>0.9999968279820155</v>
      </c>
      <c r="M99" s="46">
        <f t="shared" si="23"/>
        <v>0.9999968279820155</v>
      </c>
      <c r="N99" s="132">
        <v>0.99999590055784027</v>
      </c>
      <c r="O99" s="89">
        <f t="shared" si="21"/>
        <v>0.9999968279820155</v>
      </c>
      <c r="P99" s="4">
        <v>40413</v>
      </c>
      <c r="Q99" s="4">
        <v>0.99999943730274388</v>
      </c>
    </row>
    <row r="100" spans="2:17" x14ac:dyDescent="0.25">
      <c r="B100" s="63"/>
      <c r="C100" s="64"/>
      <c r="D100" s="65"/>
      <c r="E100" s="64"/>
      <c r="F100" s="71"/>
      <c r="G100" s="64"/>
      <c r="H100" s="64"/>
      <c r="I100" s="53"/>
      <c r="J100" s="105">
        <f t="shared" si="22"/>
        <v>37857.5</v>
      </c>
      <c r="K100" s="109">
        <v>92</v>
      </c>
      <c r="L100" s="125">
        <f t="shared" si="20"/>
        <v>0.99999756667231632</v>
      </c>
      <c r="M100" s="46">
        <f t="shared" si="23"/>
        <v>0.99999756667231632</v>
      </c>
      <c r="N100" s="132">
        <v>0.99999685425314822</v>
      </c>
      <c r="O100" s="89">
        <f t="shared" si="21"/>
        <v>0.99999756667231632</v>
      </c>
      <c r="P100" s="4">
        <v>40414</v>
      </c>
      <c r="Q100" s="4">
        <v>0.99999957753397495</v>
      </c>
    </row>
    <row r="101" spans="2:17" x14ac:dyDescent="0.25">
      <c r="B101" s="63"/>
      <c r="C101" s="64"/>
      <c r="D101" s="65"/>
      <c r="E101" s="64"/>
      <c r="F101" s="71"/>
      <c r="G101" s="64"/>
      <c r="H101" s="64"/>
      <c r="I101" s="53"/>
      <c r="J101" s="105">
        <f t="shared" si="22"/>
        <v>37858.5</v>
      </c>
      <c r="K101" s="109">
        <v>93</v>
      </c>
      <c r="L101" s="125">
        <f t="shared" si="20"/>
        <v>0.99999813333889442</v>
      </c>
      <c r="M101" s="46">
        <f t="shared" si="23"/>
        <v>0.99999813333889442</v>
      </c>
      <c r="N101" s="132">
        <v>0.99999758608106293</v>
      </c>
      <c r="O101" s="89">
        <f t="shared" si="21"/>
        <v>0.99999813333889442</v>
      </c>
      <c r="P101" s="4">
        <v>40415</v>
      </c>
      <c r="Q101" s="4">
        <v>0.99999968281783125</v>
      </c>
    </row>
    <row r="102" spans="2:17" x14ac:dyDescent="0.25">
      <c r="B102" s="63"/>
      <c r="C102" s="64"/>
      <c r="D102" s="65"/>
      <c r="E102" s="64"/>
      <c r="F102" s="71"/>
      <c r="G102" s="64"/>
      <c r="H102" s="64"/>
      <c r="I102" s="53"/>
      <c r="J102" s="105">
        <f t="shared" si="22"/>
        <v>37859.5</v>
      </c>
      <c r="K102" s="109">
        <v>94</v>
      </c>
      <c r="L102" s="125">
        <f t="shared" si="20"/>
        <v>0.99999856804192599</v>
      </c>
      <c r="M102" s="46">
        <f t="shared" si="23"/>
        <v>0.99999856804192599</v>
      </c>
      <c r="N102" s="132">
        <v>0.99999814765652884</v>
      </c>
      <c r="O102" s="89">
        <f t="shared" si="21"/>
        <v>0.99999856804192599</v>
      </c>
      <c r="P102" s="4">
        <v>40416</v>
      </c>
      <c r="Q102" s="4">
        <v>0.99999976186363015</v>
      </c>
    </row>
    <row r="103" spans="2:17" x14ac:dyDescent="0.25">
      <c r="B103" s="63"/>
      <c r="C103" s="64"/>
      <c r="D103" s="65"/>
      <c r="E103" s="64"/>
      <c r="F103" s="71"/>
      <c r="G103" s="64"/>
      <c r="H103" s="64"/>
      <c r="I103" s="53"/>
      <c r="J103" s="105">
        <f t="shared" si="22"/>
        <v>37860.5</v>
      </c>
      <c r="K103" s="109">
        <v>95</v>
      </c>
      <c r="L103" s="125">
        <f t="shared" si="20"/>
        <v>0.99999890151259285</v>
      </c>
      <c r="M103" s="46">
        <f t="shared" si="23"/>
        <v>0.99999890151259285</v>
      </c>
      <c r="N103" s="132">
        <v>0.99999857858694674</v>
      </c>
      <c r="O103" s="89">
        <f t="shared" si="21"/>
        <v>0.99999890151259285</v>
      </c>
      <c r="P103" s="4">
        <v>40417</v>
      </c>
      <c r="Q103" s="4">
        <v>0.99999982121022213</v>
      </c>
    </row>
    <row r="104" spans="2:17" x14ac:dyDescent="0.25">
      <c r="B104" s="63"/>
      <c r="C104" s="64"/>
      <c r="D104" s="65"/>
      <c r="E104" s="64"/>
      <c r="F104" s="71"/>
      <c r="G104" s="64"/>
      <c r="H104" s="64"/>
      <c r="I104" s="53"/>
      <c r="J104" s="105">
        <f t="shared" si="22"/>
        <v>37861.5</v>
      </c>
      <c r="K104" s="109">
        <v>96</v>
      </c>
      <c r="L104" s="125">
        <f t="shared" si="20"/>
        <v>0.99999915732554467</v>
      </c>
      <c r="M104" s="46">
        <f t="shared" si="23"/>
        <v>0.99999915732554467</v>
      </c>
      <c r="N104" s="132">
        <v>0.99999890926553481</v>
      </c>
      <c r="O104" s="89">
        <f t="shared" si="21"/>
        <v>0.99999915732554467</v>
      </c>
      <c r="P104" s="4">
        <v>40418</v>
      </c>
      <c r="Q104" s="4">
        <v>0.99999986576689559</v>
      </c>
    </row>
    <row r="105" spans="2:17" x14ac:dyDescent="0.25">
      <c r="B105" s="63"/>
      <c r="C105" s="64"/>
      <c r="D105" s="65"/>
      <c r="E105" s="64"/>
      <c r="F105" s="71"/>
      <c r="G105" s="64"/>
      <c r="H105" s="64"/>
      <c r="I105" s="53"/>
      <c r="J105" s="105">
        <f t="shared" si="22"/>
        <v>37862.5</v>
      </c>
      <c r="K105" s="109">
        <v>97</v>
      </c>
      <c r="L105" s="125">
        <f>$G$3/(1+EXP(-$G$4*(K105-$G$5)))</f>
        <v>0.99999935356546588</v>
      </c>
      <c r="M105" s="46">
        <f t="shared" si="23"/>
        <v>0.99999935356546588</v>
      </c>
      <c r="N105" s="132">
        <v>0.99999916301487501</v>
      </c>
      <c r="O105" s="89">
        <f>IF(N105=M105,N105,M105)</f>
        <v>0.99999935356546588</v>
      </c>
      <c r="P105" s="4">
        <v>40419</v>
      </c>
      <c r="Q105" s="4">
        <v>0.99999989921948373</v>
      </c>
    </row>
    <row r="106" spans="2:17" x14ac:dyDescent="0.25">
      <c r="B106" s="63"/>
      <c r="C106" s="64"/>
      <c r="D106" s="65"/>
      <c r="E106" s="64"/>
      <c r="F106" s="71"/>
      <c r="G106" s="64"/>
      <c r="H106" s="64"/>
      <c r="I106" s="53"/>
      <c r="J106" s="105">
        <f t="shared" si="22"/>
        <v>37863.5</v>
      </c>
      <c r="K106" s="109">
        <v>98</v>
      </c>
      <c r="L106" s="125">
        <f>$G$3/(1+EXP(-$G$4*(K106-$G$5)))</f>
        <v>0.99999950410554728</v>
      </c>
      <c r="M106" s="46">
        <f t="shared" si="23"/>
        <v>0.99999950410554728</v>
      </c>
      <c r="N106" s="132">
        <v>0.99999935773180315</v>
      </c>
      <c r="O106" s="89">
        <f>IF(N106=M106,N106,M106)</f>
        <v>0.99999950410554728</v>
      </c>
      <c r="P106" s="4">
        <v>40420</v>
      </c>
      <c r="Q106" s="4">
        <v>0.99999992433526419</v>
      </c>
    </row>
    <row r="107" spans="2:17" x14ac:dyDescent="0.25">
      <c r="B107" s="63"/>
      <c r="C107" s="64"/>
      <c r="D107" s="65"/>
      <c r="E107" s="64"/>
      <c r="F107" s="71"/>
      <c r="G107" s="64"/>
      <c r="H107" s="64"/>
      <c r="I107" s="53"/>
      <c r="J107" s="105">
        <f t="shared" si="22"/>
        <v>37864.5</v>
      </c>
      <c r="K107" s="109">
        <v>99</v>
      </c>
      <c r="L107" s="125">
        <f>$G$3/(1+EXP(-$G$4*(K107-$G$5)))</f>
        <v>0.99999961958823869</v>
      </c>
      <c r="M107" s="46">
        <f t="shared" si="23"/>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v>37766.5</v>
      </c>
      <c r="C132" s="64">
        <v>0</v>
      </c>
      <c r="D132" s="4">
        <v>2.5000000000000001E-2</v>
      </c>
      <c r="E132" s="64">
        <f>1.96*D132</f>
        <v>4.9000000000000002E-2</v>
      </c>
      <c r="F132" s="71">
        <f>1-C132</f>
        <v>1</v>
      </c>
      <c r="G132" s="64"/>
      <c r="H132" s="64"/>
      <c r="I132" s="53"/>
      <c r="J132" s="44"/>
      <c r="K132" s="45"/>
      <c r="L132" s="46"/>
      <c r="M132" s="46"/>
      <c r="N132" s="70"/>
      <c r="O132" s="47"/>
    </row>
    <row r="133" spans="2:15" x14ac:dyDescent="0.25">
      <c r="B133" s="63">
        <v>37797.5</v>
      </c>
      <c r="C133" s="64">
        <v>1.4373661500000001E-2</v>
      </c>
      <c r="D133" s="147">
        <v>2.9294660471095732E-2</v>
      </c>
      <c r="E133" s="64">
        <f t="shared" ref="E133:E139" si="25">1.96*D133</f>
        <v>5.7417534523347635E-2</v>
      </c>
      <c r="F133" s="71">
        <f t="shared" ref="F133:F139" si="26">1-C133</f>
        <v>0.98562633850000003</v>
      </c>
      <c r="G133" s="64"/>
      <c r="H133" s="64"/>
      <c r="I133" s="53"/>
      <c r="J133" s="44"/>
      <c r="K133" s="45"/>
      <c r="L133" s="46"/>
      <c r="M133" s="46"/>
      <c r="N133" s="70"/>
      <c r="O133" s="47"/>
    </row>
    <row r="134" spans="2:15" x14ac:dyDescent="0.25">
      <c r="B134" s="63">
        <v>37803.5</v>
      </c>
      <c r="C134" s="64">
        <v>0.14530426295000001</v>
      </c>
      <c r="D134" s="147">
        <v>4.3768624675588189E-2</v>
      </c>
      <c r="E134" s="64">
        <f t="shared" si="25"/>
        <v>8.5786504364152846E-2</v>
      </c>
      <c r="F134" s="71">
        <f t="shared" si="26"/>
        <v>0.85469573705000002</v>
      </c>
      <c r="G134" s="64"/>
      <c r="H134" s="64"/>
      <c r="I134" s="53"/>
      <c r="J134" s="44"/>
      <c r="K134" s="45"/>
      <c r="L134" s="46"/>
      <c r="M134" s="46"/>
      <c r="N134" s="70"/>
      <c r="O134" s="47"/>
    </row>
    <row r="135" spans="2:15" x14ac:dyDescent="0.25">
      <c r="B135" s="63">
        <v>37809.5</v>
      </c>
      <c r="C135" s="64">
        <v>0.28467891862</v>
      </c>
      <c r="D135" s="147">
        <v>5.482678371741849E-2</v>
      </c>
      <c r="E135" s="64">
        <f t="shared" si="25"/>
        <v>0.10746049608614024</v>
      </c>
      <c r="F135" s="71">
        <f t="shared" si="26"/>
        <v>0.71532108137999995</v>
      </c>
      <c r="G135" s="64"/>
      <c r="H135" s="64"/>
      <c r="I135" s="53"/>
      <c r="J135" s="44"/>
      <c r="K135" s="45"/>
      <c r="L135" s="46"/>
      <c r="M135" s="46"/>
      <c r="N135" s="70"/>
      <c r="O135" s="47"/>
    </row>
    <row r="136" spans="2:15" x14ac:dyDescent="0.25">
      <c r="B136" s="63">
        <v>37815.5</v>
      </c>
      <c r="C136" s="64">
        <v>0.68313881839000001</v>
      </c>
      <c r="D136" s="147">
        <v>5.455329775196275E-2</v>
      </c>
      <c r="E136" s="64">
        <f t="shared" si="25"/>
        <v>0.10692446359384698</v>
      </c>
      <c r="F136" s="71">
        <f t="shared" si="26"/>
        <v>0.31686118160999999</v>
      </c>
      <c r="G136" s="64"/>
      <c r="H136" s="64"/>
      <c r="I136" s="53"/>
      <c r="J136" s="44"/>
      <c r="K136" s="45"/>
      <c r="L136" s="46"/>
      <c r="M136" s="46"/>
      <c r="N136" s="70"/>
      <c r="O136" s="47"/>
    </row>
    <row r="137" spans="2:15" x14ac:dyDescent="0.25">
      <c r="B137" s="63">
        <v>37820.5</v>
      </c>
      <c r="C137" s="64">
        <v>0.58347815381000001</v>
      </c>
      <c r="D137" s="147">
        <v>5.2774119647345311E-2</v>
      </c>
      <c r="E137" s="64">
        <f t="shared" si="25"/>
        <v>0.10343727450879681</v>
      </c>
      <c r="F137" s="71">
        <f t="shared" si="26"/>
        <v>0.41652184618999999</v>
      </c>
      <c r="G137" s="64"/>
      <c r="H137" s="64"/>
      <c r="I137" s="53"/>
      <c r="J137" s="44"/>
      <c r="K137" s="45"/>
      <c r="L137" s="46"/>
      <c r="M137" s="46"/>
      <c r="N137" s="70"/>
      <c r="O137" s="47"/>
    </row>
    <row r="138" spans="2:15" x14ac:dyDescent="0.25">
      <c r="B138" s="63">
        <v>37825.5</v>
      </c>
      <c r="C138" s="64">
        <v>0.57123000782</v>
      </c>
      <c r="D138" s="147">
        <v>5.8738633411898597E-2</v>
      </c>
      <c r="E138" s="64">
        <f t="shared" si="25"/>
        <v>0.11512772148732124</v>
      </c>
      <c r="F138" s="71">
        <f t="shared" si="26"/>
        <v>0.42876999218</v>
      </c>
      <c r="G138" s="64"/>
      <c r="H138" s="64"/>
      <c r="I138" s="53"/>
      <c r="J138" s="44"/>
      <c r="K138" s="45"/>
      <c r="L138" s="46"/>
      <c r="M138" s="46"/>
      <c r="N138" s="70"/>
      <c r="O138" s="47"/>
    </row>
    <row r="139" spans="2:15" x14ac:dyDescent="0.25">
      <c r="B139" s="63">
        <v>37834.5</v>
      </c>
      <c r="C139" s="64">
        <v>1</v>
      </c>
      <c r="D139" s="147">
        <v>2.5000000000000001E-2</v>
      </c>
      <c r="E139" s="64">
        <f t="shared" si="25"/>
        <v>4.9000000000000002E-2</v>
      </c>
      <c r="F139" s="71">
        <f t="shared" si="26"/>
        <v>0</v>
      </c>
      <c r="G139" s="64"/>
      <c r="H139" s="64"/>
      <c r="I139" s="53"/>
      <c r="J139" s="44"/>
      <c r="K139" s="45"/>
      <c r="L139" s="46"/>
      <c r="M139" s="46"/>
      <c r="N139" s="70"/>
      <c r="O139" s="47"/>
    </row>
    <row r="140" spans="2:15" x14ac:dyDescent="0.25">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v>37766.5</v>
      </c>
      <c r="D152" s="65">
        <v>0.99937189731766174</v>
      </c>
      <c r="E152" s="65"/>
      <c r="F152" s="71"/>
      <c r="G152" s="64"/>
      <c r="H152" s="64"/>
      <c r="I152" s="53"/>
      <c r="J152" s="44"/>
      <c r="K152" s="45"/>
      <c r="L152" s="46"/>
      <c r="M152" s="46"/>
      <c r="N152" s="70"/>
      <c r="O152" s="47"/>
    </row>
    <row r="153" spans="2:15" x14ac:dyDescent="0.25">
      <c r="B153" s="63"/>
      <c r="C153" s="64">
        <v>37767.5</v>
      </c>
      <c r="D153" s="65">
        <v>0.99927033440039681</v>
      </c>
      <c r="E153" s="65"/>
      <c r="F153" s="71"/>
      <c r="G153" s="64"/>
      <c r="H153" s="64"/>
      <c r="I153" s="53"/>
      <c r="J153" s="44"/>
      <c r="K153" s="45"/>
      <c r="L153" s="46"/>
      <c r="M153" s="46"/>
      <c r="N153" s="70"/>
      <c r="O153" s="47"/>
    </row>
    <row r="154" spans="2:15" x14ac:dyDescent="0.25">
      <c r="B154" s="63"/>
      <c r="C154" s="64">
        <v>37768.5</v>
      </c>
      <c r="D154" s="65">
        <v>0.99915236289651199</v>
      </c>
      <c r="E154" s="65"/>
      <c r="F154" s="71"/>
      <c r="G154" s="64"/>
      <c r="H154" s="64"/>
      <c r="I154" s="53"/>
      <c r="J154" s="44"/>
      <c r="K154" s="45"/>
      <c r="L154" s="46"/>
      <c r="M154" s="46"/>
      <c r="N154" s="70"/>
      <c r="O154" s="47"/>
    </row>
    <row r="155" spans="2:15" x14ac:dyDescent="0.25">
      <c r="B155" s="63"/>
      <c r="C155" s="64">
        <v>37769.5</v>
      </c>
      <c r="D155" s="65">
        <v>0.9990153366888026</v>
      </c>
      <c r="E155" s="65"/>
      <c r="F155" s="71"/>
      <c r="G155" s="64"/>
      <c r="H155" s="64"/>
      <c r="I155" s="53"/>
      <c r="J155" s="44"/>
      <c r="K155" s="45"/>
      <c r="L155" s="46"/>
      <c r="M155" s="46"/>
      <c r="N155" s="70"/>
      <c r="O155" s="47"/>
    </row>
    <row r="156" spans="2:15" x14ac:dyDescent="0.25">
      <c r="B156" s="63"/>
      <c r="C156" s="64">
        <v>37770.5</v>
      </c>
      <c r="D156" s="65">
        <v>0.99885618463641579</v>
      </c>
      <c r="E156" s="65"/>
      <c r="F156" s="71"/>
      <c r="G156" s="64"/>
      <c r="H156" s="64"/>
      <c r="I156" s="53"/>
      <c r="J156" s="44"/>
      <c r="K156" s="45"/>
      <c r="L156" s="46"/>
      <c r="M156" s="46"/>
      <c r="N156" s="70"/>
      <c r="O156" s="47"/>
    </row>
    <row r="157" spans="2:15" x14ac:dyDescent="0.25">
      <c r="B157" s="63"/>
      <c r="C157" s="64">
        <v>37771.5</v>
      </c>
      <c r="D157" s="65">
        <v>0.9986713429007984</v>
      </c>
      <c r="E157" s="65"/>
      <c r="F157" s="71"/>
      <c r="G157" s="64"/>
      <c r="H157" s="64"/>
      <c r="I157" s="53"/>
      <c r="J157" s="44"/>
      <c r="K157" s="45"/>
      <c r="L157" s="46"/>
      <c r="M157" s="46"/>
      <c r="N157" s="70"/>
      <c r="O157" s="47"/>
    </row>
    <row r="158" spans="2:15" x14ac:dyDescent="0.25">
      <c r="B158" s="63"/>
      <c r="C158" s="64">
        <v>37772.5</v>
      </c>
      <c r="D158" s="65">
        <v>0.9984566767039742</v>
      </c>
      <c r="E158" s="65"/>
      <c r="F158" s="71"/>
      <c r="G158" s="64"/>
      <c r="H158" s="64"/>
      <c r="I158" s="53"/>
      <c r="J158" s="44"/>
      <c r="K158" s="45"/>
      <c r="L158" s="46"/>
      <c r="M158" s="46"/>
      <c r="N158" s="70"/>
      <c r="O158" s="47"/>
    </row>
    <row r="159" spans="2:15" x14ac:dyDescent="0.25">
      <c r="B159" s="63"/>
      <c r="C159" s="64">
        <v>37773.5</v>
      </c>
      <c r="D159" s="65">
        <v>0.99820738994185276</v>
      </c>
      <c r="E159" s="65"/>
      <c r="F159" s="71"/>
      <c r="G159" s="64"/>
      <c r="H159" s="64"/>
      <c r="I159" s="53"/>
      <c r="J159" s="44"/>
      <c r="K159" s="45"/>
      <c r="L159" s="46"/>
      <c r="M159" s="46"/>
      <c r="N159" s="70"/>
      <c r="O159" s="47"/>
    </row>
    <row r="160" spans="2:15" x14ac:dyDescent="0.25">
      <c r="B160" s="63"/>
      <c r="C160" s="64">
        <v>37774.5</v>
      </c>
      <c r="D160" s="65">
        <v>0.99791792086573672</v>
      </c>
      <c r="E160" s="65"/>
      <c r="F160" s="71"/>
      <c r="G160" s="64"/>
      <c r="H160" s="64"/>
      <c r="I160" s="53"/>
      <c r="J160" s="44"/>
      <c r="K160" s="45"/>
      <c r="L160" s="46"/>
      <c r="M160" s="46"/>
      <c r="N160" s="70"/>
      <c r="O160" s="47"/>
    </row>
    <row r="161" spans="2:9" x14ac:dyDescent="0.25">
      <c r="B161" s="63"/>
      <c r="C161" s="64">
        <v>37775.5</v>
      </c>
      <c r="D161" s="65">
        <v>0.99758182181733823</v>
      </c>
      <c r="E161" s="65"/>
      <c r="F161" s="71"/>
      <c r="G161" s="64"/>
      <c r="H161" s="64"/>
      <c r="I161" s="53"/>
    </row>
    <row r="162" spans="2:9" x14ac:dyDescent="0.25">
      <c r="B162" s="63"/>
      <c r="C162" s="64">
        <v>37776.5</v>
      </c>
      <c r="D162" s="65">
        <v>0.99719162075867385</v>
      </c>
      <c r="E162" s="65"/>
      <c r="F162" s="71"/>
      <c r="G162" s="64"/>
      <c r="H162" s="64"/>
      <c r="I162" s="53"/>
    </row>
    <row r="163" spans="2:9" x14ac:dyDescent="0.25">
      <c r="B163" s="63"/>
      <c r="C163" s="64">
        <v>37777.5</v>
      </c>
      <c r="D163" s="65">
        <v>0.99673866208252038</v>
      </c>
      <c r="E163" s="65"/>
      <c r="F163" s="71"/>
      <c r="G163" s="64"/>
      <c r="H163" s="64"/>
      <c r="I163" s="53"/>
    </row>
    <row r="164" spans="2:9" x14ac:dyDescent="0.25">
      <c r="B164" s="63"/>
      <c r="C164" s="64">
        <v>37778.5</v>
      </c>
      <c r="D164" s="65">
        <v>0.99621292392889316</v>
      </c>
      <c r="E164" s="65"/>
      <c r="F164" s="71"/>
      <c r="G164" s="64"/>
      <c r="H164" s="64"/>
      <c r="I164" s="53"/>
    </row>
    <row r="165" spans="2:9" x14ac:dyDescent="0.25">
      <c r="B165" s="63"/>
      <c r="C165" s="64">
        <v>37779.5</v>
      </c>
      <c r="D165" s="65">
        <v>0.99560280897956932</v>
      </c>
      <c r="E165" s="65"/>
      <c r="F165" s="71"/>
      <c r="G165" s="64"/>
      <c r="H165" s="64"/>
      <c r="I165" s="53"/>
    </row>
    <row r="166" spans="2:9" x14ac:dyDescent="0.25">
      <c r="B166" s="63"/>
      <c r="C166" s="64">
        <v>37780.5</v>
      </c>
      <c r="D166" s="65">
        <v>0.9948949054728613</v>
      </c>
      <c r="E166" s="65"/>
      <c r="F166" s="71"/>
      <c r="G166" s="64"/>
      <c r="H166" s="64"/>
      <c r="I166" s="53"/>
    </row>
    <row r="167" spans="2:9" x14ac:dyDescent="0.25">
      <c r="B167" s="63"/>
      <c r="C167" s="64">
        <v>37781.5</v>
      </c>
      <c r="D167" s="65">
        <v>0.99407371499902086</v>
      </c>
      <c r="E167" s="65"/>
      <c r="F167" s="71"/>
      <c r="G167" s="64"/>
      <c r="H167" s="64"/>
      <c r="I167" s="53"/>
    </row>
    <row r="168" spans="2:9" x14ac:dyDescent="0.25">
      <c r="B168" s="63"/>
      <c r="C168" s="64">
        <v>37782.5</v>
      </c>
      <c r="D168" s="65">
        <v>0.99312134353716319</v>
      </c>
      <c r="E168" s="65"/>
      <c r="F168" s="71"/>
      <c r="G168" s="64"/>
      <c r="H168" s="64"/>
      <c r="I168" s="53"/>
    </row>
    <row r="169" spans="2:9" x14ac:dyDescent="0.25">
      <c r="B169" s="63"/>
      <c r="C169" s="64">
        <v>37783.5</v>
      </c>
      <c r="D169" s="65">
        <v>0.99201715222492926</v>
      </c>
      <c r="E169" s="65"/>
      <c r="F169" s="71"/>
      <c r="G169" s="64"/>
      <c r="H169" s="64"/>
      <c r="I169" s="53"/>
    </row>
    <row r="170" spans="2:9" x14ac:dyDescent="0.25">
      <c r="B170" s="63"/>
      <c r="C170" s="64">
        <v>37784.5</v>
      </c>
      <c r="D170" s="65">
        <v>0.99073736457669048</v>
      </c>
      <c r="E170" s="65"/>
      <c r="F170" s="71"/>
      <c r="G170" s="64"/>
      <c r="H170" s="64"/>
      <c r="I170" s="53"/>
    </row>
    <row r="171" spans="2:9" x14ac:dyDescent="0.25">
      <c r="B171" s="63"/>
      <c r="C171" s="64">
        <v>37785.5</v>
      </c>
      <c r="D171" s="65">
        <v>0.9892546273709848</v>
      </c>
      <c r="E171" s="65"/>
      <c r="F171" s="71"/>
      <c r="G171" s="64"/>
      <c r="H171" s="64"/>
      <c r="I171" s="53"/>
    </row>
    <row r="172" spans="2:9" x14ac:dyDescent="0.25">
      <c r="B172" s="63"/>
      <c r="C172" s="64">
        <v>37786.5</v>
      </c>
      <c r="D172" s="65">
        <v>0.98753752332597144</v>
      </c>
      <c r="E172" s="65"/>
      <c r="F172" s="71"/>
      <c r="G172" s="64"/>
      <c r="H172" s="64"/>
      <c r="I172" s="53"/>
    </row>
    <row r="173" spans="2:9" x14ac:dyDescent="0.25">
      <c r="B173" s="63"/>
      <c r="C173" s="64">
        <v>37787.5</v>
      </c>
      <c r="D173" s="65">
        <v>0.98555003511863482</v>
      </c>
      <c r="E173" s="65"/>
      <c r="F173" s="71"/>
      <c r="G173" s="64"/>
      <c r="H173" s="64"/>
      <c r="I173" s="53"/>
    </row>
    <row r="174" spans="2:9" x14ac:dyDescent="0.25">
      <c r="B174" s="63"/>
      <c r="C174" s="64">
        <v>37788.5</v>
      </c>
      <c r="D174" s="65">
        <v>0.98325096246333232</v>
      </c>
      <c r="E174" s="65"/>
      <c r="F174" s="71"/>
      <c r="G174" s="64"/>
      <c r="H174" s="64"/>
      <c r="I174" s="53"/>
    </row>
    <row r="175" spans="2:9" x14ac:dyDescent="0.25">
      <c r="B175" s="63"/>
      <c r="C175" s="64">
        <v>37789.5</v>
      </c>
      <c r="D175" s="65">
        <v>0.98059329707541876</v>
      </c>
      <c r="E175" s="65"/>
      <c r="F175" s="71"/>
      <c r="G175" s="64"/>
      <c r="H175" s="64"/>
      <c r="I175" s="53"/>
    </row>
    <row r="176" spans="2:9" x14ac:dyDescent="0.25">
      <c r="B176" s="63"/>
      <c r="C176" s="64">
        <v>37790.5</v>
      </c>
      <c r="D176" s="65">
        <v>0.97752356467890367</v>
      </c>
      <c r="E176" s="65"/>
      <c r="F176" s="71"/>
      <c r="G176" s="64"/>
      <c r="H176" s="64"/>
      <c r="I176" s="53"/>
    </row>
    <row r="177" spans="2:9" x14ac:dyDescent="0.25">
      <c r="B177" s="63"/>
      <c r="C177" s="64">
        <v>37791.5</v>
      </c>
      <c r="D177" s="65">
        <v>0.97398114908861111</v>
      </c>
      <c r="E177" s="65"/>
      <c r="F177" s="71"/>
      <c r="G177" s="64"/>
      <c r="H177" s="64"/>
      <c r="I177" s="53"/>
    </row>
    <row r="178" spans="2:9" x14ac:dyDescent="0.25">
      <c r="B178" s="63"/>
      <c r="C178" s="64">
        <v>37792.5</v>
      </c>
      <c r="D178" s="65">
        <v>0.96989762115253808</v>
      </c>
      <c r="E178" s="65"/>
      <c r="F178" s="71"/>
      <c r="G178" s="64"/>
      <c r="H178" s="64"/>
      <c r="I178" s="53"/>
    </row>
    <row r="179" spans="2:9" x14ac:dyDescent="0.25">
      <c r="B179" s="63"/>
      <c r="C179" s="64">
        <v>37793.5</v>
      </c>
      <c r="D179" s="65">
        <v>0.96519610532756117</v>
      </c>
      <c r="E179" s="65"/>
      <c r="F179" s="71"/>
      <c r="G179" s="64"/>
      <c r="H179" s="64"/>
      <c r="I179" s="53"/>
    </row>
    <row r="180" spans="2:9" x14ac:dyDescent="0.25">
      <c r="B180" s="63"/>
      <c r="C180" s="64">
        <v>37794.5</v>
      </c>
      <c r="D180" s="65">
        <v>0.95979072918333619</v>
      </c>
      <c r="E180" s="65"/>
      <c r="F180" s="71"/>
      <c r="G180" s="64"/>
      <c r="H180" s="64"/>
      <c r="I180" s="53"/>
    </row>
    <row r="181" spans="2:9" x14ac:dyDescent="0.25">
      <c r="B181" s="63"/>
      <c r="C181" s="64">
        <v>37795.5</v>
      </c>
      <c r="D181" s="65">
        <v>0.95358621635903895</v>
      </c>
      <c r="E181" s="65"/>
      <c r="F181" s="71"/>
      <c r="G181" s="64"/>
      <c r="H181" s="64"/>
      <c r="I181" s="53"/>
    </row>
    <row r="182" spans="2:9" x14ac:dyDescent="0.25">
      <c r="B182" s="63"/>
      <c r="C182" s="64">
        <v>37796.5</v>
      </c>
      <c r="D182" s="65">
        <v>0.94647770135664244</v>
      </c>
      <c r="E182" s="65"/>
      <c r="F182" s="71"/>
      <c r="G182" s="64"/>
      <c r="H182" s="64"/>
      <c r="I182" s="53"/>
    </row>
    <row r="183" spans="2:9" x14ac:dyDescent="0.25">
      <c r="B183" s="63"/>
      <c r="C183" s="64">
        <v>37797.5</v>
      </c>
      <c r="D183" s="65">
        <v>0.93835086453417804</v>
      </c>
      <c r="E183" s="65"/>
      <c r="F183" s="71"/>
      <c r="G183" s="64"/>
      <c r="H183" s="64"/>
      <c r="I183" s="53"/>
    </row>
    <row r="184" spans="2:9" x14ac:dyDescent="0.25">
      <c r="B184" s="63"/>
      <c r="C184" s="64">
        <v>37798.5</v>
      </c>
      <c r="D184" s="65">
        <v>0.92908250659040403</v>
      </c>
      <c r="E184" s="65"/>
      <c r="F184" s="71"/>
      <c r="G184" s="64"/>
      <c r="H184" s="64"/>
      <c r="I184" s="53"/>
    </row>
    <row r="185" spans="2:9" x14ac:dyDescent="0.25">
      <c r="B185" s="63"/>
      <c r="C185" s="64">
        <v>37799.5</v>
      </c>
      <c r="D185" s="65">
        <v>0.91854170158897652</v>
      </c>
      <c r="E185" s="65"/>
      <c r="F185" s="71"/>
      <c r="G185" s="64"/>
      <c r="H185" s="64"/>
      <c r="I185" s="53"/>
    </row>
    <row r="186" spans="2:9" x14ac:dyDescent="0.25">
      <c r="B186" s="63"/>
      <c r="C186" s="64">
        <v>37800.5</v>
      </c>
      <c r="D186" s="65">
        <v>0.90659168278816871</v>
      </c>
      <c r="E186" s="65"/>
      <c r="F186" s="71"/>
      <c r="G186" s="64"/>
      <c r="H186" s="64"/>
      <c r="I186" s="53"/>
    </row>
    <row r="187" spans="2:9" x14ac:dyDescent="0.25">
      <c r="B187" s="63"/>
      <c r="C187" s="64">
        <v>37801.5</v>
      </c>
      <c r="D187" s="65">
        <v>0.89309262135735867</v>
      </c>
      <c r="E187" s="65"/>
      <c r="F187" s="71"/>
      <c r="G187" s="64"/>
      <c r="H187" s="64"/>
      <c r="I187" s="53"/>
    </row>
    <row r="188" spans="2:9" x14ac:dyDescent="0.25">
      <c r="B188" s="63"/>
      <c r="C188" s="64">
        <v>37802.5</v>
      </c>
      <c r="D188" s="65">
        <v>0.87790544803816573</v>
      </c>
      <c r="E188" s="65"/>
      <c r="F188" s="71"/>
      <c r="G188" s="64"/>
      <c r="H188" s="64"/>
      <c r="I188" s="53"/>
    </row>
    <row r="189" spans="2:9" x14ac:dyDescent="0.25">
      <c r="C189" s="4">
        <v>37803.5</v>
      </c>
      <c r="D189" s="65">
        <v>0.86089683421987606</v>
      </c>
      <c r="E189" s="65"/>
      <c r="F189" s="71"/>
      <c r="G189" s="64"/>
      <c r="H189" s="64"/>
      <c r="I189" s="53"/>
    </row>
    <row r="190" spans="2:9" x14ac:dyDescent="0.25">
      <c r="C190" s="4">
        <v>37804.5</v>
      </c>
      <c r="D190" s="65">
        <v>0.84194538359625493</v>
      </c>
      <c r="E190" s="65"/>
      <c r="F190" s="71"/>
      <c r="G190" s="64"/>
      <c r="H190" s="64"/>
      <c r="I190" s="53"/>
    </row>
    <row r="191" spans="2:9" x14ac:dyDescent="0.25">
      <c r="B191" s="63"/>
      <c r="C191" s="64">
        <v>37805.5</v>
      </c>
      <c r="D191" s="65">
        <v>0.82094898166426189</v>
      </c>
      <c r="E191" s="65"/>
      <c r="F191" s="71"/>
      <c r="G191" s="64"/>
      <c r="H191" s="64"/>
      <c r="I191" s="53"/>
    </row>
    <row r="192" spans="2:9" x14ac:dyDescent="0.25">
      <c r="B192" s="63"/>
      <c r="C192" s="64">
        <v>37806.5</v>
      </c>
      <c r="D192" s="65">
        <v>0.79783310480175662</v>
      </c>
      <c r="E192" s="65"/>
      <c r="F192" s="72"/>
      <c r="G192" s="64"/>
      <c r="H192" s="64"/>
      <c r="I192" s="53"/>
    </row>
    <row r="193" spans="2:9" x14ac:dyDescent="0.25">
      <c r="B193" s="72"/>
      <c r="C193" s="64">
        <v>37807.5</v>
      </c>
      <c r="D193" s="64">
        <v>0.7725597077788241</v>
      </c>
      <c r="E193" s="65"/>
      <c r="F193" s="72"/>
      <c r="G193" s="64"/>
      <c r="H193" s="64"/>
      <c r="I193" s="53"/>
    </row>
    <row r="194" spans="2:9" x14ac:dyDescent="0.25">
      <c r="C194" s="9">
        <v>37808.5</v>
      </c>
      <c r="D194" s="9">
        <v>0.74513610338185698</v>
      </c>
      <c r="E194" s="65"/>
      <c r="G194" s="53"/>
      <c r="H194" s="53"/>
      <c r="I194" s="53"/>
    </row>
    <row r="195" spans="2:9" x14ac:dyDescent="0.25">
      <c r="C195" s="9">
        <v>37809.5</v>
      </c>
      <c r="D195" s="9">
        <v>0.71562304867688131</v>
      </c>
      <c r="E195" s="65"/>
      <c r="G195" s="53"/>
      <c r="H195" s="53"/>
      <c r="I195" s="53"/>
    </row>
    <row r="196" spans="2:9" x14ac:dyDescent="0.25">
      <c r="C196" s="9">
        <v>37810.5</v>
      </c>
      <c r="D196" s="9">
        <v>0.68414110046366616</v>
      </c>
      <c r="E196" s="65"/>
      <c r="G196" s="53"/>
      <c r="H196" s="53"/>
      <c r="I196" s="53"/>
    </row>
    <row r="197" spans="2:9" x14ac:dyDescent="0.25">
      <c r="C197" s="9">
        <v>37811.5</v>
      </c>
      <c r="D197" s="9">
        <v>0.65087424661609383</v>
      </c>
      <c r="E197" s="65"/>
      <c r="G197" s="53"/>
      <c r="H197" s="53"/>
      <c r="I197" s="53"/>
    </row>
    <row r="198" spans="2:9" x14ac:dyDescent="0.25">
      <c r="C198" s="9">
        <v>37812.5</v>
      </c>
      <c r="D198" s="9">
        <v>0.61606990640824155</v>
      </c>
      <c r="E198" s="65"/>
      <c r="G198" s="53"/>
      <c r="H198" s="53"/>
      <c r="I198" s="53"/>
    </row>
    <row r="199" spans="2:9" x14ac:dyDescent="0.25">
      <c r="C199" s="9">
        <v>37813.5</v>
      </c>
      <c r="D199" s="9">
        <v>0.58003464995789233</v>
      </c>
      <c r="E199" s="65"/>
      <c r="G199" s="53"/>
      <c r="H199" s="53"/>
      <c r="I199" s="53"/>
    </row>
    <row r="200" spans="2:9" x14ac:dyDescent="0.25">
      <c r="C200" s="9">
        <v>37814.5</v>
      </c>
      <c r="D200" s="9">
        <v>0.54312540973269186</v>
      </c>
      <c r="E200" s="65"/>
      <c r="G200" s="53"/>
      <c r="H200" s="53"/>
      <c r="I200" s="53"/>
    </row>
    <row r="201" spans="2:9" x14ac:dyDescent="0.25">
      <c r="C201" s="9">
        <v>37815.5</v>
      </c>
      <c r="D201" s="9">
        <v>0.50573649787531938</v>
      </c>
      <c r="E201" s="65"/>
      <c r="G201" s="53"/>
      <c r="H201" s="53"/>
      <c r="I201" s="53"/>
    </row>
    <row r="202" spans="2:9" x14ac:dyDescent="0.25">
      <c r="C202" s="9">
        <v>37816.5</v>
      </c>
      <c r="D202" s="9">
        <v>0.46828331346233132</v>
      </c>
      <c r="E202" s="65"/>
      <c r="G202" s="53"/>
      <c r="H202" s="53"/>
      <c r="I202" s="53"/>
    </row>
    <row r="203" spans="2:9" x14ac:dyDescent="0.25">
      <c r="C203" s="9">
        <v>37817.5</v>
      </c>
      <c r="D203" s="9">
        <v>0.43118411183772998</v>
      </c>
      <c r="E203" s="65"/>
      <c r="G203" s="53"/>
      <c r="H203" s="53"/>
      <c r="I203" s="53"/>
    </row>
    <row r="204" spans="2:9" x14ac:dyDescent="0.25">
      <c r="C204" s="9">
        <v>37818.5</v>
      </c>
      <c r="D204" s="9">
        <v>0.39484150763108683</v>
      </c>
      <c r="E204" s="65"/>
      <c r="G204" s="53"/>
      <c r="H204" s="53"/>
      <c r="I204" s="53"/>
    </row>
    <row r="205" spans="2:9" x14ac:dyDescent="0.25">
      <c r="C205" s="9">
        <v>37819.5</v>
      </c>
      <c r="D205" s="9">
        <v>0.35962542496913763</v>
      </c>
      <c r="E205" s="65"/>
      <c r="G205" s="53"/>
      <c r="H205" s="53"/>
      <c r="I205" s="53"/>
    </row>
    <row r="206" spans="2:9" x14ac:dyDescent="0.25">
      <c r="C206" s="9">
        <v>37820.5</v>
      </c>
      <c r="D206" s="9">
        <v>0.32585898285623605</v>
      </c>
      <c r="E206" s="65"/>
      <c r="G206" s="53"/>
      <c r="H206" s="53"/>
      <c r="I206" s="53"/>
    </row>
    <row r="207" spans="2:9" x14ac:dyDescent="0.25">
      <c r="C207" s="9">
        <v>37821.5</v>
      </c>
      <c r="D207" s="9">
        <v>0.29380836323121118</v>
      </c>
      <c r="E207" s="65"/>
      <c r="G207" s="53"/>
      <c r="H207" s="53"/>
      <c r="I207" s="53"/>
    </row>
    <row r="208" spans="2:9" x14ac:dyDescent="0.25">
      <c r="C208" s="9">
        <v>37822.5</v>
      </c>
      <c r="D208" s="9">
        <v>0.26367715178528073</v>
      </c>
      <c r="E208" s="65"/>
      <c r="G208" s="53"/>
      <c r="H208" s="53"/>
      <c r="I208" s="53"/>
    </row>
    <row r="209" spans="3:9" x14ac:dyDescent="0.25">
      <c r="C209" s="9">
        <v>37823.5</v>
      </c>
      <c r="D209" s="9">
        <v>0.23560508082824672</v>
      </c>
      <c r="E209" s="65"/>
      <c r="G209" s="53"/>
      <c r="H209" s="53"/>
      <c r="I209" s="53"/>
    </row>
    <row r="210" spans="3:9" x14ac:dyDescent="0.25">
      <c r="C210" s="9">
        <v>37824.5</v>
      </c>
      <c r="D210" s="9">
        <v>0.20967063743947068</v>
      </c>
      <c r="E210" s="65"/>
      <c r="G210" s="53"/>
      <c r="H210" s="53"/>
      <c r="I210" s="53"/>
    </row>
    <row r="211" spans="3:9" x14ac:dyDescent="0.25">
      <c r="C211" s="9">
        <v>37825.5</v>
      </c>
      <c r="D211" s="9">
        <v>0.18589668998513509</v>
      </c>
      <c r="E211" s="65"/>
      <c r="G211" s="53"/>
      <c r="H211" s="53"/>
      <c r="I211" s="53"/>
    </row>
    <row r="212" spans="3:9" x14ac:dyDescent="0.25">
      <c r="C212" s="9">
        <v>37826.5</v>
      </c>
      <c r="D212" s="9">
        <v>0.16425814922380866</v>
      </c>
      <c r="E212" s="65"/>
      <c r="G212" s="53"/>
      <c r="H212" s="53"/>
      <c r="I212" s="53"/>
    </row>
    <row r="213" spans="3:9" x14ac:dyDescent="0.25">
      <c r="C213" s="9">
        <v>37827.5</v>
      </c>
      <c r="D213" s="9">
        <v>0.14469069694444792</v>
      </c>
      <c r="E213" s="65"/>
      <c r="G213" s="53"/>
      <c r="H213" s="53"/>
      <c r="I213" s="53"/>
    </row>
    <row r="214" spans="3:9" x14ac:dyDescent="0.25">
      <c r="C214" s="9">
        <v>37828.5</v>
      </c>
      <c r="D214" s="9">
        <v>0.12709974296797055</v>
      </c>
      <c r="E214" s="65"/>
      <c r="G214" s="53"/>
      <c r="H214" s="53"/>
      <c r="I214" s="53"/>
    </row>
    <row r="215" spans="3:9" x14ac:dyDescent="0.25">
      <c r="C215" s="9">
        <v>37829.5</v>
      </c>
      <c r="D215" s="9">
        <v>0.11136896093811099</v>
      </c>
      <c r="E215" s="65"/>
      <c r="G215" s="53"/>
      <c r="H215" s="53"/>
      <c r="I215" s="53"/>
    </row>
    <row r="216" spans="3:9" x14ac:dyDescent="0.25">
      <c r="C216" s="9">
        <v>37830.5</v>
      </c>
      <c r="D216" s="9">
        <v>9.7367960303295087E-2</v>
      </c>
      <c r="E216" s="65"/>
      <c r="G216" s="53"/>
      <c r="H216" s="53"/>
      <c r="I216" s="53"/>
    </row>
    <row r="217" spans="3:9" x14ac:dyDescent="0.25">
      <c r="C217" s="9">
        <v>37831.5</v>
      </c>
      <c r="D217" s="9">
        <v>8.4958843777534709E-2</v>
      </c>
      <c r="E217" s="65"/>
      <c r="G217" s="53"/>
      <c r="H217" s="53"/>
      <c r="I217" s="53"/>
    </row>
    <row r="218" spans="3:9" x14ac:dyDescent="0.25">
      <c r="C218" s="9">
        <v>37832.5</v>
      </c>
      <c r="D218" s="9">
        <v>7.4001557409438701E-2</v>
      </c>
      <c r="E218" s="65"/>
      <c r="G218" s="53"/>
      <c r="H218" s="53"/>
      <c r="I218" s="53"/>
    </row>
    <row r="219" spans="3:9" x14ac:dyDescent="0.25">
      <c r="C219" s="9">
        <v>37833.5</v>
      </c>
      <c r="D219" s="9">
        <v>6.4358056974210931E-2</v>
      </c>
      <c r="E219" s="65"/>
      <c r="G219" s="53"/>
      <c r="H219" s="53"/>
      <c r="I219" s="53"/>
    </row>
    <row r="220" spans="3:9" x14ac:dyDescent="0.25">
      <c r="C220" s="9">
        <v>37834.5</v>
      </c>
      <c r="D220" s="9">
        <v>5.5895390906604558E-2</v>
      </c>
      <c r="E220" s="65"/>
      <c r="G220" s="53"/>
      <c r="H220" s="53"/>
      <c r="I220" s="53"/>
    </row>
    <row r="221" spans="3:9" x14ac:dyDescent="0.25">
      <c r="C221" s="9">
        <v>37835.5</v>
      </c>
      <c r="D221" s="9">
        <v>4.8487842437026307E-2</v>
      </c>
      <c r="E221" s="65"/>
      <c r="G221" s="53"/>
      <c r="H221" s="53"/>
      <c r="I221" s="53"/>
    </row>
    <row r="222" spans="3:9" x14ac:dyDescent="0.25">
      <c r="C222" s="9">
        <v>37836.5</v>
      </c>
      <c r="D222" s="9">
        <v>4.2018289963551392E-2</v>
      </c>
      <c r="E222" s="65"/>
      <c r="G222" s="53"/>
      <c r="H222" s="53"/>
      <c r="I222" s="53"/>
    </row>
    <row r="223" spans="3:9" x14ac:dyDescent="0.25">
      <c r="C223" s="9">
        <v>37837.5</v>
      </c>
      <c r="D223" s="9">
        <v>3.6378942971083794E-2</v>
      </c>
      <c r="E223" s="65"/>
      <c r="G223" s="53"/>
      <c r="H223" s="53"/>
      <c r="I223" s="53"/>
    </row>
    <row r="224" spans="3:9" x14ac:dyDescent="0.25">
      <c r="C224" s="9">
        <v>37838.5</v>
      </c>
      <c r="D224" s="9">
        <v>3.147159787810494E-2</v>
      </c>
      <c r="E224" s="65"/>
      <c r="G224" s="53"/>
      <c r="H224" s="53"/>
      <c r="I224" s="53"/>
    </row>
    <row r="225" spans="3:9" x14ac:dyDescent="0.25">
      <c r="C225" s="9">
        <v>37839.5</v>
      </c>
      <c r="D225" s="9">
        <v>2.7207539400781577E-2</v>
      </c>
      <c r="E225" s="65"/>
      <c r="G225" s="53"/>
      <c r="H225" s="53"/>
      <c r="I225" s="53"/>
    </row>
    <row r="226" spans="3:9" x14ac:dyDescent="0.25">
      <c r="C226" s="9">
        <v>37840.5</v>
      </c>
      <c r="D226" s="9">
        <v>2.350719217767816E-2</v>
      </c>
      <c r="E226" s="65"/>
      <c r="G226" s="53"/>
      <c r="H226" s="53"/>
      <c r="I226" s="53"/>
    </row>
    <row r="227" spans="3:9" x14ac:dyDescent="0.25">
      <c r="C227" s="9">
        <v>37841.5</v>
      </c>
      <c r="D227" s="9">
        <v>2.0299606966050265E-2</v>
      </c>
      <c r="E227" s="65"/>
      <c r="G227" s="53"/>
      <c r="H227" s="53"/>
      <c r="I227" s="53"/>
    </row>
    <row r="228" spans="3:9" x14ac:dyDescent="0.25">
      <c r="C228" s="9">
        <v>37842.5</v>
      </c>
      <c r="D228" s="9">
        <v>1.7521847133122215E-2</v>
      </c>
      <c r="E228" s="65"/>
      <c r="G228" s="53"/>
      <c r="H228" s="53"/>
      <c r="I228" s="53"/>
    </row>
    <row r="229" spans="3:9" x14ac:dyDescent="0.25">
      <c r="C229" s="9">
        <v>37843.5</v>
      </c>
      <c r="D229" s="9">
        <v>1.511832510717781E-2</v>
      </c>
      <c r="E229" s="65"/>
      <c r="G229" s="53"/>
      <c r="H229" s="53"/>
      <c r="I229" s="53"/>
    </row>
    <row r="230" spans="3:9" x14ac:dyDescent="0.25">
      <c r="C230" s="9">
        <v>37844.5</v>
      </c>
      <c r="D230" s="9">
        <v>1.3040125112587564E-2</v>
      </c>
      <c r="E230" s="65"/>
      <c r="G230" s="53"/>
      <c r="H230" s="53"/>
      <c r="I230" s="53"/>
    </row>
    <row r="231" spans="3:9" x14ac:dyDescent="0.25">
      <c r="C231" s="9">
        <v>37845.5</v>
      </c>
      <c r="D231" s="9">
        <v>1.1244337778071323E-2</v>
      </c>
      <c r="E231" s="65"/>
      <c r="G231" s="53"/>
      <c r="H231" s="53"/>
      <c r="I231" s="53"/>
    </row>
    <row r="232" spans="3:9" x14ac:dyDescent="0.25">
      <c r="C232" s="9">
        <v>37846.5</v>
      </c>
      <c r="D232" s="9">
        <v>9.6934238053025812E-3</v>
      </c>
      <c r="E232" s="65"/>
      <c r="G232" s="53"/>
      <c r="H232" s="53"/>
      <c r="I232" s="53"/>
    </row>
    <row r="233" spans="3:9" x14ac:dyDescent="0.25">
      <c r="C233" s="9">
        <v>37847.5</v>
      </c>
      <c r="D233" s="9">
        <v>8.3546174745615653E-3</v>
      </c>
      <c r="E233" s="65"/>
      <c r="G233" s="53"/>
      <c r="H233" s="53"/>
      <c r="I233" s="53"/>
    </row>
    <row r="234" spans="3:9" x14ac:dyDescent="0.25">
      <c r="C234" s="9">
        <v>37848.5</v>
      </c>
      <c r="D234" s="9">
        <v>7.1993759954323E-3</v>
      </c>
      <c r="E234" s="65"/>
      <c r="G234" s="53"/>
      <c r="H234" s="53"/>
      <c r="I234" s="53"/>
    </row>
    <row r="235" spans="3:9" x14ac:dyDescent="0.25">
      <c r="C235" s="9">
        <v>37849.5</v>
      </c>
      <c r="D235" s="9">
        <v>6.2028772571940394E-3</v>
      </c>
      <c r="E235" s="65"/>
      <c r="G235" s="53"/>
      <c r="H235" s="53"/>
      <c r="I235" s="53"/>
    </row>
    <row r="236" spans="3:9" x14ac:dyDescent="0.25">
      <c r="C236" s="9">
        <v>37850.5</v>
      </c>
      <c r="D236" s="9">
        <v>5.3435661091475462E-3</v>
      </c>
      <c r="E236" s="65"/>
      <c r="G236" s="53"/>
      <c r="H236" s="53"/>
      <c r="I236" s="53"/>
    </row>
    <row r="237" spans="3:9" x14ac:dyDescent="0.25">
      <c r="C237" s="9">
        <v>37851.5</v>
      </c>
      <c r="D237" s="9">
        <v>4.6027476644416865E-3</v>
      </c>
      <c r="E237" s="65"/>
      <c r="G237" s="53"/>
      <c r="H237" s="53"/>
      <c r="I237" s="53"/>
    </row>
    <row r="238" spans="3:9" x14ac:dyDescent="0.25">
      <c r="C238" s="9">
        <v>37852.5</v>
      </c>
      <c r="D238" s="9">
        <v>3.9642250751049657E-3</v>
      </c>
      <c r="E238" s="65"/>
      <c r="G238" s="53"/>
      <c r="H238" s="53"/>
      <c r="I238" s="53"/>
    </row>
    <row r="239" spans="3:9" x14ac:dyDescent="0.25">
      <c r="C239" s="9">
        <v>37853.5</v>
      </c>
      <c r="D239" s="9">
        <v>3.4139786141772488E-3</v>
      </c>
      <c r="E239" s="65"/>
      <c r="G239" s="53"/>
      <c r="H239" s="53"/>
      <c r="I239" s="53"/>
    </row>
    <row r="240" spans="3:9" x14ac:dyDescent="0.25">
      <c r="C240" s="9">
        <v>37854.5</v>
      </c>
      <c r="D240" s="9">
        <v>2.9398826007416279E-3</v>
      </c>
      <c r="E240" s="65"/>
      <c r="G240" s="53"/>
      <c r="H240" s="53"/>
      <c r="I240" s="53"/>
    </row>
    <row r="241" spans="3:9" x14ac:dyDescent="0.25">
      <c r="C241" s="9">
        <v>37855.5</v>
      </c>
      <c r="D241" s="9">
        <v>2.5314566216378953E-3</v>
      </c>
      <c r="E241" s="65"/>
      <c r="G241" s="53"/>
      <c r="H241" s="53"/>
      <c r="I241" s="53"/>
    </row>
    <row r="242" spans="3:9" x14ac:dyDescent="0.25">
      <c r="C242" s="9">
        <v>37856.5</v>
      </c>
      <c r="D242" s="9">
        <v>2.1796475691444606E-3</v>
      </c>
      <c r="E242" s="65"/>
      <c r="G242" s="53"/>
      <c r="H242" s="53"/>
      <c r="I242" s="53"/>
    </row>
    <row r="243" spans="3:9" x14ac:dyDescent="0.25">
      <c r="C243" s="9">
        <v>37857.5</v>
      </c>
      <c r="D243" s="9">
        <v>1.8766391747334632E-3</v>
      </c>
      <c r="E243" s="65"/>
      <c r="G243" s="53"/>
      <c r="H243" s="53"/>
      <c r="I243" s="53"/>
    </row>
    <row r="244" spans="3:9" x14ac:dyDescent="0.25">
      <c r="C244" s="9">
        <v>37858.5</v>
      </c>
      <c r="D244" s="9">
        <v>1.6156859371333487E-3</v>
      </c>
      <c r="E244" s="65"/>
      <c r="G244" s="53"/>
      <c r="H244" s="53"/>
      <c r="I244" s="53"/>
    </row>
    <row r="245" spans="3:9" x14ac:dyDescent="0.25">
      <c r="C245" s="9">
        <v>37859.5</v>
      </c>
      <c r="D245" s="9">
        <v>1.3909685912373293E-3</v>
      </c>
      <c r="E245" s="65"/>
      <c r="G245" s="53"/>
      <c r="H245" s="53"/>
      <c r="I245" s="53"/>
    </row>
    <row r="246" spans="3:9" x14ac:dyDescent="0.25">
      <c r="C246" s="9">
        <v>37860.5</v>
      </c>
      <c r="D246" s="9">
        <v>1.1974685239601879E-3</v>
      </c>
      <c r="E246" s="65"/>
      <c r="G246" s="53"/>
      <c r="H246" s="53"/>
      <c r="I246" s="53"/>
    </row>
    <row r="247" spans="3:9" x14ac:dyDescent="0.25">
      <c r="C247" s="9">
        <v>37861.5</v>
      </c>
      <c r="D247" s="9">
        <v>1.0308588011587183E-3</v>
      </c>
      <c r="E247" s="65"/>
      <c r="G247" s="53"/>
      <c r="H247" s="53"/>
      <c r="I247" s="53"/>
    </row>
    <row r="248" spans="3:9" x14ac:dyDescent="0.25">
      <c r="C248" s="9">
        <v>37862.5</v>
      </c>
      <c r="D248" s="9">
        <v>8.8740971783596301E-4</v>
      </c>
      <c r="E248" s="65"/>
      <c r="G248" s="53"/>
      <c r="H248" s="53"/>
      <c r="I248" s="53"/>
    </row>
    <row r="249" spans="3:9" x14ac:dyDescent="0.25">
      <c r="C249" s="9">
        <v>37863.5</v>
      </c>
      <c r="D249" s="9">
        <v>7.6390701694539764E-4</v>
      </c>
      <c r="E249" s="65"/>
      <c r="G249" s="53"/>
      <c r="H249" s="53"/>
      <c r="I249" s="53"/>
    </row>
    <row r="250" spans="3:9" x14ac:dyDescent="0.25">
      <c r="C250" s="9">
        <v>37864.5</v>
      </c>
      <c r="D250" s="9">
        <v>6.5758113740532753E-4</v>
      </c>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tabSelected="1" zoomScaleNormal="100" workbookViewId="0">
      <selection activeCell="B4" sqref="B4"/>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2016</v>
      </c>
      <c r="B2" s="6">
        <v>1.3</v>
      </c>
      <c r="C2" s="4" t="s">
        <v>6</v>
      </c>
      <c r="F2" s="3" t="s">
        <v>0</v>
      </c>
      <c r="G2" s="7" t="s">
        <v>7</v>
      </c>
      <c r="H2" s="7" t="s">
        <v>8</v>
      </c>
      <c r="I2" s="96" t="s">
        <v>27</v>
      </c>
      <c r="J2" s="98">
        <v>41459</v>
      </c>
      <c r="K2" s="99">
        <v>41459</v>
      </c>
      <c r="U2" s="4" t="s">
        <v>46</v>
      </c>
      <c r="Y2" s="4" t="s">
        <v>46</v>
      </c>
    </row>
    <row r="3" spans="1:50" ht="21" thickBot="1" x14ac:dyDescent="0.4">
      <c r="A3" s="104">
        <v>37766.5</v>
      </c>
      <c r="C3" s="9"/>
      <c r="F3" s="73" t="s">
        <v>25</v>
      </c>
      <c r="G3" s="126">
        <v>1</v>
      </c>
      <c r="H3" s="11"/>
      <c r="I3">
        <f>G5-(1/G4)*LN((2*G3)-1)</f>
        <v>50.754187364993022</v>
      </c>
      <c r="J3" s="3" t="s">
        <v>9</v>
      </c>
      <c r="U3" s="4">
        <v>13566.934769025564</v>
      </c>
      <c r="V3" s="4">
        <v>78.129855239176692</v>
      </c>
      <c r="Y3" s="4">
        <v>13566.934769025564</v>
      </c>
      <c r="Z3" s="4">
        <v>78.129855239176692</v>
      </c>
    </row>
    <row r="4" spans="1:50" ht="16.5" thickBot="1" x14ac:dyDescent="0.3">
      <c r="A4" s="12" t="s">
        <v>10</v>
      </c>
      <c r="C4" s="4" t="s">
        <v>11</v>
      </c>
      <c r="F4" s="13" t="s">
        <v>1</v>
      </c>
      <c r="G4" s="127">
        <v>0.1812223583975883</v>
      </c>
      <c r="H4" s="15">
        <v>2.1439168041010377E-2</v>
      </c>
      <c r="I4" s="2"/>
      <c r="J4" s="129">
        <f>SUM(H9:H66)</f>
        <v>11.591543337146842</v>
      </c>
      <c r="K4" s="16">
        <f>SUMSQ(G9:G14)</f>
        <v>5.5379809011838243E-3</v>
      </c>
      <c r="L4" s="16"/>
      <c r="M4" s="139"/>
      <c r="N4" s="4">
        <f>1-0.317</f>
        <v>0.68300000000000005</v>
      </c>
      <c r="U4" s="4">
        <v>78.129855239176692</v>
      </c>
      <c r="V4" s="4">
        <v>6.375180904539663</v>
      </c>
      <c r="Y4" s="4">
        <v>78.129855239176692</v>
      </c>
      <c r="Z4" s="4">
        <v>6.375180904539663</v>
      </c>
    </row>
    <row r="5" spans="1:50" ht="16.5" thickBot="1" x14ac:dyDescent="0.3">
      <c r="C5" s="104">
        <v>37834.5</v>
      </c>
      <c r="F5" s="17" t="s">
        <v>2</v>
      </c>
      <c r="G5" s="128">
        <v>50.754187364993022</v>
      </c>
      <c r="H5" s="19">
        <v>0.98901422989701016</v>
      </c>
      <c r="I5" s="2"/>
      <c r="J5" s="20" t="s">
        <v>12</v>
      </c>
      <c r="K5" s="21"/>
      <c r="L5" s="21"/>
      <c r="N5" s="30"/>
    </row>
    <row r="6" spans="1:50" ht="16.5" thickBot="1" x14ac:dyDescent="0.3">
      <c r="C6" s="22"/>
      <c r="G6" s="23"/>
      <c r="H6" s="9"/>
      <c r="K6" s="24"/>
      <c r="L6" s="24"/>
      <c r="U6" s="4" t="s">
        <v>47</v>
      </c>
      <c r="W6" s="4" t="s">
        <v>8</v>
      </c>
      <c r="Y6" s="4" t="s">
        <v>47</v>
      </c>
      <c r="AA6" s="4" t="s">
        <v>8</v>
      </c>
    </row>
    <row r="7" spans="1:50" ht="16.5" thickBot="1" x14ac:dyDescent="0.3">
      <c r="E7" s="25"/>
      <c r="F7" s="26"/>
      <c r="G7" s="27"/>
      <c r="H7" s="28"/>
      <c r="J7" s="29"/>
      <c r="M7" s="29"/>
      <c r="O7" s="3" t="s">
        <v>26</v>
      </c>
      <c r="U7" s="4">
        <f t="array" ref="U7:V8">2* 1.38993664946445^2*MINVERSE($U$3:$V$4)</f>
        <v>3.0642528419378502E-4</v>
      </c>
      <c r="V7" s="4">
        <v>-3.7553386255495943E-3</v>
      </c>
      <c r="W7" s="4">
        <v>1.7505007403419887E-2</v>
      </c>
      <c r="Y7" s="4">
        <f t="array" ref="Y7:Z8">2* 1.7023177829908^2*MINVERSE($Y$3:$Z$4)</f>
        <v>4.5963792629068076E-4</v>
      </c>
      <c r="Z7" s="4">
        <v>-5.6330079383244309E-3</v>
      </c>
      <c r="AA7" s="4">
        <v>2.1439168041010377E-2</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c r="U8" s="29">
        <v>-3.7553386255495948E-3</v>
      </c>
      <c r="V8" s="29">
        <v>0.65209943129251269</v>
      </c>
      <c r="W8" s="29">
        <v>0.80752673719977386</v>
      </c>
      <c r="Y8" s="29">
        <v>-5.6330079383244318E-3</v>
      </c>
      <c r="Z8" s="29">
        <v>0.97814914693877597</v>
      </c>
      <c r="AA8" s="29">
        <v>0.98901422989701016</v>
      </c>
    </row>
    <row r="9" spans="1:50" ht="16.5" thickBot="1" x14ac:dyDescent="0.3">
      <c r="A9" s="120">
        <v>1.7000000000000001E-2</v>
      </c>
      <c r="B9" s="124">
        <v>37785.5</v>
      </c>
      <c r="C9" s="121">
        <f t="shared" ref="C9:C14" si="0">1/(A9^2)</f>
        <v>3460.207612456747</v>
      </c>
      <c r="D9" s="106">
        <f t="shared" ref="D9:D14" si="1">IF(B9&lt;&gt;0,B9-$A$3+1,"")</f>
        <v>20</v>
      </c>
      <c r="E9" s="81">
        <v>1.0999999999999999E-2</v>
      </c>
      <c r="F9" s="41">
        <f t="shared" ref="F9:F14" si="2">IF(B9&lt;&gt;0,$G$3/(1+EXP(-$G$4*(D9-$G$5))),"")</f>
        <v>3.7833821446993888E-3</v>
      </c>
      <c r="G9" s="42">
        <f t="shared" ref="G9:G14" si="3">IF(B9&lt;&gt;0,E9-F9,"")</f>
        <v>7.2166178553006105E-3</v>
      </c>
      <c r="H9" s="43">
        <f t="shared" ref="H9:H14" si="4">IF(B9&lt;&gt;0,C9*(G9)^2,"")</f>
        <v>0.18020613588042761</v>
      </c>
      <c r="J9" s="105">
        <f>A3</f>
        <v>37766.5</v>
      </c>
      <c r="K9" s="109">
        <v>1</v>
      </c>
      <c r="L9" s="125">
        <f t="shared" ref="L9:L72" si="5">$G$3/(1+EXP(-$G$4*(K9-$G$5)))</f>
        <v>1.2136687818076173E-4</v>
      </c>
      <c r="M9" s="46">
        <f>IF(J10&gt;MAX($B$9:$B$64),L9,N9)</f>
        <v>3.1121623501212576E-7</v>
      </c>
      <c r="N9" s="130">
        <v>3.1121623501212576E-7</v>
      </c>
      <c r="O9" s="89">
        <f t="shared" ref="O9:O72" si="6">IF(N9=M9,N9,M9)</f>
        <v>3.1121623501212576E-7</v>
      </c>
    </row>
    <row r="10" spans="1:50" ht="16.5" thickBot="1" x14ac:dyDescent="0.3">
      <c r="A10" s="120">
        <v>1.4999999999999999E-2</v>
      </c>
      <c r="B10" s="124">
        <v>37798.5</v>
      </c>
      <c r="C10" s="121">
        <f t="shared" si="0"/>
        <v>4444.4444444444443</v>
      </c>
      <c r="D10" s="106">
        <f t="shared" si="1"/>
        <v>33</v>
      </c>
      <c r="E10" s="81">
        <v>8.9999999999999993E-3</v>
      </c>
      <c r="F10" s="41">
        <f t="shared" si="2"/>
        <v>3.8514092097830847E-2</v>
      </c>
      <c r="G10" s="42">
        <f t="shared" si="3"/>
        <v>-2.9514092097830846E-2</v>
      </c>
      <c r="H10" s="43">
        <f t="shared" si="4"/>
        <v>3.8714739215966278</v>
      </c>
      <c r="I10" s="52"/>
      <c r="J10" s="105">
        <f t="shared" ref="J10:J73" si="7">J9+1</f>
        <v>37767.5</v>
      </c>
      <c r="K10" s="109">
        <v>2</v>
      </c>
      <c r="L10" s="125">
        <f t="shared" si="5"/>
        <v>1.454767462997331E-4</v>
      </c>
      <c r="M10" s="46">
        <f t="shared" ref="M10:M73" si="8">IF(J11&gt;MAX($B$9:$B$64),L10,N10)</f>
        <v>4.4350593880565207E-7</v>
      </c>
      <c r="N10" s="130">
        <v>4.4350593880565207E-7</v>
      </c>
      <c r="O10" s="89">
        <f t="shared" si="6"/>
        <v>4.4350593880565207E-7</v>
      </c>
      <c r="Q10" s="4" t="s">
        <v>48</v>
      </c>
      <c r="U10" s="4" t="s">
        <v>48</v>
      </c>
      <c r="Y10" s="4" t="s">
        <v>48</v>
      </c>
    </row>
    <row r="11" spans="1:50" ht="16.5" thickBot="1" x14ac:dyDescent="0.3">
      <c r="A11" s="120">
        <v>3.5999999999999997E-2</v>
      </c>
      <c r="B11" s="124">
        <v>37805.5</v>
      </c>
      <c r="C11" s="121">
        <f t="shared" si="0"/>
        <v>771.60493827160508</v>
      </c>
      <c r="D11" s="106">
        <f t="shared" si="1"/>
        <v>40</v>
      </c>
      <c r="E11" s="81">
        <v>0.153</v>
      </c>
      <c r="F11" s="41">
        <f t="shared" si="2"/>
        <v>0.12467343917118223</v>
      </c>
      <c r="G11" s="42">
        <f t="shared" si="3"/>
        <v>2.8326560828817765E-2</v>
      </c>
      <c r="H11" s="43">
        <f t="shared" si="4"/>
        <v>0.61913121017647621</v>
      </c>
      <c r="J11" s="105">
        <f t="shared" si="7"/>
        <v>37768.5</v>
      </c>
      <c r="K11" s="109">
        <v>3</v>
      </c>
      <c r="L11" s="125">
        <f t="shared" si="5"/>
        <v>1.7437527154875112E-4</v>
      </c>
      <c r="M11" s="46">
        <f t="shared" si="8"/>
        <v>6.3202842450478264E-7</v>
      </c>
      <c r="N11" s="130">
        <v>6.3202842450478264E-7</v>
      </c>
      <c r="O11" s="89">
        <f t="shared" si="6"/>
        <v>6.3202842450478264E-7</v>
      </c>
      <c r="Q11" s="4">
        <v>1</v>
      </c>
      <c r="R11" s="4">
        <v>-0.82806316245865486</v>
      </c>
      <c r="U11" s="4">
        <v>0.99999999999999989</v>
      </c>
      <c r="V11" s="4">
        <v>-0.26566227946463167</v>
      </c>
      <c r="Y11" s="4">
        <v>1</v>
      </c>
      <c r="Z11" s="4">
        <v>-0.26566227946463167</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0.04</v>
      </c>
      <c r="B12" s="124">
        <v>37810.5</v>
      </c>
      <c r="C12" s="121">
        <f t="shared" si="0"/>
        <v>625</v>
      </c>
      <c r="D12" s="106">
        <f t="shared" si="1"/>
        <v>45</v>
      </c>
      <c r="E12" s="81">
        <v>0.28499999999999998</v>
      </c>
      <c r="F12" s="41">
        <f t="shared" si="2"/>
        <v>0.26061252043374916</v>
      </c>
      <c r="G12" s="42">
        <f t="shared" si="3"/>
        <v>2.4387479566250814E-2</v>
      </c>
      <c r="H12" s="43">
        <f t="shared" si="4"/>
        <v>0.37171822474643812</v>
      </c>
      <c r="J12" s="105">
        <f t="shared" si="7"/>
        <v>37769.5</v>
      </c>
      <c r="K12" s="109">
        <v>4</v>
      </c>
      <c r="L12" s="125">
        <f t="shared" si="5"/>
        <v>2.0901320330298033E-4</v>
      </c>
      <c r="M12" s="46">
        <f t="shared" si="8"/>
        <v>9.0068669305005554E-7</v>
      </c>
      <c r="N12" s="130">
        <v>9.0068669305005554E-7</v>
      </c>
      <c r="O12" s="89">
        <f t="shared" si="6"/>
        <v>9.0068669305005554E-7</v>
      </c>
      <c r="P12" s="44">
        <v>40326</v>
      </c>
      <c r="Q12" s="1">
        <v>1.3958317686261709E-4</v>
      </c>
      <c r="R12" s="100">
        <v>543</v>
      </c>
      <c r="S12" s="100">
        <f>R12*AVERAGE(L12:L13)</f>
        <v>0.12476595126477996</v>
      </c>
      <c r="T12" s="101">
        <f t="shared" ref="T12:T47" si="9">R12-S12</f>
        <v>542.87523404873525</v>
      </c>
      <c r="U12" s="4">
        <v>-0.26566227946463172</v>
      </c>
      <c r="V12" s="4">
        <v>1</v>
      </c>
      <c r="Y12" s="4">
        <v>-0.26566227946463172</v>
      </c>
      <c r="Z12" s="4">
        <v>0.99999999999999989</v>
      </c>
      <c r="AE12" s="93">
        <f>J12</f>
        <v>37769.5</v>
      </c>
      <c r="AF12" s="92">
        <f>Logistic2010!Q12</f>
        <v>1.3958317686261709E-4</v>
      </c>
      <c r="AG12" s="4">
        <f t="shared" ref="AG12:AG75" si="10">AI12</f>
        <v>1.3958317686261709E-4</v>
      </c>
      <c r="AH12" s="92">
        <f>Logistic2011!Q12</f>
        <v>1.3958317686261709E-4</v>
      </c>
      <c r="AI12" s="92">
        <f>Logistic2012!Q12</f>
        <v>1.3958317686261709E-4</v>
      </c>
      <c r="AJ12" s="92">
        <f>Logistic2013!L12</f>
        <v>2.9882028383729665E-4</v>
      </c>
      <c r="AK12" s="119">
        <f>Logistic2014!AK12</f>
        <v>4.1531400063546034E-4</v>
      </c>
      <c r="AL12" s="119">
        <f>L12</f>
        <v>2.0901320330298033E-4</v>
      </c>
      <c r="AM12" s="113"/>
      <c r="AN12" s="113"/>
      <c r="AO12" s="113"/>
      <c r="AP12" s="113"/>
      <c r="AQ12" s="113"/>
      <c r="AR12" s="113"/>
      <c r="AS12" s="113"/>
      <c r="AT12" s="114"/>
      <c r="AU12" s="114"/>
    </row>
    <row r="13" spans="1:50" ht="16.5" thickBot="1" x14ac:dyDescent="0.3">
      <c r="A13" s="145">
        <v>3.5000000000000003E-2</v>
      </c>
      <c r="B13" s="124">
        <v>37817.5</v>
      </c>
      <c r="C13" s="121">
        <f t="shared" si="0"/>
        <v>816.32653061224482</v>
      </c>
      <c r="D13" s="106">
        <f t="shared" si="1"/>
        <v>52</v>
      </c>
      <c r="E13" s="81">
        <v>0.57399999999999995</v>
      </c>
      <c r="F13" s="41">
        <f t="shared" si="2"/>
        <v>0.55620374520928839</v>
      </c>
      <c r="G13" s="42">
        <f t="shared" si="3"/>
        <v>1.7796254790711563E-2</v>
      </c>
      <c r="H13" s="43">
        <f t="shared" si="4"/>
        <v>0.25853606904157078</v>
      </c>
      <c r="J13" s="105">
        <f t="shared" si="7"/>
        <v>37770.5</v>
      </c>
      <c r="K13" s="109">
        <v>5</v>
      </c>
      <c r="L13" s="125">
        <f t="shared" si="5"/>
        <v>2.5052989527816132E-4</v>
      </c>
      <c r="M13" s="46">
        <f t="shared" si="8"/>
        <v>1.2835442124779599E-6</v>
      </c>
      <c r="N13" s="130">
        <v>1.2835442124779599E-6</v>
      </c>
      <c r="O13" s="89">
        <f t="shared" si="6"/>
        <v>1.2835442124779599E-6</v>
      </c>
      <c r="P13" s="48">
        <v>40327</v>
      </c>
      <c r="Q13" s="1">
        <v>1.7045928901654236E-4</v>
      </c>
      <c r="R13" s="100">
        <v>2664</v>
      </c>
      <c r="S13" s="100">
        <f t="shared" ref="S13:S70" si="11">R13*AVERAGE(L13:L14)</f>
        <v>0.73369296662760408</v>
      </c>
      <c r="T13" s="101">
        <f t="shared" si="9"/>
        <v>2663.2663070333724</v>
      </c>
      <c r="AE13" s="93">
        <f t="shared" ref="AE13:AE76" si="12">J13</f>
        <v>37770.5</v>
      </c>
      <c r="AF13" s="92">
        <f>Logistic2010!Q13</f>
        <v>1.7045928901654236E-4</v>
      </c>
      <c r="AG13" s="4">
        <f t="shared" si="10"/>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13">L13</f>
        <v>2.5052989527816132E-4</v>
      </c>
      <c r="AM13" s="113">
        <v>2011</v>
      </c>
      <c r="AO13" s="113">
        <v>2010</v>
      </c>
      <c r="AP13" s="113">
        <v>2012</v>
      </c>
      <c r="AQ13" s="113"/>
      <c r="AR13" t="s">
        <v>28</v>
      </c>
      <c r="AS13"/>
      <c r="AT13"/>
      <c r="AU13"/>
      <c r="AV13"/>
      <c r="AW13"/>
      <c r="AX13"/>
    </row>
    <row r="14" spans="1:50" x14ac:dyDescent="0.25">
      <c r="A14" s="120">
        <v>2.5999999999999999E-2</v>
      </c>
      <c r="B14" s="124">
        <v>37829.5</v>
      </c>
      <c r="C14" s="121">
        <f t="shared" si="0"/>
        <v>1479.2899408284025</v>
      </c>
      <c r="D14" s="106">
        <f t="shared" si="1"/>
        <v>64</v>
      </c>
      <c r="E14" s="81">
        <v>0.86299999999999999</v>
      </c>
      <c r="F14" s="41">
        <f t="shared" si="2"/>
        <v>0.91686065171343734</v>
      </c>
      <c r="G14" s="42">
        <f t="shared" si="3"/>
        <v>-5.3860651713437346E-2</v>
      </c>
      <c r="H14" s="43">
        <f t="shared" si="4"/>
        <v>4.2913754482192328</v>
      </c>
      <c r="J14" s="105">
        <f t="shared" si="7"/>
        <v>37771.5</v>
      </c>
      <c r="K14" s="109">
        <v>6</v>
      </c>
      <c r="L14" s="125">
        <f t="shared" si="5"/>
        <v>3.0029065023805794E-4</v>
      </c>
      <c r="M14" s="46">
        <f t="shared" si="8"/>
        <v>1.8291437965967419E-6</v>
      </c>
      <c r="N14" s="130">
        <v>1.8291437965967419E-6</v>
      </c>
      <c r="O14" s="89">
        <f t="shared" si="6"/>
        <v>1.8291437965967419E-6</v>
      </c>
      <c r="P14" s="48">
        <v>40328</v>
      </c>
      <c r="Q14" s="1">
        <v>0</v>
      </c>
      <c r="R14" s="100">
        <v>963</v>
      </c>
      <c r="S14" s="100">
        <f t="shared" si="11"/>
        <v>0.31789693104622013</v>
      </c>
      <c r="T14" s="101">
        <f t="shared" si="9"/>
        <v>962.68210306895378</v>
      </c>
      <c r="AE14" s="93">
        <f t="shared" si="12"/>
        <v>37771.5</v>
      </c>
      <c r="AF14" s="92">
        <f>Logistic2010!Q14</f>
        <v>2.0816384458125417E-4</v>
      </c>
      <c r="AG14" s="4">
        <f t="shared" si="10"/>
        <v>0</v>
      </c>
      <c r="AH14" s="92">
        <f>Logistic2011!Q14</f>
        <v>2.0816384458125417E-4</v>
      </c>
      <c r="AI14" s="92">
        <f>Logistic2012!Q14</f>
        <v>0</v>
      </c>
      <c r="AJ14" s="92">
        <f>Logistic2013!L14</f>
        <v>4.436902928409236E-4</v>
      </c>
      <c r="AK14" s="119">
        <f>Logistic2014!AK14</f>
        <v>6.0857479252525697E-4</v>
      </c>
      <c r="AL14" s="119">
        <f t="shared" si="13"/>
        <v>3.0029065023805794E-4</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7"/>
        <v>37772.5</v>
      </c>
      <c r="K15" s="109">
        <v>7</v>
      </c>
      <c r="L15" s="125">
        <f t="shared" si="5"/>
        <v>3.599314287779756E-4</v>
      </c>
      <c r="M15" s="46">
        <f t="shared" si="8"/>
        <v>2.6066622560821447E-6</v>
      </c>
      <c r="N15" s="130">
        <v>2.6066622560821447E-6</v>
      </c>
      <c r="O15" s="89">
        <f t="shared" si="6"/>
        <v>2.6066622560821447E-6</v>
      </c>
      <c r="P15" s="48">
        <v>40329</v>
      </c>
      <c r="Q15" s="1">
        <v>6.2104077545281245E-5</v>
      </c>
      <c r="R15" s="100">
        <v>1106</v>
      </c>
      <c r="S15" s="100">
        <f t="shared" si="11"/>
        <v>0.43761311576991158</v>
      </c>
      <c r="T15" s="101">
        <f t="shared" si="9"/>
        <v>1105.5623868842301</v>
      </c>
      <c r="AE15" s="93">
        <f t="shared" si="12"/>
        <v>37772.5</v>
      </c>
      <c r="AF15" s="92">
        <f>Logistic2010!Q15</f>
        <v>2.542062975332477E-4</v>
      </c>
      <c r="AG15" s="4">
        <f t="shared" si="10"/>
        <v>6.2104077545281245E-5</v>
      </c>
      <c r="AH15" s="92">
        <f>Logistic2011!Q15</f>
        <v>3.5888786587624556E-5</v>
      </c>
      <c r="AI15" s="92">
        <f>Logistic2012!Q15</f>
        <v>6.2104077545281245E-5</v>
      </c>
      <c r="AJ15" s="92">
        <f>Logistic2013!L15</f>
        <v>5.4063505283763783E-4</v>
      </c>
      <c r="AK15" s="119">
        <f>Logistic2014!AK15</f>
        <v>7.3666320070702633E-4</v>
      </c>
      <c r="AL15" s="119">
        <f t="shared" si="13"/>
        <v>3.599314287779756E-4</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I16" s="146"/>
      <c r="J16" s="105">
        <f t="shared" si="7"/>
        <v>37773.5</v>
      </c>
      <c r="K16" s="109">
        <v>8</v>
      </c>
      <c r="L16" s="125">
        <f t="shared" si="5"/>
        <v>4.3141236104103273E-4</v>
      </c>
      <c r="M16" s="46">
        <f t="shared" si="8"/>
        <v>3.7146810897353246E-6</v>
      </c>
      <c r="N16" s="130">
        <v>3.7146810897353246E-6</v>
      </c>
      <c r="O16" s="89">
        <f t="shared" si="6"/>
        <v>3.7146810897353246E-6</v>
      </c>
      <c r="P16" s="48">
        <v>40330</v>
      </c>
      <c r="Q16" s="1">
        <v>8.271689671114933E-5</v>
      </c>
      <c r="R16" s="100">
        <v>3668</v>
      </c>
      <c r="S16" s="100">
        <f t="shared" si="11"/>
        <v>1.7395382464945175</v>
      </c>
      <c r="T16" s="101">
        <f t="shared" si="9"/>
        <v>3666.2604617535053</v>
      </c>
      <c r="AE16" s="93">
        <f t="shared" si="12"/>
        <v>37773.5</v>
      </c>
      <c r="AF16" s="92">
        <f>Logistic2010!Q16</f>
        <v>3.1042942936064727E-4</v>
      </c>
      <c r="AG16" s="4">
        <f t="shared" si="10"/>
        <v>8.271689671114933E-5</v>
      </c>
      <c r="AH16" s="92">
        <f>Logistic2011!Q16</f>
        <v>4.6160789501698919E-5</v>
      </c>
      <c r="AI16" s="92">
        <f>Logistic2012!Q16</f>
        <v>8.271689671114933E-5</v>
      </c>
      <c r="AJ16" s="92">
        <f>Logistic2013!L16</f>
        <v>6.5874794022489089E-4</v>
      </c>
      <c r="AK16" s="119">
        <f>Logistic2014!AK16</f>
        <v>8.9168667425910237E-4</v>
      </c>
      <c r="AL16" s="119">
        <f t="shared" si="13"/>
        <v>4.3141236104103273E-4</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14">IF(B17&lt;&gt;0,B17-$A$3+1,"")</f>
        <v/>
      </c>
      <c r="E17" s="81"/>
      <c r="F17" s="50" t="str">
        <f t="shared" ref="F17:F65" si="15">IF(B17&lt;&gt;0,$G$3/(1+EXP(-$G$4*(D17-$G$5))),"")</f>
        <v/>
      </c>
      <c r="G17" s="16" t="str">
        <f t="shared" ref="G17:G65" si="16">IF(B17&lt;&gt;0,E17-F17,"")</f>
        <v/>
      </c>
      <c r="H17" s="51" t="str">
        <f t="shared" ref="H17:H65" si="17">IF(B17&lt;&gt;0,C17*(G17)^2,"")</f>
        <v/>
      </c>
      <c r="J17" s="105">
        <f t="shared" si="7"/>
        <v>37774.5</v>
      </c>
      <c r="K17" s="109">
        <v>9</v>
      </c>
      <c r="L17" s="125">
        <f t="shared" si="5"/>
        <v>5.1708177554267367E-4</v>
      </c>
      <c r="M17" s="46">
        <f t="shared" si="8"/>
        <v>5.2936850821911276E-6</v>
      </c>
      <c r="N17" s="130">
        <v>5.2936850821911276E-6</v>
      </c>
      <c r="O17" s="89">
        <f t="shared" si="6"/>
        <v>5.2936850821911276E-6</v>
      </c>
      <c r="P17" s="48">
        <v>40331</v>
      </c>
      <c r="Q17" s="1">
        <v>1.1017051470513796E-4</v>
      </c>
      <c r="R17" s="100">
        <v>2939</v>
      </c>
      <c r="S17" s="100">
        <f t="shared" si="11"/>
        <v>1.670578386298075</v>
      </c>
      <c r="T17" s="101">
        <f t="shared" si="9"/>
        <v>2937.3294216137019</v>
      </c>
      <c r="AE17" s="93">
        <f t="shared" si="12"/>
        <v>37774.5</v>
      </c>
      <c r="AF17" s="92">
        <f>Logistic2010!Q17</f>
        <v>3.7908278806435145E-4</v>
      </c>
      <c r="AG17" s="4">
        <f t="shared" si="10"/>
        <v>1.1017051470513796E-4</v>
      </c>
      <c r="AH17" s="92">
        <f>Logistic2011!Q17</f>
        <v>5.9372646030949961E-5</v>
      </c>
      <c r="AI17" s="92">
        <f>Logistic2012!Q17</f>
        <v>1.1017051470513796E-4</v>
      </c>
      <c r="AJ17" s="92">
        <f>Logistic2013!L17</f>
        <v>8.0264430321866907E-4</v>
      </c>
      <c r="AK17" s="119">
        <f>Logistic2014!AK17</f>
        <v>1.0792980661665267E-3</v>
      </c>
      <c r="AL17" s="119">
        <f t="shared" si="13"/>
        <v>5.1708177554267367E-4</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14"/>
        <v/>
      </c>
      <c r="E18" s="81"/>
      <c r="F18" s="50" t="str">
        <f t="shared" si="15"/>
        <v/>
      </c>
      <c r="G18" s="16" t="str">
        <f t="shared" si="16"/>
        <v/>
      </c>
      <c r="H18" s="51" t="str">
        <f t="shared" si="17"/>
        <v/>
      </c>
      <c r="J18" s="105">
        <f t="shared" si="7"/>
        <v>37775.5</v>
      </c>
      <c r="K18" s="109">
        <v>10</v>
      </c>
      <c r="L18" s="125">
        <f t="shared" si="5"/>
        <v>6.1975278471460764E-4</v>
      </c>
      <c r="M18" s="46">
        <f t="shared" si="8"/>
        <v>7.543873151853996E-6</v>
      </c>
      <c r="N18" s="130">
        <v>7.543873151853996E-6</v>
      </c>
      <c r="O18" s="89">
        <f t="shared" si="6"/>
        <v>7.543873151853996E-6</v>
      </c>
      <c r="P18" s="48">
        <v>40332</v>
      </c>
      <c r="Q18" s="1">
        <v>1.4673461154601208E-4</v>
      </c>
      <c r="R18" s="100">
        <v>2148</v>
      </c>
      <c r="S18" s="100">
        <f t="shared" si="11"/>
        <v>1.4633761600126935</v>
      </c>
      <c r="T18" s="101">
        <f t="shared" si="9"/>
        <v>2146.5366238399874</v>
      </c>
      <c r="W18" s="4" t="s">
        <v>48</v>
      </c>
      <c r="AE18" s="93">
        <f t="shared" si="12"/>
        <v>37775.5</v>
      </c>
      <c r="AF18" s="92">
        <f>Logistic2010!Q18</f>
        <v>4.6291222449000769E-4</v>
      </c>
      <c r="AG18" s="4">
        <f t="shared" si="10"/>
        <v>1.4673461154601208E-4</v>
      </c>
      <c r="AH18" s="92">
        <f>Logistic2011!Q18</f>
        <v>7.6365629883993208E-5</v>
      </c>
      <c r="AI18" s="92">
        <f>Logistic2012!Q18</f>
        <v>1.4673461154601208E-4</v>
      </c>
      <c r="AJ18" s="92">
        <f>Logistic2013!L18</f>
        <v>9.7794251088522961E-4</v>
      </c>
      <c r="AK18" s="119">
        <f>Logistic2014!AK18</f>
        <v>1.3063313918701522E-3</v>
      </c>
      <c r="AL18" s="119">
        <f t="shared" si="13"/>
        <v>6.1975278471460764E-4</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14"/>
        <v/>
      </c>
      <c r="E19" s="81"/>
      <c r="F19" s="50" t="str">
        <f t="shared" si="15"/>
        <v/>
      </c>
      <c r="G19" s="16" t="str">
        <f t="shared" si="16"/>
        <v/>
      </c>
      <c r="H19" s="51" t="str">
        <f t="shared" si="17"/>
        <v/>
      </c>
      <c r="J19" s="105">
        <f t="shared" si="7"/>
        <v>37776.5</v>
      </c>
      <c r="K19" s="109">
        <v>11</v>
      </c>
      <c r="L19" s="125">
        <f t="shared" si="5"/>
        <v>7.4279485030652231E-4</v>
      </c>
      <c r="M19" s="46">
        <f t="shared" si="8"/>
        <v>1.0750538956072072E-5</v>
      </c>
      <c r="N19" s="130">
        <v>1.0750538956072072E-5</v>
      </c>
      <c r="O19" s="89">
        <f t="shared" si="6"/>
        <v>1.0750538956072072E-5</v>
      </c>
      <c r="P19" s="48">
        <v>40333</v>
      </c>
      <c r="Q19" s="1">
        <v>1.9543146345089269E-4</v>
      </c>
      <c r="R19" s="100">
        <v>5309</v>
      </c>
      <c r="S19" s="100">
        <f t="shared" si="11"/>
        <v>4.3348995101379693</v>
      </c>
      <c r="T19" s="101">
        <f t="shared" si="9"/>
        <v>5304.6651004898622</v>
      </c>
      <c r="W19" s="4">
        <v>1</v>
      </c>
      <c r="X19" s="4">
        <v>0.23502364558685596</v>
      </c>
      <c r="AE19" s="93">
        <f t="shared" si="12"/>
        <v>37776.5</v>
      </c>
      <c r="AF19" s="92">
        <f>Logistic2010!Q19</f>
        <v>5.6526901369757224E-4</v>
      </c>
      <c r="AG19" s="4">
        <f t="shared" si="10"/>
        <v>1.9543146345089269E-4</v>
      </c>
      <c r="AH19" s="92">
        <f>Logistic2011!Q19</f>
        <v>9.8221680405067934E-5</v>
      </c>
      <c r="AI19" s="92">
        <f>Logistic2012!Q19</f>
        <v>1.9543146345089269E-4</v>
      </c>
      <c r="AJ19" s="92">
        <f>Logistic2013!L19</f>
        <v>1.19148034540422E-3</v>
      </c>
      <c r="AK19" s="119">
        <f>Logistic2014!AK19</f>
        <v>1.5810462162153941E-3</v>
      </c>
      <c r="AL19" s="119">
        <f t="shared" si="13"/>
        <v>7.4279485030652231E-4</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14"/>
        <v/>
      </c>
      <c r="E20" s="81"/>
      <c r="F20" s="50" t="str">
        <f t="shared" si="15"/>
        <v/>
      </c>
      <c r="G20" s="16" t="str">
        <f t="shared" si="16"/>
        <v/>
      </c>
      <c r="H20" s="51" t="str">
        <f t="shared" si="17"/>
        <v/>
      </c>
      <c r="J20" s="105">
        <f t="shared" si="7"/>
        <v>37777.5</v>
      </c>
      <c r="K20" s="109">
        <v>12</v>
      </c>
      <c r="L20" s="125">
        <f t="shared" si="5"/>
        <v>8.9024320210936362E-4</v>
      </c>
      <c r="M20" s="46">
        <f t="shared" si="8"/>
        <v>1.5320237759159121E-5</v>
      </c>
      <c r="N20" s="130">
        <v>1.5320237759159121E-5</v>
      </c>
      <c r="O20" s="89">
        <f t="shared" si="6"/>
        <v>1.5320237759159121E-5</v>
      </c>
      <c r="P20" s="48">
        <v>40334</v>
      </c>
      <c r="Q20" s="1">
        <v>2.6028514457293443E-4</v>
      </c>
      <c r="R20" s="100">
        <v>3853</v>
      </c>
      <c r="S20" s="100">
        <f t="shared" si="11"/>
        <v>3.7704932295131872</v>
      </c>
      <c r="T20" s="101">
        <f t="shared" si="9"/>
        <v>3849.2295067704868</v>
      </c>
      <c r="U20" s="40">
        <v>40712</v>
      </c>
      <c r="V20" s="92">
        <v>3.5999999999999997E-2</v>
      </c>
      <c r="W20" s="92">
        <v>0.2350236455868559</v>
      </c>
      <c r="X20" s="92">
        <v>1</v>
      </c>
      <c r="Y20" s="92"/>
      <c r="Z20" s="92"/>
      <c r="AE20" s="93">
        <f t="shared" si="12"/>
        <v>37777.5</v>
      </c>
      <c r="AF20" s="92">
        <f>Logistic2010!Q20</f>
        <v>6.9024278465830858E-4</v>
      </c>
      <c r="AG20" s="4">
        <f t="shared" si="10"/>
        <v>2.6028514457293443E-4</v>
      </c>
      <c r="AH20" s="92">
        <f>Logistic2011!Q20</f>
        <v>1.2633220159905076E-4</v>
      </c>
      <c r="AI20" s="92">
        <f>Logistic2012!Q20</f>
        <v>2.6028514457293443E-4</v>
      </c>
      <c r="AJ20" s="92">
        <f>Logistic2013!L20</f>
        <v>1.4515773097888444E-3</v>
      </c>
      <c r="AK20" s="119">
        <f>Logistic2014!AK20</f>
        <v>1.9134214809037675E-3</v>
      </c>
      <c r="AL20" s="119">
        <f t="shared" si="13"/>
        <v>8.9024320210936362E-4</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14"/>
        <v/>
      </c>
      <c r="E21" s="81"/>
      <c r="F21" s="50" t="str">
        <f t="shared" si="15"/>
        <v/>
      </c>
      <c r="G21" s="16" t="str">
        <f t="shared" si="16"/>
        <v/>
      </c>
      <c r="H21" s="51" t="str">
        <f t="shared" si="17"/>
        <v/>
      </c>
      <c r="I21" s="9">
        <f>1-0.15</f>
        <v>0.85</v>
      </c>
      <c r="J21" s="105">
        <f t="shared" si="7"/>
        <v>37778.5</v>
      </c>
      <c r="K21" s="109">
        <v>13</v>
      </c>
      <c r="L21" s="125">
        <f t="shared" si="5"/>
        <v>1.0669295098102768E-3</v>
      </c>
      <c r="M21" s="46">
        <f>IF(J22&gt;MAX($B$9:$B$64),L21,N21)</f>
        <v>2.1832322085948411E-5</v>
      </c>
      <c r="N21" s="130">
        <v>2.1832322085948411E-5</v>
      </c>
      <c r="O21" s="89">
        <f t="shared" si="6"/>
        <v>2.1832322085948411E-5</v>
      </c>
      <c r="P21" s="48">
        <v>40335</v>
      </c>
      <c r="Q21" s="1">
        <v>3.4665297481631412E-4</v>
      </c>
      <c r="R21" s="100">
        <v>10476</v>
      </c>
      <c r="S21" s="100">
        <f t="shared" si="11"/>
        <v>12.286081670844702</v>
      </c>
      <c r="T21" s="101">
        <f t="shared" si="9"/>
        <v>10463.713918329155</v>
      </c>
      <c r="U21" s="49">
        <v>40713</v>
      </c>
      <c r="V21" s="92"/>
      <c r="W21" s="92"/>
      <c r="X21" s="92"/>
      <c r="Y21" s="92"/>
      <c r="Z21" s="92"/>
      <c r="AE21" s="93">
        <f t="shared" si="12"/>
        <v>37778.5</v>
      </c>
      <c r="AF21" s="92">
        <f>Logistic2010!Q21</f>
        <v>8.428233623178356E-4</v>
      </c>
      <c r="AG21" s="4">
        <f t="shared" si="10"/>
        <v>3.4665297481631412E-4</v>
      </c>
      <c r="AH21" s="92">
        <f>Logistic2011!Q21</f>
        <v>1.624864967222617E-4</v>
      </c>
      <c r="AI21" s="92">
        <f>Logistic2012!Q21</f>
        <v>3.4665297481631412E-4</v>
      </c>
      <c r="AJ21" s="92">
        <f>Logistic2013!L21</f>
        <v>1.7683522199292421E-3</v>
      </c>
      <c r="AK21" s="119">
        <f>Logistic2014!AK21</f>
        <v>2.3155082495920514E-3</v>
      </c>
      <c r="AL21" s="119">
        <f t="shared" si="13"/>
        <v>1.0669295098102768E-3</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14"/>
        <v/>
      </c>
      <c r="E22" s="81"/>
      <c r="F22" s="50" t="str">
        <f t="shared" si="15"/>
        <v/>
      </c>
      <c r="G22" s="16" t="str">
        <f t="shared" si="16"/>
        <v/>
      </c>
      <c r="H22" s="51" t="str">
        <f t="shared" si="17"/>
        <v/>
      </c>
      <c r="I22" s="53"/>
      <c r="J22" s="105">
        <f t="shared" si="7"/>
        <v>37779.5</v>
      </c>
      <c r="K22" s="109">
        <v>14</v>
      </c>
      <c r="L22" s="125">
        <f t="shared" si="5"/>
        <v>1.2786378194842444E-3</v>
      </c>
      <c r="M22" s="46">
        <f t="shared" si="8"/>
        <v>3.1112374086324488E-5</v>
      </c>
      <c r="N22" s="130">
        <v>3.1112374086324488E-5</v>
      </c>
      <c r="O22" s="89">
        <f t="shared" si="6"/>
        <v>3.1112374086324488E-5</v>
      </c>
      <c r="P22" s="48">
        <v>40336</v>
      </c>
      <c r="Q22" s="1">
        <v>4.6166614885428784E-4</v>
      </c>
      <c r="R22" s="100">
        <v>15768</v>
      </c>
      <c r="S22" s="100">
        <f t="shared" si="11"/>
        <v>22.16135865006224</v>
      </c>
      <c r="T22" s="101">
        <f t="shared" si="9"/>
        <v>15745.838641349937</v>
      </c>
      <c r="U22" s="49">
        <v>40714</v>
      </c>
      <c r="V22" s="92"/>
      <c r="W22" s="92"/>
      <c r="X22" s="92"/>
      <c r="Y22" s="92"/>
      <c r="Z22" s="92"/>
      <c r="AE22" s="93">
        <f t="shared" si="12"/>
        <v>37779.5</v>
      </c>
      <c r="AF22" s="92">
        <f>Logistic2010!Q22</f>
        <v>1.0290976755680944E-3</v>
      </c>
      <c r="AG22" s="4">
        <f t="shared" si="10"/>
        <v>4.6166614885428784E-4</v>
      </c>
      <c r="AH22" s="92">
        <f>Logistic2011!Q22</f>
        <v>2.0898542158394941E-4</v>
      </c>
      <c r="AI22" s="92">
        <f>Logistic2012!Q22</f>
        <v>4.6166614885428784E-4</v>
      </c>
      <c r="AJ22" s="92">
        <f>Logistic2013!L22</f>
        <v>2.1541071781976768E-3</v>
      </c>
      <c r="AK22" s="119">
        <f>Logistic2014!AK22</f>
        <v>2.801852416196298E-3</v>
      </c>
      <c r="AL22" s="119">
        <f t="shared" si="13"/>
        <v>1.2786378194842444E-3</v>
      </c>
      <c r="AM22" s="110">
        <v>0.69199999999999995</v>
      </c>
      <c r="AO22" s="110">
        <v>0.70699999999999996</v>
      </c>
      <c r="AP22" s="113">
        <v>0.997</v>
      </c>
      <c r="AQ22" s="110"/>
      <c r="AR22" t="s">
        <v>35</v>
      </c>
      <c r="AS22"/>
      <c r="AT22"/>
      <c r="AU22"/>
      <c r="AV22"/>
      <c r="AW22"/>
      <c r="AX22"/>
    </row>
    <row r="23" spans="1:50" x14ac:dyDescent="0.25">
      <c r="A23" s="39"/>
      <c r="B23" s="49"/>
      <c r="C23" s="79"/>
      <c r="D23" s="86" t="str">
        <f t="shared" si="14"/>
        <v/>
      </c>
      <c r="E23" s="81"/>
      <c r="F23" s="50" t="str">
        <f t="shared" si="15"/>
        <v/>
      </c>
      <c r="G23" s="16" t="str">
        <f t="shared" si="16"/>
        <v/>
      </c>
      <c r="H23" s="51" t="str">
        <f t="shared" si="17"/>
        <v/>
      </c>
      <c r="I23" s="53"/>
      <c r="J23" s="105">
        <f t="shared" si="7"/>
        <v>37780.5</v>
      </c>
      <c r="K23" s="109">
        <v>15</v>
      </c>
      <c r="L23" s="125">
        <f t="shared" si="5"/>
        <v>1.5322904720000579E-3</v>
      </c>
      <c r="M23" s="46">
        <f t="shared" si="8"/>
        <v>4.4336832295415093E-5</v>
      </c>
      <c r="N23" s="130">
        <v>4.4336832295415093E-5</v>
      </c>
      <c r="O23" s="89">
        <f t="shared" si="6"/>
        <v>4.4336832295415093E-5</v>
      </c>
      <c r="P23" s="48">
        <v>40337</v>
      </c>
      <c r="Q23" s="1">
        <v>6.1481514040778599E-4</v>
      </c>
      <c r="R23" s="100">
        <v>13548</v>
      </c>
      <c r="S23" s="100">
        <f t="shared" si="11"/>
        <v>22.817948036339626</v>
      </c>
      <c r="T23" s="101">
        <f t="shared" si="9"/>
        <v>13525.18205196366</v>
      </c>
      <c r="U23" s="49">
        <v>40715</v>
      </c>
      <c r="V23" s="92"/>
      <c r="W23" s="92"/>
      <c r="X23" s="92"/>
      <c r="Y23" s="92"/>
      <c r="Z23" s="92"/>
      <c r="AE23" s="93">
        <f t="shared" si="12"/>
        <v>37780.5</v>
      </c>
      <c r="AF23" s="92">
        <f>Logistic2010!Q23</f>
        <v>1.2564891276397731E-3</v>
      </c>
      <c r="AG23" s="4">
        <f t="shared" si="10"/>
        <v>6.1481514040778599E-4</v>
      </c>
      <c r="AH23" s="92">
        <f>Logistic2011!Q23</f>
        <v>2.6878741349269233E-4</v>
      </c>
      <c r="AI23" s="92">
        <f>Logistic2012!Q23</f>
        <v>6.1481514040778599E-4</v>
      </c>
      <c r="AJ23" s="92">
        <f>Logistic2013!L23</f>
        <v>2.6237909806921655E-3</v>
      </c>
      <c r="AK23" s="119">
        <f>Logistic2014!AK23</f>
        <v>3.3900001278880923E-3</v>
      </c>
      <c r="AL23" s="119">
        <f t="shared" si="13"/>
        <v>1.5322904720000579E-3</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14"/>
        <v/>
      </c>
      <c r="E24" s="81"/>
      <c r="F24" s="50" t="str">
        <f t="shared" si="15"/>
        <v/>
      </c>
      <c r="G24" s="16" t="str">
        <f t="shared" si="16"/>
        <v/>
      </c>
      <c r="H24" s="51" t="str">
        <f t="shared" si="17"/>
        <v/>
      </c>
      <c r="I24" s="53"/>
      <c r="J24" s="105">
        <f t="shared" si="7"/>
        <v>37781.5</v>
      </c>
      <c r="K24" s="109">
        <v>16</v>
      </c>
      <c r="L24" s="125">
        <f t="shared" si="5"/>
        <v>1.8361695274595857E-3</v>
      </c>
      <c r="M24" s="46">
        <f t="shared" si="8"/>
        <v>6.3182052340935858E-5</v>
      </c>
      <c r="N24" s="130">
        <v>6.3182052340935858E-5</v>
      </c>
      <c r="O24" s="89">
        <f t="shared" si="6"/>
        <v>6.3182052340935858E-5</v>
      </c>
      <c r="P24" s="48">
        <v>40338</v>
      </c>
      <c r="Q24" s="1">
        <v>8.1872679212602632E-4</v>
      </c>
      <c r="R24" s="100">
        <v>8722</v>
      </c>
      <c r="S24" s="100">
        <f t="shared" si="11"/>
        <v>17.602520861316801</v>
      </c>
      <c r="T24" s="101">
        <f t="shared" si="9"/>
        <v>8704.3974791386827</v>
      </c>
      <c r="U24" s="49">
        <v>40716</v>
      </c>
      <c r="V24" s="92"/>
      <c r="W24" s="92"/>
      <c r="X24" s="92"/>
      <c r="Y24" s="92"/>
      <c r="Z24" s="92"/>
      <c r="AE24" s="93">
        <f t="shared" si="12"/>
        <v>37781.5</v>
      </c>
      <c r="AF24" s="92">
        <f>Logistic2010!Q24</f>
        <v>1.5340482859932569E-3</v>
      </c>
      <c r="AG24" s="4">
        <f t="shared" si="10"/>
        <v>8.1872679212602632E-4</v>
      </c>
      <c r="AH24" s="92">
        <f>Logistic2011!Q24</f>
        <v>3.4569606119318159E-4</v>
      </c>
      <c r="AI24" s="92">
        <f>Logistic2012!Q24</f>
        <v>8.1872679212602632E-4</v>
      </c>
      <c r="AJ24" s="92">
        <f>Logistic2013!L24</f>
        <v>3.1955571705628975E-3</v>
      </c>
      <c r="AK24" s="119">
        <f>Logistic2014!AK24</f>
        <v>4.101100461714453E-3</v>
      </c>
      <c r="AL24" s="119">
        <f t="shared" si="13"/>
        <v>1.8361695274595857E-3</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14"/>
        <v/>
      </c>
      <c r="E25" s="81"/>
      <c r="F25" s="50" t="str">
        <f t="shared" si="15"/>
        <v/>
      </c>
      <c r="G25" s="16" t="str">
        <f t="shared" si="16"/>
        <v/>
      </c>
      <c r="H25" s="51" t="str">
        <f t="shared" si="17"/>
        <v/>
      </c>
      <c r="I25" s="54"/>
      <c r="J25" s="105">
        <f t="shared" si="7"/>
        <v>37782.5</v>
      </c>
      <c r="K25" s="109">
        <v>17</v>
      </c>
      <c r="L25" s="125">
        <f t="shared" si="5"/>
        <v>2.2001801311776078E-3</v>
      </c>
      <c r="M25" s="46">
        <f t="shared" si="8"/>
        <v>9.003664795384782E-5</v>
      </c>
      <c r="N25" s="130">
        <v>9.003664795384782E-5</v>
      </c>
      <c r="O25" s="89">
        <f t="shared" si="6"/>
        <v>9.003664795384782E-5</v>
      </c>
      <c r="P25" s="48">
        <v>40339</v>
      </c>
      <c r="Q25" s="1">
        <v>1.0901946909765959E-3</v>
      </c>
      <c r="R25" s="100">
        <v>10831</v>
      </c>
      <c r="S25" s="100">
        <f t="shared" si="11"/>
        <v>26.191217688638492</v>
      </c>
      <c r="T25" s="101">
        <f t="shared" si="9"/>
        <v>10804.808782311362</v>
      </c>
      <c r="U25" s="49">
        <v>40717</v>
      </c>
      <c r="V25" s="92"/>
      <c r="W25" s="92"/>
      <c r="X25" s="92"/>
      <c r="Y25" s="92"/>
      <c r="Z25" s="92"/>
      <c r="AE25" s="93">
        <f t="shared" si="12"/>
        <v>37782.5</v>
      </c>
      <c r="AF25" s="92">
        <f>Logistic2010!Q25</f>
        <v>1.8728054475450151E-3</v>
      </c>
      <c r="AG25" s="4">
        <f t="shared" si="10"/>
        <v>1.0901946909765959E-3</v>
      </c>
      <c r="AH25" s="92">
        <f>Logistic2011!Q25</f>
        <v>4.4460093825327419E-4</v>
      </c>
      <c r="AI25" s="92">
        <f>Logistic2012!Q25</f>
        <v>1.0901946909765959E-3</v>
      </c>
      <c r="AJ25" s="92">
        <f>Logistic2013!L25</f>
        <v>3.8914342584479623E-3</v>
      </c>
      <c r="AK25" s="119">
        <f>Logistic2014!AK25</f>
        <v>4.960621659003208E-3</v>
      </c>
      <c r="AL25" s="119">
        <f t="shared" si="13"/>
        <v>2.2001801311776078E-3</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14"/>
        <v/>
      </c>
      <c r="E26" s="81"/>
      <c r="F26" s="50" t="str">
        <f t="shared" si="15"/>
        <v/>
      </c>
      <c r="G26" s="16" t="str">
        <f t="shared" si="16"/>
        <v/>
      </c>
      <c r="H26" s="51" t="str">
        <f t="shared" si="17"/>
        <v/>
      </c>
      <c r="I26" s="54"/>
      <c r="J26" s="105">
        <f t="shared" si="7"/>
        <v>37783.5</v>
      </c>
      <c r="K26" s="109">
        <v>18</v>
      </c>
      <c r="L26" s="125">
        <f t="shared" si="5"/>
        <v>2.6361632699189656E-3</v>
      </c>
      <c r="M26" s="46">
        <f t="shared" si="8"/>
        <v>1.2830392713932698E-4</v>
      </c>
      <c r="N26" s="130">
        <v>1.2830392713932698E-4</v>
      </c>
      <c r="O26" s="89">
        <f t="shared" si="6"/>
        <v>1.2830392713932698E-4</v>
      </c>
      <c r="P26" s="48">
        <v>40340</v>
      </c>
      <c r="Q26" s="1">
        <v>1.4515433191966043E-3</v>
      </c>
      <c r="R26" s="100">
        <v>10194</v>
      </c>
      <c r="S26" s="100">
        <f t="shared" si="11"/>
        <v>29.534208380389249</v>
      </c>
      <c r="T26" s="101">
        <f t="shared" si="9"/>
        <v>10164.46579161961</v>
      </c>
      <c r="U26" s="49">
        <v>40718</v>
      </c>
      <c r="V26" s="92"/>
      <c r="W26" s="92"/>
      <c r="X26" s="92"/>
      <c r="Y26" s="92"/>
      <c r="Z26" s="92"/>
      <c r="AE26" s="93">
        <f t="shared" si="12"/>
        <v>37783.5</v>
      </c>
      <c r="AF26" s="92">
        <f>Logistic2010!Q26</f>
        <v>2.2861975841660187E-3</v>
      </c>
      <c r="AG26" s="4">
        <f t="shared" si="10"/>
        <v>1.4515433191966043E-3</v>
      </c>
      <c r="AH26" s="92">
        <f>Logistic2011!Q26</f>
        <v>5.7178666821399956E-4</v>
      </c>
      <c r="AI26" s="92">
        <f>Logistic2012!Q26</f>
        <v>1.4515433191966043E-3</v>
      </c>
      <c r="AJ26" s="92">
        <f>Logistic2013!L26</f>
        <v>4.7381279726284222E-3</v>
      </c>
      <c r="AK26" s="119">
        <f>Logistic2014!AK26</f>
        <v>5.9991987892107617E-3</v>
      </c>
      <c r="AL26" s="119">
        <f t="shared" si="13"/>
        <v>2.6361632699189656E-3</v>
      </c>
      <c r="AM26" s="114"/>
      <c r="AN26" s="114"/>
      <c r="AO26" s="114"/>
      <c r="AP26" s="114"/>
      <c r="AQ26" s="114"/>
      <c r="AR26" s="110"/>
      <c r="AS26" s="110"/>
      <c r="AT26" s="110"/>
      <c r="AU26" s="110"/>
      <c r="AV26" s="110"/>
      <c r="AW26" s="110"/>
      <c r="AX26" s="110"/>
    </row>
    <row r="27" spans="1:50" ht="16.5" thickBot="1" x14ac:dyDescent="0.3">
      <c r="A27" s="39"/>
      <c r="B27" s="49"/>
      <c r="C27" s="79"/>
      <c r="D27" s="86" t="str">
        <f t="shared" si="14"/>
        <v/>
      </c>
      <c r="E27" s="81"/>
      <c r="F27" s="50" t="str">
        <f t="shared" si="15"/>
        <v/>
      </c>
      <c r="G27" s="16" t="str">
        <f t="shared" si="16"/>
        <v/>
      </c>
      <c r="H27" s="51" t="str">
        <f t="shared" si="17"/>
        <v/>
      </c>
      <c r="I27" s="54"/>
      <c r="J27" s="105">
        <f t="shared" si="7"/>
        <v>37784.5</v>
      </c>
      <c r="K27" s="109">
        <v>19</v>
      </c>
      <c r="L27" s="125">
        <f t="shared" si="5"/>
        <v>3.1582664692195958E-3</v>
      </c>
      <c r="M27" s="46">
        <f t="shared" si="8"/>
        <v>1.8283255021357849E-4</v>
      </c>
      <c r="N27" s="130">
        <v>1.8283255021357849E-4</v>
      </c>
      <c r="O27" s="89">
        <f t="shared" si="6"/>
        <v>1.8283255021357849E-4</v>
      </c>
      <c r="P27" s="48">
        <v>40341</v>
      </c>
      <c r="Q27" s="1">
        <v>1.9324304426046567E-3</v>
      </c>
      <c r="R27" s="100">
        <v>4837</v>
      </c>
      <c r="S27" s="100">
        <f t="shared" si="11"/>
        <v>16.788377172763067</v>
      </c>
      <c r="T27" s="101">
        <f t="shared" si="9"/>
        <v>4820.2116228272371</v>
      </c>
      <c r="U27" s="49">
        <v>40719</v>
      </c>
      <c r="V27" s="92">
        <v>7.0000000000000001E-3</v>
      </c>
      <c r="W27" s="92"/>
      <c r="X27" s="92"/>
      <c r="Y27" s="92"/>
      <c r="Z27" s="92"/>
      <c r="AE27" s="93">
        <f t="shared" si="12"/>
        <v>37784.5</v>
      </c>
      <c r="AF27" s="92">
        <f>Logistic2010!Q27</f>
        <v>2.7905843687065831E-3</v>
      </c>
      <c r="AG27" s="4">
        <f t="shared" si="10"/>
        <v>1.9324304426046567E-3</v>
      </c>
      <c r="AH27" s="92">
        <f>Logistic2011!Q27</f>
        <v>7.3532929350053459E-4</v>
      </c>
      <c r="AI27" s="92">
        <f>Logistic2012!Q27</f>
        <v>1.9324304426046567E-3</v>
      </c>
      <c r="AJ27" s="92">
        <f>Logistic2013!L27</f>
        <v>5.7679775716238009E-3</v>
      </c>
      <c r="AK27" s="119">
        <f>Logistic2014!AK27</f>
        <v>7.2536318036214055E-3</v>
      </c>
      <c r="AL27" s="119">
        <f t="shared" si="13"/>
        <v>3.1582664692195958E-3</v>
      </c>
      <c r="AM27" s="114"/>
      <c r="AO27" s="114"/>
      <c r="AP27" s="114"/>
      <c r="AQ27" s="114"/>
      <c r="AR27" s="111" t="s">
        <v>45</v>
      </c>
      <c r="AS27" s="111">
        <v>4.8233989090909093</v>
      </c>
      <c r="AT27" s="111">
        <v>32</v>
      </c>
      <c r="AU27" s="111"/>
      <c r="AV27" s="111"/>
      <c r="AW27" s="111"/>
      <c r="AX27" s="111"/>
    </row>
    <row r="28" spans="1:50" x14ac:dyDescent="0.25">
      <c r="A28" s="39"/>
      <c r="B28" s="49"/>
      <c r="C28" s="79"/>
      <c r="D28" s="86" t="str">
        <f t="shared" si="14"/>
        <v/>
      </c>
      <c r="E28" s="81"/>
      <c r="F28" s="50" t="str">
        <f t="shared" si="15"/>
        <v/>
      </c>
      <c r="G28" s="16" t="str">
        <f t="shared" si="16"/>
        <v/>
      </c>
      <c r="H28" s="51" t="str">
        <f t="shared" si="17"/>
        <v/>
      </c>
      <c r="I28" s="54"/>
      <c r="J28" s="105">
        <f t="shared" si="7"/>
        <v>37785.5</v>
      </c>
      <c r="K28" s="109">
        <v>20</v>
      </c>
      <c r="L28" s="125">
        <f t="shared" si="5"/>
        <v>3.7833821446993888E-3</v>
      </c>
      <c r="M28" s="46">
        <f t="shared" si="8"/>
        <v>2.6052956766402371E-4</v>
      </c>
      <c r="N28" s="130">
        <v>2.6052956766402371E-4</v>
      </c>
      <c r="O28" s="89">
        <f t="shared" si="6"/>
        <v>2.6052956766402371E-4</v>
      </c>
      <c r="P28" s="48">
        <v>40342</v>
      </c>
      <c r="Q28" s="1">
        <v>2.5722220404043386E-3</v>
      </c>
      <c r="R28" s="100">
        <v>8645</v>
      </c>
      <c r="S28" s="100">
        <f t="shared" si="11"/>
        <v>35.94178907446635</v>
      </c>
      <c r="T28" s="101">
        <f t="shared" si="9"/>
        <v>8609.0582109255338</v>
      </c>
      <c r="U28" s="40">
        <v>40720</v>
      </c>
      <c r="V28" s="92"/>
      <c r="W28" s="92"/>
      <c r="X28" s="92"/>
      <c r="Y28" s="92"/>
      <c r="Z28" s="92"/>
      <c r="AE28" s="93">
        <f t="shared" si="12"/>
        <v>37785.5</v>
      </c>
      <c r="AF28" s="92">
        <f>Logistic2010!Q28</f>
        <v>3.4058703908046778E-3</v>
      </c>
      <c r="AG28" s="4">
        <f t="shared" si="10"/>
        <v>2.5722220404043386E-3</v>
      </c>
      <c r="AH28" s="92">
        <f>Logistic2011!Q28</f>
        <v>9.4560418099634688E-4</v>
      </c>
      <c r="AI28" s="92">
        <f>Logistic2012!Q28</f>
        <v>2.5722220404043386E-3</v>
      </c>
      <c r="AJ28" s="92">
        <f>Logistic2013!L28</f>
        <v>7.0200899120878707E-3</v>
      </c>
      <c r="AK28" s="119">
        <f>Logistic2014!AK28</f>
        <v>8.7680531167695416E-3</v>
      </c>
      <c r="AL28" s="119">
        <f t="shared" si="13"/>
        <v>3.7833821446993888E-3</v>
      </c>
      <c r="AM28" s="114"/>
      <c r="AN28" s="114"/>
      <c r="AQ28" s="114"/>
      <c r="AR28" s="114"/>
      <c r="AS28" s="114"/>
      <c r="AT28" s="114"/>
      <c r="AU28" s="114"/>
    </row>
    <row r="29" spans="1:50" x14ac:dyDescent="0.25">
      <c r="A29" s="39"/>
      <c r="B29" s="49"/>
      <c r="C29" s="79"/>
      <c r="D29" s="86" t="str">
        <f t="shared" si="14"/>
        <v/>
      </c>
      <c r="E29" s="81"/>
      <c r="F29" s="50" t="str">
        <f t="shared" si="15"/>
        <v/>
      </c>
      <c r="G29" s="16" t="str">
        <f t="shared" si="16"/>
        <v/>
      </c>
      <c r="H29" s="51" t="str">
        <f t="shared" si="17"/>
        <v/>
      </c>
      <c r="I29" s="54"/>
      <c r="J29" s="105">
        <f t="shared" si="7"/>
        <v>37786.5</v>
      </c>
      <c r="K29" s="109">
        <v>21</v>
      </c>
      <c r="L29" s="125">
        <f t="shared" si="5"/>
        <v>4.531664489069576E-3</v>
      </c>
      <c r="M29" s="46">
        <f t="shared" si="8"/>
        <v>3.7123266109304417E-4</v>
      </c>
      <c r="N29" s="130">
        <v>3.7123266109304417E-4</v>
      </c>
      <c r="O29" s="89">
        <f t="shared" si="6"/>
        <v>3.7123266109304417E-4</v>
      </c>
      <c r="P29" s="48">
        <v>40343</v>
      </c>
      <c r="Q29" s="1">
        <v>3.4231101794941045E-3</v>
      </c>
      <c r="R29" s="100">
        <v>6148</v>
      </c>
      <c r="S29" s="100">
        <f t="shared" si="11"/>
        <v>30.613355355462627</v>
      </c>
      <c r="T29" s="101">
        <f t="shared" si="9"/>
        <v>6117.3866446445372</v>
      </c>
      <c r="U29" s="49">
        <v>40721</v>
      </c>
      <c r="V29" s="92"/>
      <c r="W29" s="92"/>
      <c r="X29" s="92"/>
      <c r="Y29" s="92"/>
      <c r="Z29" s="92"/>
      <c r="AE29" s="93">
        <f t="shared" si="12"/>
        <v>37786.5</v>
      </c>
      <c r="AF29" s="92">
        <f>Logistic2010!Q29</f>
        <v>4.156253215078223E-3</v>
      </c>
      <c r="AG29" s="4">
        <f t="shared" si="10"/>
        <v>3.4231101794941045E-3</v>
      </c>
      <c r="AH29" s="92">
        <f>Logistic2011!Q29</f>
        <v>1.2159361420781157E-3</v>
      </c>
      <c r="AI29" s="92">
        <f>Logistic2012!Q29</f>
        <v>3.4231101794941045E-3</v>
      </c>
      <c r="AJ29" s="92">
        <f>Logistic2013!L29</f>
        <v>8.5416755801183825E-3</v>
      </c>
      <c r="AK29" s="119">
        <f>Logistic2014!AK29</f>
        <v>1.0595282474405681E-2</v>
      </c>
      <c r="AL29" s="119">
        <f t="shared" si="13"/>
        <v>4.531664489069576E-3</v>
      </c>
      <c r="AM29" s="113"/>
      <c r="AN29" s="113"/>
      <c r="AP29" s="113"/>
      <c r="AQ29" s="113"/>
      <c r="AR29" s="113"/>
      <c r="AS29" s="113"/>
      <c r="AT29" s="114"/>
      <c r="AU29" s="114"/>
    </row>
    <row r="30" spans="1:50" x14ac:dyDescent="0.25">
      <c r="A30" s="39"/>
      <c r="B30" s="49"/>
      <c r="C30" s="79"/>
      <c r="D30" s="86" t="str">
        <f t="shared" si="14"/>
        <v/>
      </c>
      <c r="E30" s="81"/>
      <c r="F30" s="50" t="str">
        <f t="shared" si="15"/>
        <v/>
      </c>
      <c r="G30" s="16" t="str">
        <f t="shared" si="16"/>
        <v/>
      </c>
      <c r="H30" s="51" t="str">
        <f t="shared" si="17"/>
        <v/>
      </c>
      <c r="I30" s="54"/>
      <c r="J30" s="105">
        <f t="shared" si="7"/>
        <v>37787.5</v>
      </c>
      <c r="K30" s="109">
        <v>22</v>
      </c>
      <c r="L30" s="125">
        <f t="shared" si="5"/>
        <v>5.4271368627399966E-3</v>
      </c>
      <c r="M30" s="46">
        <f t="shared" si="8"/>
        <v>5.2895034459836269E-4</v>
      </c>
      <c r="N30" s="131">
        <v>5.2895034459836269E-4</v>
      </c>
      <c r="O30" s="89">
        <f t="shared" si="6"/>
        <v>5.2895034459836269E-4</v>
      </c>
      <c r="P30" s="48">
        <v>40344</v>
      </c>
      <c r="Q30" s="1">
        <v>4.5541859663405402E-3</v>
      </c>
      <c r="R30" s="100">
        <v>5114</v>
      </c>
      <c r="S30" s="100">
        <f t="shared" si="11"/>
        <v>30.493604196503266</v>
      </c>
      <c r="T30" s="101">
        <f t="shared" si="9"/>
        <v>5083.5063958034971</v>
      </c>
      <c r="U30" s="49">
        <v>40722</v>
      </c>
      <c r="V30" s="92"/>
      <c r="W30" s="92"/>
      <c r="X30" s="92"/>
      <c r="Y30" s="92"/>
      <c r="Z30" s="92"/>
      <c r="AE30" s="93">
        <f t="shared" si="12"/>
        <v>37787.5</v>
      </c>
      <c r="AF30" s="92">
        <f>Logistic2010!Q30</f>
        <v>5.0711194585093189E-3</v>
      </c>
      <c r="AG30" s="4">
        <f t="shared" si="10"/>
        <v>4.5541859663405402E-3</v>
      </c>
      <c r="AH30" s="92">
        <f>Logistic2011!Q30</f>
        <v>1.5634304169464023E-3</v>
      </c>
      <c r="AI30" s="92">
        <f>Logistic2012!Q30</f>
        <v>4.5541859663405402E-3</v>
      </c>
      <c r="AJ30" s="92">
        <f>Logistic2013!L30</f>
        <v>1.0389610148679944E-2</v>
      </c>
      <c r="AK30" s="119">
        <f>Logistic2014!AK30</f>
        <v>1.2798382995327439E-2</v>
      </c>
      <c r="AL30" s="119">
        <f t="shared" si="13"/>
        <v>5.4271368627399966E-3</v>
      </c>
      <c r="AM30" s="113"/>
      <c r="AN30" s="113"/>
      <c r="AO30" s="113"/>
      <c r="AP30" s="113"/>
      <c r="AQ30" s="113"/>
      <c r="AR30" s="113"/>
      <c r="AS30" s="113"/>
      <c r="AT30" s="114"/>
      <c r="AU30" s="114"/>
    </row>
    <row r="31" spans="1:50" x14ac:dyDescent="0.25">
      <c r="A31" s="39"/>
      <c r="B31" s="49"/>
      <c r="C31" s="79"/>
      <c r="D31" s="86" t="str">
        <f t="shared" si="14"/>
        <v/>
      </c>
      <c r="E31" s="81"/>
      <c r="F31" s="50" t="str">
        <f t="shared" si="15"/>
        <v/>
      </c>
      <c r="G31" s="16" t="str">
        <f t="shared" si="16"/>
        <v/>
      </c>
      <c r="H31" s="51" t="str">
        <f t="shared" si="17"/>
        <v/>
      </c>
      <c r="I31" s="54"/>
      <c r="J31" s="105">
        <f t="shared" si="7"/>
        <v>37788.5</v>
      </c>
      <c r="K31" s="109">
        <v>23</v>
      </c>
      <c r="L31" s="125">
        <f t="shared" si="5"/>
        <v>6.4984025179808729E-3</v>
      </c>
      <c r="M31" s="46">
        <f t="shared" si="8"/>
        <v>7.5362365201523903E-4</v>
      </c>
      <c r="N31" s="131">
        <v>7.5362365201523903E-4</v>
      </c>
      <c r="O31" s="89">
        <f t="shared" si="6"/>
        <v>7.5362365201523903E-4</v>
      </c>
      <c r="P31" s="48">
        <v>40345</v>
      </c>
      <c r="Q31" s="1">
        <v>6.0567243090960737E-3</v>
      </c>
      <c r="R31" s="100">
        <v>7184</v>
      </c>
      <c r="S31" s="100">
        <f t="shared" si="11"/>
        <v>51.286124940630373</v>
      </c>
      <c r="T31" s="101">
        <f t="shared" si="9"/>
        <v>7132.7138750593695</v>
      </c>
      <c r="U31" s="49">
        <v>40723</v>
      </c>
      <c r="V31" s="92"/>
      <c r="W31" s="92"/>
      <c r="X31" s="92"/>
      <c r="Y31" s="92"/>
      <c r="Z31" s="92"/>
      <c r="AE31" s="93">
        <f t="shared" si="12"/>
        <v>37788.5</v>
      </c>
      <c r="AF31" s="92">
        <f>Logistic2010!Q31</f>
        <v>6.18611330154804E-3</v>
      </c>
      <c r="AG31" s="4">
        <f t="shared" si="10"/>
        <v>6.0567243090960737E-3</v>
      </c>
      <c r="AH31" s="92">
        <f>Logistic2011!Q31</f>
        <v>2.0100329059479318E-3</v>
      </c>
      <c r="AI31" s="92">
        <f>Logistic2012!Q31</f>
        <v>6.0567243090960737E-3</v>
      </c>
      <c r="AJ31" s="92">
        <f>Logistic2013!L31</f>
        <v>1.263223931108238E-2</v>
      </c>
      <c r="AK31" s="119">
        <f>Logistic2014!AK31</f>
        <v>1.5452424589650317E-2</v>
      </c>
      <c r="AL31" s="119">
        <f t="shared" si="13"/>
        <v>6.4984025179808729E-3</v>
      </c>
      <c r="AM31" s="113"/>
      <c r="AO31" s="113"/>
      <c r="AP31" s="113"/>
      <c r="AQ31" s="113"/>
      <c r="AR31" t="s">
        <v>28</v>
      </c>
      <c r="AS31"/>
      <c r="AT31"/>
      <c r="AU31"/>
      <c r="AV31"/>
      <c r="AW31"/>
      <c r="AX31"/>
    </row>
    <row r="32" spans="1:50" x14ac:dyDescent="0.25">
      <c r="B32" s="49"/>
      <c r="C32" s="79"/>
      <c r="D32" s="86" t="str">
        <f t="shared" si="14"/>
        <v/>
      </c>
      <c r="E32" s="81"/>
      <c r="F32" s="50" t="str">
        <f t="shared" si="15"/>
        <v/>
      </c>
      <c r="G32" s="16" t="str">
        <f t="shared" si="16"/>
        <v/>
      </c>
      <c r="H32" s="51" t="str">
        <f t="shared" si="17"/>
        <v/>
      </c>
      <c r="I32" s="54"/>
      <c r="J32" s="105">
        <f t="shared" si="7"/>
        <v>37789.5</v>
      </c>
      <c r="K32" s="109">
        <v>24</v>
      </c>
      <c r="L32" s="125">
        <f t="shared" si="5"/>
        <v>7.7794719086979602E-3</v>
      </c>
      <c r="M32" s="46">
        <f t="shared" si="8"/>
        <v>1.0736251359755081E-3</v>
      </c>
      <c r="N32" s="131">
        <v>1.0736251359755081E-3</v>
      </c>
      <c r="O32" s="89">
        <f t="shared" si="6"/>
        <v>1.0736251359755081E-3</v>
      </c>
      <c r="P32" s="48">
        <v>40346</v>
      </c>
      <c r="Q32" s="1">
        <v>8.0509778061675936E-3</v>
      </c>
      <c r="R32" s="100">
        <v>8109</v>
      </c>
      <c r="S32" s="100">
        <f t="shared" si="11"/>
        <v>69.292181070346018</v>
      </c>
      <c r="T32" s="101">
        <f t="shared" si="9"/>
        <v>8039.7078189296544</v>
      </c>
      <c r="U32" s="49">
        <v>40724</v>
      </c>
      <c r="V32" s="92"/>
      <c r="W32" s="92"/>
      <c r="X32" s="92"/>
      <c r="Y32" s="92"/>
      <c r="Z32" s="92"/>
      <c r="AE32" s="93">
        <f t="shared" si="12"/>
        <v>37789.5</v>
      </c>
      <c r="AF32" s="92">
        <f>Logistic2010!Q32</f>
        <v>7.5444033609171311E-3</v>
      </c>
      <c r="AG32" s="4">
        <f t="shared" si="10"/>
        <v>8.0509778061675936E-3</v>
      </c>
      <c r="AH32" s="92">
        <f>Logistic2011!Q32</f>
        <v>2.5838796966125908E-3</v>
      </c>
      <c r="AI32" s="92">
        <f>Logistic2012!Q32</f>
        <v>8.0509778061675936E-3</v>
      </c>
      <c r="AJ32" s="92">
        <f>Logistic2013!L32</f>
        <v>1.5351437527105454E-2</v>
      </c>
      <c r="AK32" s="119">
        <f>Logistic2014!AK32</f>
        <v>1.864644764878538E-2</v>
      </c>
      <c r="AL32" s="119">
        <f t="shared" si="13"/>
        <v>7.7794719086979602E-3</v>
      </c>
      <c r="AM32" s="115"/>
      <c r="AN32" s="115"/>
      <c r="AP32" s="115"/>
      <c r="AQ32" s="115"/>
      <c r="AR32"/>
      <c r="AS32"/>
      <c r="AT32"/>
      <c r="AU32"/>
      <c r="AV32"/>
      <c r="AW32"/>
      <c r="AX32"/>
    </row>
    <row r="33" spans="2:50" ht="16.5" thickBot="1" x14ac:dyDescent="0.3">
      <c r="B33" s="49"/>
      <c r="C33" s="79"/>
      <c r="D33" s="86" t="str">
        <f t="shared" si="14"/>
        <v/>
      </c>
      <c r="E33" s="81"/>
      <c r="F33" s="50" t="str">
        <f t="shared" si="15"/>
        <v/>
      </c>
      <c r="G33" s="16" t="str">
        <f t="shared" si="16"/>
        <v/>
      </c>
      <c r="H33" s="51" t="str">
        <f t="shared" si="17"/>
        <v/>
      </c>
      <c r="I33" s="54"/>
      <c r="J33" s="105">
        <f t="shared" si="7"/>
        <v>37790.5</v>
      </c>
      <c r="K33" s="109">
        <v>25</v>
      </c>
      <c r="L33" s="125">
        <f t="shared" si="5"/>
        <v>9.3107195009323306E-3</v>
      </c>
      <c r="M33" s="46">
        <f t="shared" si="8"/>
        <v>1.5292967649937837E-3</v>
      </c>
      <c r="N33" s="131">
        <v>1.5292967649937837E-3</v>
      </c>
      <c r="O33" s="89">
        <f t="shared" si="6"/>
        <v>1.5292967649937837E-3</v>
      </c>
      <c r="P33" s="48">
        <v>40347</v>
      </c>
      <c r="Q33" s="1">
        <v>1.0694799271914295E-2</v>
      </c>
      <c r="R33" s="100">
        <v>18981</v>
      </c>
      <c r="S33" s="100">
        <f t="shared" si="11"/>
        <v>194.08737731273388</v>
      </c>
      <c r="T33" s="101">
        <f t="shared" si="9"/>
        <v>18786.912622687265</v>
      </c>
      <c r="U33" s="49">
        <v>40725</v>
      </c>
      <c r="V33" s="92">
        <v>0.35599999999999998</v>
      </c>
      <c r="W33" s="92"/>
      <c r="X33" s="92"/>
      <c r="Y33" s="92"/>
      <c r="Z33" s="92"/>
      <c r="AE33" s="93">
        <f t="shared" si="12"/>
        <v>37790.5</v>
      </c>
      <c r="AF33" s="92">
        <f>Logistic2010!Q33</f>
        <v>9.1981739546595914E-3</v>
      </c>
      <c r="AG33" s="4">
        <f t="shared" si="10"/>
        <v>1.0694799271914295E-2</v>
      </c>
      <c r="AH33" s="92">
        <f>Logistic2011!Q33</f>
        <v>3.3210095492913049E-3</v>
      </c>
      <c r="AI33" s="92">
        <f>Logistic2012!Q33</f>
        <v>1.0694799271914295E-2</v>
      </c>
      <c r="AJ33" s="92">
        <f>Logistic2013!L33</f>
        <v>1.8644913491254085E-2</v>
      </c>
      <c r="AK33" s="119">
        <f>Logistic2014!AK33</f>
        <v>2.2485598579313124E-2</v>
      </c>
      <c r="AL33" s="119">
        <f t="shared" si="13"/>
        <v>9.3107195009323306E-3</v>
      </c>
      <c r="AM33" s="110"/>
      <c r="AN33" s="110"/>
      <c r="AO33" s="110"/>
      <c r="AP33" s="110"/>
      <c r="AQ33" s="110"/>
      <c r="AR33" t="s">
        <v>29</v>
      </c>
      <c r="AS33"/>
      <c r="AT33"/>
      <c r="AU33"/>
      <c r="AV33"/>
      <c r="AW33"/>
      <c r="AX33"/>
    </row>
    <row r="34" spans="2:50" ht="16.5" thickBot="1" x14ac:dyDescent="0.3">
      <c r="B34" s="49"/>
      <c r="C34" s="79"/>
      <c r="D34" s="86" t="str">
        <f t="shared" si="14"/>
        <v/>
      </c>
      <c r="E34" s="81"/>
      <c r="F34" s="50" t="str">
        <f t="shared" si="15"/>
        <v/>
      </c>
      <c r="G34" s="16" t="str">
        <f t="shared" si="16"/>
        <v/>
      </c>
      <c r="H34" s="51" t="str">
        <f t="shared" si="17"/>
        <v/>
      </c>
      <c r="I34" s="54"/>
      <c r="J34" s="105">
        <f t="shared" si="7"/>
        <v>37791.5</v>
      </c>
      <c r="K34" s="109">
        <v>26</v>
      </c>
      <c r="L34" s="125">
        <f t="shared" si="5"/>
        <v>1.1139981443457733E-2</v>
      </c>
      <c r="M34" s="46">
        <f t="shared" si="8"/>
        <v>2.1779444332849758E-3</v>
      </c>
      <c r="N34" s="131">
        <v>2.1779444332849758E-3</v>
      </c>
      <c r="O34" s="89">
        <f t="shared" si="6"/>
        <v>2.1779444332849758E-3</v>
      </c>
      <c r="P34" s="48">
        <v>40348</v>
      </c>
      <c r="Q34" s="1">
        <v>1.4194388945639416E-2</v>
      </c>
      <c r="R34" s="100">
        <v>7954</v>
      </c>
      <c r="S34" s="100">
        <f t="shared" si="11"/>
        <v>97.292466901938525</v>
      </c>
      <c r="T34" s="101">
        <f t="shared" si="9"/>
        <v>7856.7075330980615</v>
      </c>
      <c r="U34" s="49">
        <v>40726</v>
      </c>
      <c r="V34" s="92"/>
      <c r="W34" s="92"/>
      <c r="X34" s="92"/>
      <c r="Y34" s="92"/>
      <c r="Z34" s="92"/>
      <c r="AE34" s="93">
        <f t="shared" si="12"/>
        <v>37791.5</v>
      </c>
      <c r="AF34" s="92">
        <f>Logistic2010!Q34</f>
        <v>1.1210364440860094E-2</v>
      </c>
      <c r="AG34" s="4">
        <f t="shared" si="10"/>
        <v>1.4194388945639416E-2</v>
      </c>
      <c r="AH34" s="92">
        <f>Logistic2011!Q34</f>
        <v>4.2675282552662704E-3</v>
      </c>
      <c r="AI34" s="92">
        <f>Logistic2012!Q34</f>
        <v>1.4194388945639416E-2</v>
      </c>
      <c r="AJ34" s="92">
        <f>Logistic2013!L34</f>
        <v>2.2628728952144059E-2</v>
      </c>
      <c r="AK34" s="119">
        <f>Logistic2014!AK34</f>
        <v>2.7093376387433324E-2</v>
      </c>
      <c r="AL34" s="119">
        <f t="shared" si="13"/>
        <v>1.1139981443457733E-2</v>
      </c>
      <c r="AM34" s="110"/>
      <c r="AN34" s="110"/>
      <c r="AO34" s="110"/>
      <c r="AQ34" s="110"/>
      <c r="AR34" s="112" t="s">
        <v>30</v>
      </c>
      <c r="AS34" s="112" t="s">
        <v>31</v>
      </c>
      <c r="AT34" s="112" t="s">
        <v>32</v>
      </c>
      <c r="AU34" s="112" t="s">
        <v>33</v>
      </c>
      <c r="AV34" s="112" t="s">
        <v>34</v>
      </c>
      <c r="AW34"/>
      <c r="AX34"/>
    </row>
    <row r="35" spans="2:50" x14ac:dyDescent="0.25">
      <c r="B35" s="49"/>
      <c r="C35" s="79"/>
      <c r="D35" s="86" t="str">
        <f t="shared" si="14"/>
        <v/>
      </c>
      <c r="E35" s="81"/>
      <c r="F35" s="50" t="str">
        <f t="shared" si="15"/>
        <v/>
      </c>
      <c r="G35" s="16" t="str">
        <f t="shared" si="16"/>
        <v/>
      </c>
      <c r="H35" s="51" t="str">
        <f t="shared" si="17"/>
        <v/>
      </c>
      <c r="I35" s="54"/>
      <c r="J35" s="105">
        <f t="shared" si="7"/>
        <v>37792.5</v>
      </c>
      <c r="K35" s="109">
        <v>27</v>
      </c>
      <c r="L35" s="125">
        <f t="shared" si="5"/>
        <v>1.3323802037039761E-2</v>
      </c>
      <c r="M35" s="46">
        <f t="shared" si="8"/>
        <v>3.1008600796789275E-3</v>
      </c>
      <c r="N35" s="131">
        <v>3.1008600796789275E-3</v>
      </c>
      <c r="O35" s="89">
        <f t="shared" si="6"/>
        <v>3.1008600796789275E-3</v>
      </c>
      <c r="P35" s="48">
        <v>40349</v>
      </c>
      <c r="Q35" s="1">
        <v>1.8817345014281332E-2</v>
      </c>
      <c r="R35" s="100">
        <v>10420</v>
      </c>
      <c r="S35" s="100">
        <f t="shared" si="11"/>
        <v>152.40621692046739</v>
      </c>
      <c r="T35" s="101">
        <f t="shared" si="9"/>
        <v>10267.593783079532</v>
      </c>
      <c r="U35" s="40">
        <v>40727</v>
      </c>
      <c r="AE35" s="93">
        <f t="shared" si="12"/>
        <v>37792.5</v>
      </c>
      <c r="AF35" s="92">
        <f>Logistic2010!Q35</f>
        <v>1.3656673980419356E-2</v>
      </c>
      <c r="AG35" s="4">
        <f t="shared" si="10"/>
        <v>1.8817345014281332E-2</v>
      </c>
      <c r="AH35" s="92">
        <f>Logistic2011!Q35</f>
        <v>5.4823297455268887E-3</v>
      </c>
      <c r="AI35" s="92">
        <f>Logistic2012!Q35</f>
        <v>1.8817345014281332E-2</v>
      </c>
      <c r="AJ35" s="92">
        <f>Logistic2013!L35</f>
        <v>2.7439956026617411E-2</v>
      </c>
      <c r="AK35" s="119">
        <f>Logistic2014!AK35</f>
        <v>3.2613882518552371E-2</v>
      </c>
      <c r="AL35" s="119">
        <f t="shared" si="13"/>
        <v>1.3323802037039761E-2</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14"/>
        <v/>
      </c>
      <c r="E36" s="81"/>
      <c r="F36" s="50" t="str">
        <f t="shared" si="15"/>
        <v/>
      </c>
      <c r="G36" s="16" t="str">
        <f t="shared" si="16"/>
        <v/>
      </c>
      <c r="H36" s="51" t="str">
        <f t="shared" si="17"/>
        <v/>
      </c>
      <c r="I36" s="54"/>
      <c r="J36" s="105">
        <f t="shared" si="7"/>
        <v>37793.5</v>
      </c>
      <c r="K36" s="109">
        <v>28</v>
      </c>
      <c r="L36" s="125">
        <f t="shared" si="5"/>
        <v>1.5928830769191979E-2</v>
      </c>
      <c r="M36" s="46">
        <f t="shared" si="8"/>
        <v>4.4131364833405974E-3</v>
      </c>
      <c r="N36" s="131">
        <v>4.4131364833405974E-3</v>
      </c>
      <c r="O36" s="89">
        <f t="shared" si="6"/>
        <v>4.4131364833405974E-3</v>
      </c>
      <c r="P36" s="48">
        <v>40350</v>
      </c>
      <c r="Q36" s="1">
        <v>2.4907904460513997E-2</v>
      </c>
      <c r="R36" s="100">
        <v>14984</v>
      </c>
      <c r="S36" s="100">
        <f t="shared" si="11"/>
        <v>261.93674506579765</v>
      </c>
      <c r="T36" s="101">
        <f t="shared" si="9"/>
        <v>14722.063254934203</v>
      </c>
      <c r="U36" s="49">
        <v>40728</v>
      </c>
      <c r="AE36" s="93">
        <f t="shared" si="12"/>
        <v>37793.5</v>
      </c>
      <c r="AF36" s="92">
        <f>Logistic2010!Q36</f>
        <v>1.6627836578475143E-2</v>
      </c>
      <c r="AG36" s="4">
        <f t="shared" si="10"/>
        <v>2.4907904460513997E-2</v>
      </c>
      <c r="AH36" s="92">
        <f>Logistic2011!Q36</f>
        <v>7.0404935024234346E-3</v>
      </c>
      <c r="AI36" s="92">
        <f>Logistic2012!Q36</f>
        <v>2.4907904460513997E-2</v>
      </c>
      <c r="AJ36" s="92">
        <f>Logistic2013!L36</f>
        <v>3.3239337178441269E-2</v>
      </c>
      <c r="AK36" s="119">
        <f>Logistic2014!AK36</f>
        <v>3.9213900655283261E-2</v>
      </c>
      <c r="AL36" s="119">
        <f t="shared" si="13"/>
        <v>1.5928830769191979E-2</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14"/>
        <v/>
      </c>
      <c r="E37" s="81"/>
      <c r="F37" s="50" t="str">
        <f t="shared" si="15"/>
        <v/>
      </c>
      <c r="G37" s="16" t="str">
        <f t="shared" si="16"/>
        <v/>
      </c>
      <c r="H37" s="51" t="str">
        <f t="shared" si="17"/>
        <v/>
      </c>
      <c r="I37" s="54"/>
      <c r="J37" s="105">
        <f t="shared" si="7"/>
        <v>37794.5</v>
      </c>
      <c r="K37" s="109">
        <v>29</v>
      </c>
      <c r="L37" s="125">
        <f t="shared" si="5"/>
        <v>1.9033361578084801E-2</v>
      </c>
      <c r="M37" s="46">
        <f t="shared" si="8"/>
        <v>6.2772681143683619E-3</v>
      </c>
      <c r="N37" s="131">
        <v>6.2772681143683619E-3</v>
      </c>
      <c r="O37" s="89">
        <f t="shared" si="6"/>
        <v>6.2772681143683619E-3</v>
      </c>
      <c r="P37" s="48">
        <v>40351</v>
      </c>
      <c r="Q37" s="1">
        <v>3.2903671432563369E-2</v>
      </c>
      <c r="R37" s="100">
        <v>16806</v>
      </c>
      <c r="S37" s="100">
        <f t="shared" si="11"/>
        <v>350.92904412350236</v>
      </c>
      <c r="T37" s="101">
        <f t="shared" si="9"/>
        <v>16455.070955876497</v>
      </c>
      <c r="U37" s="49">
        <v>40729</v>
      </c>
      <c r="V37" s="4">
        <v>0.51500000000000001</v>
      </c>
      <c r="AE37" s="93">
        <f t="shared" si="12"/>
        <v>37794.5</v>
      </c>
      <c r="AF37" s="92">
        <f>Logistic2010!Q37</f>
        <v>2.0232149587218227E-2</v>
      </c>
      <c r="AG37" s="4">
        <f t="shared" si="10"/>
        <v>3.2903671432563369E-2</v>
      </c>
      <c r="AH37" s="92">
        <f>Logistic2011!Q37</f>
        <v>9.0374873855469922E-3</v>
      </c>
      <c r="AI37" s="92">
        <f>Logistic2012!Q37</f>
        <v>3.2903671432563369E-2</v>
      </c>
      <c r="AJ37" s="92">
        <f>Logistic2013!L37</f>
        <v>4.0213726080353264E-2</v>
      </c>
      <c r="AK37" s="119">
        <f>Logistic2014!AK37</f>
        <v>4.7084545759597696E-2</v>
      </c>
      <c r="AL37" s="119">
        <f t="shared" si="13"/>
        <v>1.9033361578084801E-2</v>
      </c>
      <c r="AM37" s="113"/>
      <c r="AN37" s="113"/>
      <c r="AO37" s="113"/>
      <c r="AP37" s="113"/>
      <c r="AQ37" s="113"/>
      <c r="AR37"/>
      <c r="AS37"/>
      <c r="AT37"/>
      <c r="AU37"/>
      <c r="AV37"/>
      <c r="AW37"/>
      <c r="AX37"/>
    </row>
    <row r="38" spans="2:50" x14ac:dyDescent="0.25">
      <c r="B38" s="49"/>
      <c r="C38" s="79"/>
      <c r="D38" s="86" t="str">
        <f t="shared" si="14"/>
        <v/>
      </c>
      <c r="E38" s="81"/>
      <c r="F38" s="50" t="str">
        <f t="shared" si="15"/>
        <v/>
      </c>
      <c r="G38" s="16" t="str">
        <f t="shared" si="16"/>
        <v/>
      </c>
      <c r="H38" s="51" t="str">
        <f t="shared" si="17"/>
        <v/>
      </c>
      <c r="I38" s="54"/>
      <c r="J38" s="105">
        <f t="shared" si="7"/>
        <v>37795.5</v>
      </c>
      <c r="K38" s="109">
        <v>30</v>
      </c>
      <c r="L38" s="125">
        <f t="shared" si="5"/>
        <v>2.2728990453749348E-2</v>
      </c>
      <c r="M38" s="46">
        <f t="shared" si="8"/>
        <v>8.9217622649491162E-3</v>
      </c>
      <c r="N38" s="131">
        <v>8.9217622649491162E-3</v>
      </c>
      <c r="O38" s="89">
        <f t="shared" si="6"/>
        <v>8.9217622649491162E-3</v>
      </c>
      <c r="P38" s="48">
        <v>40352</v>
      </c>
      <c r="Q38" s="1">
        <v>4.3352069231991391E-2</v>
      </c>
      <c r="R38" s="100">
        <v>28505</v>
      </c>
      <c r="S38" s="100">
        <f t="shared" si="11"/>
        <v>710.50615287694507</v>
      </c>
      <c r="T38" s="101">
        <f t="shared" si="9"/>
        <v>27794.493847123056</v>
      </c>
      <c r="U38" s="49"/>
      <c r="AE38" s="93">
        <f t="shared" si="12"/>
        <v>37795.5</v>
      </c>
      <c r="AF38" s="92">
        <f>Logistic2010!Q38</f>
        <v>2.4598204014952465E-2</v>
      </c>
      <c r="AG38" s="4">
        <f t="shared" si="10"/>
        <v>4.3352069231991391E-2</v>
      </c>
      <c r="AH38" s="92">
        <f>Logistic2011!Q38</f>
        <v>1.1594302653630432E-2</v>
      </c>
      <c r="AI38" s="92">
        <f>Logistic2012!Q38</f>
        <v>4.3352069231991391E-2</v>
      </c>
      <c r="AJ38" s="92">
        <f>Logistic2013!L38</f>
        <v>4.8577971912167145E-2</v>
      </c>
      <c r="AK38" s="119">
        <f>Logistic2014!AK38</f>
        <v>5.6442110719466705E-2</v>
      </c>
      <c r="AL38" s="119">
        <f t="shared" si="13"/>
        <v>2.2728990453749348E-2</v>
      </c>
      <c r="AM38" s="115"/>
      <c r="AQ38" s="115"/>
      <c r="AR38"/>
      <c r="AS38"/>
      <c r="AT38"/>
      <c r="AU38"/>
      <c r="AV38"/>
      <c r="AW38"/>
      <c r="AX38"/>
    </row>
    <row r="39" spans="2:50" ht="16.5" thickBot="1" x14ac:dyDescent="0.3">
      <c r="B39" s="49"/>
      <c r="C39" s="79"/>
      <c r="D39" s="86" t="str">
        <f t="shared" si="14"/>
        <v/>
      </c>
      <c r="E39" s="81"/>
      <c r="F39" s="50" t="str">
        <f t="shared" si="15"/>
        <v/>
      </c>
      <c r="G39" s="16" t="str">
        <f t="shared" si="16"/>
        <v/>
      </c>
      <c r="H39" s="51" t="str">
        <f t="shared" si="17"/>
        <v/>
      </c>
      <c r="I39" s="54"/>
      <c r="J39" s="105">
        <f t="shared" si="7"/>
        <v>37796.5</v>
      </c>
      <c r="K39" s="109">
        <v>31</v>
      </c>
      <c r="L39" s="125">
        <f t="shared" si="5"/>
        <v>2.7122344601640591E-2</v>
      </c>
      <c r="M39" s="46">
        <f t="shared" si="8"/>
        <v>1.2666131545885561E-2</v>
      </c>
      <c r="N39" s="131">
        <v>1.2666131545885561E-2</v>
      </c>
      <c r="O39" s="89">
        <f t="shared" si="6"/>
        <v>1.2666131545885561E-2</v>
      </c>
      <c r="P39" s="48">
        <v>40353</v>
      </c>
      <c r="Q39" s="1">
        <v>5.6923017026269736E-2</v>
      </c>
      <c r="R39" s="100">
        <v>37919</v>
      </c>
      <c r="S39" s="100">
        <f t="shared" si="11"/>
        <v>1127.3157281028709</v>
      </c>
      <c r="T39" s="101">
        <f t="shared" si="9"/>
        <v>36791.684271897131</v>
      </c>
      <c r="U39" s="49"/>
      <c r="AE39" s="93">
        <f t="shared" si="12"/>
        <v>37796.5</v>
      </c>
      <c r="AF39" s="92">
        <f>Logistic2010!Q39</f>
        <v>2.9877711971165448E-2</v>
      </c>
      <c r="AG39" s="4">
        <f t="shared" si="10"/>
        <v>5.6923017026269736E-2</v>
      </c>
      <c r="AH39" s="92">
        <f>Logistic2011!Q39</f>
        <v>1.4863622388293144E-2</v>
      </c>
      <c r="AI39" s="92">
        <f>Logistic2012!Q39</f>
        <v>5.6923017026269736E-2</v>
      </c>
      <c r="AJ39" s="92">
        <f>Logistic2013!L39</f>
        <v>5.8575762266613804E-2</v>
      </c>
      <c r="AK39" s="119">
        <f>Logistic2014!AK39</f>
        <v>6.7527607102486259E-2</v>
      </c>
      <c r="AL39" s="119">
        <f t="shared" si="13"/>
        <v>2.7122344601640591E-2</v>
      </c>
      <c r="AM39" s="110"/>
      <c r="AN39" s="110"/>
      <c r="AP39" s="110"/>
      <c r="AQ39" s="110"/>
      <c r="AR39" t="s">
        <v>35</v>
      </c>
      <c r="AS39"/>
      <c r="AT39"/>
      <c r="AU39"/>
      <c r="AV39"/>
      <c r="AW39"/>
      <c r="AX39"/>
    </row>
    <row r="40" spans="2:50" x14ac:dyDescent="0.25">
      <c r="B40" s="49"/>
      <c r="C40" s="79"/>
      <c r="D40" s="86" t="str">
        <f t="shared" si="14"/>
        <v/>
      </c>
      <c r="E40" s="81"/>
      <c r="F40" s="50" t="str">
        <f t="shared" si="15"/>
        <v/>
      </c>
      <c r="G40" s="16" t="str">
        <f t="shared" si="16"/>
        <v/>
      </c>
      <c r="H40" s="51" t="str">
        <f t="shared" si="17"/>
        <v/>
      </c>
      <c r="I40" s="54"/>
      <c r="J40" s="105">
        <f t="shared" si="7"/>
        <v>37797.5</v>
      </c>
      <c r="K40" s="109">
        <v>32</v>
      </c>
      <c r="L40" s="125">
        <f t="shared" si="5"/>
        <v>3.2336804010024853E-2</v>
      </c>
      <c r="M40" s="46">
        <f t="shared" si="8"/>
        <v>1.7953505605503725E-2</v>
      </c>
      <c r="N40" s="131">
        <v>1.7953505605503725E-2</v>
      </c>
      <c r="O40" s="89">
        <f t="shared" si="6"/>
        <v>1.7953505605503725E-2</v>
      </c>
      <c r="P40" s="48">
        <v>40354</v>
      </c>
      <c r="Q40" s="1">
        <v>7.4411773683001156E-2</v>
      </c>
      <c r="R40" s="100">
        <v>41134</v>
      </c>
      <c r="S40" s="100">
        <f t="shared" si="11"/>
        <v>1457.1903802502679</v>
      </c>
      <c r="T40" s="101">
        <f t="shared" si="9"/>
        <v>39676.809619749729</v>
      </c>
      <c r="U40" s="49"/>
      <c r="AE40" s="93">
        <f t="shared" si="12"/>
        <v>37797.5</v>
      </c>
      <c r="AF40" s="92">
        <f>Logistic2010!Q40</f>
        <v>3.624824956962025E-2</v>
      </c>
      <c r="AG40" s="4">
        <f t="shared" si="10"/>
        <v>7.4411773683001156E-2</v>
      </c>
      <c r="AH40" s="92">
        <f>Logistic2011!Q40</f>
        <v>1.9037057560494706E-2</v>
      </c>
      <c r="AI40" s="92">
        <f>Logistic2012!Q40</f>
        <v>7.4411773683001156E-2</v>
      </c>
      <c r="AJ40" s="92">
        <f>Logistic2013!L40</f>
        <v>7.0478765060004542E-2</v>
      </c>
      <c r="AK40" s="119">
        <f>Logistic2014!AK40</f>
        <v>8.060435401777398E-2</v>
      </c>
      <c r="AL40" s="119">
        <f t="shared" si="13"/>
        <v>3.2336804010024853E-2</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14"/>
        <v/>
      </c>
      <c r="E41" s="81"/>
      <c r="F41" s="50" t="str">
        <f t="shared" si="15"/>
        <v/>
      </c>
      <c r="G41" s="16" t="str">
        <f t="shared" si="16"/>
        <v/>
      </c>
      <c r="H41" s="51" t="str">
        <f t="shared" si="17"/>
        <v/>
      </c>
      <c r="I41" s="54"/>
      <c r="J41" s="105">
        <f t="shared" si="7"/>
        <v>37798.5</v>
      </c>
      <c r="K41" s="109">
        <v>33</v>
      </c>
      <c r="L41" s="125">
        <f t="shared" si="5"/>
        <v>3.8514092097830847E-2</v>
      </c>
      <c r="M41" s="46">
        <f t="shared" si="8"/>
        <v>2.5391289272607597E-2</v>
      </c>
      <c r="N41" s="131">
        <v>2.5391289272607597E-2</v>
      </c>
      <c r="O41" s="89">
        <f t="shared" si="6"/>
        <v>2.5391289272607597E-2</v>
      </c>
      <c r="P41" s="48">
        <v>40355</v>
      </c>
      <c r="Q41" s="1">
        <v>9.6722617460862401E-2</v>
      </c>
      <c r="R41" s="100">
        <v>21594</v>
      </c>
      <c r="S41" s="100">
        <f t="shared" si="11"/>
        <v>910.50719109445924</v>
      </c>
      <c r="T41" s="101">
        <f t="shared" si="9"/>
        <v>20683.492808905539</v>
      </c>
      <c r="U41" s="49"/>
      <c r="AE41" s="93">
        <f t="shared" si="12"/>
        <v>37798.5</v>
      </c>
      <c r="AF41" s="92">
        <f>Logistic2010!Q41</f>
        <v>4.3915626721520266E-2</v>
      </c>
      <c r="AG41" s="4">
        <f t="shared" si="10"/>
        <v>9.6722617460862401E-2</v>
      </c>
      <c r="AH41" s="92">
        <f>Logistic2011!Q41</f>
        <v>2.4353349085554369E-2</v>
      </c>
      <c r="AI41" s="92">
        <f>Logistic2012!Q41</f>
        <v>9.6722617460862401E-2</v>
      </c>
      <c r="AJ41" s="92">
        <f>Logistic2013!L41</f>
        <v>8.458322376954866E-2</v>
      </c>
      <c r="AK41" s="119">
        <f>Logistic2014!AK41</f>
        <v>9.5952838664410234E-2</v>
      </c>
      <c r="AL41" s="119">
        <f t="shared" si="13"/>
        <v>3.8514092097830847E-2</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14"/>
        <v/>
      </c>
      <c r="E42" s="81"/>
      <c r="F42" s="50" t="str">
        <f t="shared" si="15"/>
        <v/>
      </c>
      <c r="G42" s="16" t="str">
        <f t="shared" si="16"/>
        <v/>
      </c>
      <c r="H42" s="51" t="str">
        <f t="shared" si="17"/>
        <v/>
      </c>
      <c r="I42" s="54"/>
      <c r="J42" s="105">
        <f t="shared" si="7"/>
        <v>37799.5</v>
      </c>
      <c r="K42" s="109">
        <v>34</v>
      </c>
      <c r="L42" s="125">
        <f t="shared" si="5"/>
        <v>4.5815554201554094E-2</v>
      </c>
      <c r="M42" s="46">
        <f t="shared" si="8"/>
        <v>3.5798078010252969E-2</v>
      </c>
      <c r="N42" s="131">
        <v>3.5798078010252969E-2</v>
      </c>
      <c r="O42" s="89">
        <f t="shared" si="6"/>
        <v>3.5798078010252969E-2</v>
      </c>
      <c r="P42" s="48">
        <v>40356</v>
      </c>
      <c r="Q42" s="1">
        <v>0.12482080008468176</v>
      </c>
      <c r="R42" s="100">
        <v>17704</v>
      </c>
      <c r="S42" s="100">
        <f t="shared" si="11"/>
        <v>887.31053185537144</v>
      </c>
      <c r="T42" s="101">
        <f t="shared" si="9"/>
        <v>16816.689468144628</v>
      </c>
      <c r="AE42" s="93">
        <f t="shared" si="12"/>
        <v>37799.5</v>
      </c>
      <c r="AF42" s="92">
        <f>Logistic2010!Q42</f>
        <v>5.3115454143665003E-2</v>
      </c>
      <c r="AG42" s="4">
        <f t="shared" si="10"/>
        <v>0.12482080008468176</v>
      </c>
      <c r="AH42" s="92">
        <f>Logistic2011!Q42</f>
        <v>3.1107190112750017E-2</v>
      </c>
      <c r="AI42" s="92">
        <f>Logistic2012!Q42</f>
        <v>0.12482080008468176</v>
      </c>
      <c r="AJ42" s="92">
        <f>Logistic2013!L42</f>
        <v>0.1012029979928537</v>
      </c>
      <c r="AK42" s="119">
        <f>Logistic2014!AK42</f>
        <v>0.11386199412717302</v>
      </c>
      <c r="AL42" s="119">
        <f t="shared" si="13"/>
        <v>4.5815554201554094E-2</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14"/>
        <v/>
      </c>
      <c r="E43" s="81"/>
      <c r="F43" s="50" t="str">
        <f t="shared" si="15"/>
        <v/>
      </c>
      <c r="G43" s="16" t="str">
        <f t="shared" si="16"/>
        <v/>
      </c>
      <c r="H43" s="51" t="str">
        <f t="shared" si="17"/>
        <v/>
      </c>
      <c r="I43" s="54"/>
      <c r="J43" s="105">
        <f t="shared" si="7"/>
        <v>37800.5</v>
      </c>
      <c r="K43" s="109">
        <v>35</v>
      </c>
      <c r="L43" s="125">
        <f t="shared" si="5"/>
        <v>5.4422870092997587E-2</v>
      </c>
      <c r="M43" s="46">
        <f t="shared" si="8"/>
        <v>5.0250242425127004E-2</v>
      </c>
      <c r="N43" s="131">
        <v>5.0250242425127004E-2</v>
      </c>
      <c r="O43" s="89">
        <f t="shared" si="6"/>
        <v>5.0250242425127004E-2</v>
      </c>
      <c r="P43" s="48">
        <v>40357</v>
      </c>
      <c r="Q43" s="1">
        <v>0.15963897994445775</v>
      </c>
      <c r="R43" s="100">
        <v>13702</v>
      </c>
      <c r="S43" s="100">
        <f t="shared" si="11"/>
        <v>814.999968357591</v>
      </c>
      <c r="T43" s="101">
        <f t="shared" si="9"/>
        <v>12887.000031642408</v>
      </c>
      <c r="U43" s="40">
        <v>40705</v>
      </c>
      <c r="AE43" s="93">
        <f t="shared" si="12"/>
        <v>37800.5</v>
      </c>
      <c r="AF43" s="92">
        <f>Logistic2010!Q43</f>
        <v>6.4113302836932173E-2</v>
      </c>
      <c r="AG43" s="4">
        <f t="shared" si="10"/>
        <v>0.15963897994445775</v>
      </c>
      <c r="AH43" s="92">
        <f>Logistic2011!Q43</f>
        <v>3.9657919254324193E-2</v>
      </c>
      <c r="AI43" s="92">
        <f>Logistic2012!Q43</f>
        <v>0.15963897994445775</v>
      </c>
      <c r="AJ43" s="92">
        <f>Logistic2013!L43</f>
        <v>0.12065796431808783</v>
      </c>
      <c r="AK43" s="119">
        <f>Logistic2014!AK43</f>
        <v>0.13461607593232877</v>
      </c>
      <c r="AL43" s="119">
        <f t="shared" si="13"/>
        <v>5.4422870092997587E-2</v>
      </c>
      <c r="AM43" s="114"/>
      <c r="AN43" s="114"/>
      <c r="AP43" s="114"/>
      <c r="AQ43" s="114"/>
      <c r="AR43" s="110"/>
      <c r="AS43" s="110"/>
      <c r="AT43" s="110"/>
      <c r="AU43" s="110"/>
      <c r="AV43" s="110"/>
      <c r="AW43" s="110"/>
      <c r="AX43" s="110"/>
    </row>
    <row r="44" spans="2:50" ht="16.5" thickBot="1" x14ac:dyDescent="0.3">
      <c r="B44" s="49"/>
      <c r="C44" s="79"/>
      <c r="D44" s="86" t="str">
        <f t="shared" si="14"/>
        <v/>
      </c>
      <c r="E44" s="81"/>
      <c r="F44" s="50" t="str">
        <f t="shared" si="15"/>
        <v/>
      </c>
      <c r="G44" s="16" t="str">
        <f t="shared" si="16"/>
        <v/>
      </c>
      <c r="H44" s="51" t="str">
        <f t="shared" si="17"/>
        <v/>
      </c>
      <c r="I44" s="54"/>
      <c r="J44" s="105">
        <f t="shared" si="7"/>
        <v>37801.5</v>
      </c>
      <c r="K44" s="109">
        <v>36</v>
      </c>
      <c r="L44" s="125">
        <f t="shared" si="5"/>
        <v>6.4537860947374764E-2</v>
      </c>
      <c r="M44" s="46">
        <f t="shared" si="8"/>
        <v>7.0112677039206914E-2</v>
      </c>
      <c r="N44" s="131">
        <v>7.0112677039206914E-2</v>
      </c>
      <c r="O44" s="89">
        <f t="shared" si="6"/>
        <v>7.0112677039206914E-2</v>
      </c>
      <c r="P44" s="48">
        <v>40358</v>
      </c>
      <c r="Q44" s="1">
        <v>0.20192861027500136</v>
      </c>
      <c r="R44" s="100">
        <v>6021</v>
      </c>
      <c r="S44" s="100">
        <f t="shared" si="11"/>
        <v>424.23610402111416</v>
      </c>
      <c r="T44" s="101">
        <f t="shared" si="9"/>
        <v>5596.7638959788856</v>
      </c>
      <c r="U44" s="49">
        <v>40706</v>
      </c>
      <c r="V44" s="95"/>
      <c r="W44" s="95"/>
      <c r="X44" s="95"/>
      <c r="Y44" s="95"/>
      <c r="Z44" s="95"/>
      <c r="AE44" s="93">
        <f t="shared" si="12"/>
        <v>37801.5</v>
      </c>
      <c r="AF44" s="92">
        <f>Logistic2010!Q44</f>
        <v>7.72026520734653E-2</v>
      </c>
      <c r="AG44" s="4">
        <f t="shared" si="10"/>
        <v>0.20192861027500136</v>
      </c>
      <c r="AH44" s="92">
        <f>Logistic2011!Q44</f>
        <v>5.0436715072649276E-2</v>
      </c>
      <c r="AI44" s="92">
        <f>Logistic2012!Q44</f>
        <v>0.20192861027500136</v>
      </c>
      <c r="AJ44" s="92">
        <f>Logistic2013!L44</f>
        <v>0.14325679323024673</v>
      </c>
      <c r="AK44" s="119">
        <f>Logistic2014!AK44</f>
        <v>0.15847654981878281</v>
      </c>
      <c r="AL44" s="119">
        <f t="shared" si="13"/>
        <v>6.4537860947374764E-2</v>
      </c>
      <c r="AM44" s="113"/>
      <c r="AQ44" s="113"/>
      <c r="AR44" s="111" t="s">
        <v>45</v>
      </c>
      <c r="AS44" s="111">
        <v>2.7416072727272724</v>
      </c>
      <c r="AT44" s="111">
        <v>21</v>
      </c>
      <c r="AU44" s="111"/>
      <c r="AV44" s="111"/>
      <c r="AW44" s="111"/>
      <c r="AX44" s="111"/>
    </row>
    <row r="45" spans="2:50" x14ac:dyDescent="0.25">
      <c r="B45" s="49"/>
      <c r="C45" s="79"/>
      <c r="D45" s="86" t="str">
        <f t="shared" si="14"/>
        <v/>
      </c>
      <c r="E45" s="81"/>
      <c r="F45" s="50" t="str">
        <f t="shared" si="15"/>
        <v/>
      </c>
      <c r="G45" s="16" t="str">
        <f t="shared" si="16"/>
        <v/>
      </c>
      <c r="H45" s="51" t="str">
        <f t="shared" si="17"/>
        <v/>
      </c>
      <c r="I45" s="54"/>
      <c r="J45" s="105">
        <f t="shared" si="7"/>
        <v>37802.5</v>
      </c>
      <c r="K45" s="109">
        <v>37</v>
      </c>
      <c r="L45" s="125">
        <f t="shared" si="5"/>
        <v>7.6380957860502405E-2</v>
      </c>
      <c r="M45" s="46">
        <f t="shared" si="8"/>
        <v>9.7024102357607847E-2</v>
      </c>
      <c r="N45" s="131">
        <v>9.7024102357607847E-2</v>
      </c>
      <c r="O45" s="89">
        <f t="shared" si="6"/>
        <v>9.7024102357607847E-2</v>
      </c>
      <c r="P45" s="48">
        <v>40359</v>
      </c>
      <c r="Q45" s="1">
        <v>0.25206087357123486</v>
      </c>
      <c r="R45" s="100">
        <v>4676</v>
      </c>
      <c r="S45" s="100">
        <f t="shared" si="11"/>
        <v>389.43778041943949</v>
      </c>
      <c r="T45" s="101">
        <f t="shared" si="9"/>
        <v>4286.5622195805608</v>
      </c>
      <c r="U45" s="49">
        <v>40707</v>
      </c>
      <c r="V45" s="95"/>
      <c r="W45" s="95"/>
      <c r="X45" s="95"/>
      <c r="Y45" s="95"/>
      <c r="Z45" s="95"/>
      <c r="AE45" s="93">
        <f t="shared" si="12"/>
        <v>37802.5</v>
      </c>
      <c r="AF45" s="92">
        <f>Logistic2010!Q45</f>
        <v>9.2699625095272714E-2</v>
      </c>
      <c r="AG45" s="4">
        <f t="shared" si="10"/>
        <v>0.25206087357123486</v>
      </c>
      <c r="AH45" s="92">
        <f>Logistic2011!Q45</f>
        <v>6.3950040299436198E-2</v>
      </c>
      <c r="AI45" s="92">
        <f>Logistic2012!Q45</f>
        <v>0.25206087357123486</v>
      </c>
      <c r="AJ45" s="92">
        <f>Logistic2013!L45</f>
        <v>0.16927351386641812</v>
      </c>
      <c r="AK45" s="119">
        <f>Logistic2014!AK45</f>
        <v>0.18565891661671166</v>
      </c>
      <c r="AL45" s="119">
        <f t="shared" si="13"/>
        <v>7.6380957860502405E-2</v>
      </c>
      <c r="AM45" s="113"/>
      <c r="AN45" s="113"/>
      <c r="AP45" s="113"/>
      <c r="AQ45" s="113"/>
      <c r="AR45" s="113"/>
      <c r="AS45" s="113"/>
      <c r="AT45" s="114"/>
      <c r="AU45" s="114"/>
    </row>
    <row r="46" spans="2:50" x14ac:dyDescent="0.25">
      <c r="B46" s="49"/>
      <c r="C46" s="79"/>
      <c r="D46" s="86" t="str">
        <f t="shared" si="14"/>
        <v/>
      </c>
      <c r="E46" s="81"/>
      <c r="F46" s="50" t="str">
        <f t="shared" si="15"/>
        <v/>
      </c>
      <c r="G46" s="16" t="str">
        <f t="shared" si="16"/>
        <v/>
      </c>
      <c r="H46" s="51" t="str">
        <f t="shared" si="17"/>
        <v/>
      </c>
      <c r="I46" s="54"/>
      <c r="J46" s="105">
        <f t="shared" si="7"/>
        <v>37803.5</v>
      </c>
      <c r="K46" s="109">
        <v>38</v>
      </c>
      <c r="L46" s="125">
        <f t="shared" si="5"/>
        <v>9.0187810496828433E-2</v>
      </c>
      <c r="M46" s="46">
        <f t="shared" si="8"/>
        <v>0.13278990299316346</v>
      </c>
      <c r="N46" s="131">
        <v>0.13278990299316346</v>
      </c>
      <c r="O46" s="89">
        <f t="shared" si="6"/>
        <v>0.13278990299316346</v>
      </c>
      <c r="P46" s="48">
        <v>40360</v>
      </c>
      <c r="Q46" s="1">
        <v>0.30980777704027063</v>
      </c>
      <c r="R46" s="100">
        <v>3828</v>
      </c>
      <c r="S46" s="100">
        <f t="shared" si="11"/>
        <v>375.8928775111288</v>
      </c>
      <c r="T46" s="101">
        <f t="shared" si="9"/>
        <v>3452.107122488871</v>
      </c>
      <c r="U46" s="49">
        <v>40708</v>
      </c>
      <c r="V46" s="95"/>
      <c r="W46" s="95"/>
      <c r="X46" s="95"/>
      <c r="Y46" s="95"/>
      <c r="Z46" s="95"/>
      <c r="AE46" s="93">
        <f t="shared" si="12"/>
        <v>37803.5</v>
      </c>
      <c r="AF46" s="92">
        <f>Logistic2010!Q46</f>
        <v>0.11093336918210217</v>
      </c>
      <c r="AG46" s="4">
        <f t="shared" si="10"/>
        <v>0.30980777704027063</v>
      </c>
      <c r="AH46" s="92">
        <f>Logistic2011!Q46</f>
        <v>8.0775952050874497E-2</v>
      </c>
      <c r="AI46" s="92">
        <f>Logistic2012!Q46</f>
        <v>0.30980777704027063</v>
      </c>
      <c r="AJ46" s="92">
        <f>Logistic2013!L46</f>
        <v>0.19891808737150862</v>
      </c>
      <c r="AK46" s="119">
        <f>Logistic2014!AK46</f>
        <v>0.21630525971395512</v>
      </c>
      <c r="AL46" s="119">
        <f t="shared" si="13"/>
        <v>9.0187810496828433E-2</v>
      </c>
      <c r="AM46" s="113"/>
      <c r="AN46" s="113"/>
      <c r="AP46" s="113"/>
      <c r="AQ46" s="113"/>
      <c r="AR46" s="113"/>
      <c r="AS46" s="113"/>
      <c r="AT46" s="114"/>
      <c r="AU46" s="114"/>
    </row>
    <row r="47" spans="2:50" x14ac:dyDescent="0.25">
      <c r="B47" s="49"/>
      <c r="C47" s="79"/>
      <c r="D47" s="86" t="str">
        <f t="shared" si="14"/>
        <v/>
      </c>
      <c r="E47" s="81"/>
      <c r="F47" s="50" t="str">
        <f t="shared" si="15"/>
        <v/>
      </c>
      <c r="G47" s="16" t="str">
        <f t="shared" si="16"/>
        <v/>
      </c>
      <c r="H47" s="51" t="str">
        <f t="shared" si="17"/>
        <v/>
      </c>
      <c r="I47" s="54"/>
      <c r="J47" s="105">
        <f t="shared" si="7"/>
        <v>37804.5</v>
      </c>
      <c r="K47" s="109">
        <v>39</v>
      </c>
      <c r="L47" s="125">
        <f t="shared" si="5"/>
        <v>0.10620345257063696</v>
      </c>
      <c r="M47" s="46">
        <f t="shared" si="8"/>
        <v>0.17912459589298799</v>
      </c>
      <c r="N47" s="131">
        <v>0.17912459589298799</v>
      </c>
      <c r="O47" s="89">
        <f t="shared" si="6"/>
        <v>0.17912459589298799</v>
      </c>
      <c r="P47" s="48">
        <v>40361</v>
      </c>
      <c r="Q47" s="1">
        <v>0.37416608438208854</v>
      </c>
      <c r="R47" s="100">
        <v>3893</v>
      </c>
      <c r="S47" s="100">
        <f t="shared" si="11"/>
        <v>449.40186977545108</v>
      </c>
      <c r="T47" s="101">
        <f t="shared" si="9"/>
        <v>3443.5981302245491</v>
      </c>
      <c r="U47" s="49">
        <v>40709</v>
      </c>
      <c r="V47" s="95"/>
      <c r="W47" s="95"/>
      <c r="X47" s="95"/>
      <c r="Y47" s="95"/>
      <c r="Z47" s="95"/>
      <c r="AE47" s="93">
        <f t="shared" si="12"/>
        <v>37804.5</v>
      </c>
      <c r="AF47" s="92">
        <f>Logistic2010!Q47</f>
        <v>0.13223093333791724</v>
      </c>
      <c r="AG47" s="4">
        <f t="shared" si="10"/>
        <v>0.37416608438208854</v>
      </c>
      <c r="AH47" s="92">
        <f>Logistic2011!Q47</f>
        <v>0.10154865709169383</v>
      </c>
      <c r="AI47" s="92">
        <f>Logistic2012!Q47</f>
        <v>0.37416608438208854</v>
      </c>
      <c r="AJ47" s="92">
        <f>Logistic2013!L47</f>
        <v>0.23230249502167508</v>
      </c>
      <c r="AK47" s="119">
        <f>Logistic2014!AK47</f>
        <v>0.25045449624933086</v>
      </c>
      <c r="AL47" s="119">
        <f t="shared" si="13"/>
        <v>0.10620345257063696</v>
      </c>
      <c r="AM47" s="115"/>
      <c r="AN47" s="115"/>
      <c r="AQ47" s="115"/>
      <c r="AR47" t="s">
        <v>28</v>
      </c>
      <c r="AS47"/>
      <c r="AT47"/>
      <c r="AU47"/>
      <c r="AV47"/>
      <c r="AW47"/>
      <c r="AX47"/>
    </row>
    <row r="48" spans="2:50" x14ac:dyDescent="0.25">
      <c r="B48" s="49"/>
      <c r="C48" s="79"/>
      <c r="D48" s="86" t="str">
        <f t="shared" si="14"/>
        <v/>
      </c>
      <c r="E48" s="81"/>
      <c r="F48" s="50" t="str">
        <f t="shared" si="15"/>
        <v/>
      </c>
      <c r="G48" s="16" t="str">
        <f t="shared" si="16"/>
        <v/>
      </c>
      <c r="H48" s="51" t="str">
        <f t="shared" si="17"/>
        <v/>
      </c>
      <c r="I48" s="54"/>
      <c r="J48" s="105">
        <f t="shared" si="7"/>
        <v>37805.5</v>
      </c>
      <c r="K48" s="109">
        <v>40</v>
      </c>
      <c r="L48" s="125">
        <f t="shared" si="5"/>
        <v>0.12467343917118223</v>
      </c>
      <c r="M48" s="46">
        <f t="shared" si="8"/>
        <v>0.23720467988333704</v>
      </c>
      <c r="N48" s="131">
        <v>0.23720467988333704</v>
      </c>
      <c r="O48" s="89">
        <f t="shared" si="6"/>
        <v>0.23720467988333704</v>
      </c>
      <c r="P48" s="48">
        <v>40362</v>
      </c>
      <c r="Q48" s="1">
        <v>0.44330675299696459</v>
      </c>
      <c r="R48" s="100">
        <v>3621</v>
      </c>
      <c r="S48" s="100">
        <f t="shared" si="11"/>
        <v>489.749146578911</v>
      </c>
      <c r="T48" s="101">
        <f>R48-S48</f>
        <v>3131.2508534210892</v>
      </c>
      <c r="U48" s="49">
        <v>40710</v>
      </c>
      <c r="V48" s="95"/>
      <c r="W48" s="95"/>
      <c r="X48" s="95"/>
      <c r="Y48" s="95"/>
      <c r="Z48" s="95"/>
      <c r="AE48" s="93">
        <f t="shared" si="12"/>
        <v>37805.5</v>
      </c>
      <c r="AF48" s="92">
        <f>Logistic2010!Q48</f>
        <v>0.15689575096130998</v>
      </c>
      <c r="AG48" s="4">
        <f t="shared" si="10"/>
        <v>0.44330675299696459</v>
      </c>
      <c r="AH48" s="92">
        <f>Logistic2011!Q48</f>
        <v>0.12692574439278323</v>
      </c>
      <c r="AI48" s="92">
        <f>Logistic2012!Q48</f>
        <v>0.44330675299696459</v>
      </c>
      <c r="AJ48" s="92">
        <f>Logistic2013!L48</f>
        <v>0.26940553732402189</v>
      </c>
      <c r="AK48" s="119">
        <f>Logistic2014!AK48</f>
        <v>0.28801370069768495</v>
      </c>
      <c r="AL48" s="119">
        <f t="shared" si="13"/>
        <v>0.12467343917118223</v>
      </c>
      <c r="AM48" s="110"/>
      <c r="AP48" s="110"/>
      <c r="AQ48" s="110"/>
      <c r="AR48"/>
      <c r="AS48"/>
      <c r="AT48"/>
      <c r="AU48"/>
      <c r="AV48"/>
      <c r="AW48"/>
      <c r="AX48"/>
    </row>
    <row r="49" spans="2:50" ht="16.5" thickBot="1" x14ac:dyDescent="0.3">
      <c r="B49" s="49"/>
      <c r="C49" s="79"/>
      <c r="D49" s="86" t="str">
        <f t="shared" si="14"/>
        <v/>
      </c>
      <c r="E49" s="81"/>
      <c r="F49" s="50" t="str">
        <f t="shared" si="15"/>
        <v/>
      </c>
      <c r="G49" s="16" t="str">
        <f t="shared" si="16"/>
        <v/>
      </c>
      <c r="H49" s="51" t="str">
        <f t="shared" si="17"/>
        <v/>
      </c>
      <c r="I49" s="54"/>
      <c r="J49" s="105">
        <f t="shared" si="7"/>
        <v>37806.5</v>
      </c>
      <c r="K49" s="109">
        <v>41</v>
      </c>
      <c r="L49" s="143">
        <f t="shared" si="5"/>
        <v>0.14583147470835986</v>
      </c>
      <c r="M49" s="46">
        <f t="shared" si="8"/>
        <v>0.30707218568713457</v>
      </c>
      <c r="N49" s="131">
        <v>0.30707218568713457</v>
      </c>
      <c r="O49" s="89">
        <f t="shared" si="6"/>
        <v>0.30707218568713457</v>
      </c>
      <c r="P49" s="4">
        <v>40363</v>
      </c>
      <c r="Q49" s="4">
        <v>0.51471586655781365</v>
      </c>
      <c r="R49" s="4">
        <v>2271</v>
      </c>
      <c r="S49" s="100">
        <f t="shared" si="11"/>
        <v>358.49413988340353</v>
      </c>
      <c r="T49" s="101">
        <f t="shared" ref="T49:T70" si="18">R49-S49</f>
        <v>1912.5058601165965</v>
      </c>
      <c r="U49" s="49">
        <v>40711</v>
      </c>
      <c r="V49" s="95"/>
      <c r="W49" s="95"/>
      <c r="X49" s="95"/>
      <c r="Y49" s="95"/>
      <c r="Z49" s="95"/>
      <c r="AE49" s="93">
        <f t="shared" si="12"/>
        <v>37806.5</v>
      </c>
      <c r="AF49" s="92">
        <f>Logistic2010!Q49</f>
        <v>0.1851794824455581</v>
      </c>
      <c r="AG49" s="4">
        <f t="shared" si="10"/>
        <v>0.51471586655781365</v>
      </c>
      <c r="AH49" s="92">
        <f>Logistic2011!Q49</f>
        <v>0.15753263507351994</v>
      </c>
      <c r="AI49" s="92">
        <f>Logistic2012!Q49</f>
        <v>0.51471586655781365</v>
      </c>
      <c r="AJ49" s="92">
        <f>Logistic2013!L49</f>
        <v>0.31004134142241851</v>
      </c>
      <c r="AK49" s="119">
        <f>Logistic2014!AK49</f>
        <v>0.32873512727698778</v>
      </c>
      <c r="AL49" s="119">
        <f t="shared" si="13"/>
        <v>0.14583147470835986</v>
      </c>
      <c r="AM49" s="110"/>
      <c r="AN49" s="110"/>
      <c r="AO49" s="110"/>
      <c r="AP49" s="110"/>
      <c r="AQ49" s="110"/>
      <c r="AR49" t="s">
        <v>29</v>
      </c>
      <c r="AS49"/>
      <c r="AT49"/>
      <c r="AU49"/>
      <c r="AV49"/>
      <c r="AW49"/>
      <c r="AX49"/>
    </row>
    <row r="50" spans="2:50" ht="16.5" thickBot="1" x14ac:dyDescent="0.3">
      <c r="B50" s="49"/>
      <c r="C50" s="79"/>
      <c r="D50" s="86" t="str">
        <f t="shared" si="14"/>
        <v/>
      </c>
      <c r="E50" s="81"/>
      <c r="F50" s="50" t="str">
        <f t="shared" si="15"/>
        <v/>
      </c>
      <c r="G50" s="16" t="str">
        <f t="shared" si="16"/>
        <v/>
      </c>
      <c r="H50" s="51" t="str">
        <f t="shared" si="17"/>
        <v/>
      </c>
      <c r="I50" s="54"/>
      <c r="J50" s="105">
        <f t="shared" si="7"/>
        <v>37807.5</v>
      </c>
      <c r="K50" s="109">
        <v>42</v>
      </c>
      <c r="L50" s="125">
        <f t="shared" si="5"/>
        <v>0.16988331162664985</v>
      </c>
      <c r="M50" s="46">
        <f t="shared" si="8"/>
        <v>0.38707606622199253</v>
      </c>
      <c r="N50" s="131">
        <v>0.38707606622199253</v>
      </c>
      <c r="O50" s="89">
        <f t="shared" si="6"/>
        <v>0.38707606622199253</v>
      </c>
      <c r="P50" s="4">
        <v>40364</v>
      </c>
      <c r="Q50" s="4">
        <v>0.58552915257129856</v>
      </c>
      <c r="R50" s="4">
        <v>2403</v>
      </c>
      <c r="S50" s="100">
        <f t="shared" si="11"/>
        <v>440.79487796297047</v>
      </c>
      <c r="T50" s="101">
        <f t="shared" si="18"/>
        <v>1962.2051220370295</v>
      </c>
      <c r="U50" s="49">
        <v>40712</v>
      </c>
      <c r="V50" s="95">
        <v>3.5999999999999997E-2</v>
      </c>
      <c r="W50" s="95"/>
      <c r="X50" s="95"/>
      <c r="Y50" s="95"/>
      <c r="Z50" s="95"/>
      <c r="AE50" s="93">
        <f t="shared" si="12"/>
        <v>37807.5</v>
      </c>
      <c r="AF50" s="92">
        <f>Logistic2010!Q50</f>
        <v>0.21724812306999194</v>
      </c>
      <c r="AG50" s="4">
        <f t="shared" si="10"/>
        <v>0.58552915257129856</v>
      </c>
      <c r="AH50" s="92">
        <f>Logistic2011!Q50</f>
        <v>0.19388109788722835</v>
      </c>
      <c r="AI50" s="92">
        <f>Logistic2012!Q50</f>
        <v>0.58552915257129856</v>
      </c>
      <c r="AJ50" s="92">
        <f>Logistic2013!L50</f>
        <v>0.35383793526166868</v>
      </c>
      <c r="AK50" s="119">
        <f>Logistic2014!AK50</f>
        <v>0.37220420551064748</v>
      </c>
      <c r="AL50" s="119">
        <f t="shared" si="13"/>
        <v>0.16988331162664985</v>
      </c>
      <c r="AM50" s="113"/>
      <c r="AN50" s="113"/>
      <c r="AO50" s="113"/>
      <c r="AQ50" s="113"/>
      <c r="AR50" s="112" t="s">
        <v>30</v>
      </c>
      <c r="AS50" s="112" t="s">
        <v>31</v>
      </c>
      <c r="AT50" s="112" t="s">
        <v>32</v>
      </c>
      <c r="AU50" s="112" t="s">
        <v>33</v>
      </c>
      <c r="AV50" s="112" t="s">
        <v>34</v>
      </c>
      <c r="AW50"/>
      <c r="AX50"/>
    </row>
    <row r="51" spans="2:50" x14ac:dyDescent="0.25">
      <c r="B51" s="49"/>
      <c r="C51" s="79"/>
      <c r="D51" s="86" t="str">
        <f t="shared" si="14"/>
        <v/>
      </c>
      <c r="E51" s="81"/>
      <c r="F51" s="50" t="str">
        <f t="shared" si="15"/>
        <v/>
      </c>
      <c r="G51" s="16" t="str">
        <f t="shared" si="16"/>
        <v/>
      </c>
      <c r="H51" s="51" t="str">
        <f t="shared" si="17"/>
        <v/>
      </c>
      <c r="I51" s="54"/>
      <c r="J51" s="105">
        <f t="shared" si="7"/>
        <v>37808.5</v>
      </c>
      <c r="K51" s="109">
        <v>43</v>
      </c>
      <c r="L51" s="125">
        <f t="shared" si="5"/>
        <v>0.19698716524640092</v>
      </c>
      <c r="M51" s="46">
        <f t="shared" si="8"/>
        <v>0.47367530224191001</v>
      </c>
      <c r="N51" s="131">
        <v>0.47367530224191001</v>
      </c>
      <c r="O51" s="89">
        <f t="shared" si="6"/>
        <v>0.47367530224191001</v>
      </c>
      <c r="P51" s="4">
        <v>40365</v>
      </c>
      <c r="Q51" s="4">
        <v>0.65297594566306583</v>
      </c>
      <c r="R51" s="4">
        <v>2644</v>
      </c>
      <c r="S51" s="100">
        <f t="shared" si="11"/>
        <v>560.81717672711579</v>
      </c>
      <c r="T51" s="101">
        <f t="shared" si="18"/>
        <v>2083.182823272884</v>
      </c>
      <c r="U51" s="40">
        <v>40713</v>
      </c>
      <c r="V51" s="95"/>
      <c r="W51" s="95"/>
      <c r="X51" s="95"/>
      <c r="Y51" s="95"/>
      <c r="Z51" s="95"/>
      <c r="AE51" s="93">
        <f t="shared" si="12"/>
        <v>37808.5</v>
      </c>
      <c r="AF51" s="92">
        <f>Logistic2010!Q51</f>
        <v>0.25314493902860469</v>
      </c>
      <c r="AG51" s="4">
        <f t="shared" si="10"/>
        <v>0.65297594566306583</v>
      </c>
      <c r="AH51" s="92">
        <f>Logistic2011!Q51</f>
        <v>0.2362644112915534</v>
      </c>
      <c r="AI51" s="92">
        <f>Logistic2012!Q51</f>
        <v>0.65297594566306583</v>
      </c>
      <c r="AJ51" s="92">
        <f>Logistic2013!L51</f>
        <v>0.40023244913820061</v>
      </c>
      <c r="AK51" s="119">
        <f>Logistic2014!AK51</f>
        <v>0.41784330704514244</v>
      </c>
      <c r="AL51" s="119">
        <f t="shared" si="13"/>
        <v>0.19698716524640092</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14"/>
        <v/>
      </c>
      <c r="E52" s="81"/>
      <c r="F52" s="50" t="str">
        <f t="shared" si="15"/>
        <v/>
      </c>
      <c r="G52" s="16" t="str">
        <f t="shared" si="16"/>
        <v/>
      </c>
      <c r="H52" s="51" t="str">
        <f t="shared" si="17"/>
        <v/>
      </c>
      <c r="I52" s="54"/>
      <c r="J52" s="105">
        <f t="shared" si="7"/>
        <v>37809.5</v>
      </c>
      <c r="K52" s="109">
        <v>44</v>
      </c>
      <c r="L52" s="125">
        <f t="shared" si="5"/>
        <v>0.22723157660467003</v>
      </c>
      <c r="M52" s="46">
        <f t="shared" si="8"/>
        <v>0.56188779335925654</v>
      </c>
      <c r="N52" s="131">
        <v>0.56188779335925654</v>
      </c>
      <c r="O52" s="89">
        <f t="shared" si="6"/>
        <v>0.56188779335925654</v>
      </c>
      <c r="P52" s="4">
        <v>40366</v>
      </c>
      <c r="Q52" s="4">
        <v>0.71479326435445212</v>
      </c>
      <c r="R52" s="4">
        <v>1901</v>
      </c>
      <c r="S52" s="100">
        <f t="shared" si="11"/>
        <v>463.69581423501745</v>
      </c>
      <c r="T52" s="101">
        <f t="shared" si="18"/>
        <v>1437.3041857649825</v>
      </c>
      <c r="U52" s="49">
        <v>40714</v>
      </c>
      <c r="V52" s="95"/>
      <c r="W52" s="95"/>
      <c r="X52" s="95"/>
      <c r="Y52" s="95"/>
      <c r="Z52" s="95"/>
      <c r="AE52" s="93">
        <f t="shared" si="12"/>
        <v>37809.5</v>
      </c>
      <c r="AF52" s="92">
        <f>Logistic2010!Q52</f>
        <v>0.29275475741502793</v>
      </c>
      <c r="AG52" s="4">
        <f t="shared" si="10"/>
        <v>0.71479326435445212</v>
      </c>
      <c r="AH52" s="92">
        <f>Logistic2011!Q52</f>
        <v>0.28464136726106892</v>
      </c>
      <c r="AI52" s="92">
        <f>Logistic2012!Q52</f>
        <v>0.71479326435445212</v>
      </c>
      <c r="AJ52" s="92">
        <f>Logistic2013!L52</f>
        <v>0.44848792399421938</v>
      </c>
      <c r="AK52" s="119">
        <f>Logistic2014!AK52</f>
        <v>0.46493416339222882</v>
      </c>
      <c r="AL52" s="119">
        <f t="shared" si="13"/>
        <v>0.22723157660467003</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14"/>
        <v/>
      </c>
      <c r="E53" s="81"/>
      <c r="F53" s="50" t="str">
        <f t="shared" si="15"/>
        <v/>
      </c>
      <c r="G53" s="16" t="str">
        <f t="shared" si="16"/>
        <v/>
      </c>
      <c r="H53" s="51" t="str">
        <f t="shared" si="17"/>
        <v/>
      </c>
      <c r="I53" s="54"/>
      <c r="J53" s="105">
        <f t="shared" si="7"/>
        <v>37810.5</v>
      </c>
      <c r="K53" s="109">
        <v>45</v>
      </c>
      <c r="L53" s="125">
        <f t="shared" si="5"/>
        <v>0.26061252043374916</v>
      </c>
      <c r="M53" s="46">
        <f t="shared" si="8"/>
        <v>0.64635389784882469</v>
      </c>
      <c r="N53" s="130">
        <v>0.64635389784882469</v>
      </c>
      <c r="O53" s="89">
        <f t="shared" si="6"/>
        <v>0.64635389784882469</v>
      </c>
      <c r="P53" s="4">
        <v>40367</v>
      </c>
      <c r="Q53" s="4">
        <v>0.76948613379160047</v>
      </c>
      <c r="R53" s="4">
        <v>2421</v>
      </c>
      <c r="S53" s="100">
        <f t="shared" si="11"/>
        <v>675.00504646851846</v>
      </c>
      <c r="T53" s="101">
        <f t="shared" si="18"/>
        <v>1745.9949535314815</v>
      </c>
      <c r="U53" s="49">
        <v>40715</v>
      </c>
      <c r="V53" s="95"/>
      <c r="W53" s="95"/>
      <c r="X53" s="95"/>
      <c r="Y53" s="95"/>
      <c r="Z53" s="95"/>
      <c r="AE53" s="93">
        <f t="shared" si="12"/>
        <v>37810.5</v>
      </c>
      <c r="AF53" s="92">
        <f>Logistic2010!Q53</f>
        <v>0.33577592018640684</v>
      </c>
      <c r="AG53" s="4">
        <f t="shared" si="10"/>
        <v>0.76948613379160047</v>
      </c>
      <c r="AH53" s="92">
        <f>Logistic2011!Q53</f>
        <v>0.33853314511451504</v>
      </c>
      <c r="AI53" s="92">
        <f>Logistic2012!Q53</f>
        <v>0.76948613379160047</v>
      </c>
      <c r="AJ53" s="92">
        <f>Logistic2013!L53</f>
        <v>0.49773319182267894</v>
      </c>
      <c r="AK53" s="119">
        <f>Logistic2014!AK53</f>
        <v>0.51265858710560919</v>
      </c>
      <c r="AL53" s="119">
        <f t="shared" si="13"/>
        <v>0.26061252043374916</v>
      </c>
      <c r="AM53" s="115"/>
      <c r="AO53" s="115"/>
      <c r="AP53" s="115"/>
      <c r="AQ53" s="115"/>
      <c r="AR53"/>
      <c r="AS53"/>
      <c r="AT53"/>
      <c r="AU53"/>
      <c r="AV53"/>
      <c r="AW53"/>
      <c r="AX53"/>
    </row>
    <row r="54" spans="2:50" x14ac:dyDescent="0.25">
      <c r="B54" s="49"/>
      <c r="C54" s="79"/>
      <c r="D54" s="86" t="str">
        <f t="shared" si="14"/>
        <v/>
      </c>
      <c r="E54" s="81"/>
      <c r="F54" s="50" t="str">
        <f t="shared" si="15"/>
        <v/>
      </c>
      <c r="G54" s="16" t="str">
        <f t="shared" si="16"/>
        <v/>
      </c>
      <c r="H54" s="51" t="str">
        <f t="shared" si="17"/>
        <v/>
      </c>
      <c r="I54" s="54"/>
      <c r="J54" s="105">
        <f t="shared" si="7"/>
        <v>37811.5</v>
      </c>
      <c r="K54" s="109">
        <v>46</v>
      </c>
      <c r="L54" s="125">
        <f t="shared" si="5"/>
        <v>0.29701246632256512</v>
      </c>
      <c r="M54" s="46">
        <f t="shared" si="8"/>
        <v>0.72257565187378159</v>
      </c>
      <c r="N54" s="130">
        <v>0.72257565187378159</v>
      </c>
      <c r="O54" s="89">
        <f t="shared" si="6"/>
        <v>0.72257565187378159</v>
      </c>
      <c r="P54" s="4">
        <v>40368</v>
      </c>
      <c r="Q54" s="4">
        <v>0.81638498403003179</v>
      </c>
      <c r="R54" s="4">
        <v>2560</v>
      </c>
      <c r="S54" s="100">
        <f t="shared" si="11"/>
        <v>810.49252962019921</v>
      </c>
      <c r="T54" s="101">
        <f t="shared" si="18"/>
        <v>1749.5074703798009</v>
      </c>
      <c r="U54" s="49">
        <v>40716</v>
      </c>
      <c r="V54" s="95"/>
      <c r="W54" s="95"/>
      <c r="X54" s="95"/>
      <c r="Y54" s="95"/>
      <c r="Z54" s="95"/>
      <c r="AE54" s="93">
        <f t="shared" si="12"/>
        <v>37811.5</v>
      </c>
      <c r="AF54" s="92">
        <f>Logistic2010!Q54</f>
        <v>0.3817070776941604</v>
      </c>
      <c r="AG54" s="4">
        <f t="shared" si="10"/>
        <v>0.81638498403003179</v>
      </c>
      <c r="AH54" s="92">
        <f>Logistic2011!Q54</f>
        <v>0.39696628169175319</v>
      </c>
      <c r="AI54" s="92">
        <f>Logistic2012!Q54</f>
        <v>0.81638498403003179</v>
      </c>
      <c r="AJ54" s="92">
        <f>Logistic2013!L54</f>
        <v>0.54702247769245926</v>
      </c>
      <c r="AK54" s="119">
        <f>Logistic2014!AK54</f>
        <v>0.56015332200960266</v>
      </c>
      <c r="AL54" s="119">
        <f t="shared" si="13"/>
        <v>0.29701246632256512</v>
      </c>
      <c r="AM54" s="110"/>
      <c r="AN54" s="110"/>
      <c r="AO54" s="110"/>
      <c r="AQ54" s="110"/>
      <c r="AR54"/>
      <c r="AS54"/>
      <c r="AT54"/>
      <c r="AU54"/>
      <c r="AV54"/>
      <c r="AW54"/>
      <c r="AX54"/>
    </row>
    <row r="55" spans="2:50" ht="16.5" thickBot="1" x14ac:dyDescent="0.3">
      <c r="B55" s="49"/>
      <c r="C55" s="79"/>
      <c r="D55" s="86" t="str">
        <f t="shared" si="14"/>
        <v/>
      </c>
      <c r="E55" s="81"/>
      <c r="F55" s="50" t="str">
        <f t="shared" si="15"/>
        <v/>
      </c>
      <c r="G55" s="16" t="str">
        <f t="shared" si="16"/>
        <v/>
      </c>
      <c r="H55" s="51" t="str">
        <f t="shared" si="17"/>
        <v/>
      </c>
      <c r="I55" s="54"/>
      <c r="J55" s="105">
        <f t="shared" si="7"/>
        <v>37812.5</v>
      </c>
      <c r="K55" s="109">
        <v>47</v>
      </c>
      <c r="L55" s="125">
        <f t="shared" si="5"/>
        <v>0.33618482244321546</v>
      </c>
      <c r="M55" s="46">
        <f t="shared" si="8"/>
        <v>0.67992615512835608</v>
      </c>
      <c r="N55" s="131">
        <v>0.67992615512835608</v>
      </c>
      <c r="O55" s="89">
        <f t="shared" si="6"/>
        <v>0.67992615512835608</v>
      </c>
      <c r="P55" s="4">
        <v>40369</v>
      </c>
      <c r="Q55" s="4">
        <v>0.85553350414652685</v>
      </c>
      <c r="R55" s="4">
        <v>3011</v>
      </c>
      <c r="S55" s="100">
        <f t="shared" si="11"/>
        <v>1074.8249862259627</v>
      </c>
      <c r="T55" s="101">
        <f t="shared" si="18"/>
        <v>1936.1750137740373</v>
      </c>
      <c r="U55" s="49">
        <v>40717</v>
      </c>
      <c r="V55" s="95"/>
      <c r="W55" s="95"/>
      <c r="X55" s="95"/>
      <c r="Y55" s="95"/>
      <c r="Z55" s="95"/>
      <c r="AE55" s="93">
        <f t="shared" si="12"/>
        <v>37812.5</v>
      </c>
      <c r="AF55" s="92">
        <f>Logistic2010!Q55</f>
        <v>0.42985515834963317</v>
      </c>
      <c r="AG55" s="4">
        <f t="shared" si="10"/>
        <v>0.85553350414652685</v>
      </c>
      <c r="AH55" s="92">
        <f>Logistic2011!Q55</f>
        <v>0.45849431667616858</v>
      </c>
      <c r="AI55" s="92">
        <f>Logistic2012!Q55</f>
        <v>0.85553350414652685</v>
      </c>
      <c r="AJ55" s="92">
        <f>Logistic2013!L55</f>
        <v>0.59540663680406558</v>
      </c>
      <c r="AK55" s="119">
        <f>Logistic2014!AK55</f>
        <v>0.60657155343516</v>
      </c>
      <c r="AL55" s="119">
        <f t="shared" si="13"/>
        <v>0.33618482244321546</v>
      </c>
      <c r="AM55" s="110"/>
      <c r="AN55" s="110"/>
      <c r="AP55" s="110"/>
      <c r="AQ55" s="110"/>
      <c r="AR55" t="s">
        <v>35</v>
      </c>
      <c r="AS55"/>
      <c r="AT55"/>
      <c r="AU55"/>
      <c r="AV55"/>
      <c r="AW55"/>
      <c r="AX55"/>
    </row>
    <row r="56" spans="2:50" x14ac:dyDescent="0.25">
      <c r="B56" s="49"/>
      <c r="C56" s="79"/>
      <c r="D56" s="86" t="str">
        <f t="shared" si="14"/>
        <v/>
      </c>
      <c r="E56" s="81"/>
      <c r="F56" s="50" t="str">
        <f t="shared" si="15"/>
        <v/>
      </c>
      <c r="G56" s="16" t="str">
        <f t="shared" si="16"/>
        <v/>
      </c>
      <c r="H56" s="51" t="str">
        <f t="shared" si="17"/>
        <v/>
      </c>
      <c r="I56" s="54"/>
      <c r="J56" s="105">
        <f t="shared" si="7"/>
        <v>37813.5</v>
      </c>
      <c r="K56" s="109">
        <v>48</v>
      </c>
      <c r="L56" s="125">
        <f t="shared" si="5"/>
        <v>0.37774741683009083</v>
      </c>
      <c r="M56" s="46">
        <f t="shared" si="8"/>
        <v>0.73462826392623781</v>
      </c>
      <c r="N56" s="131">
        <v>0.73462826392623781</v>
      </c>
      <c r="O56" s="89">
        <f t="shared" si="6"/>
        <v>0.73462826392623781</v>
      </c>
      <c r="P56" s="4">
        <v>40370</v>
      </c>
      <c r="Q56" s="4">
        <v>0.88748554172196392</v>
      </c>
      <c r="R56" s="4">
        <v>582</v>
      </c>
      <c r="S56" s="100">
        <f t="shared" si="11"/>
        <v>232.490239350503</v>
      </c>
      <c r="T56" s="101">
        <f t="shared" si="18"/>
        <v>349.50976064949703</v>
      </c>
      <c r="U56" s="49">
        <v>40718</v>
      </c>
      <c r="V56" s="95"/>
      <c r="W56" s="95"/>
      <c r="X56" s="95"/>
      <c r="Y56" s="95"/>
      <c r="Z56" s="95"/>
      <c r="AE56" s="93">
        <f t="shared" si="12"/>
        <v>37813.5</v>
      </c>
      <c r="AF56" s="92">
        <f>Logistic2010!Q56</f>
        <v>0.47936786629286093</v>
      </c>
      <c r="AG56" s="4">
        <f t="shared" si="10"/>
        <v>0.88748554172196392</v>
      </c>
      <c r="AH56" s="92">
        <f>Logistic2011!Q56</f>
        <v>0.52131468367366807</v>
      </c>
      <c r="AI56" s="92">
        <f>Logistic2012!Q56</f>
        <v>0.88748554172196392</v>
      </c>
      <c r="AJ56" s="92">
        <f>Logistic2013!L56</f>
        <v>0.64200492795904929</v>
      </c>
      <c r="AK56" s="119">
        <f>Logistic2014!AK56</f>
        <v>0.65114196868570062</v>
      </c>
      <c r="AL56" s="119">
        <f t="shared" si="13"/>
        <v>0.37774741683009083</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14"/>
        <v/>
      </c>
      <c r="E57" s="81"/>
      <c r="F57" s="50" t="str">
        <f t="shared" si="15"/>
        <v/>
      </c>
      <c r="G57" s="16" t="str">
        <f t="shared" si="16"/>
        <v/>
      </c>
      <c r="H57" s="51" t="str">
        <f t="shared" si="17"/>
        <v/>
      </c>
      <c r="I57" s="54"/>
      <c r="J57" s="105">
        <f t="shared" si="7"/>
        <v>37814.5</v>
      </c>
      <c r="K57" s="109">
        <v>49</v>
      </c>
      <c r="L57" s="125">
        <f t="shared" si="5"/>
        <v>0.42118811358400887</v>
      </c>
      <c r="M57" s="46">
        <f t="shared" si="8"/>
        <v>0.78296570483334704</v>
      </c>
      <c r="N57" s="131">
        <v>0.78296570483334704</v>
      </c>
      <c r="O57" s="89">
        <f t="shared" si="6"/>
        <v>0.78296570483334704</v>
      </c>
      <c r="P57" s="4">
        <v>40371</v>
      </c>
      <c r="Q57" s="4">
        <v>0.91308857223820117</v>
      </c>
      <c r="R57" s="4">
        <v>2638</v>
      </c>
      <c r="S57" s="100">
        <f t="shared" si="11"/>
        <v>1170.0483655462042</v>
      </c>
      <c r="T57" s="101">
        <f t="shared" si="18"/>
        <v>1467.9516344537958</v>
      </c>
      <c r="U57" s="49">
        <v>40719</v>
      </c>
      <c r="V57" s="95">
        <v>7.0000000000000001E-3</v>
      </c>
      <c r="W57" s="95"/>
      <c r="X57" s="95"/>
      <c r="Y57" s="95"/>
      <c r="Z57" s="95"/>
      <c r="AE57" s="93">
        <f t="shared" si="12"/>
        <v>37814.5</v>
      </c>
      <c r="AF57" s="92">
        <f>Logistic2010!Q57</f>
        <v>0.52928924873066352</v>
      </c>
      <c r="AG57" s="4">
        <f t="shared" si="10"/>
        <v>0.91308857223820117</v>
      </c>
      <c r="AH57" s="92">
        <f>Logistic2011!Q57</f>
        <v>0.58346805352827824</v>
      </c>
      <c r="AI57" s="92">
        <f>Logistic2012!Q57</f>
        <v>0.91308857223820117</v>
      </c>
      <c r="AJ57" s="92">
        <f>Logistic2013!L57</f>
        <v>0.68606608243321232</v>
      </c>
      <c r="AK57" s="119">
        <f>Logistic2014!AK57</f>
        <v>0.69321686759508971</v>
      </c>
      <c r="AL57" s="119">
        <f t="shared" si="13"/>
        <v>0.42118811358400887</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14"/>
        <v/>
      </c>
      <c r="E58" s="81"/>
      <c r="F58" s="50" t="str">
        <f t="shared" si="15"/>
        <v/>
      </c>
      <c r="G58" s="16" t="str">
        <f t="shared" si="16"/>
        <v/>
      </c>
      <c r="H58" s="51" t="str">
        <f t="shared" si="17"/>
        <v/>
      </c>
      <c r="I58" s="54"/>
      <c r="J58" s="105">
        <f t="shared" si="7"/>
        <v>37815.5</v>
      </c>
      <c r="K58" s="109">
        <v>50</v>
      </c>
      <c r="L58" s="125">
        <f t="shared" si="5"/>
        <v>0.46588418781569113</v>
      </c>
      <c r="M58" s="46">
        <f t="shared" si="8"/>
        <v>0.82460067927314873</v>
      </c>
      <c r="N58" s="130">
        <v>0.82460067927314873</v>
      </c>
      <c r="O58" s="89">
        <f t="shared" si="6"/>
        <v>0.82460067927314873</v>
      </c>
      <c r="P58" s="4">
        <v>40372</v>
      </c>
      <c r="Q58" s="4">
        <v>0.93330339143718788</v>
      </c>
      <c r="R58" s="4">
        <v>4264</v>
      </c>
      <c r="S58" s="100">
        <f t="shared" si="11"/>
        <v>2083.0045781272797</v>
      </c>
      <c r="T58" s="101">
        <f t="shared" si="18"/>
        <v>2180.9954218727203</v>
      </c>
      <c r="U58" s="40">
        <v>40720</v>
      </c>
      <c r="V58" s="95"/>
      <c r="W58" s="95"/>
      <c r="X58" s="95"/>
      <c r="Y58" s="95"/>
      <c r="Z58" s="95"/>
      <c r="AE58" s="93">
        <f t="shared" si="12"/>
        <v>37815.5</v>
      </c>
      <c r="AF58" s="92">
        <f>Logistic2010!Q58</f>
        <v>0.57863147408369076</v>
      </c>
      <c r="AG58" s="4">
        <f t="shared" si="10"/>
        <v>0.93330339143718788</v>
      </c>
      <c r="AH58" s="92">
        <f>Logistic2011!Q58</f>
        <v>0.64307659747584256</v>
      </c>
      <c r="AI58" s="92">
        <f>Logistic2012!Q58</f>
        <v>0.93330339143718788</v>
      </c>
      <c r="AJ58" s="92">
        <f>Logistic2013!L58</f>
        <v>0.7270102102463335</v>
      </c>
      <c r="AK58" s="119">
        <f>Logistic2014!AK58</f>
        <v>0.73230345881884595</v>
      </c>
      <c r="AL58" s="119">
        <f t="shared" si="13"/>
        <v>0.46588418781569113</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14"/>
        <v/>
      </c>
      <c r="E59" s="81"/>
      <c r="F59" s="50" t="str">
        <f t="shared" si="15"/>
        <v/>
      </c>
      <c r="G59" s="16" t="str">
        <f t="shared" si="16"/>
        <v/>
      </c>
      <c r="H59" s="51" t="str">
        <f t="shared" si="17"/>
        <v/>
      </c>
      <c r="I59" s="54"/>
      <c r="J59" s="105">
        <f t="shared" si="7"/>
        <v>37816.5</v>
      </c>
      <c r="K59" s="109">
        <v>51</v>
      </c>
      <c r="L59" s="125">
        <f t="shared" si="5"/>
        <v>0.51113484507702922</v>
      </c>
      <c r="M59" s="46">
        <f t="shared" si="8"/>
        <v>0.85967998350172414</v>
      </c>
      <c r="N59" s="130">
        <v>0.85967998350172414</v>
      </c>
      <c r="O59" s="89">
        <f t="shared" si="6"/>
        <v>0.85967998350172414</v>
      </c>
      <c r="P59" s="4">
        <v>40373</v>
      </c>
      <c r="Q59" s="4">
        <v>0.94907863528681002</v>
      </c>
      <c r="R59" s="4">
        <v>29205</v>
      </c>
      <c r="S59" s="100">
        <f t="shared" si="11"/>
        <v>15585.811764655951</v>
      </c>
      <c r="T59" s="101">
        <f t="shared" si="18"/>
        <v>13619.188235344049</v>
      </c>
      <c r="U59" s="49">
        <v>40721</v>
      </c>
      <c r="V59" s="95"/>
      <c r="W59" s="95"/>
      <c r="X59" s="95"/>
      <c r="Y59" s="95"/>
      <c r="Z59" s="95"/>
      <c r="AE59" s="93">
        <f t="shared" si="12"/>
        <v>37816.5</v>
      </c>
      <c r="AF59" s="92">
        <f>Logistic2010!Q59</f>
        <v>0.62645177427350185</v>
      </c>
      <c r="AG59" s="4">
        <f t="shared" si="10"/>
        <v>0.94907863528681002</v>
      </c>
      <c r="AH59" s="92">
        <f>Logistic2011!Q59</f>
        <v>0.69856182420049406</v>
      </c>
      <c r="AI59" s="92">
        <f>Logistic2012!Q59</f>
        <v>0.94907863528681002</v>
      </c>
      <c r="AJ59" s="92">
        <f>Logistic2013!L59</f>
        <v>0.76444773045159664</v>
      </c>
      <c r="AK59" s="119">
        <f>Logistic2014!AK59</f>
        <v>0.76807620704019175</v>
      </c>
      <c r="AL59" s="119">
        <f t="shared" si="13"/>
        <v>0.51113484507702922</v>
      </c>
      <c r="AM59" s="114"/>
      <c r="AN59" s="114"/>
      <c r="AO59" s="114"/>
      <c r="AP59" s="114"/>
      <c r="AQ59" s="114"/>
      <c r="AR59" s="110"/>
      <c r="AS59" s="110"/>
      <c r="AT59" s="110"/>
      <c r="AU59" s="110"/>
      <c r="AV59" s="110"/>
      <c r="AW59" s="110"/>
      <c r="AX59" s="110"/>
    </row>
    <row r="60" spans="2:50" ht="16.5" thickBot="1" x14ac:dyDescent="0.3">
      <c r="B60" s="49"/>
      <c r="C60" s="79"/>
      <c r="D60" s="86" t="str">
        <f t="shared" si="14"/>
        <v/>
      </c>
      <c r="E60" s="81"/>
      <c r="F60" s="50" t="str">
        <f t="shared" si="15"/>
        <v/>
      </c>
      <c r="G60" s="16" t="str">
        <f t="shared" si="16"/>
        <v/>
      </c>
      <c r="H60" s="51" t="str">
        <f t="shared" si="17"/>
        <v/>
      </c>
      <c r="I60" s="54"/>
      <c r="J60" s="105">
        <f t="shared" si="7"/>
        <v>37817.5</v>
      </c>
      <c r="K60" s="109">
        <v>52</v>
      </c>
      <c r="L60" s="125">
        <f t="shared" si="5"/>
        <v>0.55620374520928839</v>
      </c>
      <c r="M60" s="46">
        <f t="shared" si="8"/>
        <v>0.8886905657803027</v>
      </c>
      <c r="N60" s="131">
        <v>0.8886905657803027</v>
      </c>
      <c r="O60" s="89">
        <f t="shared" si="6"/>
        <v>0.8886905657803027</v>
      </c>
      <c r="P60" s="4">
        <v>40374</v>
      </c>
      <c r="Q60" s="4">
        <v>0.96127748661561918</v>
      </c>
      <c r="R60" s="4">
        <v>27768</v>
      </c>
      <c r="S60" s="100">
        <f t="shared" si="11"/>
        <v>16057.818077472313</v>
      </c>
      <c r="T60" s="101">
        <f t="shared" si="18"/>
        <v>11710.181922527687</v>
      </c>
      <c r="U60" s="49">
        <v>40722</v>
      </c>
      <c r="V60" s="95"/>
      <c r="W60" s="95"/>
      <c r="X60" s="95"/>
      <c r="Y60" s="95"/>
      <c r="Z60" s="95"/>
      <c r="AE60" s="93">
        <f t="shared" si="12"/>
        <v>37817.5</v>
      </c>
      <c r="AF60" s="92">
        <f>Logistic2010!Q60</f>
        <v>0.6719221112063114</v>
      </c>
      <c r="AG60" s="4">
        <f t="shared" si="10"/>
        <v>0.96127748661561918</v>
      </c>
      <c r="AH60" s="92">
        <f>Logistic2011!Q60</f>
        <v>0.74879103833236005</v>
      </c>
      <c r="AI60" s="92">
        <f>Logistic2012!Q60</f>
        <v>0.96127748661561918</v>
      </c>
      <c r="AJ60" s="92">
        <f>Logistic2013!L60</f>
        <v>0.79817638699971571</v>
      </c>
      <c r="AK60" s="119">
        <f>Logistic2014!AK60</f>
        <v>0.80037172674720769</v>
      </c>
      <c r="AL60" s="119">
        <f t="shared" si="13"/>
        <v>0.55620374520928839</v>
      </c>
      <c r="AM60" s="113"/>
      <c r="AO60" s="113"/>
      <c r="AP60" s="113"/>
      <c r="AQ60" s="113"/>
      <c r="AR60" s="111" t="s">
        <v>45</v>
      </c>
      <c r="AS60" s="111">
        <v>3.4619470909090904</v>
      </c>
      <c r="AT60" s="111">
        <v>21</v>
      </c>
      <c r="AU60" s="111"/>
      <c r="AV60" s="111"/>
      <c r="AW60" s="111"/>
      <c r="AX60" s="111"/>
    </row>
    <row r="61" spans="2:50" x14ac:dyDescent="0.25">
      <c r="B61" s="49"/>
      <c r="C61" s="79"/>
      <c r="D61" s="86" t="str">
        <f t="shared" si="14"/>
        <v/>
      </c>
      <c r="E61" s="81"/>
      <c r="F61" s="50" t="str">
        <f t="shared" si="15"/>
        <v/>
      </c>
      <c r="G61" s="16" t="str">
        <f t="shared" si="16"/>
        <v/>
      </c>
      <c r="H61" s="51" t="str">
        <f t="shared" si="17"/>
        <v/>
      </c>
      <c r="I61" s="54"/>
      <c r="J61" s="105">
        <f t="shared" si="7"/>
        <v>37818.5</v>
      </c>
      <c r="K61" s="109">
        <v>53</v>
      </c>
      <c r="L61" s="125">
        <f t="shared" si="5"/>
        <v>0.6003662690137247</v>
      </c>
      <c r="M61" s="46">
        <f t="shared" si="8"/>
        <v>0.91231509064301375</v>
      </c>
      <c r="N61" s="130">
        <v>0.91231509064301375</v>
      </c>
      <c r="O61" s="89">
        <f t="shared" si="6"/>
        <v>0.91231509064301375</v>
      </c>
      <c r="P61" s="4">
        <v>40375</v>
      </c>
      <c r="Q61" s="4">
        <v>0.97064434164342128</v>
      </c>
      <c r="R61" s="4">
        <v>21508</v>
      </c>
      <c r="S61" s="100">
        <f t="shared" si="11"/>
        <v>13370.679167464334</v>
      </c>
      <c r="T61" s="101">
        <f t="shared" si="18"/>
        <v>8137.3208325356663</v>
      </c>
      <c r="U61" s="49">
        <v>40723</v>
      </c>
      <c r="V61" s="95"/>
      <c r="W61" s="95"/>
      <c r="X61" s="95"/>
      <c r="Y61" s="95"/>
      <c r="Z61" s="95"/>
      <c r="AC61" s="93">
        <v>37783</v>
      </c>
      <c r="AD61" s="95">
        <v>2.4E-2</v>
      </c>
      <c r="AE61" s="93">
        <f t="shared" si="12"/>
        <v>37818.5</v>
      </c>
      <c r="AF61" s="92">
        <f>Logistic2010!Q61</f>
        <v>0.71438108258813315</v>
      </c>
      <c r="AG61" s="4">
        <f t="shared" si="10"/>
        <v>0.97064434164342128</v>
      </c>
      <c r="AH61" s="92">
        <f>Logistic2011!Q61</f>
        <v>0.79312907861690396</v>
      </c>
      <c r="AI61" s="92">
        <f>Logistic2012!Q61</f>
        <v>0.97064434164342128</v>
      </c>
      <c r="AJ61" s="92">
        <f>Logistic2013!L61</f>
        <v>0.82816108437109193</v>
      </c>
      <c r="AK61" s="119">
        <f>Logistic2014!AK61</f>
        <v>0.82917030340634412</v>
      </c>
      <c r="AL61" s="119">
        <f t="shared" si="13"/>
        <v>0.6003662690137247</v>
      </c>
      <c r="AM61" s="113"/>
      <c r="AN61" s="113"/>
      <c r="AO61" s="113"/>
      <c r="AP61" s="113"/>
      <c r="AQ61" s="113"/>
      <c r="AR61" s="113"/>
      <c r="AS61" s="113"/>
      <c r="AT61" s="114"/>
      <c r="AU61" s="114"/>
    </row>
    <row r="62" spans="2:50" ht="16.5" thickBot="1" x14ac:dyDescent="0.3">
      <c r="B62" s="49"/>
      <c r="C62" s="79"/>
      <c r="D62" s="86" t="str">
        <f t="shared" si="14"/>
        <v/>
      </c>
      <c r="E62" s="81"/>
      <c r="F62" s="50" t="str">
        <f t="shared" si="15"/>
        <v/>
      </c>
      <c r="G62" s="16" t="str">
        <f t="shared" si="16"/>
        <v/>
      </c>
      <c r="H62" s="51" t="str">
        <f t="shared" si="17"/>
        <v/>
      </c>
      <c r="I62" s="54"/>
      <c r="J62" s="105">
        <f t="shared" si="7"/>
        <v>37819.5</v>
      </c>
      <c r="K62" s="109">
        <v>54</v>
      </c>
      <c r="L62" s="125">
        <f t="shared" si="5"/>
        <v>0.64295520834022113</v>
      </c>
      <c r="M62" s="46">
        <f t="shared" si="8"/>
        <v>0.93131304287865924</v>
      </c>
      <c r="N62" s="130">
        <v>0.93131304287865924</v>
      </c>
      <c r="O62" s="89">
        <f t="shared" si="6"/>
        <v>0.93131304287865924</v>
      </c>
      <c r="P62" s="4">
        <v>40376</v>
      </c>
      <c r="Q62" s="4">
        <v>0.97779771637475388</v>
      </c>
      <c r="R62" s="4">
        <v>9686</v>
      </c>
      <c r="S62" s="100">
        <f t="shared" si="11"/>
        <v>6423.5330208860578</v>
      </c>
      <c r="T62" s="101">
        <f t="shared" si="18"/>
        <v>3262.4669791139422</v>
      </c>
      <c r="U62" s="49">
        <v>40724</v>
      </c>
      <c r="V62" s="95"/>
      <c r="W62" s="95"/>
      <c r="X62" s="95"/>
      <c r="Y62" s="95"/>
      <c r="Z62" s="95"/>
      <c r="AC62" s="93">
        <v>37810</v>
      </c>
      <c r="AD62" s="95">
        <v>0.90100000000000002</v>
      </c>
      <c r="AE62" s="93">
        <f t="shared" si="12"/>
        <v>37819.5</v>
      </c>
      <c r="AF62" s="92">
        <f>Logistic2010!Q62</f>
        <v>0.75336211213144844</v>
      </c>
      <c r="AG62" s="4">
        <f t="shared" si="10"/>
        <v>0.97779771637475388</v>
      </c>
      <c r="AH62" s="92">
        <f>Logistic2011!Q62</f>
        <v>0.83140351438424964</v>
      </c>
      <c r="AI62" s="92">
        <f>Logistic2012!Q62</f>
        <v>0.97779771637475388</v>
      </c>
      <c r="AJ62" s="92">
        <f>Logistic2013!L62</f>
        <v>0.85450303975835906</v>
      </c>
      <c r="AK62" s="119">
        <f>Logistic2014!AK62</f>
        <v>0.85456925965431629</v>
      </c>
      <c r="AL62" s="119">
        <f t="shared" si="13"/>
        <v>0.64295520834022113</v>
      </c>
      <c r="AM62" s="113"/>
      <c r="AN62" s="113"/>
      <c r="AP62" s="113"/>
      <c r="AQ62" s="113"/>
      <c r="AR62" s="113"/>
      <c r="AS62" s="113"/>
      <c r="AT62" s="114"/>
      <c r="AU62" s="114"/>
    </row>
    <row r="63" spans="2:50" x14ac:dyDescent="0.25">
      <c r="B63" s="49"/>
      <c r="C63" s="79"/>
      <c r="D63" s="86" t="str">
        <f t="shared" si="14"/>
        <v/>
      </c>
      <c r="E63" s="81"/>
      <c r="F63" s="50" t="str">
        <f t="shared" si="15"/>
        <v/>
      </c>
      <c r="G63" s="16" t="str">
        <f t="shared" si="16"/>
        <v/>
      </c>
      <c r="H63" s="51" t="str">
        <f t="shared" si="17"/>
        <v/>
      </c>
      <c r="I63" s="54"/>
      <c r="J63" s="105">
        <f t="shared" si="7"/>
        <v>37820.5</v>
      </c>
      <c r="K63" s="109">
        <v>55</v>
      </c>
      <c r="L63" s="125">
        <f t="shared" si="5"/>
        <v>0.68339891531991881</v>
      </c>
      <c r="M63" s="46">
        <f t="shared" si="8"/>
        <v>0.94643653282667362</v>
      </c>
      <c r="N63" s="130">
        <v>0.94643653282667362</v>
      </c>
      <c r="O63" s="89">
        <f t="shared" si="6"/>
        <v>0.94643653282667362</v>
      </c>
      <c r="P63" s="4">
        <v>40377</v>
      </c>
      <c r="Q63" s="4">
        <v>0.98323806162233796</v>
      </c>
      <c r="R63" s="4">
        <v>3970</v>
      </c>
      <c r="S63" s="100">
        <f t="shared" si="11"/>
        <v>2788.2233248366319</v>
      </c>
      <c r="T63" s="101">
        <f t="shared" si="18"/>
        <v>1181.7766751633681</v>
      </c>
      <c r="U63" s="40">
        <v>40725</v>
      </c>
      <c r="V63" s="95">
        <v>0.35599999999999998</v>
      </c>
      <c r="W63" s="95"/>
      <c r="X63" s="95"/>
      <c r="Y63" s="95"/>
      <c r="Z63" s="95"/>
      <c r="AC63" s="93">
        <v>37813</v>
      </c>
      <c r="AD63" s="95">
        <v>0.77500000000000002</v>
      </c>
      <c r="AE63" s="93">
        <f t="shared" si="12"/>
        <v>37820.5</v>
      </c>
      <c r="AF63" s="92">
        <f>Logistic2010!Q63</f>
        <v>0.78859738904460508</v>
      </c>
      <c r="AG63" s="4">
        <f t="shared" si="10"/>
        <v>0.98323806162233796</v>
      </c>
      <c r="AH63" s="92">
        <f>Logistic2011!Q63</f>
        <v>0.86381250435994517</v>
      </c>
      <c r="AI63" s="92">
        <f>Logistic2012!Q63</f>
        <v>0.98323806162233796</v>
      </c>
      <c r="AJ63" s="92">
        <f>Logistic2013!L63</f>
        <v>0.87740468827985718</v>
      </c>
      <c r="AK63" s="119">
        <f>Logistic2014!AK63</f>
        <v>0.87675320628420728</v>
      </c>
      <c r="AL63" s="119">
        <f t="shared" si="13"/>
        <v>0.68339891531991881</v>
      </c>
      <c r="AM63" s="115"/>
      <c r="AN63" s="115"/>
      <c r="AO63" s="115"/>
      <c r="AP63" s="115"/>
      <c r="AQ63" s="115"/>
      <c r="AR63" t="s">
        <v>28</v>
      </c>
      <c r="AS63"/>
      <c r="AT63"/>
      <c r="AU63"/>
      <c r="AV63"/>
      <c r="AW63"/>
      <c r="AX63"/>
    </row>
    <row r="64" spans="2:50" ht="16.5" thickBot="1" x14ac:dyDescent="0.3">
      <c r="B64" s="56"/>
      <c r="C64" s="80"/>
      <c r="D64" s="87" t="str">
        <f t="shared" si="14"/>
        <v/>
      </c>
      <c r="E64" s="82"/>
      <c r="F64" s="50" t="str">
        <f t="shared" si="15"/>
        <v/>
      </c>
      <c r="G64" s="16" t="str">
        <f t="shared" si="16"/>
        <v/>
      </c>
      <c r="H64" s="51" t="str">
        <f t="shared" si="17"/>
        <v/>
      </c>
      <c r="I64" s="54"/>
      <c r="J64" s="105">
        <f t="shared" si="7"/>
        <v>37821.5</v>
      </c>
      <c r="K64" s="109">
        <v>56</v>
      </c>
      <c r="L64" s="125">
        <f t="shared" si="5"/>
        <v>0.72124759593279253</v>
      </c>
      <c r="M64" s="46">
        <f t="shared" si="8"/>
        <v>0.95837894884125729</v>
      </c>
      <c r="N64" s="131">
        <v>0.95837894884125729</v>
      </c>
      <c r="O64" s="89">
        <f t="shared" si="6"/>
        <v>0.95837894884125729</v>
      </c>
      <c r="P64" s="4">
        <v>40378</v>
      </c>
      <c r="Q64" s="4">
        <v>0.98736255895680802</v>
      </c>
      <c r="R64" s="4">
        <v>5509</v>
      </c>
      <c r="S64" s="100">
        <f t="shared" si="11"/>
        <v>4069.5904122285292</v>
      </c>
      <c r="T64" s="101">
        <f t="shared" si="18"/>
        <v>1439.4095877714708</v>
      </c>
      <c r="U64" s="49">
        <v>40726</v>
      </c>
      <c r="V64" s="95"/>
      <c r="W64" s="95"/>
      <c r="X64" s="95"/>
      <c r="Y64" s="95"/>
      <c r="Z64" s="95"/>
      <c r="AC64" s="93">
        <v>37816</v>
      </c>
      <c r="AD64" s="95">
        <v>0.93</v>
      </c>
      <c r="AE64" s="93">
        <f t="shared" si="12"/>
        <v>37821.5</v>
      </c>
      <c r="AF64" s="92">
        <f>Logistic2010!Q64</f>
        <v>0.82000157910537541</v>
      </c>
      <c r="AG64" s="4">
        <f t="shared" si="10"/>
        <v>0.98736255895680802</v>
      </c>
      <c r="AH64" s="92">
        <f>Logistic2011!Q64</f>
        <v>0.89080976473363638</v>
      </c>
      <c r="AI64" s="92">
        <f>Logistic2012!Q64</f>
        <v>0.98736255895680802</v>
      </c>
      <c r="AJ64" s="92">
        <f>Logistic2013!L64</f>
        <v>0.8971354919418093</v>
      </c>
      <c r="AK64" s="119">
        <f>Logistic2014!AK64</f>
        <v>0.89596518054214846</v>
      </c>
      <c r="AL64" s="119">
        <f t="shared" si="13"/>
        <v>0.72124759593279253</v>
      </c>
      <c r="AM64" s="110"/>
      <c r="AN64" s="110"/>
      <c r="AO64" s="110"/>
      <c r="AP64" s="110"/>
      <c r="AQ64" s="110"/>
      <c r="AR64"/>
      <c r="AS64"/>
      <c r="AT64"/>
      <c r="AU64"/>
      <c r="AV64"/>
      <c r="AW64"/>
      <c r="AX64"/>
    </row>
    <row r="65" spans="1:50" ht="16.5" thickBot="1" x14ac:dyDescent="0.3">
      <c r="A65" s="4">
        <v>2.5000000000000001E-2</v>
      </c>
      <c r="B65" s="104">
        <f>C5</f>
        <v>37834.5</v>
      </c>
      <c r="C65" s="121">
        <f t="shared" ref="C65" si="19">1/(A65^2)</f>
        <v>1599.9999999999998</v>
      </c>
      <c r="D65" s="84">
        <f t="shared" si="14"/>
        <v>69</v>
      </c>
      <c r="E65" s="59">
        <v>1</v>
      </c>
      <c r="F65" s="60">
        <f t="shared" si="15"/>
        <v>0.96465280457009817</v>
      </c>
      <c r="G65" s="61">
        <f t="shared" si="16"/>
        <v>3.5347195429901834E-2</v>
      </c>
      <c r="H65" s="62">
        <f t="shared" si="17"/>
        <v>1.9990787596154769</v>
      </c>
      <c r="I65" s="54"/>
      <c r="J65" s="105">
        <f t="shared" si="7"/>
        <v>37822.5</v>
      </c>
      <c r="K65" s="109">
        <v>57</v>
      </c>
      <c r="L65" s="125">
        <f t="shared" si="5"/>
        <v>0.75618584470199735</v>
      </c>
      <c r="M65" s="46">
        <f t="shared" si="8"/>
        <v>0.96774943709406713</v>
      </c>
      <c r="N65" s="130">
        <v>0.96774943709406713</v>
      </c>
      <c r="O65" s="89">
        <f t="shared" si="6"/>
        <v>0.96774943709406713</v>
      </c>
      <c r="P65" s="4">
        <v>40379</v>
      </c>
      <c r="Q65" s="4">
        <v>0.99048199337810516</v>
      </c>
      <c r="R65" s="4">
        <v>2314</v>
      </c>
      <c r="S65" s="100">
        <f t="shared" si="11"/>
        <v>1786.6600223431576</v>
      </c>
      <c r="T65" s="101">
        <f t="shared" si="18"/>
        <v>527.33997765684239</v>
      </c>
      <c r="U65" s="49">
        <v>40727</v>
      </c>
      <c r="V65" s="95"/>
      <c r="W65" s="95"/>
      <c r="X65" s="95"/>
      <c r="Y65" s="95"/>
      <c r="Z65" s="95"/>
      <c r="AC65" s="93">
        <v>37819</v>
      </c>
      <c r="AD65" s="95">
        <v>0.997</v>
      </c>
      <c r="AE65" s="93">
        <f t="shared" si="12"/>
        <v>37822.5</v>
      </c>
      <c r="AF65" s="92">
        <f>Logistic2010!Q65</f>
        <v>0.84764193896050799</v>
      </c>
      <c r="AG65" s="4">
        <f t="shared" si="10"/>
        <v>0.99048199337810516</v>
      </c>
      <c r="AH65" s="92">
        <f>Logistic2011!Q65</f>
        <v>0.91299424895614467</v>
      </c>
      <c r="AI65" s="92">
        <f>Logistic2012!Q65</f>
        <v>0.99048199337810516</v>
      </c>
      <c r="AJ65" s="92">
        <f>Logistic2013!L65</f>
        <v>0.91400201566045702</v>
      </c>
      <c r="AK65" s="119">
        <f>Logistic2014!AK65</f>
        <v>0.91248129649139764</v>
      </c>
      <c r="AL65" s="119">
        <f t="shared" si="13"/>
        <v>0.75618584470199735</v>
      </c>
      <c r="AM65" s="110"/>
      <c r="AN65" s="110"/>
      <c r="AO65" s="110"/>
      <c r="AP65" s="110"/>
      <c r="AQ65" s="110"/>
      <c r="AR65" t="s">
        <v>29</v>
      </c>
      <c r="AS65"/>
      <c r="AT65"/>
      <c r="AU65"/>
      <c r="AV65"/>
      <c r="AW65"/>
      <c r="AX65"/>
    </row>
    <row r="66" spans="1:50" ht="16.5" thickBot="1" x14ac:dyDescent="0.3">
      <c r="A66" s="4">
        <v>2.5000000000000001E-2</v>
      </c>
      <c r="B66" s="104">
        <f>A3</f>
        <v>37766.5</v>
      </c>
      <c r="C66" s="121">
        <f>C65</f>
        <v>1599.9999999999998</v>
      </c>
      <c r="D66" s="84">
        <f>IF(B66&lt;&gt;0,B66-$A$3+1,"")</f>
        <v>1</v>
      </c>
      <c r="E66" s="59">
        <v>0</v>
      </c>
      <c r="F66" s="60">
        <f>IF(B66&lt;&gt;0,$G$3/(1+EXP(-$G$4*(D66-$G$5))),"")</f>
        <v>1.2136687818076173E-4</v>
      </c>
      <c r="G66" s="61">
        <f>IF(B66&lt;&gt;0,E66-F66,"")</f>
        <v>-1.2136687818076173E-4</v>
      </c>
      <c r="H66" s="62">
        <f>IF(B66&lt;&gt;0,C66*(G66)^2,"")</f>
        <v>2.3567870590950171E-5</v>
      </c>
      <c r="I66" s="68"/>
      <c r="J66" s="105">
        <f t="shared" si="7"/>
        <v>37823.5</v>
      </c>
      <c r="K66" s="109">
        <v>58</v>
      </c>
      <c r="L66" s="125">
        <f t="shared" si="5"/>
        <v>0.78803197927653146</v>
      </c>
      <c r="M66" s="46">
        <f t="shared" si="8"/>
        <v>0.97506515897383861</v>
      </c>
      <c r="N66" s="130">
        <v>0.97506515897383861</v>
      </c>
      <c r="O66" s="89">
        <f t="shared" si="6"/>
        <v>0.97506515897383861</v>
      </c>
      <c r="P66" s="4">
        <v>40380</v>
      </c>
      <c r="Q66" s="4">
        <v>0.99283701063466723</v>
      </c>
      <c r="R66" s="4">
        <v>2271</v>
      </c>
      <c r="S66" s="100">
        <f t="shared" si="11"/>
        <v>1822.2034075109341</v>
      </c>
      <c r="T66" s="101">
        <f t="shared" si="18"/>
        <v>448.79659248906592</v>
      </c>
      <c r="U66" s="49">
        <v>40728</v>
      </c>
      <c r="V66" s="95"/>
      <c r="W66" s="95"/>
      <c r="X66" s="95"/>
      <c r="Y66" s="95"/>
      <c r="Z66" s="95"/>
      <c r="AC66" s="93">
        <v>37823</v>
      </c>
      <c r="AD66" s="95">
        <v>0.99399999999999999</v>
      </c>
      <c r="AE66" s="93">
        <f t="shared" si="12"/>
        <v>37823.5</v>
      </c>
      <c r="AF66" s="92">
        <f>Logistic2010!Q66</f>
        <v>0.8717019610426997</v>
      </c>
      <c r="AG66" s="4">
        <f t="shared" si="10"/>
        <v>0.99283701063466723</v>
      </c>
      <c r="AH66" s="92">
        <f>Logistic2011!Q66</f>
        <v>0.93102046958550611</v>
      </c>
      <c r="AI66" s="92">
        <f>Logistic2012!Q66</f>
        <v>0.99283701063466723</v>
      </c>
      <c r="AJ66" s="92">
        <f>Logistic2013!L66</f>
        <v>0.92832391728718622</v>
      </c>
      <c r="AK66" s="119">
        <f>Logistic2014!AK66</f>
        <v>0.92659021810226538</v>
      </c>
      <c r="AL66" s="119">
        <f t="shared" si="13"/>
        <v>0.78803197927653146</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7"/>
        <v>37824.5</v>
      </c>
      <c r="K67" s="109">
        <v>59</v>
      </c>
      <c r="L67" s="125">
        <f t="shared" si="5"/>
        <v>0.8167266358806099</v>
      </c>
      <c r="M67" s="46">
        <f t="shared" si="8"/>
        <v>0.98075438398529091</v>
      </c>
      <c r="N67" s="131">
        <v>0.98075438398529091</v>
      </c>
      <c r="O67" s="89">
        <f t="shared" si="6"/>
        <v>0.98075438398529091</v>
      </c>
      <c r="P67" s="4">
        <v>40381</v>
      </c>
      <c r="Q67" s="4">
        <v>0.99461250113431077</v>
      </c>
      <c r="R67" s="4">
        <v>2019</v>
      </c>
      <c r="S67" s="100">
        <f t="shared" si="11"/>
        <v>1674.8016316749618</v>
      </c>
      <c r="T67" s="101">
        <f t="shared" si="18"/>
        <v>344.19836832503825</v>
      </c>
      <c r="U67" s="49">
        <v>40729</v>
      </c>
      <c r="V67" s="95">
        <v>0.51500000000000001</v>
      </c>
      <c r="W67" s="95"/>
      <c r="X67" s="95"/>
      <c r="Y67" s="95"/>
      <c r="Z67" s="95"/>
      <c r="AE67" s="93">
        <f t="shared" si="12"/>
        <v>37824.5</v>
      </c>
      <c r="AF67" s="92">
        <f>Logistic2010!Q67</f>
        <v>0.89244459206165738</v>
      </c>
      <c r="AG67" s="4">
        <f t="shared" si="10"/>
        <v>0.99461250113431077</v>
      </c>
      <c r="AH67" s="92">
        <f>Logistic2011!Q67</f>
        <v>0.94553474019587147</v>
      </c>
      <c r="AI67" s="92">
        <f>Logistic2012!Q67</f>
        <v>0.99461250113431077</v>
      </c>
      <c r="AJ67" s="92">
        <f>Logistic2013!L67</f>
        <v>0.94041617027076585</v>
      </c>
      <c r="AK67" s="119">
        <f>Logistic2014!AK67</f>
        <v>0.93857774011739092</v>
      </c>
      <c r="AL67" s="119">
        <f t="shared" si="13"/>
        <v>0.8167266358806099</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7"/>
        <v>37825.5</v>
      </c>
      <c r="K68" s="109">
        <v>60</v>
      </c>
      <c r="L68" s="125">
        <f t="shared" si="5"/>
        <v>0.84231410872063994</v>
      </c>
      <c r="M68" s="46">
        <f t="shared" si="8"/>
        <v>0.98516528350488675</v>
      </c>
      <c r="N68" s="131">
        <v>0.98516528350488675</v>
      </c>
      <c r="O68" s="89">
        <f t="shared" si="6"/>
        <v>0.98516528350488675</v>
      </c>
      <c r="P68" s="4">
        <v>40382</v>
      </c>
      <c r="Q68" s="4">
        <v>0.99594969608518535</v>
      </c>
      <c r="R68" s="4">
        <v>2115</v>
      </c>
      <c r="S68" s="100">
        <f t="shared" si="11"/>
        <v>1805.400132714813</v>
      </c>
      <c r="T68" s="101">
        <f t="shared" si="18"/>
        <v>309.59986728518697</v>
      </c>
      <c r="U68" s="49">
        <v>40730</v>
      </c>
      <c r="V68" s="95"/>
      <c r="W68" s="95"/>
      <c r="X68" s="95"/>
      <c r="Y68" s="95"/>
      <c r="Z68" s="95"/>
      <c r="AE68" s="93">
        <f t="shared" si="12"/>
        <v>37825.5</v>
      </c>
      <c r="AF68" s="92">
        <f>Logistic2010!Q68</f>
        <v>0.91017920532930874</v>
      </c>
      <c r="AG68" s="4">
        <f t="shared" si="10"/>
        <v>0.99594969608518535</v>
      </c>
      <c r="AH68" s="92">
        <f>Logistic2011!Q68</f>
        <v>0.95713560982756274</v>
      </c>
      <c r="AI68" s="92">
        <f>Logistic2012!Q68</f>
        <v>0.99594969608518535</v>
      </c>
      <c r="AJ68" s="92">
        <f>Logistic2013!L68</f>
        <v>0.95057698620331765</v>
      </c>
      <c r="AK68" s="119">
        <f>Logistic2014!AK68</f>
        <v>0.94871609038627402</v>
      </c>
      <c r="AL68" s="119">
        <f t="shared" si="13"/>
        <v>0.84231410872063994</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7"/>
        <v>37826.5</v>
      </c>
      <c r="K69" s="109">
        <v>61</v>
      </c>
      <c r="L69" s="125">
        <f t="shared" si="5"/>
        <v>0.86492005933119276</v>
      </c>
      <c r="M69" s="46">
        <f t="shared" si="8"/>
        <v>0.9885770241743157</v>
      </c>
      <c r="N69" s="131">
        <v>0.9885770241743157</v>
      </c>
      <c r="O69" s="89">
        <f t="shared" si="6"/>
        <v>0.9885770241743157</v>
      </c>
      <c r="P69" s="4">
        <v>40383</v>
      </c>
      <c r="Q69" s="4">
        <v>0.99695601060889649</v>
      </c>
      <c r="R69" s="4">
        <v>2946</v>
      </c>
      <c r="S69" s="100">
        <f t="shared" si="11"/>
        <v>2577.2326411064132</v>
      </c>
      <c r="T69" s="101">
        <f t="shared" si="18"/>
        <v>368.76735889358679</v>
      </c>
      <c r="U69" s="49">
        <v>40731</v>
      </c>
      <c r="V69" s="95"/>
      <c r="W69" s="95"/>
      <c r="X69" s="95"/>
      <c r="Y69" s="95"/>
      <c r="Z69" s="95"/>
      <c r="AE69" s="93">
        <f t="shared" si="12"/>
        <v>37826.5</v>
      </c>
      <c r="AF69" s="92">
        <f>Logistic2010!Q69</f>
        <v>0.92523457092805417</v>
      </c>
      <c r="AG69" s="4">
        <f t="shared" si="10"/>
        <v>0.99695601060889649</v>
      </c>
      <c r="AH69" s="92">
        <f>Logistic2011!Q69</f>
        <v>0.96635347078003297</v>
      </c>
      <c r="AI69" s="92">
        <f>Logistic2012!Q69</f>
        <v>0.99695601060889649</v>
      </c>
      <c r="AJ69" s="92">
        <f>Logistic2013!L69</f>
        <v>0.95908047510394157</v>
      </c>
      <c r="AK69" s="119">
        <f>Logistic2014!AK69</f>
        <v>0.95725721401262687</v>
      </c>
      <c r="AL69" s="119">
        <f t="shared" si="13"/>
        <v>0.86492005933119276</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7"/>
        <v>37827.5</v>
      </c>
      <c r="K70" s="109">
        <v>62</v>
      </c>
      <c r="L70" s="125">
        <f t="shared" si="5"/>
        <v>0.88472871263514363</v>
      </c>
      <c r="M70" s="46">
        <f t="shared" si="8"/>
        <v>0.99121112062050309</v>
      </c>
      <c r="N70" s="131">
        <v>0.99121112062050309</v>
      </c>
      <c r="O70" s="89">
        <f t="shared" si="6"/>
        <v>0.99121112062050309</v>
      </c>
      <c r="P70" s="4">
        <v>40384</v>
      </c>
      <c r="Q70" s="4">
        <v>0.99771287634461936</v>
      </c>
      <c r="R70" s="4">
        <v>2623</v>
      </c>
      <c r="S70" s="100">
        <f t="shared" si="11"/>
        <v>2343.2446161366865</v>
      </c>
      <c r="T70" s="101">
        <f t="shared" si="18"/>
        <v>279.75538386331345</v>
      </c>
      <c r="U70" s="49">
        <v>40732</v>
      </c>
      <c r="AE70" s="93">
        <f t="shared" si="12"/>
        <v>37827.5</v>
      </c>
      <c r="AF70" s="92">
        <f>Logistic2010!Q70</f>
        <v>0.93793849093008874</v>
      </c>
      <c r="AG70" s="4">
        <f t="shared" si="10"/>
        <v>0.99771287634461936</v>
      </c>
      <c r="AH70" s="92">
        <f>Logistic2011!Q70</f>
        <v>0.97364364314605079</v>
      </c>
      <c r="AI70" s="92">
        <f>Logistic2012!Q70</f>
        <v>0.99771287634461936</v>
      </c>
      <c r="AJ70" s="92">
        <f>Logistic2013!L70</f>
        <v>0.96617295862288388</v>
      </c>
      <c r="AK70" s="119">
        <f>Logistic2014!AK70</f>
        <v>0.9644291830100955</v>
      </c>
      <c r="AL70" s="119">
        <f t="shared" si="13"/>
        <v>0.88472871263514363</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7"/>
        <v>37828.5</v>
      </c>
      <c r="K71" s="109">
        <v>63</v>
      </c>
      <c r="L71" s="125">
        <f t="shared" si="5"/>
        <v>0.9019618067218419</v>
      </c>
      <c r="M71" s="46">
        <f t="shared" si="8"/>
        <v>0.99324195641616453</v>
      </c>
      <c r="N71" s="131">
        <v>0.99324195641616453</v>
      </c>
      <c r="O71" s="89">
        <f t="shared" si="6"/>
        <v>0.99324195641616453</v>
      </c>
      <c r="P71" s="4">
        <v>40385</v>
      </c>
      <c r="Q71" s="4">
        <v>0.99828187726084372</v>
      </c>
      <c r="U71" s="40">
        <v>40733</v>
      </c>
      <c r="V71" s="95"/>
      <c r="W71" s="95"/>
      <c r="X71" s="95"/>
      <c r="Y71" s="95"/>
      <c r="Z71" s="95"/>
      <c r="AE71" s="93">
        <f t="shared" si="12"/>
        <v>37828.5</v>
      </c>
      <c r="AF71" s="92">
        <f>Logistic2010!Q71</f>
        <v>0.94860370829645768</v>
      </c>
      <c r="AG71" s="4">
        <f t="shared" si="10"/>
        <v>0.99828187726084372</v>
      </c>
      <c r="AH71" s="92">
        <f>Logistic2011!Q71</f>
        <v>0.97938794995342149</v>
      </c>
      <c r="AI71" s="92">
        <f>Logistic2012!Q71</f>
        <v>0.99828187726084372</v>
      </c>
      <c r="AJ71" s="92">
        <f>Logistic2013!L71</f>
        <v>0.97207191636988943</v>
      </c>
      <c r="AK71" s="119">
        <f>Logistic2014!AK71</f>
        <v>0.97043490859995651</v>
      </c>
      <c r="AL71" s="119">
        <f t="shared" si="13"/>
        <v>0.9019618067218419</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7"/>
        <v>37829.5</v>
      </c>
      <c r="K72" s="109">
        <v>64</v>
      </c>
      <c r="L72" s="125">
        <f t="shared" si="5"/>
        <v>0.91686065171343734</v>
      </c>
      <c r="M72" s="46">
        <f t="shared" si="8"/>
        <v>0.91686065171343734</v>
      </c>
      <c r="N72" s="131">
        <v>0.99480598839313295</v>
      </c>
      <c r="O72" s="89">
        <f t="shared" si="6"/>
        <v>0.91686065171343734</v>
      </c>
      <c r="P72" s="4">
        <v>40386</v>
      </c>
      <c r="Q72" s="4">
        <v>0.99870950266811021</v>
      </c>
      <c r="U72" s="49">
        <v>40734</v>
      </c>
      <c r="V72" s="95"/>
      <c r="W72" s="95"/>
      <c r="X72" s="95"/>
      <c r="Y72" s="95"/>
      <c r="Z72" s="95"/>
      <c r="AE72" s="93">
        <f t="shared" si="12"/>
        <v>37829.5</v>
      </c>
      <c r="AF72" s="92">
        <f>Logistic2010!Q72</f>
        <v>0.95751912825764318</v>
      </c>
      <c r="AG72" s="4">
        <f t="shared" si="10"/>
        <v>0.99870950266811021</v>
      </c>
      <c r="AH72" s="92">
        <f>Logistic2011!Q72</f>
        <v>0.98390099930162234</v>
      </c>
      <c r="AI72" s="92">
        <f>Logistic2012!Q72</f>
        <v>0.99870950266811021</v>
      </c>
      <c r="AJ72" s="92">
        <f>Logistic2013!L72</f>
        <v>0.97696670309022537</v>
      </c>
      <c r="AK72" s="119">
        <f>Logistic2014!AK72</f>
        <v>0.97545244534588094</v>
      </c>
      <c r="AL72" s="119">
        <f t="shared" si="13"/>
        <v>0.91686065171343734</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7"/>
        <v>37830.5</v>
      </c>
      <c r="K73" s="109">
        <v>65</v>
      </c>
      <c r="L73" s="125">
        <f t="shared" ref="L73:L104" si="20">$G$3/(1+EXP(-$G$4*(K73-$G$5)))</f>
        <v>0.92967186529921186</v>
      </c>
      <c r="M73" s="46">
        <f t="shared" si="8"/>
        <v>0.92967186529921186</v>
      </c>
      <c r="N73" s="132">
        <v>0.99600950655454856</v>
      </c>
      <c r="O73" s="89">
        <f t="shared" ref="O73:O104" si="21">IF(N73=M73,N73,M73)</f>
        <v>0.92967186529921186</v>
      </c>
      <c r="P73" s="4">
        <v>40387</v>
      </c>
      <c r="Q73" s="4">
        <v>0.99903079926177196</v>
      </c>
      <c r="U73" s="49">
        <v>40735</v>
      </c>
      <c r="AE73" s="93">
        <f t="shared" si="12"/>
        <v>37830.5</v>
      </c>
      <c r="AF73" s="92">
        <f>Logistic2010!Q73</f>
        <v>0.96494519123476252</v>
      </c>
      <c r="AG73" s="4">
        <f t="shared" si="10"/>
        <v>0.99903079926177196</v>
      </c>
      <c r="AH73" s="92">
        <f>Logistic2011!Q73</f>
        <v>0.98743858120527517</v>
      </c>
      <c r="AI73" s="92">
        <f>Logistic2012!Q73</f>
        <v>0.99903079926177196</v>
      </c>
      <c r="AJ73" s="92">
        <f>Logistic2013!L73</f>
        <v>0.98102036011876015</v>
      </c>
      <c r="AK73" s="119">
        <f>Logistic2014!AK73</f>
        <v>0.97963631693234787</v>
      </c>
      <c r="AL73" s="119">
        <f t="shared" si="13"/>
        <v>0.92967186529921186</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22">J73+1</f>
        <v>37831.5</v>
      </c>
      <c r="K74" s="109">
        <v>66</v>
      </c>
      <c r="L74" s="125">
        <f t="shared" si="20"/>
        <v>0.94063677400441748</v>
      </c>
      <c r="M74" s="46">
        <f t="shared" ref="M74:M107" si="23">IF(J75&gt;MAX($B$9:$B$64),L74,N74)</f>
        <v>0.94063677400441748</v>
      </c>
      <c r="N74" s="132">
        <v>0.99693501353750869</v>
      </c>
      <c r="O74" s="89">
        <f t="shared" si="21"/>
        <v>0.94063677400441748</v>
      </c>
      <c r="P74" s="4">
        <v>40388</v>
      </c>
      <c r="Q74" s="4">
        <v>0.99927216057350388</v>
      </c>
      <c r="U74" s="49">
        <v>40736</v>
      </c>
      <c r="V74" s="95"/>
      <c r="W74" s="95"/>
      <c r="X74" s="95"/>
      <c r="Y74" s="95"/>
      <c r="Z74" s="95"/>
      <c r="AE74" s="93">
        <f t="shared" si="12"/>
        <v>37831.5</v>
      </c>
      <c r="AF74" s="92">
        <f>Logistic2010!Q74</f>
        <v>0.97111227157250635</v>
      </c>
      <c r="AG74" s="4">
        <f t="shared" si="10"/>
        <v>0.99927216057350388</v>
      </c>
      <c r="AH74" s="92">
        <f>Logistic2011!Q74</f>
        <v>0.9902065550659539</v>
      </c>
      <c r="AI74" s="92">
        <f>Logistic2012!Q74</f>
        <v>0.99927216057350388</v>
      </c>
      <c r="AJ74" s="92">
        <f>Logistic2013!L74</f>
        <v>0.98437202125506518</v>
      </c>
      <c r="AK74" s="119">
        <f>Logistic2014!AK74</f>
        <v>0.98311943217332176</v>
      </c>
      <c r="AL74" s="119">
        <f t="shared" si="13"/>
        <v>0.94063677400441748</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22"/>
        <v>37832.5</v>
      </c>
      <c r="K75" s="109">
        <v>67</v>
      </c>
      <c r="L75" s="125">
        <f t="shared" si="20"/>
        <v>0.94998410888829909</v>
      </c>
      <c r="M75" s="46">
        <f t="shared" si="23"/>
        <v>0.94998410888829909</v>
      </c>
      <c r="N75" s="132">
        <v>0.99764637681040835</v>
      </c>
      <c r="O75" s="89">
        <f t="shared" si="21"/>
        <v>0.94998410888829909</v>
      </c>
      <c r="P75" s="4">
        <v>40389</v>
      </c>
      <c r="Q75" s="4">
        <v>0.99945344824920912</v>
      </c>
      <c r="U75" s="49">
        <v>40737</v>
      </c>
      <c r="V75" s="95"/>
      <c r="W75" s="95"/>
      <c r="X75" s="95"/>
      <c r="Y75" s="95"/>
      <c r="Z75" s="95"/>
      <c r="AE75" s="93">
        <f t="shared" si="12"/>
        <v>37832.5</v>
      </c>
      <c r="AF75" s="92">
        <f>Logistic2010!Q75</f>
        <v>0.97622113342645345</v>
      </c>
      <c r="AG75" s="4">
        <f t="shared" si="10"/>
        <v>0.99945344824920912</v>
      </c>
      <c r="AH75" s="92">
        <f>Logistic2011!Q75</f>
        <v>0.99236930496689024</v>
      </c>
      <c r="AI75" s="92">
        <f>Logistic2012!Q75</f>
        <v>0.99945344824920912</v>
      </c>
      <c r="AJ75" s="92">
        <f>Logistic2013!L75</f>
        <v>0.98713956340918307</v>
      </c>
      <c r="AK75" s="119">
        <f>Logistic2014!AK75</f>
        <v>0.98601528129691507</v>
      </c>
      <c r="AL75" s="119">
        <f t="shared" si="13"/>
        <v>0.94998410888829909</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22"/>
        <v>37833.5</v>
      </c>
      <c r="K76" s="109">
        <v>68</v>
      </c>
      <c r="L76" s="125">
        <f t="shared" si="20"/>
        <v>0.95792544703602911</v>
      </c>
      <c r="M76" s="46">
        <f t="shared" si="23"/>
        <v>0.95792544703602911</v>
      </c>
      <c r="N76" s="132">
        <v>0.9981929365976735</v>
      </c>
      <c r="O76" s="89">
        <f t="shared" si="21"/>
        <v>0.95792544703602911</v>
      </c>
      <c r="P76" s="4">
        <v>40390</v>
      </c>
      <c r="Q76" s="4">
        <v>0.99958959997534225</v>
      </c>
      <c r="U76" s="49">
        <v>40738</v>
      </c>
      <c r="AE76" s="93">
        <f t="shared" si="12"/>
        <v>37833.5</v>
      </c>
      <c r="AF76" s="92">
        <f>Logistic2010!Q76</f>
        <v>0.98044467529540402</v>
      </c>
      <c r="AG76" s="4">
        <f t="shared" ref="AG76" si="24">AI76</f>
        <v>0.99958959997534225</v>
      </c>
      <c r="AH76" s="92">
        <f>Logistic2011!Q76</f>
        <v>0.99405730717928753</v>
      </c>
      <c r="AI76" s="92">
        <f>Logistic2012!Q76</f>
        <v>0.99958959997534225</v>
      </c>
      <c r="AJ76" s="92">
        <f>Logistic2013!L76</f>
        <v>0.98942227092402102</v>
      </c>
      <c r="AK76" s="119">
        <f>Logistic2014!AK76</f>
        <v>0.98842020100800998</v>
      </c>
      <c r="AL76" s="119">
        <f t="shared" si="13"/>
        <v>0.95792544703602911</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22"/>
        <v>37834.5</v>
      </c>
      <c r="K77" s="109">
        <v>69</v>
      </c>
      <c r="L77" s="125">
        <f t="shared" si="20"/>
        <v>0.96465280457009817</v>
      </c>
      <c r="M77" s="46">
        <f t="shared" si="23"/>
        <v>0.96465280457009817</v>
      </c>
      <c r="N77" s="132">
        <v>0.99861275043215647</v>
      </c>
      <c r="O77" s="89">
        <f t="shared" si="21"/>
        <v>0.96465280457009817</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22"/>
        <v>37835.5</v>
      </c>
      <c r="K78" s="109">
        <v>70</v>
      </c>
      <c r="L78" s="125">
        <f t="shared" si="20"/>
        <v>0.97033782315910011</v>
      </c>
      <c r="M78" s="46">
        <f t="shared" si="23"/>
        <v>0.97033782315910011</v>
      </c>
      <c r="N78" s="132">
        <v>0.99893513788942956</v>
      </c>
      <c r="O78" s="89">
        <f t="shared" si="21"/>
        <v>0.97033782315910011</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22"/>
        <v>37836.5</v>
      </c>
      <c r="K79" s="109">
        <v>71</v>
      </c>
      <c r="L79" s="125">
        <f t="shared" si="20"/>
        <v>0.97513207040490868</v>
      </c>
      <c r="M79" s="46">
        <f t="shared" si="23"/>
        <v>0.97513207040490868</v>
      </c>
      <c r="N79" s="132">
        <v>0.99918266599299976</v>
      </c>
      <c r="O79" s="89">
        <f t="shared" si="21"/>
        <v>0.97513207040490868</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22"/>
        <v>37837.5</v>
      </c>
      <c r="K80" s="109">
        <v>72</v>
      </c>
      <c r="L80" s="125">
        <f t="shared" si="20"/>
        <v>0.97916806744250218</v>
      </c>
      <c r="M80" s="46">
        <f t="shared" si="23"/>
        <v>0.97916806744250218</v>
      </c>
      <c r="N80" s="132">
        <v>0.99937269211089375</v>
      </c>
      <c r="O80" s="89">
        <f t="shared" si="21"/>
        <v>0.97916806744250218</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22"/>
        <v>37838.5</v>
      </c>
      <c r="K81" s="109">
        <v>73</v>
      </c>
      <c r="L81" s="125">
        <f t="shared" si="20"/>
        <v>0.98256074775980229</v>
      </c>
      <c r="M81" s="46">
        <f t="shared" si="23"/>
        <v>0.98256074775980229</v>
      </c>
      <c r="N81" s="132">
        <v>0.99951855938287282</v>
      </c>
      <c r="O81" s="89">
        <f t="shared" si="21"/>
        <v>0.98256074775980229</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22"/>
        <v>37839.5</v>
      </c>
      <c r="K82" s="109">
        <v>74</v>
      </c>
      <c r="L82" s="125">
        <f t="shared" si="20"/>
        <v>0.98540913091853521</v>
      </c>
      <c r="M82" s="46">
        <f t="shared" si="23"/>
        <v>0.98540913091853521</v>
      </c>
      <c r="N82" s="132">
        <v>0.99963052082493253</v>
      </c>
      <c r="O82" s="89">
        <f t="shared" si="21"/>
        <v>0.98540913091853521</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22"/>
        <v>37840.5</v>
      </c>
      <c r="K83" s="109">
        <v>75</v>
      </c>
      <c r="L83" s="125">
        <f t="shared" si="20"/>
        <v>0.98779806022091565</v>
      </c>
      <c r="M83" s="46">
        <f t="shared" si="23"/>
        <v>0.98779806022091565</v>
      </c>
      <c r="N83" s="132">
        <v>0.99971645245567509</v>
      </c>
      <c r="O83" s="89">
        <f t="shared" si="21"/>
        <v>0.98779806022091565</v>
      </c>
      <c r="P83" s="4">
        <v>40397</v>
      </c>
      <c r="Q83" s="4">
        <v>0.99994479477502707</v>
      </c>
      <c r="U83" s="94">
        <v>40745</v>
      </c>
    </row>
    <row r="84" spans="2:41" x14ac:dyDescent="0.25">
      <c r="B84" s="63"/>
      <c r="C84" s="64"/>
      <c r="D84" s="65">
        <v>1</v>
      </c>
      <c r="E84" s="64">
        <v>3.9127199142977333E-2</v>
      </c>
      <c r="F84" s="71"/>
      <c r="G84" s="64"/>
      <c r="H84" s="64"/>
      <c r="I84" s="53"/>
      <c r="J84" s="105">
        <f t="shared" si="22"/>
        <v>37841.5</v>
      </c>
      <c r="K84" s="109">
        <v>76</v>
      </c>
      <c r="L84" s="125">
        <f t="shared" si="20"/>
        <v>0.98979990432167786</v>
      </c>
      <c r="M84" s="46">
        <f t="shared" si="23"/>
        <v>0.98979990432167786</v>
      </c>
      <c r="N84" s="132">
        <v>0.99978240288510523</v>
      </c>
      <c r="O84" s="89">
        <f t="shared" si="21"/>
        <v>0.98979990432167786</v>
      </c>
      <c r="P84" s="4">
        <v>40398</v>
      </c>
      <c r="Q84" s="4">
        <v>0.99995855204677475</v>
      </c>
    </row>
    <row r="85" spans="2:41" x14ac:dyDescent="0.25">
      <c r="B85" s="63"/>
      <c r="C85" s="64"/>
      <c r="D85" s="65">
        <v>3.9127199142977333E-2</v>
      </c>
      <c r="E85" s="64">
        <v>1</v>
      </c>
      <c r="F85" s="71"/>
      <c r="G85" s="64"/>
      <c r="H85" s="64"/>
      <c r="I85" s="53"/>
      <c r="J85" s="105">
        <f t="shared" si="22"/>
        <v>37842.5</v>
      </c>
      <c r="K85" s="109">
        <v>77</v>
      </c>
      <c r="L85" s="125">
        <f t="shared" si="20"/>
        <v>0.99147616087903767</v>
      </c>
      <c r="M85" s="46">
        <f t="shared" si="23"/>
        <v>0.99147616087903767</v>
      </c>
      <c r="N85" s="132">
        <v>0.99983301644163747</v>
      </c>
      <c r="O85" s="89">
        <f t="shared" si="21"/>
        <v>0.99147616087903767</v>
      </c>
      <c r="P85" s="4">
        <v>40399</v>
      </c>
      <c r="Q85" s="4">
        <v>0.99996888108077731</v>
      </c>
    </row>
    <row r="86" spans="2:41" x14ac:dyDescent="0.25">
      <c r="B86" s="63"/>
      <c r="C86" s="64"/>
      <c r="D86" s="65"/>
      <c r="E86" s="64"/>
      <c r="F86" s="71"/>
      <c r="G86" s="64"/>
      <c r="H86" s="64"/>
      <c r="I86" s="53"/>
      <c r="J86" s="105">
        <f t="shared" si="22"/>
        <v>37843.5</v>
      </c>
      <c r="K86" s="109">
        <v>78</v>
      </c>
      <c r="L86" s="125">
        <f t="shared" si="20"/>
        <v>0.99287892776618181</v>
      </c>
      <c r="M86" s="46">
        <f t="shared" si="23"/>
        <v>0.99287892776618181</v>
      </c>
      <c r="N86" s="132">
        <v>0.99987185868506689</v>
      </c>
      <c r="O86" s="89">
        <f t="shared" si="21"/>
        <v>0.99287892776618181</v>
      </c>
      <c r="P86" s="4">
        <v>40400</v>
      </c>
      <c r="Q86" s="4">
        <v>0.99997663612879639</v>
      </c>
      <c r="AO86" s="4">
        <v>0.96399999999999997</v>
      </c>
    </row>
    <row r="87" spans="2:41" x14ac:dyDescent="0.25">
      <c r="B87" s="63"/>
      <c r="C87" s="64"/>
      <c r="D87" s="65"/>
      <c r="E87" s="64"/>
      <c r="F87" s="71"/>
      <c r="G87" s="64"/>
      <c r="H87" s="64"/>
      <c r="I87" s="53"/>
      <c r="J87" s="105">
        <f t="shared" si="22"/>
        <v>37844.5</v>
      </c>
      <c r="K87" s="109">
        <v>79</v>
      </c>
      <c r="L87" s="125">
        <f t="shared" si="20"/>
        <v>0.99405222638997925</v>
      </c>
      <c r="M87" s="46">
        <f t="shared" si="23"/>
        <v>0.99405222638997925</v>
      </c>
      <c r="N87" s="132">
        <v>0.9999016666768179</v>
      </c>
      <c r="O87" s="89">
        <f t="shared" si="21"/>
        <v>0.99405222638997925</v>
      </c>
      <c r="P87" s="4">
        <v>40401</v>
      </c>
      <c r="Q87" s="4">
        <v>0.99998245859958268</v>
      </c>
    </row>
    <row r="88" spans="2:41" x14ac:dyDescent="0.25">
      <c r="B88" s="63"/>
      <c r="C88" s="64"/>
      <c r="D88" s="65" t="s">
        <v>46</v>
      </c>
      <c r="E88" s="64"/>
      <c r="F88" s="71"/>
      <c r="G88" s="64"/>
      <c r="H88" s="64"/>
      <c r="I88" s="53"/>
      <c r="J88" s="105">
        <f t="shared" si="22"/>
        <v>37845.5</v>
      </c>
      <c r="K88" s="109">
        <v>80</v>
      </c>
      <c r="L88" s="125">
        <f t="shared" si="20"/>
        <v>0.99503317432603045</v>
      </c>
      <c r="M88" s="46">
        <f t="shared" si="23"/>
        <v>0.99503317432603045</v>
      </c>
      <c r="N88" s="132">
        <v>0.99992454131286057</v>
      </c>
      <c r="O88" s="89">
        <f t="shared" si="21"/>
        <v>0.99503317432603045</v>
      </c>
      <c r="P88" s="4">
        <v>40402</v>
      </c>
      <c r="Q88" s="4">
        <v>0.99998683008139233</v>
      </c>
    </row>
    <row r="89" spans="2:41" x14ac:dyDescent="0.25">
      <c r="B89" s="63"/>
      <c r="C89" s="64"/>
      <c r="D89" s="65">
        <v>9.55619890821783</v>
      </c>
      <c r="E89" s="64">
        <v>-6.9767944351029924E-3</v>
      </c>
      <c r="F89" s="71"/>
      <c r="G89" s="64"/>
      <c r="H89" s="64"/>
      <c r="I89" s="53"/>
      <c r="J89" s="105">
        <f t="shared" si="22"/>
        <v>37846.5</v>
      </c>
      <c r="K89" s="109">
        <v>81</v>
      </c>
      <c r="L89" s="125">
        <f t="shared" si="20"/>
        <v>0.99585301248148794</v>
      </c>
      <c r="M89" s="46">
        <f t="shared" si="23"/>
        <v>0.99585301248148794</v>
      </c>
      <c r="N89" s="132">
        <v>0.99994209508049881</v>
      </c>
      <c r="O89" s="89">
        <f t="shared" si="21"/>
        <v>0.99585301248148794</v>
      </c>
      <c r="P89" s="4">
        <v>40403</v>
      </c>
      <c r="Q89" s="4">
        <v>0.99999011215963096</v>
      </c>
    </row>
    <row r="90" spans="2:41" x14ac:dyDescent="0.25">
      <c r="B90" s="63"/>
      <c r="C90" s="64"/>
      <c r="D90" s="65">
        <v>-6.9767944351029924E-3</v>
      </c>
      <c r="E90" s="64">
        <v>1.5680049670732246E-2</v>
      </c>
      <c r="F90" s="71"/>
      <c r="G90" s="64"/>
      <c r="H90" s="64"/>
      <c r="I90" s="53"/>
      <c r="J90" s="105">
        <f t="shared" si="22"/>
        <v>37847.5</v>
      </c>
      <c r="K90" s="109">
        <v>82</v>
      </c>
      <c r="L90" s="125">
        <f t="shared" si="20"/>
        <v>0.99653799668842002</v>
      </c>
      <c r="M90" s="46">
        <f t="shared" si="23"/>
        <v>0.99653799668842002</v>
      </c>
      <c r="N90" s="132">
        <v>0.99995556554007625</v>
      </c>
      <c r="O90" s="89">
        <f t="shared" si="21"/>
        <v>0.99653799668842002</v>
      </c>
      <c r="P90" s="4">
        <v>40404</v>
      </c>
      <c r="Q90" s="4">
        <v>0.9999925763165205</v>
      </c>
    </row>
    <row r="91" spans="2:41" x14ac:dyDescent="0.25">
      <c r="B91" s="63"/>
      <c r="C91" s="64"/>
      <c r="D91" s="65"/>
      <c r="E91" s="64"/>
      <c r="F91" s="71"/>
      <c r="G91" s="64"/>
      <c r="H91" s="64"/>
      <c r="I91" s="53"/>
      <c r="J91" s="105">
        <f t="shared" si="22"/>
        <v>37848.5</v>
      </c>
      <c r="K91" s="109">
        <v>83</v>
      </c>
      <c r="L91" s="125">
        <f t="shared" si="20"/>
        <v>0.99711016603988278</v>
      </c>
      <c r="M91" s="46">
        <f t="shared" si="23"/>
        <v>0.99711016603988278</v>
      </c>
      <c r="N91" s="132">
        <v>0.99996590246462225</v>
      </c>
      <c r="O91" s="89">
        <f t="shared" si="21"/>
        <v>0.99711016603988278</v>
      </c>
      <c r="P91" s="4">
        <v>40405</v>
      </c>
      <c r="Q91" s="4">
        <v>0.99999442638225311</v>
      </c>
    </row>
    <row r="92" spans="2:41" x14ac:dyDescent="0.25">
      <c r="B92" s="63"/>
      <c r="C92" s="64"/>
      <c r="D92" s="65" t="s">
        <v>47</v>
      </c>
      <c r="E92" s="64"/>
      <c r="F92" s="71" t="s">
        <v>8</v>
      </c>
      <c r="G92" s="64"/>
      <c r="H92" s="64"/>
      <c r="I92" s="53"/>
      <c r="J92" s="105">
        <f t="shared" si="22"/>
        <v>37849.5</v>
      </c>
      <c r="K92" s="109">
        <v>84</v>
      </c>
      <c r="L92" s="125">
        <f t="shared" si="20"/>
        <v>0.99758800116940682</v>
      </c>
      <c r="M92" s="46">
        <f t="shared" si="23"/>
        <v>0.99758800116940682</v>
      </c>
      <c r="N92" s="132">
        <v>0.99997383474166435</v>
      </c>
      <c r="O92" s="89">
        <f t="shared" si="21"/>
        <v>0.99758800116940682</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22"/>
        <v>37850.5</v>
      </c>
      <c r="K93" s="109">
        <v>85</v>
      </c>
      <c r="L93" s="125">
        <f t="shared" si="20"/>
        <v>0.9979869855906518</v>
      </c>
      <c r="M93" s="46">
        <f t="shared" si="23"/>
        <v>0.9979869855906518</v>
      </c>
      <c r="N93" s="132">
        <v>0.99997992173121009</v>
      </c>
      <c r="O93" s="89">
        <f t="shared" si="21"/>
        <v>0.9979869855906518</v>
      </c>
      <c r="P93" s="4">
        <v>40407</v>
      </c>
      <c r="Q93" s="4">
        <v>0.99999685824657825</v>
      </c>
    </row>
    <row r="94" spans="2:41" x14ac:dyDescent="0.25">
      <c r="B94" s="63"/>
      <c r="C94" s="64"/>
      <c r="D94" s="65">
        <v>9.2253535765261202E-5</v>
      </c>
      <c r="E94" s="64">
        <v>0.12636077298244341</v>
      </c>
      <c r="F94" s="71">
        <v>0.35547260510824658</v>
      </c>
      <c r="G94" s="64"/>
      <c r="H94" s="64"/>
      <c r="I94" s="53"/>
      <c r="J94" s="105">
        <f t="shared" si="22"/>
        <v>37851.5</v>
      </c>
      <c r="K94" s="109">
        <v>86</v>
      </c>
      <c r="L94" s="125">
        <f t="shared" si="20"/>
        <v>0.99832008254290605</v>
      </c>
      <c r="M94" s="46">
        <f t="shared" si="23"/>
        <v>0.99832008254290605</v>
      </c>
      <c r="N94" s="132">
        <v>0.99998459268769502</v>
      </c>
      <c r="O94" s="89">
        <f t="shared" si="21"/>
        <v>0.99832008254290605</v>
      </c>
      <c r="P94" s="4">
        <v>40408</v>
      </c>
      <c r="Q94" s="4">
        <v>0.99999764120951673</v>
      </c>
    </row>
    <row r="95" spans="2:41" x14ac:dyDescent="0.25">
      <c r="B95" s="63"/>
      <c r="C95" s="64"/>
      <c r="D95" s="65"/>
      <c r="E95" s="64"/>
      <c r="F95" s="71"/>
      <c r="G95" s="64"/>
      <c r="H95" s="64"/>
      <c r="I95" s="53"/>
      <c r="J95" s="105">
        <f t="shared" si="22"/>
        <v>37852.5</v>
      </c>
      <c r="K95" s="109">
        <v>87</v>
      </c>
      <c r="L95" s="125">
        <f t="shared" si="20"/>
        <v>0.99859813879409598</v>
      </c>
      <c r="M95" s="46">
        <f t="shared" si="23"/>
        <v>0.99859813879409598</v>
      </c>
      <c r="N95" s="132">
        <v>0.99998817701780018</v>
      </c>
      <c r="O95" s="89">
        <f t="shared" si="21"/>
        <v>0.99859813879409598</v>
      </c>
      <c r="P95" s="4">
        <v>40409</v>
      </c>
      <c r="Q95" s="4">
        <v>0.99999822904897007</v>
      </c>
    </row>
    <row r="96" spans="2:41" x14ac:dyDescent="0.25">
      <c r="B96" s="63"/>
      <c r="C96" s="64"/>
      <c r="D96" s="65" t="s">
        <v>48</v>
      </c>
      <c r="E96" s="64"/>
      <c r="F96" s="71"/>
      <c r="G96" s="64"/>
      <c r="H96" s="64"/>
      <c r="I96" s="53"/>
      <c r="J96" s="105">
        <f t="shared" si="22"/>
        <v>37853.5</v>
      </c>
      <c r="K96" s="109">
        <v>88</v>
      </c>
      <c r="L96" s="125">
        <f t="shared" si="20"/>
        <v>0.99883022571215896</v>
      </c>
      <c r="M96" s="46">
        <f t="shared" si="23"/>
        <v>0.99883022571215896</v>
      </c>
      <c r="N96" s="132">
        <v>0.99999092750320295</v>
      </c>
      <c r="O96" s="89">
        <f t="shared" si="21"/>
        <v>0.99883022571215896</v>
      </c>
      <c r="P96" s="4">
        <v>40410</v>
      </c>
      <c r="Q96" s="4">
        <v>0.99999867039183277</v>
      </c>
    </row>
    <row r="97" spans="2:17" x14ac:dyDescent="0.25">
      <c r="B97" s="63"/>
      <c r="C97" s="64"/>
      <c r="D97" s="65">
        <v>0.99999999999999989</v>
      </c>
      <c r="E97" s="64">
        <v>1.8023520282993657E-2</v>
      </c>
      <c r="F97" s="71"/>
      <c r="G97" s="64"/>
      <c r="H97" s="64"/>
      <c r="I97" s="53"/>
      <c r="J97" s="105">
        <f t="shared" si="22"/>
        <v>37854.5</v>
      </c>
      <c r="K97" s="109">
        <v>89</v>
      </c>
      <c r="L97" s="125">
        <f t="shared" si="20"/>
        <v>0.99902392674154572</v>
      </c>
      <c r="M97" s="46">
        <f t="shared" si="23"/>
        <v>0.99902392674154572</v>
      </c>
      <c r="N97" s="132">
        <v>0.99999303812320184</v>
      </c>
      <c r="O97" s="89">
        <f t="shared" si="21"/>
        <v>0.99902392674154572</v>
      </c>
      <c r="P97" s="4">
        <v>40411</v>
      </c>
      <c r="Q97" s="4">
        <v>0.99999900174671486</v>
      </c>
    </row>
    <row r="98" spans="2:17" x14ac:dyDescent="0.25">
      <c r="B98" s="63"/>
      <c r="C98" s="64"/>
      <c r="D98" s="65">
        <v>1.8023520282993654E-2</v>
      </c>
      <c r="E98" s="64">
        <v>1</v>
      </c>
      <c r="F98" s="71"/>
      <c r="G98" s="64"/>
      <c r="H98" s="64"/>
      <c r="I98" s="53"/>
      <c r="J98" s="105">
        <f t="shared" si="22"/>
        <v>37855.5</v>
      </c>
      <c r="K98" s="109">
        <v>90</v>
      </c>
      <c r="L98" s="125">
        <f t="shared" si="20"/>
        <v>0.99918557928409979</v>
      </c>
      <c r="M98" s="46">
        <f t="shared" si="23"/>
        <v>0.99918557928409979</v>
      </c>
      <c r="N98" s="132">
        <v>0.99999465773250285</v>
      </c>
      <c r="O98" s="89">
        <f t="shared" si="21"/>
        <v>0.99918557928409979</v>
      </c>
      <c r="P98" s="4">
        <v>40412</v>
      </c>
      <c r="Q98" s="4">
        <v>0.99999925052390337</v>
      </c>
    </row>
    <row r="99" spans="2:17" x14ac:dyDescent="0.25">
      <c r="B99" s="63"/>
      <c r="C99" s="64"/>
      <c r="D99" s="65"/>
      <c r="E99" s="64"/>
      <c r="F99" s="71"/>
      <c r="G99" s="64"/>
      <c r="H99" s="64"/>
      <c r="I99" s="53"/>
      <c r="J99" s="105">
        <f t="shared" si="22"/>
        <v>37856.5</v>
      </c>
      <c r="K99" s="109">
        <v>91</v>
      </c>
      <c r="L99" s="125">
        <f t="shared" si="20"/>
        <v>0.99932047792270495</v>
      </c>
      <c r="M99" s="46">
        <f t="shared" si="23"/>
        <v>0.99932047792270495</v>
      </c>
      <c r="N99" s="132">
        <v>0.99999590055784027</v>
      </c>
      <c r="O99" s="89">
        <f t="shared" si="21"/>
        <v>0.99932047792270495</v>
      </c>
      <c r="P99" s="4">
        <v>40413</v>
      </c>
      <c r="Q99" s="4">
        <v>0.99999943730274388</v>
      </c>
    </row>
    <row r="100" spans="2:17" x14ac:dyDescent="0.25">
      <c r="B100" s="63"/>
      <c r="C100" s="64"/>
      <c r="D100" s="65"/>
      <c r="E100" s="64"/>
      <c r="F100" s="71"/>
      <c r="G100" s="64"/>
      <c r="H100" s="64"/>
      <c r="I100" s="53"/>
      <c r="J100" s="105">
        <f t="shared" si="22"/>
        <v>37857.5</v>
      </c>
      <c r="K100" s="109">
        <v>92</v>
      </c>
      <c r="L100" s="125">
        <f t="shared" si="20"/>
        <v>0.99943304496206686</v>
      </c>
      <c r="M100" s="46">
        <f t="shared" si="23"/>
        <v>0.99943304496206686</v>
      </c>
      <c r="N100" s="132">
        <v>0.99999685425314822</v>
      </c>
      <c r="O100" s="89">
        <f t="shared" si="21"/>
        <v>0.99943304496206686</v>
      </c>
      <c r="P100" s="4">
        <v>40414</v>
      </c>
      <c r="Q100" s="4">
        <v>0.99999957753397495</v>
      </c>
    </row>
    <row r="101" spans="2:17" x14ac:dyDescent="0.25">
      <c r="B101" s="63"/>
      <c r="C101" s="64"/>
      <c r="D101" s="65"/>
      <c r="E101" s="64"/>
      <c r="F101" s="71"/>
      <c r="G101" s="64"/>
      <c r="H101" s="64"/>
      <c r="I101" s="53"/>
      <c r="J101" s="105">
        <f t="shared" si="22"/>
        <v>37858.5</v>
      </c>
      <c r="K101" s="109">
        <v>93</v>
      </c>
      <c r="L101" s="125">
        <f t="shared" si="20"/>
        <v>0.99952697340112706</v>
      </c>
      <c r="M101" s="46">
        <f t="shared" si="23"/>
        <v>0.99952697340112706</v>
      </c>
      <c r="N101" s="132">
        <v>0.99999758608106293</v>
      </c>
      <c r="O101" s="89">
        <f t="shared" si="21"/>
        <v>0.99952697340112706</v>
      </c>
      <c r="P101" s="4">
        <v>40415</v>
      </c>
      <c r="Q101" s="4">
        <v>0.99999968281783125</v>
      </c>
    </row>
    <row r="102" spans="2:17" x14ac:dyDescent="0.25">
      <c r="B102" s="63"/>
      <c r="C102" s="64"/>
      <c r="D102" s="65"/>
      <c r="E102" s="64"/>
      <c r="F102" s="71"/>
      <c r="G102" s="64"/>
      <c r="H102" s="64"/>
      <c r="I102" s="53"/>
      <c r="J102" s="105">
        <f t="shared" si="22"/>
        <v>37859.5</v>
      </c>
      <c r="K102" s="109">
        <v>94</v>
      </c>
      <c r="L102" s="125">
        <f t="shared" si="20"/>
        <v>0.99960534669515833</v>
      </c>
      <c r="M102" s="46">
        <f t="shared" si="23"/>
        <v>0.99960534669515833</v>
      </c>
      <c r="N102" s="132">
        <v>0.99999814765652884</v>
      </c>
      <c r="O102" s="89">
        <f t="shared" si="21"/>
        <v>0.99960534669515833</v>
      </c>
      <c r="P102" s="4">
        <v>40416</v>
      </c>
      <c r="Q102" s="4">
        <v>0.99999976186363015</v>
      </c>
    </row>
    <row r="103" spans="2:17" x14ac:dyDescent="0.25">
      <c r="B103" s="63"/>
      <c r="C103" s="64"/>
      <c r="D103" s="65"/>
      <c r="E103" s="64"/>
      <c r="F103" s="71"/>
      <c r="G103" s="64"/>
      <c r="H103" s="64"/>
      <c r="I103" s="53"/>
      <c r="J103" s="105">
        <f t="shared" si="22"/>
        <v>37860.5</v>
      </c>
      <c r="K103" s="109">
        <v>95</v>
      </c>
      <c r="L103" s="125">
        <f t="shared" si="20"/>
        <v>0.99967073900708225</v>
      </c>
      <c r="M103" s="46">
        <f t="shared" si="23"/>
        <v>0.99967073900708225</v>
      </c>
      <c r="N103" s="132">
        <v>0.99999857858694674</v>
      </c>
      <c r="O103" s="89">
        <f t="shared" si="21"/>
        <v>0.99967073900708225</v>
      </c>
      <c r="P103" s="4">
        <v>40417</v>
      </c>
      <c r="Q103" s="4">
        <v>0.99999982121022213</v>
      </c>
    </row>
    <row r="104" spans="2:17" x14ac:dyDescent="0.25">
      <c r="B104" s="63"/>
      <c r="C104" s="64"/>
      <c r="D104" s="65"/>
      <c r="E104" s="64"/>
      <c r="F104" s="71"/>
      <c r="G104" s="64"/>
      <c r="H104" s="64"/>
      <c r="I104" s="53"/>
      <c r="J104" s="105">
        <f t="shared" si="22"/>
        <v>37861.5</v>
      </c>
      <c r="K104" s="109">
        <v>96</v>
      </c>
      <c r="L104" s="125">
        <f t="shared" si="20"/>
        <v>0.99972529907896412</v>
      </c>
      <c r="M104" s="46">
        <f t="shared" si="23"/>
        <v>0.99972529907896412</v>
      </c>
      <c r="N104" s="132">
        <v>0.99999890926553481</v>
      </c>
      <c r="O104" s="89">
        <f t="shared" si="21"/>
        <v>0.99972529907896412</v>
      </c>
      <c r="P104" s="4">
        <v>40418</v>
      </c>
      <c r="Q104" s="4">
        <v>0.99999986576689559</v>
      </c>
    </row>
    <row r="105" spans="2:17" x14ac:dyDescent="0.25">
      <c r="B105" s="63"/>
      <c r="C105" s="64"/>
      <c r="D105" s="65"/>
      <c r="E105" s="64"/>
      <c r="F105" s="71"/>
      <c r="G105" s="64"/>
      <c r="H105" s="64"/>
      <c r="I105" s="53"/>
      <c r="J105" s="105">
        <f t="shared" si="22"/>
        <v>37862.5</v>
      </c>
      <c r="K105" s="109">
        <v>97</v>
      </c>
      <c r="L105" s="125">
        <f>$G$3/(1+EXP(-$G$4*(K105-$G$5)))</f>
        <v>0.9997708203668394</v>
      </c>
      <c r="M105" s="46">
        <f t="shared" si="23"/>
        <v>0.9997708203668394</v>
      </c>
      <c r="N105" s="132">
        <v>0.99999916301487501</v>
      </c>
      <c r="O105" s="89">
        <f>IF(N105=M105,N105,M105)</f>
        <v>0.9997708203668394</v>
      </c>
      <c r="P105" s="4">
        <v>40419</v>
      </c>
      <c r="Q105" s="4">
        <v>0.99999989921948373</v>
      </c>
    </row>
    <row r="106" spans="2:17" x14ac:dyDescent="0.25">
      <c r="B106" s="63"/>
      <c r="C106" s="64"/>
      <c r="D106" s="65"/>
      <c r="E106" s="64"/>
      <c r="F106" s="71"/>
      <c r="G106" s="64"/>
      <c r="H106" s="64"/>
      <c r="I106" s="53"/>
      <c r="J106" s="105">
        <f t="shared" si="22"/>
        <v>37863.5</v>
      </c>
      <c r="K106" s="109">
        <v>98</v>
      </c>
      <c r="L106" s="125">
        <f>$G$3/(1+EXP(-$G$4*(K106-$G$5)))</f>
        <v>0.99980879966566649</v>
      </c>
      <c r="M106" s="46">
        <f t="shared" si="23"/>
        <v>0.99980879966566649</v>
      </c>
      <c r="N106" s="132">
        <v>0.99999935773180315</v>
      </c>
      <c r="O106" s="89">
        <f>IF(N106=M106,N106,M106)</f>
        <v>0.99980879966566649</v>
      </c>
      <c r="P106" s="4">
        <v>40420</v>
      </c>
      <c r="Q106" s="4">
        <v>0.99999992433526419</v>
      </c>
    </row>
    <row r="107" spans="2:17" x14ac:dyDescent="0.25">
      <c r="B107" s="63"/>
      <c r="C107" s="64"/>
      <c r="D107" s="65"/>
      <c r="E107" s="64"/>
      <c r="F107" s="71"/>
      <c r="G107" s="64"/>
      <c r="H107" s="64"/>
      <c r="I107" s="53"/>
      <c r="J107" s="105">
        <f t="shared" si="22"/>
        <v>37864.5</v>
      </c>
      <c r="K107" s="109">
        <v>99</v>
      </c>
      <c r="L107" s="125">
        <f>$G$3/(1+EXP(-$G$4*(K107-$G$5)))</f>
        <v>0.99984048609728016</v>
      </c>
      <c r="M107" s="46">
        <f t="shared" si="23"/>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v>37766.5</v>
      </c>
      <c r="C132" s="64">
        <v>0</v>
      </c>
      <c r="D132" s="4">
        <v>2.5000000000000001E-2</v>
      </c>
      <c r="E132" s="64">
        <f>1.96*D132</f>
        <v>4.9000000000000002E-2</v>
      </c>
      <c r="F132" s="71">
        <f>1-C132</f>
        <v>1</v>
      </c>
      <c r="G132" s="64"/>
      <c r="H132" s="64"/>
      <c r="I132" s="53"/>
      <c r="J132" s="44"/>
      <c r="K132" s="45"/>
      <c r="L132" s="46"/>
      <c r="M132" s="46"/>
      <c r="N132" s="70"/>
      <c r="O132" s="47"/>
    </row>
    <row r="133" spans="2:15" x14ac:dyDescent="0.25">
      <c r="B133" s="63">
        <v>37797.5</v>
      </c>
      <c r="C133" s="64">
        <v>1.4373661500000001E-2</v>
      </c>
      <c r="D133" s="147">
        <v>2.9294660471095732E-2</v>
      </c>
      <c r="E133" s="64">
        <f t="shared" ref="E133:E139" si="25">1.96*D133</f>
        <v>5.7417534523347635E-2</v>
      </c>
      <c r="F133" s="71">
        <f t="shared" ref="F133:F139" si="26">1-C133</f>
        <v>0.98562633850000003</v>
      </c>
      <c r="G133" s="64"/>
      <c r="H133" s="64"/>
      <c r="I133" s="53"/>
      <c r="J133" s="44"/>
      <c r="K133" s="45"/>
      <c r="L133" s="46"/>
      <c r="M133" s="46"/>
      <c r="N133" s="70"/>
      <c r="O133" s="47"/>
    </row>
    <row r="134" spans="2:15" x14ac:dyDescent="0.25">
      <c r="B134" s="63">
        <v>37803.5</v>
      </c>
      <c r="C134" s="64">
        <v>0.14530426295000001</v>
      </c>
      <c r="D134" s="147">
        <v>4.3768624675588189E-2</v>
      </c>
      <c r="E134" s="64">
        <f t="shared" si="25"/>
        <v>8.5786504364152846E-2</v>
      </c>
      <c r="F134" s="71">
        <f t="shared" si="26"/>
        <v>0.85469573705000002</v>
      </c>
      <c r="G134" s="64"/>
      <c r="H134" s="64"/>
      <c r="I134" s="53"/>
      <c r="J134" s="44"/>
      <c r="K134" s="45"/>
      <c r="L134" s="46"/>
      <c r="M134" s="46"/>
      <c r="N134" s="70"/>
      <c r="O134" s="47"/>
    </row>
    <row r="135" spans="2:15" x14ac:dyDescent="0.25">
      <c r="B135" s="63">
        <v>37809.5</v>
      </c>
      <c r="C135" s="64">
        <v>0.28467891862</v>
      </c>
      <c r="D135" s="147">
        <v>5.482678371741849E-2</v>
      </c>
      <c r="E135" s="64">
        <f t="shared" si="25"/>
        <v>0.10746049608614024</v>
      </c>
      <c r="F135" s="71">
        <f t="shared" si="26"/>
        <v>0.71532108137999995</v>
      </c>
      <c r="G135" s="64"/>
      <c r="H135" s="64"/>
      <c r="I135" s="53"/>
      <c r="J135" s="44"/>
      <c r="K135" s="45"/>
      <c r="L135" s="46"/>
      <c r="M135" s="46"/>
      <c r="N135" s="70"/>
      <c r="O135" s="47"/>
    </row>
    <row r="136" spans="2:15" x14ac:dyDescent="0.25">
      <c r="B136" s="63">
        <v>37815.5</v>
      </c>
      <c r="C136" s="64">
        <v>0.68313881839000001</v>
      </c>
      <c r="D136" s="147">
        <v>5.455329775196275E-2</v>
      </c>
      <c r="E136" s="64">
        <f t="shared" si="25"/>
        <v>0.10692446359384698</v>
      </c>
      <c r="F136" s="71">
        <f t="shared" si="26"/>
        <v>0.31686118160999999</v>
      </c>
      <c r="G136" s="64"/>
      <c r="H136" s="64"/>
      <c r="I136" s="53"/>
      <c r="J136" s="44"/>
      <c r="K136" s="45"/>
      <c r="L136" s="46"/>
      <c r="M136" s="46"/>
      <c r="N136" s="70"/>
      <c r="O136" s="47"/>
    </row>
    <row r="137" spans="2:15" x14ac:dyDescent="0.25">
      <c r="B137" s="63">
        <v>37820.5</v>
      </c>
      <c r="C137" s="64">
        <v>0.58347815381000001</v>
      </c>
      <c r="D137" s="147">
        <v>5.2774119647345311E-2</v>
      </c>
      <c r="E137" s="64">
        <f t="shared" si="25"/>
        <v>0.10343727450879681</v>
      </c>
      <c r="F137" s="71">
        <f t="shared" si="26"/>
        <v>0.41652184618999999</v>
      </c>
      <c r="G137" s="64"/>
      <c r="H137" s="64"/>
      <c r="I137" s="53"/>
      <c r="J137" s="44"/>
      <c r="K137" s="45"/>
      <c r="L137" s="46"/>
      <c r="M137" s="46"/>
      <c r="N137" s="70"/>
      <c r="O137" s="47"/>
    </row>
    <row r="138" spans="2:15" x14ac:dyDescent="0.25">
      <c r="B138" s="63">
        <v>37825.5</v>
      </c>
      <c r="C138" s="64">
        <v>0.57123000782</v>
      </c>
      <c r="D138" s="147">
        <v>5.8738633411898597E-2</v>
      </c>
      <c r="E138" s="64">
        <f t="shared" si="25"/>
        <v>0.11512772148732124</v>
      </c>
      <c r="F138" s="71">
        <f t="shared" si="26"/>
        <v>0.42876999218</v>
      </c>
      <c r="G138" s="64"/>
      <c r="H138" s="64"/>
      <c r="I138" s="53"/>
      <c r="J138" s="44"/>
      <c r="K138" s="45"/>
      <c r="L138" s="46"/>
      <c r="M138" s="46"/>
      <c r="N138" s="70"/>
      <c r="O138" s="47"/>
    </row>
    <row r="139" spans="2:15" x14ac:dyDescent="0.25">
      <c r="B139" s="63">
        <v>37834.5</v>
      </c>
      <c r="C139" s="64">
        <v>1</v>
      </c>
      <c r="D139" s="147">
        <v>2.5000000000000001E-2</v>
      </c>
      <c r="E139" s="64">
        <f t="shared" si="25"/>
        <v>4.9000000000000002E-2</v>
      </c>
      <c r="F139" s="71">
        <f t="shared" si="26"/>
        <v>0</v>
      </c>
      <c r="G139" s="64"/>
      <c r="H139" s="64"/>
      <c r="I139" s="53"/>
      <c r="J139" s="44"/>
      <c r="K139" s="45"/>
      <c r="L139" s="46"/>
      <c r="M139" s="46"/>
      <c r="N139" s="70"/>
      <c r="O139" s="47"/>
    </row>
    <row r="140" spans="2:15" x14ac:dyDescent="0.25">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v>37766.5</v>
      </c>
      <c r="D152" s="65">
        <v>0.99937189731766174</v>
      </c>
      <c r="E152" s="65"/>
      <c r="F152" s="71"/>
      <c r="G152" s="64"/>
      <c r="H152" s="64"/>
      <c r="I152" s="53"/>
      <c r="J152" s="44"/>
      <c r="K152" s="45"/>
      <c r="L152" s="46"/>
      <c r="M152" s="46"/>
      <c r="N152" s="70"/>
      <c r="O152" s="47"/>
    </row>
    <row r="153" spans="2:15" x14ac:dyDescent="0.25">
      <c r="B153" s="63"/>
      <c r="C153" s="64">
        <v>37767.5</v>
      </c>
      <c r="D153" s="65">
        <v>0.99927033440039681</v>
      </c>
      <c r="E153" s="65"/>
      <c r="F153" s="71"/>
      <c r="G153" s="64"/>
      <c r="H153" s="64"/>
      <c r="I153" s="53"/>
      <c r="J153" s="44"/>
      <c r="K153" s="45"/>
      <c r="L153" s="46"/>
      <c r="M153" s="46"/>
      <c r="N153" s="70"/>
      <c r="O153" s="47"/>
    </row>
    <row r="154" spans="2:15" x14ac:dyDescent="0.25">
      <c r="B154" s="63"/>
      <c r="C154" s="64">
        <v>37768.5</v>
      </c>
      <c r="D154" s="65">
        <v>0.99915236289651199</v>
      </c>
      <c r="E154" s="65"/>
      <c r="F154" s="71"/>
      <c r="G154" s="64"/>
      <c r="H154" s="64"/>
      <c r="I154" s="53"/>
      <c r="J154" s="44"/>
      <c r="K154" s="45"/>
      <c r="L154" s="46"/>
      <c r="M154" s="46"/>
      <c r="N154" s="70"/>
      <c r="O154" s="47"/>
    </row>
    <row r="155" spans="2:15" x14ac:dyDescent="0.25">
      <c r="B155" s="63"/>
      <c r="C155" s="64">
        <v>37769.5</v>
      </c>
      <c r="D155" s="65">
        <v>0.9990153366888026</v>
      </c>
      <c r="E155" s="65"/>
      <c r="F155" s="71"/>
      <c r="G155" s="64"/>
      <c r="H155" s="64"/>
      <c r="I155" s="53"/>
      <c r="J155" s="44"/>
      <c r="K155" s="45"/>
      <c r="L155" s="46"/>
      <c r="M155" s="46"/>
      <c r="N155" s="70"/>
      <c r="O155" s="47"/>
    </row>
    <row r="156" spans="2:15" x14ac:dyDescent="0.25">
      <c r="B156" s="63"/>
      <c r="C156" s="64">
        <v>37770.5</v>
      </c>
      <c r="D156" s="65">
        <v>0.99885618463641579</v>
      </c>
      <c r="E156" s="65"/>
      <c r="F156" s="71"/>
      <c r="G156" s="64"/>
      <c r="H156" s="64"/>
      <c r="I156" s="53"/>
      <c r="J156" s="44"/>
      <c r="K156" s="45"/>
      <c r="L156" s="46"/>
      <c r="M156" s="46"/>
      <c r="N156" s="70"/>
      <c r="O156" s="47"/>
    </row>
    <row r="157" spans="2:15" x14ac:dyDescent="0.25">
      <c r="B157" s="63"/>
      <c r="C157" s="64">
        <v>37771.5</v>
      </c>
      <c r="D157" s="65">
        <v>0.9986713429007984</v>
      </c>
      <c r="E157" s="65"/>
      <c r="F157" s="71"/>
      <c r="G157" s="64"/>
      <c r="H157" s="64"/>
      <c r="I157" s="53"/>
      <c r="J157" s="44"/>
      <c r="K157" s="45"/>
      <c r="L157" s="46"/>
      <c r="M157" s="46"/>
      <c r="N157" s="70"/>
      <c r="O157" s="47"/>
    </row>
    <row r="158" spans="2:15" x14ac:dyDescent="0.25">
      <c r="B158" s="63"/>
      <c r="C158" s="64">
        <v>37772.5</v>
      </c>
      <c r="D158" s="65">
        <v>0.9984566767039742</v>
      </c>
      <c r="E158" s="65"/>
      <c r="F158" s="71"/>
      <c r="G158" s="64"/>
      <c r="H158" s="64"/>
      <c r="I158" s="53"/>
      <c r="J158" s="44"/>
      <c r="K158" s="45"/>
      <c r="L158" s="46"/>
      <c r="M158" s="46"/>
      <c r="N158" s="70"/>
      <c r="O158" s="47"/>
    </row>
    <row r="159" spans="2:15" x14ac:dyDescent="0.25">
      <c r="B159" s="63"/>
      <c r="C159" s="64">
        <v>37773.5</v>
      </c>
      <c r="D159" s="65">
        <v>0.99820738994185276</v>
      </c>
      <c r="E159" s="65"/>
      <c r="F159" s="71"/>
      <c r="G159" s="64"/>
      <c r="H159" s="64"/>
      <c r="I159" s="53"/>
      <c r="J159" s="44"/>
      <c r="K159" s="45"/>
      <c r="L159" s="46"/>
      <c r="M159" s="46"/>
      <c r="N159" s="70"/>
      <c r="O159" s="47"/>
    </row>
    <row r="160" spans="2:15" x14ac:dyDescent="0.25">
      <c r="B160" s="63"/>
      <c r="C160" s="64">
        <v>37774.5</v>
      </c>
      <c r="D160" s="65">
        <v>0.99791792086573672</v>
      </c>
      <c r="E160" s="65"/>
      <c r="F160" s="71"/>
      <c r="G160" s="64"/>
      <c r="H160" s="64"/>
      <c r="I160" s="53"/>
      <c r="J160" s="44"/>
      <c r="K160" s="45"/>
      <c r="L160" s="46"/>
      <c r="M160" s="46"/>
      <c r="N160" s="70"/>
      <c r="O160" s="47"/>
    </row>
    <row r="161" spans="2:9" x14ac:dyDescent="0.25">
      <c r="B161" s="63"/>
      <c r="C161" s="64">
        <v>37775.5</v>
      </c>
      <c r="D161" s="65">
        <v>0.99758182181733823</v>
      </c>
      <c r="E161" s="65"/>
      <c r="F161" s="71"/>
      <c r="G161" s="64"/>
      <c r="H161" s="64"/>
      <c r="I161" s="53"/>
    </row>
    <row r="162" spans="2:9" x14ac:dyDescent="0.25">
      <c r="B162" s="63"/>
      <c r="C162" s="64">
        <v>37776.5</v>
      </c>
      <c r="D162" s="65">
        <v>0.99719162075867385</v>
      </c>
      <c r="E162" s="65"/>
      <c r="F162" s="71"/>
      <c r="G162" s="64"/>
      <c r="H162" s="64"/>
      <c r="I162" s="53"/>
    </row>
    <row r="163" spans="2:9" x14ac:dyDescent="0.25">
      <c r="B163" s="63"/>
      <c r="C163" s="64">
        <v>37777.5</v>
      </c>
      <c r="D163" s="65">
        <v>0.99673866208252038</v>
      </c>
      <c r="E163" s="65"/>
      <c r="F163" s="71"/>
      <c r="G163" s="64"/>
      <c r="H163" s="64"/>
      <c r="I163" s="53"/>
    </row>
    <row r="164" spans="2:9" x14ac:dyDescent="0.25">
      <c r="B164" s="63"/>
      <c r="C164" s="64">
        <v>37778.5</v>
      </c>
      <c r="D164" s="65">
        <v>0.99621292392889316</v>
      </c>
      <c r="E164" s="65"/>
      <c r="F164" s="71"/>
      <c r="G164" s="64"/>
      <c r="H164" s="64"/>
      <c r="I164" s="53"/>
    </row>
    <row r="165" spans="2:9" x14ac:dyDescent="0.25">
      <c r="B165" s="63"/>
      <c r="C165" s="64">
        <v>37779.5</v>
      </c>
      <c r="D165" s="65">
        <v>0.99560280897956932</v>
      </c>
      <c r="E165" s="65"/>
      <c r="F165" s="71"/>
      <c r="G165" s="64"/>
      <c r="H165" s="64"/>
      <c r="I165" s="53"/>
    </row>
    <row r="166" spans="2:9" x14ac:dyDescent="0.25">
      <c r="B166" s="63"/>
      <c r="C166" s="64">
        <v>37780.5</v>
      </c>
      <c r="D166" s="65">
        <v>0.9948949054728613</v>
      </c>
      <c r="E166" s="65"/>
      <c r="F166" s="71"/>
      <c r="G166" s="64"/>
      <c r="H166" s="64"/>
      <c r="I166" s="53"/>
    </row>
    <row r="167" spans="2:9" x14ac:dyDescent="0.25">
      <c r="B167" s="63"/>
      <c r="C167" s="64">
        <v>37781.5</v>
      </c>
      <c r="D167" s="65">
        <v>0.99407371499902086</v>
      </c>
      <c r="E167" s="65"/>
      <c r="F167" s="71"/>
      <c r="G167" s="64"/>
      <c r="H167" s="64"/>
      <c r="I167" s="53"/>
    </row>
    <row r="168" spans="2:9" x14ac:dyDescent="0.25">
      <c r="B168" s="63"/>
      <c r="C168" s="64">
        <v>37782.5</v>
      </c>
      <c r="D168" s="65">
        <v>0.99312134353716319</v>
      </c>
      <c r="E168" s="65"/>
      <c r="F168" s="71"/>
      <c r="G168" s="64"/>
      <c r="H168" s="64"/>
      <c r="I168" s="53"/>
    </row>
    <row r="169" spans="2:9" x14ac:dyDescent="0.25">
      <c r="B169" s="63"/>
      <c r="C169" s="64">
        <v>37783.5</v>
      </c>
      <c r="D169" s="65">
        <v>0.99201715222492926</v>
      </c>
      <c r="E169" s="65"/>
      <c r="F169" s="71"/>
      <c r="G169" s="64"/>
      <c r="H169" s="64"/>
      <c r="I169" s="53"/>
    </row>
    <row r="170" spans="2:9" x14ac:dyDescent="0.25">
      <c r="B170" s="63"/>
      <c r="C170" s="64">
        <v>37784.5</v>
      </c>
      <c r="D170" s="65">
        <v>0.99073736457669048</v>
      </c>
      <c r="E170" s="65"/>
      <c r="F170" s="71"/>
      <c r="G170" s="64"/>
      <c r="H170" s="64"/>
      <c r="I170" s="53"/>
    </row>
    <row r="171" spans="2:9" x14ac:dyDescent="0.25">
      <c r="B171" s="63"/>
      <c r="C171" s="64">
        <v>37785.5</v>
      </c>
      <c r="D171" s="65">
        <v>0.9892546273709848</v>
      </c>
      <c r="E171" s="65"/>
      <c r="F171" s="71"/>
      <c r="G171" s="64"/>
      <c r="H171" s="64"/>
      <c r="I171" s="53"/>
    </row>
    <row r="172" spans="2:9" x14ac:dyDescent="0.25">
      <c r="B172" s="63"/>
      <c r="C172" s="64">
        <v>37786.5</v>
      </c>
      <c r="D172" s="65">
        <v>0.98753752332597144</v>
      </c>
      <c r="E172" s="65"/>
      <c r="F172" s="71"/>
      <c r="G172" s="64"/>
      <c r="H172" s="64"/>
      <c r="I172" s="53"/>
    </row>
    <row r="173" spans="2:9" x14ac:dyDescent="0.25">
      <c r="B173" s="63"/>
      <c r="C173" s="64">
        <v>37787.5</v>
      </c>
      <c r="D173" s="65">
        <v>0.98555003511863482</v>
      </c>
      <c r="E173" s="65"/>
      <c r="F173" s="71"/>
      <c r="G173" s="64"/>
      <c r="H173" s="64"/>
      <c r="I173" s="53"/>
    </row>
    <row r="174" spans="2:9" x14ac:dyDescent="0.25">
      <c r="B174" s="63"/>
      <c r="C174" s="64">
        <v>37788.5</v>
      </c>
      <c r="D174" s="65">
        <v>0.98325096246333232</v>
      </c>
      <c r="E174" s="65"/>
      <c r="F174" s="71"/>
      <c r="G174" s="64"/>
      <c r="H174" s="64"/>
      <c r="I174" s="53"/>
    </row>
    <row r="175" spans="2:9" x14ac:dyDescent="0.25">
      <c r="B175" s="63"/>
      <c r="C175" s="64">
        <v>37789.5</v>
      </c>
      <c r="D175" s="65">
        <v>0.98059329707541876</v>
      </c>
      <c r="E175" s="65"/>
      <c r="F175" s="71"/>
      <c r="G175" s="64"/>
      <c r="H175" s="64"/>
      <c r="I175" s="53"/>
    </row>
    <row r="176" spans="2:9" x14ac:dyDescent="0.25">
      <c r="B176" s="63"/>
      <c r="C176" s="64">
        <v>37790.5</v>
      </c>
      <c r="D176" s="65">
        <v>0.97752356467890367</v>
      </c>
      <c r="E176" s="65"/>
      <c r="F176" s="71"/>
      <c r="G176" s="64"/>
      <c r="H176" s="64"/>
      <c r="I176" s="53"/>
    </row>
    <row r="177" spans="2:9" x14ac:dyDescent="0.25">
      <c r="B177" s="63"/>
      <c r="C177" s="64">
        <v>37791.5</v>
      </c>
      <c r="D177" s="65">
        <v>0.97398114908861111</v>
      </c>
      <c r="E177" s="65"/>
      <c r="F177" s="71"/>
      <c r="G177" s="64"/>
      <c r="H177" s="64"/>
      <c r="I177" s="53"/>
    </row>
    <row r="178" spans="2:9" x14ac:dyDescent="0.25">
      <c r="B178" s="63"/>
      <c r="C178" s="64">
        <v>37792.5</v>
      </c>
      <c r="D178" s="65">
        <v>0.96989762115253808</v>
      </c>
      <c r="E178" s="65"/>
      <c r="F178" s="71"/>
      <c r="G178" s="64"/>
      <c r="H178" s="64"/>
      <c r="I178" s="53"/>
    </row>
    <row r="179" spans="2:9" x14ac:dyDescent="0.25">
      <c r="B179" s="63"/>
      <c r="C179" s="64">
        <v>37793.5</v>
      </c>
      <c r="D179" s="65">
        <v>0.96519610532756117</v>
      </c>
      <c r="E179" s="65"/>
      <c r="F179" s="71"/>
      <c r="G179" s="64"/>
      <c r="H179" s="64"/>
      <c r="I179" s="53"/>
    </row>
    <row r="180" spans="2:9" x14ac:dyDescent="0.25">
      <c r="B180" s="63"/>
      <c r="C180" s="64">
        <v>37794.5</v>
      </c>
      <c r="D180" s="65">
        <v>0.95979072918333619</v>
      </c>
      <c r="E180" s="65"/>
      <c r="F180" s="71"/>
      <c r="G180" s="64"/>
      <c r="H180" s="64"/>
      <c r="I180" s="53"/>
    </row>
    <row r="181" spans="2:9" x14ac:dyDescent="0.25">
      <c r="B181" s="63"/>
      <c r="C181" s="64">
        <v>37795.5</v>
      </c>
      <c r="D181" s="65">
        <v>0.95358621635903895</v>
      </c>
      <c r="E181" s="65"/>
      <c r="F181" s="71"/>
      <c r="G181" s="64"/>
      <c r="H181" s="64"/>
      <c r="I181" s="53"/>
    </row>
    <row r="182" spans="2:9" x14ac:dyDescent="0.25">
      <c r="B182" s="63"/>
      <c r="C182" s="64">
        <v>37796.5</v>
      </c>
      <c r="D182" s="65">
        <v>0.94647770135664244</v>
      </c>
      <c r="E182" s="65"/>
      <c r="F182" s="71"/>
      <c r="G182" s="64"/>
      <c r="H182" s="64"/>
      <c r="I182" s="53"/>
    </row>
    <row r="183" spans="2:9" x14ac:dyDescent="0.25">
      <c r="B183" s="63"/>
      <c r="C183" s="64">
        <v>37797.5</v>
      </c>
      <c r="D183" s="65">
        <v>0.93835086453417804</v>
      </c>
      <c r="E183" s="65"/>
      <c r="F183" s="71"/>
      <c r="G183" s="64"/>
      <c r="H183" s="64"/>
      <c r="I183" s="53"/>
    </row>
    <row r="184" spans="2:9" x14ac:dyDescent="0.25">
      <c r="B184" s="63"/>
      <c r="C184" s="64">
        <v>37798.5</v>
      </c>
      <c r="D184" s="65">
        <v>0.92908250659040403</v>
      </c>
      <c r="E184" s="65"/>
      <c r="F184" s="71"/>
      <c r="G184" s="64"/>
      <c r="H184" s="64"/>
      <c r="I184" s="53"/>
    </row>
    <row r="185" spans="2:9" x14ac:dyDescent="0.25">
      <c r="B185" s="63"/>
      <c r="C185" s="64">
        <v>37799.5</v>
      </c>
      <c r="D185" s="65">
        <v>0.91854170158897652</v>
      </c>
      <c r="E185" s="65"/>
      <c r="F185" s="71"/>
      <c r="G185" s="64"/>
      <c r="H185" s="64"/>
      <c r="I185" s="53"/>
    </row>
    <row r="186" spans="2:9" x14ac:dyDescent="0.25">
      <c r="B186" s="63"/>
      <c r="C186" s="64">
        <v>37800.5</v>
      </c>
      <c r="D186" s="65">
        <v>0.90659168278816871</v>
      </c>
      <c r="E186" s="65"/>
      <c r="F186" s="71"/>
      <c r="G186" s="64"/>
      <c r="H186" s="64"/>
      <c r="I186" s="53"/>
    </row>
    <row r="187" spans="2:9" x14ac:dyDescent="0.25">
      <c r="B187" s="63"/>
      <c r="C187" s="64">
        <v>37801.5</v>
      </c>
      <c r="D187" s="65">
        <v>0.89309262135735867</v>
      </c>
      <c r="E187" s="65"/>
      <c r="F187" s="71"/>
      <c r="G187" s="64"/>
      <c r="H187" s="64"/>
      <c r="I187" s="53"/>
    </row>
    <row r="188" spans="2:9" x14ac:dyDescent="0.25">
      <c r="B188" s="63"/>
      <c r="C188" s="64">
        <v>37802.5</v>
      </c>
      <c r="D188" s="65">
        <v>0.87790544803816573</v>
      </c>
      <c r="E188" s="65"/>
      <c r="F188" s="71"/>
      <c r="G188" s="64"/>
      <c r="H188" s="64"/>
      <c r="I188" s="53"/>
    </row>
    <row r="189" spans="2:9" x14ac:dyDescent="0.25">
      <c r="C189" s="4">
        <v>37803.5</v>
      </c>
      <c r="D189" s="65">
        <v>0.86089683421987606</v>
      </c>
      <c r="E189" s="65"/>
      <c r="F189" s="71"/>
      <c r="G189" s="64"/>
      <c r="H189" s="64"/>
      <c r="I189" s="53"/>
    </row>
    <row r="190" spans="2:9" x14ac:dyDescent="0.25">
      <c r="C190" s="4">
        <v>37804.5</v>
      </c>
      <c r="D190" s="65">
        <v>0.84194538359625493</v>
      </c>
      <c r="E190" s="65"/>
      <c r="F190" s="71"/>
      <c r="G190" s="64"/>
      <c r="H190" s="64"/>
      <c r="I190" s="53"/>
    </row>
    <row r="191" spans="2:9" x14ac:dyDescent="0.25">
      <c r="B191" s="63"/>
      <c r="C191" s="64">
        <v>37805.5</v>
      </c>
      <c r="D191" s="65">
        <v>0.82094898166426189</v>
      </c>
      <c r="E191" s="65"/>
      <c r="F191" s="71"/>
      <c r="G191" s="64"/>
      <c r="H191" s="64"/>
      <c r="I191" s="53"/>
    </row>
    <row r="192" spans="2:9" x14ac:dyDescent="0.25">
      <c r="B192" s="63"/>
      <c r="C192" s="64">
        <v>37806.5</v>
      </c>
      <c r="D192" s="65">
        <v>0.79783310480175662</v>
      </c>
      <c r="E192" s="65"/>
      <c r="F192" s="72"/>
      <c r="G192" s="64"/>
      <c r="H192" s="64"/>
      <c r="I192" s="53"/>
    </row>
    <row r="193" spans="2:9" x14ac:dyDescent="0.25">
      <c r="B193" s="72"/>
      <c r="C193" s="64">
        <v>37807.5</v>
      </c>
      <c r="D193" s="64">
        <v>0.7725597077788241</v>
      </c>
      <c r="E193" s="65"/>
      <c r="F193" s="72"/>
      <c r="G193" s="64"/>
      <c r="H193" s="64"/>
      <c r="I193" s="53"/>
    </row>
    <row r="194" spans="2:9" x14ac:dyDescent="0.25">
      <c r="C194" s="9">
        <v>37808.5</v>
      </c>
      <c r="D194" s="9">
        <v>0.74513610338185698</v>
      </c>
      <c r="E194" s="65"/>
      <c r="G194" s="53"/>
      <c r="H194" s="53"/>
      <c r="I194" s="53"/>
    </row>
    <row r="195" spans="2:9" x14ac:dyDescent="0.25">
      <c r="C195" s="9">
        <v>37809.5</v>
      </c>
      <c r="D195" s="9">
        <v>0.71562304867688131</v>
      </c>
      <c r="E195" s="65"/>
      <c r="G195" s="53"/>
      <c r="H195" s="53"/>
      <c r="I195" s="53"/>
    </row>
    <row r="196" spans="2:9" x14ac:dyDescent="0.25">
      <c r="C196" s="9">
        <v>37810.5</v>
      </c>
      <c r="D196" s="9">
        <v>0.68414110046366616</v>
      </c>
      <c r="E196" s="65"/>
      <c r="G196" s="53"/>
      <c r="H196" s="53"/>
      <c r="I196" s="53"/>
    </row>
    <row r="197" spans="2:9" x14ac:dyDescent="0.25">
      <c r="C197" s="9">
        <v>37811.5</v>
      </c>
      <c r="D197" s="9">
        <v>0.65087424661609383</v>
      </c>
      <c r="E197" s="65"/>
      <c r="G197" s="53"/>
      <c r="H197" s="53"/>
      <c r="I197" s="53"/>
    </row>
    <row r="198" spans="2:9" x14ac:dyDescent="0.25">
      <c r="C198" s="9">
        <v>37812.5</v>
      </c>
      <c r="D198" s="9">
        <v>0.61606990640824155</v>
      </c>
      <c r="E198" s="65"/>
      <c r="G198" s="53"/>
      <c r="H198" s="53"/>
      <c r="I198" s="53"/>
    </row>
    <row r="199" spans="2:9" x14ac:dyDescent="0.25">
      <c r="C199" s="9">
        <v>37813.5</v>
      </c>
      <c r="D199" s="9">
        <v>0.58003464995789233</v>
      </c>
      <c r="E199" s="65"/>
      <c r="G199" s="53"/>
      <c r="H199" s="53"/>
      <c r="I199" s="53"/>
    </row>
    <row r="200" spans="2:9" x14ac:dyDescent="0.25">
      <c r="C200" s="9">
        <v>37814.5</v>
      </c>
      <c r="D200" s="9">
        <v>0.54312540973269186</v>
      </c>
      <c r="E200" s="65"/>
      <c r="G200" s="53"/>
      <c r="H200" s="53"/>
      <c r="I200" s="53"/>
    </row>
    <row r="201" spans="2:9" x14ac:dyDescent="0.25">
      <c r="C201" s="9">
        <v>37815.5</v>
      </c>
      <c r="D201" s="9">
        <v>0.50573649787531938</v>
      </c>
      <c r="E201" s="65"/>
      <c r="G201" s="53"/>
      <c r="H201" s="53"/>
      <c r="I201" s="53"/>
    </row>
    <row r="202" spans="2:9" x14ac:dyDescent="0.25">
      <c r="C202" s="9">
        <v>37816.5</v>
      </c>
      <c r="D202" s="9">
        <v>0.46828331346233132</v>
      </c>
      <c r="E202" s="65"/>
      <c r="G202" s="53"/>
      <c r="H202" s="53"/>
      <c r="I202" s="53"/>
    </row>
    <row r="203" spans="2:9" x14ac:dyDescent="0.25">
      <c r="C203" s="9">
        <v>37817.5</v>
      </c>
      <c r="D203" s="9">
        <v>0.43118411183772998</v>
      </c>
      <c r="E203" s="65"/>
      <c r="G203" s="53"/>
      <c r="H203" s="53"/>
      <c r="I203" s="53"/>
    </row>
    <row r="204" spans="2:9" x14ac:dyDescent="0.25">
      <c r="C204" s="9">
        <v>37818.5</v>
      </c>
      <c r="D204" s="9">
        <v>0.39484150763108683</v>
      </c>
      <c r="E204" s="65"/>
      <c r="G204" s="53"/>
      <c r="H204" s="53"/>
      <c r="I204" s="53"/>
    </row>
    <row r="205" spans="2:9" x14ac:dyDescent="0.25">
      <c r="C205" s="9">
        <v>37819.5</v>
      </c>
      <c r="D205" s="9">
        <v>0.35962542496913763</v>
      </c>
      <c r="E205" s="65"/>
      <c r="G205" s="53"/>
      <c r="H205" s="53"/>
      <c r="I205" s="53"/>
    </row>
    <row r="206" spans="2:9" x14ac:dyDescent="0.25">
      <c r="C206" s="9">
        <v>37820.5</v>
      </c>
      <c r="D206" s="9">
        <v>0.32585898285623605</v>
      </c>
      <c r="E206" s="65"/>
      <c r="G206" s="53"/>
      <c r="H206" s="53"/>
      <c r="I206" s="53"/>
    </row>
    <row r="207" spans="2:9" x14ac:dyDescent="0.25">
      <c r="C207" s="9">
        <v>37821.5</v>
      </c>
      <c r="D207" s="9">
        <v>0.29380836323121118</v>
      </c>
      <c r="E207" s="65"/>
      <c r="G207" s="53"/>
      <c r="H207" s="53"/>
      <c r="I207" s="53"/>
    </row>
    <row r="208" spans="2:9" x14ac:dyDescent="0.25">
      <c r="C208" s="9">
        <v>37822.5</v>
      </c>
      <c r="D208" s="9">
        <v>0.26367715178528073</v>
      </c>
      <c r="E208" s="65"/>
      <c r="G208" s="53"/>
      <c r="H208" s="53"/>
      <c r="I208" s="53"/>
    </row>
    <row r="209" spans="3:9" x14ac:dyDescent="0.25">
      <c r="C209" s="9">
        <v>37823.5</v>
      </c>
      <c r="D209" s="9">
        <v>0.23560508082824672</v>
      </c>
      <c r="E209" s="65"/>
      <c r="G209" s="53"/>
      <c r="H209" s="53"/>
      <c r="I209" s="53"/>
    </row>
    <row r="210" spans="3:9" x14ac:dyDescent="0.25">
      <c r="C210" s="9">
        <v>37824.5</v>
      </c>
      <c r="D210" s="9">
        <v>0.20967063743947068</v>
      </c>
      <c r="E210" s="65"/>
      <c r="G210" s="53"/>
      <c r="H210" s="53"/>
      <c r="I210" s="53"/>
    </row>
    <row r="211" spans="3:9" x14ac:dyDescent="0.25">
      <c r="C211" s="9">
        <v>37825.5</v>
      </c>
      <c r="D211" s="9">
        <v>0.18589668998513509</v>
      </c>
      <c r="E211" s="65"/>
      <c r="G211" s="53"/>
      <c r="H211" s="53"/>
      <c r="I211" s="53"/>
    </row>
    <row r="212" spans="3:9" x14ac:dyDescent="0.25">
      <c r="C212" s="9">
        <v>37826.5</v>
      </c>
      <c r="D212" s="9">
        <v>0.16425814922380866</v>
      </c>
      <c r="E212" s="65"/>
      <c r="G212" s="53"/>
      <c r="H212" s="53"/>
      <c r="I212" s="53"/>
    </row>
    <row r="213" spans="3:9" x14ac:dyDescent="0.25">
      <c r="C213" s="9">
        <v>37827.5</v>
      </c>
      <c r="D213" s="9">
        <v>0.14469069694444792</v>
      </c>
      <c r="E213" s="65"/>
      <c r="G213" s="53"/>
      <c r="H213" s="53"/>
      <c r="I213" s="53"/>
    </row>
    <row r="214" spans="3:9" x14ac:dyDescent="0.25">
      <c r="C214" s="9">
        <v>37828.5</v>
      </c>
      <c r="D214" s="9">
        <v>0.12709974296797055</v>
      </c>
      <c r="E214" s="65"/>
      <c r="G214" s="53"/>
      <c r="H214" s="53"/>
      <c r="I214" s="53"/>
    </row>
    <row r="215" spans="3:9" x14ac:dyDescent="0.25">
      <c r="C215" s="9">
        <v>37829.5</v>
      </c>
      <c r="D215" s="9">
        <v>0.11136896093811099</v>
      </c>
      <c r="E215" s="65"/>
      <c r="G215" s="53"/>
      <c r="H215" s="53"/>
      <c r="I215" s="53"/>
    </row>
    <row r="216" spans="3:9" x14ac:dyDescent="0.25">
      <c r="C216" s="9">
        <v>37830.5</v>
      </c>
      <c r="D216" s="9">
        <v>9.7367960303295087E-2</v>
      </c>
      <c r="E216" s="65"/>
      <c r="G216" s="53"/>
      <c r="H216" s="53"/>
      <c r="I216" s="53"/>
    </row>
    <row r="217" spans="3:9" x14ac:dyDescent="0.25">
      <c r="C217" s="9">
        <v>37831.5</v>
      </c>
      <c r="D217" s="9">
        <v>8.4958843777534709E-2</v>
      </c>
      <c r="E217" s="65"/>
      <c r="G217" s="53"/>
      <c r="H217" s="53"/>
      <c r="I217" s="53"/>
    </row>
    <row r="218" spans="3:9" x14ac:dyDescent="0.25">
      <c r="C218" s="9">
        <v>37832.5</v>
      </c>
      <c r="D218" s="9">
        <v>7.4001557409438701E-2</v>
      </c>
      <c r="E218" s="65"/>
      <c r="G218" s="53"/>
      <c r="H218" s="53"/>
      <c r="I218" s="53"/>
    </row>
    <row r="219" spans="3:9" x14ac:dyDescent="0.25">
      <c r="C219" s="9">
        <v>37833.5</v>
      </c>
      <c r="D219" s="9">
        <v>6.4358056974210931E-2</v>
      </c>
      <c r="E219" s="65"/>
      <c r="G219" s="53"/>
      <c r="H219" s="53"/>
      <c r="I219" s="53"/>
    </row>
    <row r="220" spans="3:9" x14ac:dyDescent="0.25">
      <c r="C220" s="9">
        <v>37834.5</v>
      </c>
      <c r="D220" s="9">
        <v>5.5895390906604558E-2</v>
      </c>
      <c r="E220" s="65"/>
      <c r="G220" s="53"/>
      <c r="H220" s="53"/>
      <c r="I220" s="53"/>
    </row>
    <row r="221" spans="3:9" x14ac:dyDescent="0.25">
      <c r="C221" s="9">
        <v>37835.5</v>
      </c>
      <c r="D221" s="9">
        <v>4.8487842437026307E-2</v>
      </c>
      <c r="E221" s="65"/>
      <c r="G221" s="53"/>
      <c r="H221" s="53"/>
      <c r="I221" s="53"/>
    </row>
    <row r="222" spans="3:9" x14ac:dyDescent="0.25">
      <c r="C222" s="9">
        <v>37836.5</v>
      </c>
      <c r="D222" s="9">
        <v>4.2018289963551392E-2</v>
      </c>
      <c r="E222" s="65"/>
      <c r="G222" s="53"/>
      <c r="H222" s="53"/>
      <c r="I222" s="53"/>
    </row>
    <row r="223" spans="3:9" x14ac:dyDescent="0.25">
      <c r="C223" s="9">
        <v>37837.5</v>
      </c>
      <c r="D223" s="9">
        <v>3.6378942971083794E-2</v>
      </c>
      <c r="E223" s="65"/>
      <c r="G223" s="53"/>
      <c r="H223" s="53"/>
      <c r="I223" s="53"/>
    </row>
    <row r="224" spans="3:9" x14ac:dyDescent="0.25">
      <c r="C224" s="9">
        <v>37838.5</v>
      </c>
      <c r="D224" s="9">
        <v>3.147159787810494E-2</v>
      </c>
      <c r="E224" s="65"/>
      <c r="G224" s="53"/>
      <c r="H224" s="53"/>
      <c r="I224" s="53"/>
    </row>
    <row r="225" spans="3:9" x14ac:dyDescent="0.25">
      <c r="C225" s="9">
        <v>37839.5</v>
      </c>
      <c r="D225" s="9">
        <v>2.7207539400781577E-2</v>
      </c>
      <c r="E225" s="65"/>
      <c r="G225" s="53"/>
      <c r="H225" s="53"/>
      <c r="I225" s="53"/>
    </row>
    <row r="226" spans="3:9" x14ac:dyDescent="0.25">
      <c r="C226" s="9">
        <v>37840.5</v>
      </c>
      <c r="D226" s="9">
        <v>2.350719217767816E-2</v>
      </c>
      <c r="E226" s="65"/>
      <c r="G226" s="53"/>
      <c r="H226" s="53"/>
      <c r="I226" s="53"/>
    </row>
    <row r="227" spans="3:9" x14ac:dyDescent="0.25">
      <c r="C227" s="9">
        <v>37841.5</v>
      </c>
      <c r="D227" s="9">
        <v>2.0299606966050265E-2</v>
      </c>
      <c r="E227" s="65"/>
      <c r="G227" s="53"/>
      <c r="H227" s="53"/>
      <c r="I227" s="53"/>
    </row>
    <row r="228" spans="3:9" x14ac:dyDescent="0.25">
      <c r="C228" s="9">
        <v>37842.5</v>
      </c>
      <c r="D228" s="9">
        <v>1.7521847133122215E-2</v>
      </c>
      <c r="E228" s="65"/>
      <c r="G228" s="53"/>
      <c r="H228" s="53"/>
      <c r="I228" s="53"/>
    </row>
    <row r="229" spans="3:9" x14ac:dyDescent="0.25">
      <c r="C229" s="9">
        <v>37843.5</v>
      </c>
      <c r="D229" s="9">
        <v>1.511832510717781E-2</v>
      </c>
      <c r="E229" s="65"/>
      <c r="G229" s="53"/>
      <c r="H229" s="53"/>
      <c r="I229" s="53"/>
    </row>
    <row r="230" spans="3:9" x14ac:dyDescent="0.25">
      <c r="C230" s="9">
        <v>37844.5</v>
      </c>
      <c r="D230" s="9">
        <v>1.3040125112587564E-2</v>
      </c>
      <c r="E230" s="65"/>
      <c r="G230" s="53"/>
      <c r="H230" s="53"/>
      <c r="I230" s="53"/>
    </row>
    <row r="231" spans="3:9" x14ac:dyDescent="0.25">
      <c r="C231" s="9">
        <v>37845.5</v>
      </c>
      <c r="D231" s="9">
        <v>1.1244337778071323E-2</v>
      </c>
      <c r="E231" s="65"/>
      <c r="G231" s="53"/>
      <c r="H231" s="53"/>
      <c r="I231" s="53"/>
    </row>
    <row r="232" spans="3:9" x14ac:dyDescent="0.25">
      <c r="C232" s="9">
        <v>37846.5</v>
      </c>
      <c r="D232" s="9">
        <v>9.6934238053025812E-3</v>
      </c>
      <c r="E232" s="65"/>
      <c r="G232" s="53"/>
      <c r="H232" s="53"/>
      <c r="I232" s="53"/>
    </row>
    <row r="233" spans="3:9" x14ac:dyDescent="0.25">
      <c r="C233" s="9">
        <v>37847.5</v>
      </c>
      <c r="D233" s="9">
        <v>8.3546174745615653E-3</v>
      </c>
      <c r="E233" s="65"/>
      <c r="G233" s="53"/>
      <c r="H233" s="53"/>
      <c r="I233" s="53"/>
    </row>
    <row r="234" spans="3:9" x14ac:dyDescent="0.25">
      <c r="C234" s="9">
        <v>37848.5</v>
      </c>
      <c r="D234" s="9">
        <v>7.1993759954323E-3</v>
      </c>
      <c r="E234" s="65"/>
      <c r="G234" s="53"/>
      <c r="H234" s="53"/>
      <c r="I234" s="53"/>
    </row>
    <row r="235" spans="3:9" x14ac:dyDescent="0.25">
      <c r="C235" s="9">
        <v>37849.5</v>
      </c>
      <c r="D235" s="9">
        <v>6.2028772571940394E-3</v>
      </c>
      <c r="E235" s="65"/>
      <c r="G235" s="53"/>
      <c r="H235" s="53"/>
      <c r="I235" s="53"/>
    </row>
    <row r="236" spans="3:9" x14ac:dyDescent="0.25">
      <c r="C236" s="9">
        <v>37850.5</v>
      </c>
      <c r="D236" s="9">
        <v>5.3435661091475462E-3</v>
      </c>
      <c r="E236" s="65"/>
      <c r="G236" s="53"/>
      <c r="H236" s="53"/>
      <c r="I236" s="53"/>
    </row>
    <row r="237" spans="3:9" x14ac:dyDescent="0.25">
      <c r="C237" s="9">
        <v>37851.5</v>
      </c>
      <c r="D237" s="9">
        <v>4.6027476644416865E-3</v>
      </c>
      <c r="E237" s="65"/>
      <c r="G237" s="53"/>
      <c r="H237" s="53"/>
      <c r="I237" s="53"/>
    </row>
    <row r="238" spans="3:9" x14ac:dyDescent="0.25">
      <c r="C238" s="9">
        <v>37852.5</v>
      </c>
      <c r="D238" s="9">
        <v>3.9642250751049657E-3</v>
      </c>
      <c r="E238" s="65"/>
      <c r="G238" s="53"/>
      <c r="H238" s="53"/>
      <c r="I238" s="53"/>
    </row>
    <row r="239" spans="3:9" x14ac:dyDescent="0.25">
      <c r="C239" s="9">
        <v>37853.5</v>
      </c>
      <c r="D239" s="9">
        <v>3.4139786141772488E-3</v>
      </c>
      <c r="E239" s="65"/>
      <c r="G239" s="53"/>
      <c r="H239" s="53"/>
      <c r="I239" s="53"/>
    </row>
    <row r="240" spans="3:9" x14ac:dyDescent="0.25">
      <c r="C240" s="9">
        <v>37854.5</v>
      </c>
      <c r="D240" s="9">
        <v>2.9398826007416279E-3</v>
      </c>
      <c r="E240" s="65"/>
      <c r="G240" s="53"/>
      <c r="H240" s="53"/>
      <c r="I240" s="53"/>
    </row>
    <row r="241" spans="3:9" x14ac:dyDescent="0.25">
      <c r="C241" s="9">
        <v>37855.5</v>
      </c>
      <c r="D241" s="9">
        <v>2.5314566216378953E-3</v>
      </c>
      <c r="E241" s="65"/>
      <c r="G241" s="53"/>
      <c r="H241" s="53"/>
      <c r="I241" s="53"/>
    </row>
    <row r="242" spans="3:9" x14ac:dyDescent="0.25">
      <c r="C242" s="9">
        <v>37856.5</v>
      </c>
      <c r="D242" s="9">
        <v>2.1796475691444606E-3</v>
      </c>
      <c r="E242" s="65"/>
      <c r="G242" s="53"/>
      <c r="H242" s="53"/>
      <c r="I242" s="53"/>
    </row>
    <row r="243" spans="3:9" x14ac:dyDescent="0.25">
      <c r="C243" s="9">
        <v>37857.5</v>
      </c>
      <c r="D243" s="9">
        <v>1.8766391747334632E-3</v>
      </c>
      <c r="E243" s="65"/>
      <c r="G243" s="53"/>
      <c r="H243" s="53"/>
      <c r="I243" s="53"/>
    </row>
    <row r="244" spans="3:9" x14ac:dyDescent="0.25">
      <c r="C244" s="9">
        <v>37858.5</v>
      </c>
      <c r="D244" s="9">
        <v>1.6156859371333487E-3</v>
      </c>
      <c r="E244" s="65"/>
      <c r="G244" s="53"/>
      <c r="H244" s="53"/>
      <c r="I244" s="53"/>
    </row>
    <row r="245" spans="3:9" x14ac:dyDescent="0.25">
      <c r="C245" s="9">
        <v>37859.5</v>
      </c>
      <c r="D245" s="9">
        <v>1.3909685912373293E-3</v>
      </c>
      <c r="E245" s="65"/>
      <c r="G245" s="53"/>
      <c r="H245" s="53"/>
      <c r="I245" s="53"/>
    </row>
    <row r="246" spans="3:9" x14ac:dyDescent="0.25">
      <c r="C246" s="9">
        <v>37860.5</v>
      </c>
      <c r="D246" s="9">
        <v>1.1974685239601879E-3</v>
      </c>
      <c r="E246" s="65"/>
      <c r="G246" s="53"/>
      <c r="H246" s="53"/>
      <c r="I246" s="53"/>
    </row>
    <row r="247" spans="3:9" x14ac:dyDescent="0.25">
      <c r="C247" s="9">
        <v>37861.5</v>
      </c>
      <c r="D247" s="9">
        <v>1.0308588011587183E-3</v>
      </c>
      <c r="E247" s="65"/>
      <c r="G247" s="53"/>
      <c r="H247" s="53"/>
      <c r="I247" s="53"/>
    </row>
    <row r="248" spans="3:9" x14ac:dyDescent="0.25">
      <c r="C248" s="9">
        <v>37862.5</v>
      </c>
      <c r="D248" s="9">
        <v>8.8740971783596301E-4</v>
      </c>
      <c r="E248" s="65"/>
      <c r="G248" s="53"/>
      <c r="H248" s="53"/>
      <c r="I248" s="53"/>
    </row>
    <row r="249" spans="3:9" x14ac:dyDescent="0.25">
      <c r="C249" s="9">
        <v>37863.5</v>
      </c>
      <c r="D249" s="9">
        <v>7.6390701694539764E-4</v>
      </c>
      <c r="E249" s="65"/>
      <c r="G249" s="53"/>
      <c r="H249" s="53"/>
      <c r="I249" s="53"/>
    </row>
    <row r="250" spans="3:9" x14ac:dyDescent="0.25">
      <c r="C250" s="9">
        <v>37864.5</v>
      </c>
      <c r="D250" s="9">
        <v>6.5758113740532753E-4</v>
      </c>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zoomScaleNormal="100" workbookViewId="0">
      <selection activeCell="H129" sqref="H129"/>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2016</v>
      </c>
      <c r="B2" s="6">
        <v>1.3</v>
      </c>
      <c r="C2" s="4" t="s">
        <v>6</v>
      </c>
      <c r="F2" s="3" t="s">
        <v>0</v>
      </c>
      <c r="G2" s="7" t="s">
        <v>7</v>
      </c>
      <c r="H2" s="7" t="s">
        <v>8</v>
      </c>
      <c r="I2" s="96" t="s">
        <v>27</v>
      </c>
      <c r="J2" s="98">
        <v>41459</v>
      </c>
      <c r="K2" s="99">
        <v>41459</v>
      </c>
      <c r="P2" s="134">
        <v>42885</v>
      </c>
      <c r="Q2">
        <v>150</v>
      </c>
      <c r="R2">
        <v>0</v>
      </c>
      <c r="X2" s="4" t="s">
        <v>46</v>
      </c>
    </row>
    <row r="3" spans="1:50" ht="21" thickBot="1" x14ac:dyDescent="0.4">
      <c r="A3" s="104">
        <v>42880.5</v>
      </c>
      <c r="C3" s="9"/>
      <c r="F3" s="73" t="s">
        <v>25</v>
      </c>
      <c r="G3" s="126">
        <v>1</v>
      </c>
      <c r="H3" s="11"/>
      <c r="I3">
        <f>G5-(1/G4)*LN((2*G3)-1)</f>
        <v>46.21077342059543</v>
      </c>
      <c r="J3" s="3" t="s">
        <v>9</v>
      </c>
      <c r="P3" s="134">
        <v>42895</v>
      </c>
      <c r="Q3">
        <v>160</v>
      </c>
      <c r="R3">
        <v>1E-3</v>
      </c>
      <c r="X3" s="4">
        <v>1775.0814151895604</v>
      </c>
      <c r="Y3" s="4">
        <v>74.024715246423497</v>
      </c>
    </row>
    <row r="4" spans="1:50" ht="16.5" thickBot="1" x14ac:dyDescent="0.3">
      <c r="A4" s="12" t="s">
        <v>10</v>
      </c>
      <c r="C4" s="4" t="s">
        <v>11</v>
      </c>
      <c r="F4" s="13" t="s">
        <v>1</v>
      </c>
      <c r="G4" s="127">
        <v>0.17062814441658214</v>
      </c>
      <c r="H4" s="15">
        <v>5.0331088446583801E-2</v>
      </c>
      <c r="I4" s="2"/>
      <c r="J4" s="129">
        <f>SUM(H9:H70)</f>
        <v>527.9453033600272</v>
      </c>
      <c r="K4" s="16">
        <f>SUMSQ(G9:G14)</f>
        <v>5.707375605308744E-2</v>
      </c>
      <c r="L4" s="16"/>
      <c r="M4" s="139"/>
      <c r="N4" s="4">
        <f>1-0.317</f>
        <v>0.68300000000000005</v>
      </c>
      <c r="P4" s="134">
        <v>42905</v>
      </c>
      <c r="Q4">
        <v>170</v>
      </c>
      <c r="R4">
        <v>0.02</v>
      </c>
      <c r="X4" s="4">
        <v>74.024715246423497</v>
      </c>
      <c r="Y4" s="4">
        <v>4.5020289576314099</v>
      </c>
    </row>
    <row r="5" spans="1:50" ht="16.5" thickBot="1" x14ac:dyDescent="0.3">
      <c r="C5" s="104">
        <v>42948.5</v>
      </c>
      <c r="F5" s="17" t="s">
        <v>2</v>
      </c>
      <c r="G5" s="128">
        <v>46.21077342059543</v>
      </c>
      <c r="H5" s="19">
        <v>1.8383137889960099</v>
      </c>
      <c r="I5" s="2"/>
      <c r="J5" s="20" t="s">
        <v>12</v>
      </c>
      <c r="K5" s="21"/>
      <c r="L5" s="21"/>
      <c r="N5" s="30"/>
      <c r="P5" s="134">
        <v>42916</v>
      </c>
      <c r="Q5">
        <v>181</v>
      </c>
      <c r="R5">
        <v>0.25</v>
      </c>
    </row>
    <row r="6" spans="1:50" ht="16.5" thickBot="1" x14ac:dyDescent="0.3">
      <c r="C6" s="22"/>
      <c r="G6" s="23"/>
      <c r="H6" s="9"/>
      <c r="K6" s="24"/>
      <c r="L6" s="24"/>
      <c r="P6" s="134">
        <v>42921</v>
      </c>
      <c r="Q6">
        <v>185</v>
      </c>
      <c r="R6">
        <v>0.5</v>
      </c>
      <c r="X6" s="4" t="s">
        <v>47</v>
      </c>
    </row>
    <row r="7" spans="1:50" ht="16.5" thickBot="1" x14ac:dyDescent="0.3">
      <c r="E7" s="25"/>
      <c r="F7" s="26"/>
      <c r="G7" s="27"/>
      <c r="H7" s="28"/>
      <c r="J7" s="29"/>
      <c r="M7" s="29"/>
      <c r="O7" s="3" t="s">
        <v>26</v>
      </c>
      <c r="P7" s="134">
        <v>42926</v>
      </c>
      <c r="Q7">
        <v>190</v>
      </c>
      <c r="R7">
        <v>0.75</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c r="P8" s="134">
        <v>42935</v>
      </c>
      <c r="Q8">
        <v>200</v>
      </c>
      <c r="R8">
        <v>0.98</v>
      </c>
    </row>
    <row r="9" spans="1:50" ht="16.5" thickBot="1" x14ac:dyDescent="0.3">
      <c r="A9" s="120">
        <v>0.05</v>
      </c>
      <c r="B9" s="134">
        <v>42900</v>
      </c>
      <c r="C9" s="121">
        <f t="shared" ref="C9:C70" si="0">1/(A9^2)</f>
        <v>399.99999999999994</v>
      </c>
      <c r="D9" s="106">
        <f t="shared" ref="D9:D70" si="1">IF(B9&lt;&gt;0,B9-$A$3+1,"")</f>
        <v>20.5</v>
      </c>
      <c r="E9" s="81">
        <v>4.0922580690000002E-2</v>
      </c>
      <c r="F9" s="41">
        <f t="shared" ref="F9:F64" si="2">IF(B9&lt;&gt;0,$G$3/(1+EXP(-$G$4*(D9-$G$5))),"")</f>
        <v>1.2285408055762968E-2</v>
      </c>
      <c r="G9" s="42">
        <f t="shared" ref="G9:G64" si="3">IF(B9&lt;&gt;0,E9-F9,"")</f>
        <v>2.8637172634237033E-2</v>
      </c>
      <c r="H9" s="43">
        <f t="shared" ref="H9:H64" si="4">IF(B9&lt;&gt;0,C9*(G9)^2,"")</f>
        <v>0.32803506259323773</v>
      </c>
      <c r="J9" s="105">
        <f>A3</f>
        <v>42880.5</v>
      </c>
      <c r="K9" s="109">
        <v>1</v>
      </c>
      <c r="L9" s="125">
        <f t="shared" ref="L9:L72" si="5">$G$3/(1+EXP(-$G$4*(K9-$G$5)))</f>
        <v>4.4622970464602558E-4</v>
      </c>
      <c r="M9" s="46">
        <f>IF(J10&gt;MAX($B$9:$B$64),L9,N9)</f>
        <v>3.1121623501212576E-7</v>
      </c>
      <c r="N9" s="130">
        <v>3.1121623501212576E-7</v>
      </c>
      <c r="O9" s="89">
        <f t="shared" ref="O9:O72" si="6">IF(N9=M9,N9,M9)</f>
        <v>3.1121623501212576E-7</v>
      </c>
      <c r="P9" s="134">
        <v>42945</v>
      </c>
      <c r="Q9">
        <v>210</v>
      </c>
      <c r="R9">
        <v>1</v>
      </c>
    </row>
    <row r="10" spans="1:50" ht="16.5" thickBot="1" x14ac:dyDescent="0.3">
      <c r="A10" s="120">
        <v>0.05</v>
      </c>
      <c r="B10" s="134">
        <v>42907</v>
      </c>
      <c r="C10" s="121">
        <f t="shared" si="0"/>
        <v>399.99999999999994</v>
      </c>
      <c r="D10" s="106">
        <f t="shared" si="1"/>
        <v>27.5</v>
      </c>
      <c r="E10" s="81">
        <v>5.2840316599999998E-3</v>
      </c>
      <c r="F10" s="41">
        <f t="shared" si="2"/>
        <v>3.9445734922703216E-2</v>
      </c>
      <c r="G10" s="42">
        <f t="shared" si="3"/>
        <v>-3.4161703262703215E-2</v>
      </c>
      <c r="H10" s="43">
        <f t="shared" si="4"/>
        <v>0.46680878792359493</v>
      </c>
      <c r="I10" s="52"/>
      <c r="J10" s="105">
        <f t="shared" ref="J10:J73" si="7">J9+1</f>
        <v>42881.5</v>
      </c>
      <c r="K10" s="109">
        <v>2</v>
      </c>
      <c r="L10" s="125">
        <f t="shared" si="5"/>
        <v>5.2920663992788906E-4</v>
      </c>
      <c r="M10" s="46">
        <f t="shared" ref="M10:M73" si="8">IF(J11&gt;MAX($B$9:$B$64),L10,N10)</f>
        <v>4.4350593880565207E-7</v>
      </c>
      <c r="N10" s="130">
        <v>4.4350593880565207E-7</v>
      </c>
      <c r="O10" s="89">
        <f t="shared" si="6"/>
        <v>4.4350593880565207E-7</v>
      </c>
      <c r="Q10" s="4" t="s">
        <v>48</v>
      </c>
      <c r="W10" s="4" t="s">
        <v>46</v>
      </c>
    </row>
    <row r="11" spans="1:50" ht="16.5" thickBot="1" x14ac:dyDescent="0.3">
      <c r="A11" s="120">
        <v>0.05</v>
      </c>
      <c r="B11" s="134">
        <v>42913</v>
      </c>
      <c r="C11" s="121">
        <f t="shared" si="0"/>
        <v>399.99999999999994</v>
      </c>
      <c r="D11" s="106">
        <f t="shared" si="1"/>
        <v>33.5</v>
      </c>
      <c r="E11" s="81">
        <v>7.5737816139999997E-2</v>
      </c>
      <c r="F11" s="41">
        <f t="shared" si="2"/>
        <v>0.10258601288905633</v>
      </c>
      <c r="G11" s="42">
        <f t="shared" si="3"/>
        <v>-2.6848196749056336E-2</v>
      </c>
      <c r="H11" s="43">
        <f t="shared" si="4"/>
        <v>0.28833026747041562</v>
      </c>
      <c r="J11" s="105">
        <f t="shared" si="7"/>
        <v>42882.5</v>
      </c>
      <c r="K11" s="109">
        <v>3</v>
      </c>
      <c r="L11" s="125">
        <f t="shared" si="5"/>
        <v>6.2760354530545564E-4</v>
      </c>
      <c r="M11" s="46">
        <f t="shared" si="8"/>
        <v>6.3202842450478264E-7</v>
      </c>
      <c r="N11" s="130">
        <v>6.3202842450478264E-7</v>
      </c>
      <c r="O11" s="89">
        <f t="shared" si="6"/>
        <v>6.3202842450478264E-7</v>
      </c>
      <c r="Q11" s="4">
        <v>1</v>
      </c>
      <c r="R11" s="4">
        <v>-0.82806316245865486</v>
      </c>
      <c r="W11" s="4">
        <v>3817.4575451512078</v>
      </c>
      <c r="X11" s="4">
        <v>-24.564190234479639</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0.05</v>
      </c>
      <c r="B12" s="134">
        <v>42917</v>
      </c>
      <c r="C12" s="121">
        <f t="shared" si="0"/>
        <v>399.99999999999994</v>
      </c>
      <c r="D12" s="106">
        <f t="shared" si="1"/>
        <v>37.5</v>
      </c>
      <c r="E12" s="81">
        <v>0.17707928325</v>
      </c>
      <c r="F12" s="41">
        <f t="shared" si="2"/>
        <v>0.18447725960345621</v>
      </c>
      <c r="G12" s="42">
        <f t="shared" si="3"/>
        <v>-7.3979763534562093E-3</v>
      </c>
      <c r="H12" s="43">
        <f t="shared" si="4"/>
        <v>2.189202165051889E-2</v>
      </c>
      <c r="J12" s="105">
        <f t="shared" si="7"/>
        <v>42883.5</v>
      </c>
      <c r="K12" s="109">
        <v>4</v>
      </c>
      <c r="L12" s="125">
        <f t="shared" si="5"/>
        <v>7.4428204494152107E-4</v>
      </c>
      <c r="M12" s="46">
        <f t="shared" si="8"/>
        <v>9.0068669305005554E-7</v>
      </c>
      <c r="N12" s="130">
        <v>9.0068669305005554E-7</v>
      </c>
      <c r="O12" s="89">
        <f t="shared" si="6"/>
        <v>9.0068669305005554E-7</v>
      </c>
      <c r="P12" s="44">
        <v>40326</v>
      </c>
      <c r="Q12" s="1">
        <v>1.3958317686261709E-4</v>
      </c>
      <c r="R12" s="100">
        <v>543</v>
      </c>
      <c r="S12" s="100">
        <f>R12*AVERAGE(L12:L13)</f>
        <v>0.44170749475346088</v>
      </c>
      <c r="T12" s="101">
        <f t="shared" ref="T12:T47" si="9">R12-S12</f>
        <v>542.55829250524653</v>
      </c>
      <c r="W12" s="4">
        <v>-24.564190234479639</v>
      </c>
      <c r="X12" s="4">
        <v>2.8615910650705727</v>
      </c>
      <c r="AE12" s="93">
        <f>J12</f>
        <v>42883.5</v>
      </c>
      <c r="AF12" s="92">
        <f>Logistic2010!Q12</f>
        <v>1.3958317686261709E-4</v>
      </c>
      <c r="AG12" s="4">
        <f t="shared" ref="AG12:AG75" si="10">AI12</f>
        <v>1.3958317686261709E-4</v>
      </c>
      <c r="AH12" s="92">
        <f>Logistic2011!Q12</f>
        <v>1.3958317686261709E-4</v>
      </c>
      <c r="AI12" s="92">
        <f>Logistic2012!Q12</f>
        <v>1.3958317686261709E-4</v>
      </c>
      <c r="AJ12" s="92">
        <f>Logistic2013!L12</f>
        <v>2.9882028383729665E-4</v>
      </c>
      <c r="AK12" s="119">
        <f>Logistic2014!AK12</f>
        <v>4.1531400063546034E-4</v>
      </c>
      <c r="AL12" s="119">
        <f>L12</f>
        <v>7.4428204494152107E-4</v>
      </c>
      <c r="AM12" s="113"/>
      <c r="AN12" s="113"/>
      <c r="AO12" s="113"/>
      <c r="AP12" s="113"/>
      <c r="AQ12" s="113"/>
      <c r="AR12" s="113"/>
      <c r="AS12" s="113"/>
      <c r="AT12" s="114"/>
      <c r="AU12" s="114"/>
    </row>
    <row r="13" spans="1:50" ht="16.5" thickBot="1" x14ac:dyDescent="0.3">
      <c r="A13" s="120">
        <v>0.05</v>
      </c>
      <c r="B13" s="134">
        <v>42921</v>
      </c>
      <c r="C13" s="121">
        <f t="shared" si="0"/>
        <v>399.99999999999994</v>
      </c>
      <c r="D13" s="106">
        <f t="shared" si="1"/>
        <v>41.5</v>
      </c>
      <c r="E13" s="81">
        <v>0.21196124265999999</v>
      </c>
      <c r="F13" s="41">
        <f t="shared" si="2"/>
        <v>0.30921527271149496</v>
      </c>
      <c r="G13" s="42">
        <f t="shared" si="3"/>
        <v>-9.7254030051494966E-2</v>
      </c>
      <c r="H13" s="43">
        <f t="shared" si="4"/>
        <v>3.783338544502834</v>
      </c>
      <c r="J13" s="105">
        <f t="shared" si="7"/>
        <v>42884.5</v>
      </c>
      <c r="K13" s="109">
        <v>5</v>
      </c>
      <c r="L13" s="125">
        <f t="shared" si="5"/>
        <v>8.8263322118540687E-4</v>
      </c>
      <c r="M13" s="46">
        <f t="shared" si="8"/>
        <v>1.2835442124779599E-6</v>
      </c>
      <c r="N13" s="130">
        <v>1.2835442124779599E-6</v>
      </c>
      <c r="O13" s="89">
        <f t="shared" si="6"/>
        <v>1.2835442124779599E-6</v>
      </c>
      <c r="P13" s="48">
        <v>40327</v>
      </c>
      <c r="Q13" s="1">
        <v>1.7045928901654236E-4</v>
      </c>
      <c r="R13" s="100">
        <v>2664</v>
      </c>
      <c r="S13" s="100">
        <f t="shared" ref="S13:S70" si="11">R13*AVERAGE(L13:L14)</f>
        <v>2.5698384510675343</v>
      </c>
      <c r="T13" s="101">
        <f t="shared" si="9"/>
        <v>2661.4301615489326</v>
      </c>
      <c r="AE13" s="93">
        <f t="shared" ref="AE13:AE76" si="12">J13</f>
        <v>42884.5</v>
      </c>
      <c r="AF13" s="92">
        <f>Logistic2010!Q13</f>
        <v>1.7045928901654236E-4</v>
      </c>
      <c r="AG13" s="4">
        <f t="shared" si="10"/>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13">L13</f>
        <v>8.8263322118540687E-4</v>
      </c>
      <c r="AM13" s="113">
        <v>2011</v>
      </c>
      <c r="AO13" s="113">
        <v>2010</v>
      </c>
      <c r="AP13" s="113">
        <v>2012</v>
      </c>
      <c r="AQ13" s="113"/>
      <c r="AR13" t="s">
        <v>28</v>
      </c>
      <c r="AS13"/>
      <c r="AT13"/>
      <c r="AU13"/>
      <c r="AV13"/>
      <c r="AW13"/>
      <c r="AX13"/>
    </row>
    <row r="14" spans="1:50" ht="16.5" thickBot="1" x14ac:dyDescent="0.3">
      <c r="A14" s="120">
        <v>0.05</v>
      </c>
      <c r="B14" s="134">
        <v>42924</v>
      </c>
      <c r="C14" s="121">
        <f t="shared" si="0"/>
        <v>399.99999999999994</v>
      </c>
      <c r="D14" s="106">
        <f t="shared" si="1"/>
        <v>44.5</v>
      </c>
      <c r="E14" s="81">
        <v>0.21575262277000001</v>
      </c>
      <c r="F14" s="41">
        <f t="shared" si="2"/>
        <v>0.42753728780204603</v>
      </c>
      <c r="G14" s="42">
        <f t="shared" si="3"/>
        <v>-0.21178466503204602</v>
      </c>
      <c r="H14" s="43">
        <f t="shared" si="4"/>
        <v>17.941097737094371</v>
      </c>
      <c r="J14" s="105">
        <f t="shared" si="7"/>
        <v>42885.5</v>
      </c>
      <c r="K14" s="109">
        <v>6</v>
      </c>
      <c r="L14" s="125">
        <f t="shared" si="5"/>
        <v>1.0466749252616911E-3</v>
      </c>
      <c r="M14" s="46">
        <f t="shared" si="8"/>
        <v>1.8291437965967419E-6</v>
      </c>
      <c r="N14" s="130">
        <v>1.8291437965967419E-6</v>
      </c>
      <c r="O14" s="89">
        <f t="shared" si="6"/>
        <v>1.8291437965967419E-6</v>
      </c>
      <c r="P14" s="48">
        <v>40328</v>
      </c>
      <c r="Q14" s="1">
        <v>0</v>
      </c>
      <c r="R14" s="100">
        <v>963</v>
      </c>
      <c r="S14" s="100">
        <f t="shared" si="11"/>
        <v>1.101595746828018</v>
      </c>
      <c r="T14" s="101">
        <f t="shared" si="9"/>
        <v>961.89840425317198</v>
      </c>
      <c r="W14" s="4" t="s">
        <v>47</v>
      </c>
      <c r="Y14" s="4" t="s">
        <v>8</v>
      </c>
      <c r="AE14" s="93">
        <f t="shared" si="12"/>
        <v>42885.5</v>
      </c>
      <c r="AF14" s="92">
        <f>Logistic2010!Q14</f>
        <v>2.0816384458125417E-4</v>
      </c>
      <c r="AG14" s="4">
        <f t="shared" si="10"/>
        <v>0</v>
      </c>
      <c r="AH14" s="92">
        <f>Logistic2011!Q14</f>
        <v>2.0816384458125417E-4</v>
      </c>
      <c r="AI14" s="92">
        <f>Logistic2012!Q14</f>
        <v>0</v>
      </c>
      <c r="AJ14" s="92">
        <f>Logistic2013!L14</f>
        <v>4.436902928409236E-4</v>
      </c>
      <c r="AK14" s="119">
        <f>Logistic2014!AK14</f>
        <v>6.0857479252525697E-4</v>
      </c>
      <c r="AL14" s="119">
        <f t="shared" si="13"/>
        <v>1.0466749252616911E-3</v>
      </c>
      <c r="AM14" s="115">
        <v>2E-3</v>
      </c>
      <c r="AO14" s="115">
        <v>4.1000000000000002E-2</v>
      </c>
      <c r="AP14" s="115">
        <v>2.4E-2</v>
      </c>
      <c r="AQ14" s="115"/>
      <c r="AR14"/>
      <c r="AS14"/>
      <c r="AT14"/>
      <c r="AU14"/>
      <c r="AV14"/>
      <c r="AW14"/>
      <c r="AX14"/>
    </row>
    <row r="15" spans="1:50" ht="16.5" thickBot="1" x14ac:dyDescent="0.3">
      <c r="A15" s="120">
        <v>0.05</v>
      </c>
      <c r="B15" s="134">
        <v>42927</v>
      </c>
      <c r="C15" s="121">
        <f t="shared" si="0"/>
        <v>399.99999999999994</v>
      </c>
      <c r="D15" s="106">
        <f t="shared" si="1"/>
        <v>47.5</v>
      </c>
      <c r="E15" s="81">
        <v>0.48050065994000002</v>
      </c>
      <c r="F15" s="41">
        <f t="shared" si="2"/>
        <v>0.55477388484458423</v>
      </c>
      <c r="G15" s="42">
        <f t="shared" si="3"/>
        <v>-7.4273224904584212E-2</v>
      </c>
      <c r="H15" s="43">
        <f t="shared" si="4"/>
        <v>2.2066047750907791</v>
      </c>
      <c r="J15" s="105">
        <f t="shared" si="7"/>
        <v>42886.5</v>
      </c>
      <c r="K15" s="109">
        <v>7</v>
      </c>
      <c r="L15" s="125">
        <f t="shared" si="5"/>
        <v>1.2411667088567265E-3</v>
      </c>
      <c r="M15" s="46">
        <f t="shared" si="8"/>
        <v>2.6066622560821447E-6</v>
      </c>
      <c r="N15" s="130">
        <v>2.6066622560821447E-6</v>
      </c>
      <c r="O15" s="89">
        <f t="shared" si="6"/>
        <v>2.6066622560821447E-6</v>
      </c>
      <c r="P15" s="48">
        <v>40329</v>
      </c>
      <c r="Q15" s="1">
        <v>6.2104077545281245E-5</v>
      </c>
      <c r="R15" s="100">
        <v>1106</v>
      </c>
      <c r="S15" s="100">
        <f t="shared" si="11"/>
        <v>1.5002404292184051</v>
      </c>
      <c r="T15" s="101">
        <f t="shared" si="9"/>
        <v>1104.4997595707816</v>
      </c>
      <c r="W15" s="4">
        <f t="array" ref="W15:X16">2* 2.13732258253673^2*MINVERSE($W$11:$X$12)</f>
        <v>2.5332184642178463E-3</v>
      </c>
      <c r="X15" s="4">
        <v>2.1745406260208915E-2</v>
      </c>
      <c r="Y15" s="4">
        <v>5.0331088446583849E-2</v>
      </c>
      <c r="AE15" s="93">
        <f t="shared" si="12"/>
        <v>42886.5</v>
      </c>
      <c r="AF15" s="92">
        <f>Logistic2010!Q15</f>
        <v>2.542062975332477E-4</v>
      </c>
      <c r="AG15" s="4">
        <f t="shared" si="10"/>
        <v>6.2104077545281245E-5</v>
      </c>
      <c r="AH15" s="92">
        <f>Logistic2011!Q15</f>
        <v>3.5888786587624556E-5</v>
      </c>
      <c r="AI15" s="92">
        <f>Logistic2012!Q15</f>
        <v>6.2104077545281245E-5</v>
      </c>
      <c r="AJ15" s="92">
        <f>Logistic2013!L15</f>
        <v>5.4063505283763783E-4</v>
      </c>
      <c r="AK15" s="119">
        <f>Logistic2014!AK15</f>
        <v>7.3666320070702633E-4</v>
      </c>
      <c r="AL15" s="119">
        <f t="shared" si="13"/>
        <v>1.2411667088567265E-3</v>
      </c>
      <c r="AM15" s="4">
        <v>0</v>
      </c>
      <c r="AO15" s="115">
        <v>5.0000000000000001E-3</v>
      </c>
      <c r="AP15" s="115">
        <v>3.5999999999999997E-2</v>
      </c>
      <c r="AQ15" s="110"/>
      <c r="AR15" t="s">
        <v>29</v>
      </c>
      <c r="AS15"/>
      <c r="AT15"/>
      <c r="AU15"/>
      <c r="AV15"/>
      <c r="AW15"/>
      <c r="AX15"/>
    </row>
    <row r="16" spans="1:50" ht="16.5" thickBot="1" x14ac:dyDescent="0.3">
      <c r="A16" s="120">
        <v>0.05</v>
      </c>
      <c r="B16" s="134">
        <v>42930</v>
      </c>
      <c r="C16" s="121">
        <f t="shared" si="0"/>
        <v>399.99999999999994</v>
      </c>
      <c r="D16" s="106">
        <f t="shared" si="1"/>
        <v>50.5</v>
      </c>
      <c r="E16" s="81">
        <v>0.77252834502000001</v>
      </c>
      <c r="F16" s="41">
        <f t="shared" si="2"/>
        <v>0.67521391194497093</v>
      </c>
      <c r="G16" s="42">
        <f t="shared" si="3"/>
        <v>9.7314433075029072E-2</v>
      </c>
      <c r="H16" s="43">
        <f t="shared" si="4"/>
        <v>3.7880395538857243</v>
      </c>
      <c r="I16" s="146"/>
      <c r="J16" s="105">
        <f t="shared" si="7"/>
        <v>42887.5</v>
      </c>
      <c r="K16" s="109">
        <v>8</v>
      </c>
      <c r="L16" s="125">
        <f t="shared" si="5"/>
        <v>1.4717454597118181E-3</v>
      </c>
      <c r="M16" s="46">
        <f t="shared" si="8"/>
        <v>3.7146810897353246E-6</v>
      </c>
      <c r="N16" s="130">
        <v>3.7146810897353246E-6</v>
      </c>
      <c r="O16" s="89">
        <f t="shared" si="6"/>
        <v>3.7146810897353246E-6</v>
      </c>
      <c r="P16" s="48">
        <v>40330</v>
      </c>
      <c r="Q16" s="1">
        <v>8.271689671114933E-5</v>
      </c>
      <c r="R16" s="100">
        <v>3668</v>
      </c>
      <c r="S16" s="100">
        <f t="shared" si="11"/>
        <v>5.8996676491064202</v>
      </c>
      <c r="T16" s="101">
        <f t="shared" si="9"/>
        <v>3662.1003323508935</v>
      </c>
      <c r="W16" s="4">
        <v>2.1745406260208912E-2</v>
      </c>
      <c r="X16" s="4">
        <v>3.3793975868128725</v>
      </c>
      <c r="Y16" s="4">
        <v>1.8383137889960115</v>
      </c>
      <c r="AE16" s="93">
        <f t="shared" si="12"/>
        <v>42887.5</v>
      </c>
      <c r="AF16" s="92">
        <f>Logistic2010!Q16</f>
        <v>3.1042942936064727E-4</v>
      </c>
      <c r="AG16" s="4">
        <f t="shared" si="10"/>
        <v>8.271689671114933E-5</v>
      </c>
      <c r="AH16" s="92">
        <f>Logistic2011!Q16</f>
        <v>4.6160789501698919E-5</v>
      </c>
      <c r="AI16" s="92">
        <f>Logistic2012!Q16</f>
        <v>8.271689671114933E-5</v>
      </c>
      <c r="AJ16" s="92">
        <f>Logistic2013!L16</f>
        <v>6.5874794022489089E-4</v>
      </c>
      <c r="AK16" s="119">
        <f>Logistic2014!AK16</f>
        <v>8.9168667425910237E-4</v>
      </c>
      <c r="AL16" s="119">
        <f t="shared" si="13"/>
        <v>1.4717454597118181E-3</v>
      </c>
      <c r="AM16" s="114">
        <v>2.4E-2</v>
      </c>
      <c r="AO16" s="114">
        <v>7.5999999999999998E-2</v>
      </c>
      <c r="AP16" s="114">
        <v>7.0000000000000001E-3</v>
      </c>
      <c r="AQ16" s="110"/>
      <c r="AR16" s="112" t="s">
        <v>30</v>
      </c>
      <c r="AS16" s="112" t="s">
        <v>31</v>
      </c>
      <c r="AT16" s="112" t="s">
        <v>32</v>
      </c>
      <c r="AU16" s="112" t="s">
        <v>33</v>
      </c>
      <c r="AV16" s="112" t="s">
        <v>34</v>
      </c>
      <c r="AW16"/>
      <c r="AX16"/>
    </row>
    <row r="17" spans="1:50" ht="16.5" thickBot="1" x14ac:dyDescent="0.3">
      <c r="A17" s="120">
        <v>0.05</v>
      </c>
      <c r="B17" s="134">
        <v>42934</v>
      </c>
      <c r="C17" s="121">
        <f t="shared" si="0"/>
        <v>399.99999999999994</v>
      </c>
      <c r="D17" s="86">
        <f t="shared" si="1"/>
        <v>54.5</v>
      </c>
      <c r="E17" s="81">
        <v>0.70669625335999997</v>
      </c>
      <c r="F17" s="50">
        <f t="shared" si="2"/>
        <v>0.80445513408141267</v>
      </c>
      <c r="G17" s="16">
        <f t="shared" si="3"/>
        <v>-9.77588807214127E-2</v>
      </c>
      <c r="H17" s="51">
        <f t="shared" si="4"/>
        <v>3.8227195039613577</v>
      </c>
      <c r="J17" s="105">
        <f t="shared" si="7"/>
        <v>42888.5</v>
      </c>
      <c r="K17" s="109">
        <v>9</v>
      </c>
      <c r="L17" s="125">
        <f t="shared" si="5"/>
        <v>1.7450853195174186E-3</v>
      </c>
      <c r="M17" s="46">
        <f t="shared" si="8"/>
        <v>5.2936850821911276E-6</v>
      </c>
      <c r="N17" s="130">
        <v>5.2936850821911276E-6</v>
      </c>
      <c r="O17" s="89">
        <f t="shared" si="6"/>
        <v>5.2936850821911276E-6</v>
      </c>
      <c r="P17" s="48">
        <v>40331</v>
      </c>
      <c r="Q17" s="1">
        <v>1.1017051470513796E-4</v>
      </c>
      <c r="R17" s="100">
        <v>2939</v>
      </c>
      <c r="S17" s="100">
        <f t="shared" si="11"/>
        <v>5.6049247811795864</v>
      </c>
      <c r="T17" s="101">
        <f t="shared" si="9"/>
        <v>2933.3950752188202</v>
      </c>
      <c r="AE17" s="93">
        <f t="shared" si="12"/>
        <v>42888.5</v>
      </c>
      <c r="AF17" s="92">
        <f>Logistic2010!Q17</f>
        <v>3.7908278806435145E-4</v>
      </c>
      <c r="AG17" s="4">
        <f t="shared" si="10"/>
        <v>1.1017051470513796E-4</v>
      </c>
      <c r="AH17" s="92">
        <f>Logistic2011!Q17</f>
        <v>5.9372646030949961E-5</v>
      </c>
      <c r="AI17" s="92">
        <f>Logistic2012!Q17</f>
        <v>1.1017051470513796E-4</v>
      </c>
      <c r="AJ17" s="92">
        <f>Logistic2013!L17</f>
        <v>8.0264430321866907E-4</v>
      </c>
      <c r="AK17" s="119">
        <f>Logistic2014!AK17</f>
        <v>1.0792980661665267E-3</v>
      </c>
      <c r="AL17" s="119">
        <f t="shared" si="13"/>
        <v>1.7450853195174186E-3</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ht="16.5" thickBot="1" x14ac:dyDescent="0.3">
      <c r="A18" s="120">
        <v>0.05</v>
      </c>
      <c r="B18" s="134">
        <v>42939</v>
      </c>
      <c r="C18" s="121">
        <f t="shared" si="0"/>
        <v>399.99999999999994</v>
      </c>
      <c r="D18" s="86">
        <f t="shared" si="1"/>
        <v>59.5</v>
      </c>
      <c r="E18" s="81">
        <v>0.89196898668000002</v>
      </c>
      <c r="F18" s="50">
        <f t="shared" si="2"/>
        <v>0.90615076365513203</v>
      </c>
      <c r="G18" s="16">
        <f t="shared" si="3"/>
        <v>-1.418177697513201E-2</v>
      </c>
      <c r="H18" s="51">
        <f t="shared" si="4"/>
        <v>8.0449119268953762E-2</v>
      </c>
      <c r="J18" s="105">
        <f t="shared" si="7"/>
        <v>42889.5</v>
      </c>
      <c r="K18" s="109">
        <v>10</v>
      </c>
      <c r="L18" s="125">
        <f t="shared" si="5"/>
        <v>2.0690860184748145E-3</v>
      </c>
      <c r="M18" s="46">
        <f t="shared" si="8"/>
        <v>7.543873151853996E-6</v>
      </c>
      <c r="N18" s="130">
        <v>7.543873151853996E-6</v>
      </c>
      <c r="O18" s="89">
        <f t="shared" si="6"/>
        <v>7.543873151853996E-6</v>
      </c>
      <c r="P18" s="48">
        <v>40332</v>
      </c>
      <c r="Q18" s="1">
        <v>1.4673461154601208E-4</v>
      </c>
      <c r="R18" s="100">
        <v>2148</v>
      </c>
      <c r="S18" s="100">
        <f t="shared" si="11"/>
        <v>4.8568217446372781</v>
      </c>
      <c r="T18" s="101">
        <f t="shared" si="9"/>
        <v>2143.1431782553627</v>
      </c>
      <c r="W18" s="4" t="s">
        <v>48</v>
      </c>
      <c r="AE18" s="93">
        <f t="shared" si="12"/>
        <v>42889.5</v>
      </c>
      <c r="AF18" s="92">
        <f>Logistic2010!Q18</f>
        <v>4.6291222449000769E-4</v>
      </c>
      <c r="AG18" s="4">
        <f t="shared" si="10"/>
        <v>1.4673461154601208E-4</v>
      </c>
      <c r="AH18" s="92">
        <f>Logistic2011!Q18</f>
        <v>7.6365629883993208E-5</v>
      </c>
      <c r="AI18" s="92">
        <f>Logistic2012!Q18</f>
        <v>1.4673461154601208E-4</v>
      </c>
      <c r="AJ18" s="92">
        <f>Logistic2013!L18</f>
        <v>9.7794251088522961E-4</v>
      </c>
      <c r="AK18" s="119">
        <f>Logistic2014!AK18</f>
        <v>1.3063313918701522E-3</v>
      </c>
      <c r="AL18" s="119">
        <f t="shared" si="13"/>
        <v>2.0690860184748145E-3</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v>0.05</v>
      </c>
      <c r="B19" s="134">
        <v>42946</v>
      </c>
      <c r="C19" s="121">
        <f t="shared" si="0"/>
        <v>399.99999999999994</v>
      </c>
      <c r="D19" s="86">
        <f t="shared" si="1"/>
        <v>66.5</v>
      </c>
      <c r="E19" s="81">
        <v>0.98726842201999998</v>
      </c>
      <c r="F19" s="50">
        <f t="shared" si="2"/>
        <v>0.96958443513793369</v>
      </c>
      <c r="G19" s="16">
        <f t="shared" si="3"/>
        <v>1.7683986882066294E-2</v>
      </c>
      <c r="H19" s="51">
        <f t="shared" si="4"/>
        <v>0.1250893568180371</v>
      </c>
      <c r="J19" s="105">
        <f t="shared" si="7"/>
        <v>42890.5</v>
      </c>
      <c r="K19" s="109">
        <v>11</v>
      </c>
      <c r="L19" s="125">
        <f t="shared" si="5"/>
        <v>2.4530943769044016E-3</v>
      </c>
      <c r="M19" s="46">
        <f t="shared" si="8"/>
        <v>1.0750538956072072E-5</v>
      </c>
      <c r="N19" s="130">
        <v>1.0750538956072072E-5</v>
      </c>
      <c r="O19" s="89">
        <f t="shared" si="6"/>
        <v>1.0750538956072072E-5</v>
      </c>
      <c r="P19" s="48">
        <v>40333</v>
      </c>
      <c r="Q19" s="1">
        <v>1.9543146345089269E-4</v>
      </c>
      <c r="R19" s="100">
        <v>5309</v>
      </c>
      <c r="S19" s="100">
        <f t="shared" si="11"/>
        <v>14.231461408435726</v>
      </c>
      <c r="T19" s="101">
        <f t="shared" si="9"/>
        <v>5294.7685385915647</v>
      </c>
      <c r="W19" s="4">
        <v>1</v>
      </c>
      <c r="X19" s="4">
        <v>0.23502364558685596</v>
      </c>
      <c r="AE19" s="93">
        <f t="shared" si="12"/>
        <v>42890.5</v>
      </c>
      <c r="AF19" s="92">
        <f>Logistic2010!Q19</f>
        <v>5.6526901369757224E-4</v>
      </c>
      <c r="AG19" s="4">
        <f t="shared" si="10"/>
        <v>1.9543146345089269E-4</v>
      </c>
      <c r="AH19" s="92">
        <f>Logistic2011!Q19</f>
        <v>9.8221680405067934E-5</v>
      </c>
      <c r="AI19" s="92">
        <f>Logistic2012!Q19</f>
        <v>1.9543146345089269E-4</v>
      </c>
      <c r="AJ19" s="92">
        <f>Logistic2013!L19</f>
        <v>1.19148034540422E-3</v>
      </c>
      <c r="AK19" s="119">
        <f>Logistic2014!AK19</f>
        <v>1.5810462162153941E-3</v>
      </c>
      <c r="AL19" s="119">
        <f t="shared" si="13"/>
        <v>2.4530943769044016E-3</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ht="16.5" thickBot="1" x14ac:dyDescent="0.3">
      <c r="A20" s="120">
        <v>0.05</v>
      </c>
      <c r="B20" s="134">
        <v>42896</v>
      </c>
      <c r="C20" s="121">
        <f t="shared" si="0"/>
        <v>399.99999999999994</v>
      </c>
      <c r="D20" s="86">
        <f t="shared" si="1"/>
        <v>16.5</v>
      </c>
      <c r="E20" s="81">
        <v>1.9770958100000001E-3</v>
      </c>
      <c r="F20" s="50">
        <f t="shared" si="2"/>
        <v>6.2463370131935576E-3</v>
      </c>
      <c r="G20" s="16">
        <f t="shared" si="3"/>
        <v>-4.2692412031935575E-3</v>
      </c>
      <c r="H20" s="51">
        <f t="shared" si="4"/>
        <v>7.290568180418228E-3</v>
      </c>
      <c r="J20" s="105">
        <f t="shared" si="7"/>
        <v>42891.5</v>
      </c>
      <c r="K20" s="109">
        <v>12</v>
      </c>
      <c r="L20" s="125">
        <f t="shared" si="5"/>
        <v>2.9081643944030853E-3</v>
      </c>
      <c r="M20" s="46">
        <f t="shared" si="8"/>
        <v>1.5320237759159121E-5</v>
      </c>
      <c r="N20" s="130">
        <v>1.5320237759159121E-5</v>
      </c>
      <c r="O20" s="89">
        <f t="shared" si="6"/>
        <v>1.5320237759159121E-5</v>
      </c>
      <c r="P20" s="48">
        <v>40334</v>
      </c>
      <c r="Q20" s="1">
        <v>2.6028514457293443E-4</v>
      </c>
      <c r="R20" s="100">
        <v>3853</v>
      </c>
      <c r="S20" s="100">
        <f t="shared" si="11"/>
        <v>12.243921710434318</v>
      </c>
      <c r="T20" s="101">
        <f t="shared" si="9"/>
        <v>3840.7560782895657</v>
      </c>
      <c r="U20" s="40">
        <v>40712</v>
      </c>
      <c r="V20" s="92">
        <v>3.5999999999999997E-2</v>
      </c>
      <c r="W20" s="92">
        <v>0.2350236455868559</v>
      </c>
      <c r="X20" s="92">
        <v>1</v>
      </c>
      <c r="Y20" s="92"/>
      <c r="Z20" s="92"/>
      <c r="AE20" s="93">
        <f t="shared" si="12"/>
        <v>42891.5</v>
      </c>
      <c r="AF20" s="92">
        <f>Logistic2010!Q20</f>
        <v>6.9024278465830858E-4</v>
      </c>
      <c r="AG20" s="4">
        <f t="shared" si="10"/>
        <v>2.6028514457293443E-4</v>
      </c>
      <c r="AH20" s="92">
        <f>Logistic2011!Q20</f>
        <v>1.2633220159905076E-4</v>
      </c>
      <c r="AI20" s="92">
        <f>Logistic2012!Q20</f>
        <v>2.6028514457293443E-4</v>
      </c>
      <c r="AJ20" s="92">
        <f>Logistic2013!L20</f>
        <v>1.4515773097888444E-3</v>
      </c>
      <c r="AK20" s="119">
        <f>Logistic2014!AK20</f>
        <v>1.9134214809037675E-3</v>
      </c>
      <c r="AL20" s="119">
        <f t="shared" si="13"/>
        <v>2.9081643944030853E-3</v>
      </c>
      <c r="AM20" s="114">
        <v>0.28100000000000003</v>
      </c>
      <c r="AO20" s="110">
        <v>0.48099999999999998</v>
      </c>
      <c r="AP20" s="113">
        <v>0.77500000000000002</v>
      </c>
      <c r="AQ20" s="113"/>
      <c r="AR20"/>
      <c r="AS20"/>
      <c r="AT20"/>
      <c r="AU20"/>
      <c r="AV20"/>
      <c r="AW20"/>
      <c r="AX20"/>
    </row>
    <row r="21" spans="1:50" ht="16.5" thickBot="1" x14ac:dyDescent="0.3">
      <c r="A21" s="120">
        <v>0.05</v>
      </c>
      <c r="B21" s="134">
        <v>42903</v>
      </c>
      <c r="C21" s="121">
        <f t="shared" si="0"/>
        <v>399.99999999999994</v>
      </c>
      <c r="D21" s="86">
        <f t="shared" si="1"/>
        <v>23.5</v>
      </c>
      <c r="E21" s="81">
        <v>1.7753132999999999E-4</v>
      </c>
      <c r="F21" s="50">
        <f t="shared" si="2"/>
        <v>2.0330418764623583E-2</v>
      </c>
      <c r="G21" s="16">
        <f t="shared" si="3"/>
        <v>-2.0152887434623581E-2</v>
      </c>
      <c r="H21" s="51">
        <f t="shared" si="4"/>
        <v>0.1624555487810436</v>
      </c>
      <c r="I21" s="9">
        <f>1-0.15</f>
        <v>0.85</v>
      </c>
      <c r="J21" s="105">
        <f t="shared" si="7"/>
        <v>42892.5</v>
      </c>
      <c r="K21" s="109">
        <v>13</v>
      </c>
      <c r="L21" s="125">
        <f t="shared" si="5"/>
        <v>3.4473620579375942E-3</v>
      </c>
      <c r="M21" s="46">
        <f>IF(J22&gt;MAX($B$9:$B$64),L21,N21)</f>
        <v>2.1832322085948411E-5</v>
      </c>
      <c r="N21" s="130">
        <v>2.1832322085948411E-5</v>
      </c>
      <c r="O21" s="89">
        <f t="shared" si="6"/>
        <v>2.1832322085948411E-5</v>
      </c>
      <c r="P21" s="48">
        <v>40335</v>
      </c>
      <c r="Q21" s="1">
        <v>3.4665297481631412E-4</v>
      </c>
      <c r="R21" s="100">
        <v>10476</v>
      </c>
      <c r="S21" s="100">
        <f t="shared" si="11"/>
        <v>39.460388067196703</v>
      </c>
      <c r="T21" s="101">
        <f t="shared" si="9"/>
        <v>10436.539611932803</v>
      </c>
      <c r="U21" s="49">
        <v>40713</v>
      </c>
      <c r="V21" s="92"/>
      <c r="W21" s="92"/>
      <c r="X21" s="92"/>
      <c r="Y21" s="92"/>
      <c r="Z21" s="92"/>
      <c r="AE21" s="93">
        <f t="shared" si="12"/>
        <v>42892.5</v>
      </c>
      <c r="AF21" s="92">
        <f>Logistic2010!Q21</f>
        <v>8.428233623178356E-4</v>
      </c>
      <c r="AG21" s="4">
        <f t="shared" si="10"/>
        <v>3.4665297481631412E-4</v>
      </c>
      <c r="AH21" s="92">
        <f>Logistic2011!Q21</f>
        <v>1.624864967222617E-4</v>
      </c>
      <c r="AI21" s="92">
        <f>Logistic2012!Q21</f>
        <v>3.4665297481631412E-4</v>
      </c>
      <c r="AJ21" s="92">
        <f>Logistic2013!L21</f>
        <v>1.7683522199292421E-3</v>
      </c>
      <c r="AK21" s="119">
        <f>Logistic2014!AK21</f>
        <v>2.3155082495920514E-3</v>
      </c>
      <c r="AL21" s="119">
        <f t="shared" si="13"/>
        <v>3.4473620579375942E-3</v>
      </c>
      <c r="AM21" s="113">
        <v>0.70299999999999996</v>
      </c>
      <c r="AO21" s="113">
        <v>0.77300000000000002</v>
      </c>
      <c r="AP21" s="115">
        <v>0.93</v>
      </c>
      <c r="AQ21" s="115"/>
      <c r="AR21"/>
      <c r="AS21"/>
      <c r="AT21"/>
      <c r="AU21"/>
      <c r="AV21"/>
      <c r="AW21"/>
      <c r="AX21"/>
    </row>
    <row r="22" spans="1:50" ht="16.5" thickBot="1" x14ac:dyDescent="0.3">
      <c r="A22" s="120">
        <v>0.05</v>
      </c>
      <c r="B22" s="134">
        <v>42910</v>
      </c>
      <c r="C22" s="121">
        <f t="shared" si="0"/>
        <v>399.99999999999994</v>
      </c>
      <c r="D22" s="86">
        <f t="shared" si="1"/>
        <v>30.5</v>
      </c>
      <c r="E22" s="81">
        <v>2.4308137909999999E-2</v>
      </c>
      <c r="F22" s="50">
        <f t="shared" si="2"/>
        <v>6.4121849447689103E-2</v>
      </c>
      <c r="G22" s="16">
        <f t="shared" si="3"/>
        <v>-3.9813711537689103E-2</v>
      </c>
      <c r="H22" s="51">
        <f t="shared" si="4"/>
        <v>0.63405265056252724</v>
      </c>
      <c r="I22" s="53"/>
      <c r="J22" s="105">
        <f t="shared" si="7"/>
        <v>42893.5</v>
      </c>
      <c r="K22" s="109">
        <v>14</v>
      </c>
      <c r="L22" s="125">
        <f t="shared" si="5"/>
        <v>4.0861217273233273E-3</v>
      </c>
      <c r="M22" s="46">
        <f t="shared" si="8"/>
        <v>3.1112374086324488E-5</v>
      </c>
      <c r="N22" s="130">
        <v>3.1112374086324488E-5</v>
      </c>
      <c r="O22" s="89">
        <f t="shared" si="6"/>
        <v>3.1112374086324488E-5</v>
      </c>
      <c r="P22" s="48">
        <v>40336</v>
      </c>
      <c r="Q22" s="1">
        <v>4.6166614885428784E-4</v>
      </c>
      <c r="R22" s="100">
        <v>15768</v>
      </c>
      <c r="S22" s="100">
        <f t="shared" si="11"/>
        <v>70.394528216356505</v>
      </c>
      <c r="T22" s="101">
        <f t="shared" si="9"/>
        <v>15697.605471783643</v>
      </c>
      <c r="U22" s="49">
        <v>40714</v>
      </c>
      <c r="V22" s="92"/>
      <c r="W22" s="92"/>
      <c r="X22" s="92"/>
      <c r="Y22" s="92"/>
      <c r="Z22" s="92"/>
      <c r="AE22" s="93">
        <f t="shared" si="12"/>
        <v>42893.5</v>
      </c>
      <c r="AF22" s="92">
        <f>Logistic2010!Q22</f>
        <v>1.0290976755680944E-3</v>
      </c>
      <c r="AG22" s="4">
        <f t="shared" si="10"/>
        <v>4.6166614885428784E-4</v>
      </c>
      <c r="AH22" s="92">
        <f>Logistic2011!Q22</f>
        <v>2.0898542158394941E-4</v>
      </c>
      <c r="AI22" s="92">
        <f>Logistic2012!Q22</f>
        <v>4.6166614885428784E-4</v>
      </c>
      <c r="AJ22" s="92">
        <f>Logistic2013!L22</f>
        <v>2.1541071781976768E-3</v>
      </c>
      <c r="AK22" s="119">
        <f>Logistic2014!AK22</f>
        <v>2.801852416196298E-3</v>
      </c>
      <c r="AL22" s="119">
        <f t="shared" si="13"/>
        <v>4.0861217273233273E-3</v>
      </c>
      <c r="AM22" s="110">
        <v>0.69199999999999995</v>
      </c>
      <c r="AO22" s="110">
        <v>0.70699999999999996</v>
      </c>
      <c r="AP22" s="113">
        <v>0.997</v>
      </c>
      <c r="AQ22" s="110"/>
      <c r="AR22" t="s">
        <v>35</v>
      </c>
      <c r="AS22"/>
      <c r="AT22"/>
      <c r="AU22"/>
      <c r="AV22"/>
      <c r="AW22"/>
      <c r="AX22"/>
    </row>
    <row r="23" spans="1:50" ht="16.5" thickBot="1" x14ac:dyDescent="0.3">
      <c r="A23" s="120">
        <v>0.05</v>
      </c>
      <c r="B23" s="134">
        <v>42914</v>
      </c>
      <c r="C23" s="121">
        <f t="shared" si="0"/>
        <v>399.99999999999994</v>
      </c>
      <c r="D23" s="86">
        <f t="shared" si="1"/>
        <v>34.5</v>
      </c>
      <c r="E23" s="81">
        <v>0.1675365398</v>
      </c>
      <c r="F23" s="50">
        <f t="shared" si="2"/>
        <v>0.11939335023741725</v>
      </c>
      <c r="G23" s="16">
        <f t="shared" si="3"/>
        <v>4.8143189562582747E-2</v>
      </c>
      <c r="H23" s="51">
        <f t="shared" si="4"/>
        <v>0.92710668050351042</v>
      </c>
      <c r="I23" s="53"/>
      <c r="J23" s="105">
        <f t="shared" si="7"/>
        <v>42894.5</v>
      </c>
      <c r="K23" s="109">
        <v>15</v>
      </c>
      <c r="L23" s="125">
        <f t="shared" si="5"/>
        <v>4.8426616588203185E-3</v>
      </c>
      <c r="M23" s="46">
        <f t="shared" si="8"/>
        <v>4.4336832295415093E-5</v>
      </c>
      <c r="N23" s="130">
        <v>4.4336832295415093E-5</v>
      </c>
      <c r="O23" s="89">
        <f t="shared" si="6"/>
        <v>4.4336832295415093E-5</v>
      </c>
      <c r="P23" s="48">
        <v>40337</v>
      </c>
      <c r="Q23" s="1">
        <v>6.1481514040778599E-4</v>
      </c>
      <c r="R23" s="100">
        <v>13548</v>
      </c>
      <c r="S23" s="100">
        <f t="shared" si="11"/>
        <v>71.676564455854404</v>
      </c>
      <c r="T23" s="101">
        <f t="shared" si="9"/>
        <v>13476.323435544145</v>
      </c>
      <c r="U23" s="49">
        <v>40715</v>
      </c>
      <c r="V23" s="92"/>
      <c r="W23" s="92"/>
      <c r="X23" s="92"/>
      <c r="Y23" s="92"/>
      <c r="Z23" s="92"/>
      <c r="AE23" s="93">
        <f t="shared" si="12"/>
        <v>42894.5</v>
      </c>
      <c r="AF23" s="92">
        <f>Logistic2010!Q23</f>
        <v>1.2564891276397731E-3</v>
      </c>
      <c r="AG23" s="4">
        <f t="shared" si="10"/>
        <v>6.1481514040778599E-4</v>
      </c>
      <c r="AH23" s="92">
        <f>Logistic2011!Q23</f>
        <v>2.6878741349269233E-4</v>
      </c>
      <c r="AI23" s="92">
        <f>Logistic2012!Q23</f>
        <v>6.1481514040778599E-4</v>
      </c>
      <c r="AJ23" s="92">
        <f>Logistic2013!L23</f>
        <v>2.6237909806921655E-3</v>
      </c>
      <c r="AK23" s="119">
        <f>Logistic2014!AK23</f>
        <v>3.3900001278880923E-3</v>
      </c>
      <c r="AL23" s="119">
        <f t="shared" si="13"/>
        <v>4.8426616588203185E-3</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ht="16.5" thickBot="1" x14ac:dyDescent="0.3">
      <c r="A24" s="120">
        <v>0.05</v>
      </c>
      <c r="B24" s="134">
        <v>42918</v>
      </c>
      <c r="C24" s="121">
        <f t="shared" si="0"/>
        <v>399.99999999999994</v>
      </c>
      <c r="D24" s="86">
        <f t="shared" si="1"/>
        <v>38.5</v>
      </c>
      <c r="E24" s="81">
        <v>4.7377257159999998E-2</v>
      </c>
      <c r="F24" s="50">
        <f t="shared" si="2"/>
        <v>0.21153876728677404</v>
      </c>
      <c r="G24" s="16">
        <f t="shared" si="3"/>
        <v>-0.16416151012677405</v>
      </c>
      <c r="H24" s="51">
        <f t="shared" si="4"/>
        <v>10.779600562841173</v>
      </c>
      <c r="I24" s="53"/>
      <c r="J24" s="105">
        <f t="shared" si="7"/>
        <v>42895.5</v>
      </c>
      <c r="K24" s="109">
        <v>16</v>
      </c>
      <c r="L24" s="125">
        <f t="shared" si="5"/>
        <v>5.7384668407153179E-3</v>
      </c>
      <c r="M24" s="46">
        <f t="shared" si="8"/>
        <v>6.3182052340935858E-5</v>
      </c>
      <c r="N24" s="130">
        <v>6.3182052340935858E-5</v>
      </c>
      <c r="O24" s="89">
        <f t="shared" si="6"/>
        <v>6.3182052340935858E-5</v>
      </c>
      <c r="P24" s="48">
        <v>40338</v>
      </c>
      <c r="Q24" s="1">
        <v>8.1872679212602632E-4</v>
      </c>
      <c r="R24" s="100">
        <v>8722</v>
      </c>
      <c r="S24" s="100">
        <f t="shared" si="11"/>
        <v>54.6752288932475</v>
      </c>
      <c r="T24" s="101">
        <f t="shared" si="9"/>
        <v>8667.3247711067525</v>
      </c>
      <c r="U24" s="49">
        <v>40716</v>
      </c>
      <c r="V24" s="92"/>
      <c r="W24" s="92"/>
      <c r="X24" s="92"/>
      <c r="Y24" s="92"/>
      <c r="Z24" s="92"/>
      <c r="AE24" s="93">
        <f t="shared" si="12"/>
        <v>42895.5</v>
      </c>
      <c r="AF24" s="92">
        <f>Logistic2010!Q24</f>
        <v>1.5340482859932569E-3</v>
      </c>
      <c r="AG24" s="4">
        <f t="shared" si="10"/>
        <v>8.1872679212602632E-4</v>
      </c>
      <c r="AH24" s="92">
        <f>Logistic2011!Q24</f>
        <v>3.4569606119318159E-4</v>
      </c>
      <c r="AI24" s="92">
        <f>Logistic2012!Q24</f>
        <v>8.1872679212602632E-4</v>
      </c>
      <c r="AJ24" s="92">
        <f>Logistic2013!L24</f>
        <v>3.1955571705628975E-3</v>
      </c>
      <c r="AK24" s="119">
        <f>Logistic2014!AK24</f>
        <v>4.101100461714453E-3</v>
      </c>
      <c r="AL24" s="119">
        <f t="shared" si="13"/>
        <v>5.7384668407153179E-3</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ht="16.5" thickBot="1" x14ac:dyDescent="0.3">
      <c r="A25" s="120">
        <v>0.05</v>
      </c>
      <c r="B25" s="134">
        <v>42921</v>
      </c>
      <c r="C25" s="121">
        <f t="shared" si="0"/>
        <v>399.99999999999994</v>
      </c>
      <c r="D25" s="86">
        <f t="shared" si="1"/>
        <v>41.5</v>
      </c>
      <c r="E25" s="81">
        <v>0.21548781105000001</v>
      </c>
      <c r="F25" s="50">
        <f t="shared" si="2"/>
        <v>0.30921527271149496</v>
      </c>
      <c r="G25" s="16">
        <f t="shared" si="3"/>
        <v>-9.3727461661494954E-2</v>
      </c>
      <c r="H25" s="51">
        <f t="shared" si="4"/>
        <v>3.5139348278028022</v>
      </c>
      <c r="I25" s="54"/>
      <c r="J25" s="105">
        <f t="shared" si="7"/>
        <v>42896.5</v>
      </c>
      <c r="K25" s="109">
        <v>17</v>
      </c>
      <c r="L25" s="125">
        <f t="shared" si="5"/>
        <v>6.7988477415473515E-3</v>
      </c>
      <c r="M25" s="46">
        <f t="shared" si="8"/>
        <v>9.003664795384782E-5</v>
      </c>
      <c r="N25" s="130">
        <v>9.003664795384782E-5</v>
      </c>
      <c r="O25" s="89">
        <f t="shared" si="6"/>
        <v>9.003664795384782E-5</v>
      </c>
      <c r="P25" s="48">
        <v>40339</v>
      </c>
      <c r="Q25" s="1">
        <v>1.0901946909765959E-3</v>
      </c>
      <c r="R25" s="100">
        <v>10831</v>
      </c>
      <c r="S25" s="100">
        <f t="shared" si="11"/>
        <v>80.43334230708831</v>
      </c>
      <c r="T25" s="101">
        <f t="shared" si="9"/>
        <v>10750.566657692912</v>
      </c>
      <c r="U25" s="49">
        <v>40717</v>
      </c>
      <c r="V25" s="92"/>
      <c r="W25" s="92"/>
      <c r="X25" s="92"/>
      <c r="Y25" s="92"/>
      <c r="Z25" s="92"/>
      <c r="AE25" s="93">
        <f t="shared" si="12"/>
        <v>42896.5</v>
      </c>
      <c r="AF25" s="92">
        <f>Logistic2010!Q25</f>
        <v>1.8728054475450151E-3</v>
      </c>
      <c r="AG25" s="4">
        <f t="shared" si="10"/>
        <v>1.0901946909765959E-3</v>
      </c>
      <c r="AH25" s="92">
        <f>Logistic2011!Q25</f>
        <v>4.4460093825327419E-4</v>
      </c>
      <c r="AI25" s="92">
        <f>Logistic2012!Q25</f>
        <v>1.0901946909765959E-3</v>
      </c>
      <c r="AJ25" s="92">
        <f>Logistic2013!L25</f>
        <v>3.8914342584479623E-3</v>
      </c>
      <c r="AK25" s="119">
        <f>Logistic2014!AK25</f>
        <v>4.960621659003208E-3</v>
      </c>
      <c r="AL25" s="119">
        <f t="shared" si="13"/>
        <v>6.7988477415473515E-3</v>
      </c>
      <c r="AN25" s="110"/>
      <c r="AP25" s="110"/>
      <c r="AQ25" s="110"/>
      <c r="AR25" s="110" t="s">
        <v>44</v>
      </c>
      <c r="AS25" s="110">
        <v>4.4964381818181822</v>
      </c>
      <c r="AT25" s="110">
        <v>30</v>
      </c>
      <c r="AU25" s="110">
        <v>0.14988127272727275</v>
      </c>
      <c r="AV25" s="110"/>
      <c r="AW25" s="110"/>
      <c r="AX25" s="110"/>
    </row>
    <row r="26" spans="1:50" ht="16.5" thickBot="1" x14ac:dyDescent="0.3">
      <c r="A26" s="120">
        <v>0.05</v>
      </c>
      <c r="B26" s="134">
        <v>42925</v>
      </c>
      <c r="C26" s="121">
        <f t="shared" si="0"/>
        <v>399.99999999999994</v>
      </c>
      <c r="D26" s="86">
        <f t="shared" si="1"/>
        <v>45.5</v>
      </c>
      <c r="E26" s="81">
        <v>0.28120337040999999</v>
      </c>
      <c r="F26" s="50">
        <f t="shared" si="2"/>
        <v>0.46971762040425141</v>
      </c>
      <c r="G26" s="16">
        <f t="shared" si="3"/>
        <v>-0.18851424999425143</v>
      </c>
      <c r="H26" s="51">
        <f t="shared" si="4"/>
        <v>14.215048980358048</v>
      </c>
      <c r="I26" s="54"/>
      <c r="J26" s="105">
        <f t="shared" si="7"/>
        <v>42897.5</v>
      </c>
      <c r="K26" s="109">
        <v>18</v>
      </c>
      <c r="L26" s="125">
        <f t="shared" si="5"/>
        <v>8.053583669603662E-3</v>
      </c>
      <c r="M26" s="46">
        <f t="shared" si="8"/>
        <v>1.2830392713932698E-4</v>
      </c>
      <c r="N26" s="130">
        <v>1.2830392713932698E-4</v>
      </c>
      <c r="O26" s="89">
        <f t="shared" si="6"/>
        <v>1.2830392713932698E-4</v>
      </c>
      <c r="P26" s="48">
        <v>40340</v>
      </c>
      <c r="Q26" s="1">
        <v>1.4515433191966043E-3</v>
      </c>
      <c r="R26" s="100">
        <v>10194</v>
      </c>
      <c r="S26" s="100">
        <f t="shared" si="11"/>
        <v>89.662563926488502</v>
      </c>
      <c r="T26" s="101">
        <f t="shared" si="9"/>
        <v>10104.337436073511</v>
      </c>
      <c r="U26" s="49">
        <v>40718</v>
      </c>
      <c r="V26" s="92"/>
      <c r="W26" s="92"/>
      <c r="X26" s="92"/>
      <c r="Y26" s="92"/>
      <c r="Z26" s="92"/>
      <c r="AE26" s="93">
        <f t="shared" si="12"/>
        <v>42897.5</v>
      </c>
      <c r="AF26" s="92">
        <f>Logistic2010!Q26</f>
        <v>2.2861975841660187E-3</v>
      </c>
      <c r="AG26" s="4">
        <f t="shared" si="10"/>
        <v>1.4515433191966043E-3</v>
      </c>
      <c r="AH26" s="92">
        <f>Logistic2011!Q26</f>
        <v>5.7178666821399956E-4</v>
      </c>
      <c r="AI26" s="92">
        <f>Logistic2012!Q26</f>
        <v>1.4515433191966043E-3</v>
      </c>
      <c r="AJ26" s="92">
        <f>Logistic2013!L26</f>
        <v>4.7381279726284222E-3</v>
      </c>
      <c r="AK26" s="119">
        <f>Logistic2014!AK26</f>
        <v>5.9991987892107617E-3</v>
      </c>
      <c r="AL26" s="119">
        <f t="shared" si="13"/>
        <v>8.053583669603662E-3</v>
      </c>
      <c r="AM26" s="114"/>
      <c r="AN26" s="114"/>
      <c r="AO26" s="114"/>
      <c r="AP26" s="114"/>
      <c r="AQ26" s="114"/>
      <c r="AR26" s="110"/>
      <c r="AS26" s="110"/>
      <c r="AT26" s="110"/>
      <c r="AU26" s="110"/>
      <c r="AV26" s="110"/>
      <c r="AW26" s="110"/>
      <c r="AX26" s="110"/>
    </row>
    <row r="27" spans="1:50" ht="16.5" thickBot="1" x14ac:dyDescent="0.3">
      <c r="A27" s="120">
        <v>0.05</v>
      </c>
      <c r="B27" s="134">
        <v>42928</v>
      </c>
      <c r="C27" s="121">
        <f t="shared" si="0"/>
        <v>399.99999999999994</v>
      </c>
      <c r="D27" s="86">
        <f t="shared" si="1"/>
        <v>48.5</v>
      </c>
      <c r="E27" s="81">
        <v>0.70293298057999998</v>
      </c>
      <c r="F27" s="50">
        <f t="shared" si="2"/>
        <v>0.59642868929733894</v>
      </c>
      <c r="G27" s="16">
        <f t="shared" si="3"/>
        <v>0.10650429128266103</v>
      </c>
      <c r="H27" s="51">
        <f t="shared" si="4"/>
        <v>4.5372656246487617</v>
      </c>
      <c r="I27" s="54"/>
      <c r="J27" s="105">
        <f t="shared" si="7"/>
        <v>42898.5</v>
      </c>
      <c r="K27" s="109">
        <v>19</v>
      </c>
      <c r="L27" s="125">
        <f t="shared" si="5"/>
        <v>9.5376590077533123E-3</v>
      </c>
      <c r="M27" s="46">
        <f t="shared" si="8"/>
        <v>1.8283255021357849E-4</v>
      </c>
      <c r="N27" s="130">
        <v>1.8283255021357849E-4</v>
      </c>
      <c r="O27" s="89">
        <f t="shared" si="6"/>
        <v>1.8283255021357849E-4</v>
      </c>
      <c r="P27" s="48">
        <v>40341</v>
      </c>
      <c r="Q27" s="1">
        <v>1.9324304426046567E-3</v>
      </c>
      <c r="R27" s="100">
        <v>4837</v>
      </c>
      <c r="S27" s="100">
        <f t="shared" si="11"/>
        <v>50.37677055372928</v>
      </c>
      <c r="T27" s="101">
        <f t="shared" si="9"/>
        <v>4786.6232294462707</v>
      </c>
      <c r="U27" s="49">
        <v>40719</v>
      </c>
      <c r="V27" s="92">
        <v>7.0000000000000001E-3</v>
      </c>
      <c r="W27" s="92"/>
      <c r="X27" s="92"/>
      <c r="Y27" s="92"/>
      <c r="Z27" s="92"/>
      <c r="AE27" s="93">
        <f t="shared" si="12"/>
        <v>42898.5</v>
      </c>
      <c r="AF27" s="92">
        <f>Logistic2010!Q27</f>
        <v>2.7905843687065831E-3</v>
      </c>
      <c r="AG27" s="4">
        <f t="shared" si="10"/>
        <v>1.9324304426046567E-3</v>
      </c>
      <c r="AH27" s="92">
        <f>Logistic2011!Q27</f>
        <v>7.3532929350053459E-4</v>
      </c>
      <c r="AI27" s="92">
        <f>Logistic2012!Q27</f>
        <v>1.9324304426046567E-3</v>
      </c>
      <c r="AJ27" s="92">
        <f>Logistic2013!L27</f>
        <v>5.7679775716238009E-3</v>
      </c>
      <c r="AK27" s="119">
        <f>Logistic2014!AK27</f>
        <v>7.2536318036214055E-3</v>
      </c>
      <c r="AL27" s="119">
        <f t="shared" si="13"/>
        <v>9.5376590077533123E-3</v>
      </c>
      <c r="AM27" s="114"/>
      <c r="AO27" s="114"/>
      <c r="AP27" s="114"/>
      <c r="AQ27" s="114"/>
      <c r="AR27" s="111" t="s">
        <v>45</v>
      </c>
      <c r="AS27" s="111">
        <v>4.8233989090909093</v>
      </c>
      <c r="AT27" s="111">
        <v>32</v>
      </c>
      <c r="AU27" s="111"/>
      <c r="AV27" s="111"/>
      <c r="AW27" s="111"/>
      <c r="AX27" s="111"/>
    </row>
    <row r="28" spans="1:50" ht="16.5" thickBot="1" x14ac:dyDescent="0.3">
      <c r="A28" s="120">
        <v>0.05</v>
      </c>
      <c r="B28" s="134">
        <v>42930</v>
      </c>
      <c r="C28" s="121">
        <f t="shared" si="0"/>
        <v>399.99999999999994</v>
      </c>
      <c r="D28" s="86">
        <f t="shared" si="1"/>
        <v>50.5</v>
      </c>
      <c r="E28" s="81">
        <v>0.69174640976000001</v>
      </c>
      <c r="F28" s="50">
        <f t="shared" si="2"/>
        <v>0.67521391194497093</v>
      </c>
      <c r="G28" s="16">
        <f t="shared" si="3"/>
        <v>1.6532497815029079E-2</v>
      </c>
      <c r="H28" s="51">
        <f t="shared" si="4"/>
        <v>0.10932939360157649</v>
      </c>
      <c r="I28" s="54"/>
      <c r="J28" s="105">
        <f t="shared" si="7"/>
        <v>42899.5</v>
      </c>
      <c r="K28" s="109">
        <v>20</v>
      </c>
      <c r="L28" s="125">
        <f t="shared" si="5"/>
        <v>1.1292099335736159E-2</v>
      </c>
      <c r="M28" s="46">
        <f t="shared" si="8"/>
        <v>2.6052956766402371E-4</v>
      </c>
      <c r="N28" s="130">
        <v>2.6052956766402371E-4</v>
      </c>
      <c r="O28" s="89">
        <f t="shared" si="6"/>
        <v>2.6052956766402371E-4</v>
      </c>
      <c r="P28" s="48">
        <v>40342</v>
      </c>
      <c r="Q28" s="1">
        <v>2.5722220404043386E-3</v>
      </c>
      <c r="R28" s="100">
        <v>8645</v>
      </c>
      <c r="S28" s="100">
        <f t="shared" si="11"/>
        <v>106.57993146806925</v>
      </c>
      <c r="T28" s="101">
        <f t="shared" si="9"/>
        <v>8538.4200685319302</v>
      </c>
      <c r="U28" s="40">
        <v>40720</v>
      </c>
      <c r="V28" s="92"/>
      <c r="W28" s="92"/>
      <c r="X28" s="92"/>
      <c r="Y28" s="92"/>
      <c r="Z28" s="92"/>
      <c r="AE28" s="93">
        <f t="shared" si="12"/>
        <v>42899.5</v>
      </c>
      <c r="AF28" s="92">
        <f>Logistic2010!Q28</f>
        <v>3.4058703908046778E-3</v>
      </c>
      <c r="AG28" s="4">
        <f t="shared" si="10"/>
        <v>2.5722220404043386E-3</v>
      </c>
      <c r="AH28" s="92">
        <f>Logistic2011!Q28</f>
        <v>9.4560418099634688E-4</v>
      </c>
      <c r="AI28" s="92">
        <f>Logistic2012!Q28</f>
        <v>2.5722220404043386E-3</v>
      </c>
      <c r="AJ28" s="92">
        <f>Logistic2013!L28</f>
        <v>7.0200899120878707E-3</v>
      </c>
      <c r="AK28" s="119">
        <f>Logistic2014!AK28</f>
        <v>8.7680531167695416E-3</v>
      </c>
      <c r="AL28" s="119">
        <f t="shared" si="13"/>
        <v>1.1292099335736159E-2</v>
      </c>
      <c r="AM28" s="114"/>
      <c r="AN28" s="114"/>
      <c r="AQ28" s="114"/>
      <c r="AR28" s="114"/>
      <c r="AS28" s="114"/>
      <c r="AT28" s="114"/>
      <c r="AU28" s="114"/>
    </row>
    <row r="29" spans="1:50" ht="16.5" thickBot="1" x14ac:dyDescent="0.3">
      <c r="A29" s="120">
        <v>0.05</v>
      </c>
      <c r="B29" s="134">
        <v>42937</v>
      </c>
      <c r="C29" s="121">
        <f t="shared" si="0"/>
        <v>399.99999999999994</v>
      </c>
      <c r="D29" s="86">
        <f t="shared" si="1"/>
        <v>57.5</v>
      </c>
      <c r="E29" s="81">
        <v>0.87700319511000002</v>
      </c>
      <c r="F29" s="50">
        <f t="shared" si="2"/>
        <v>0.87283485619746637</v>
      </c>
      <c r="G29" s="16">
        <f t="shared" si="3"/>
        <v>4.1683389125336534E-3</v>
      </c>
      <c r="H29" s="51">
        <f t="shared" si="4"/>
        <v>6.9500197158968947E-3</v>
      </c>
      <c r="I29" s="54"/>
      <c r="J29" s="105">
        <f t="shared" si="7"/>
        <v>42900.5</v>
      </c>
      <c r="K29" s="109">
        <v>21</v>
      </c>
      <c r="L29" s="125">
        <f t="shared" si="5"/>
        <v>1.3364911992909123E-2</v>
      </c>
      <c r="M29" s="46">
        <f t="shared" si="8"/>
        <v>3.7123266109304417E-4</v>
      </c>
      <c r="N29" s="130">
        <v>3.7123266109304417E-4</v>
      </c>
      <c r="O29" s="89">
        <f t="shared" si="6"/>
        <v>3.7123266109304417E-4</v>
      </c>
      <c r="P29" s="48">
        <v>40343</v>
      </c>
      <c r="Q29" s="1">
        <v>3.4231101794941045E-3</v>
      </c>
      <c r="R29" s="100">
        <v>6148</v>
      </c>
      <c r="S29" s="100">
        <f t="shared" si="11"/>
        <v>89.690231533894263</v>
      </c>
      <c r="T29" s="101">
        <f t="shared" si="9"/>
        <v>6058.3097684661061</v>
      </c>
      <c r="U29" s="49">
        <v>40721</v>
      </c>
      <c r="V29" s="92"/>
      <c r="W29" s="92"/>
      <c r="X29" s="92"/>
      <c r="Y29" s="92"/>
      <c r="Z29" s="92"/>
      <c r="AE29" s="93">
        <f t="shared" si="12"/>
        <v>42900.5</v>
      </c>
      <c r="AF29" s="92">
        <f>Logistic2010!Q29</f>
        <v>4.156253215078223E-3</v>
      </c>
      <c r="AG29" s="4">
        <f t="shared" si="10"/>
        <v>3.4231101794941045E-3</v>
      </c>
      <c r="AH29" s="92">
        <f>Logistic2011!Q29</f>
        <v>1.2159361420781157E-3</v>
      </c>
      <c r="AI29" s="92">
        <f>Logistic2012!Q29</f>
        <v>3.4231101794941045E-3</v>
      </c>
      <c r="AJ29" s="92">
        <f>Logistic2013!L29</f>
        <v>8.5416755801183825E-3</v>
      </c>
      <c r="AK29" s="119">
        <f>Logistic2014!AK29</f>
        <v>1.0595282474405681E-2</v>
      </c>
      <c r="AL29" s="119">
        <f t="shared" si="13"/>
        <v>1.3364911992909123E-2</v>
      </c>
      <c r="AM29" s="113"/>
      <c r="AN29" s="113"/>
      <c r="AP29" s="113"/>
      <c r="AQ29" s="113"/>
      <c r="AR29" s="113"/>
      <c r="AS29" s="113"/>
      <c r="AT29" s="114"/>
      <c r="AU29" s="114"/>
    </row>
    <row r="30" spans="1:50" ht="16.5" thickBot="1" x14ac:dyDescent="0.3">
      <c r="A30" s="120">
        <v>0.05</v>
      </c>
      <c r="B30" s="134">
        <v>42944</v>
      </c>
      <c r="C30" s="121">
        <f t="shared" si="0"/>
        <v>399.99999999999994</v>
      </c>
      <c r="D30" s="86">
        <f t="shared" si="1"/>
        <v>64.5</v>
      </c>
      <c r="E30" s="81">
        <v>0.96438682468000003</v>
      </c>
      <c r="F30" s="50">
        <f t="shared" si="2"/>
        <v>0.95773682120665793</v>
      </c>
      <c r="G30" s="16">
        <f t="shared" si="3"/>
        <v>6.6500034733421032E-3</v>
      </c>
      <c r="H30" s="51">
        <f t="shared" si="4"/>
        <v>1.7689018478184812E-2</v>
      </c>
      <c r="I30" s="54"/>
      <c r="J30" s="105">
        <f t="shared" si="7"/>
        <v>42901.5</v>
      </c>
      <c r="K30" s="109">
        <v>22</v>
      </c>
      <c r="L30" s="125">
        <f t="shared" si="5"/>
        <v>1.5812131446874308E-2</v>
      </c>
      <c r="M30" s="46">
        <f t="shared" si="8"/>
        <v>5.2895034459836269E-4</v>
      </c>
      <c r="N30" s="131">
        <v>5.2895034459836269E-4</v>
      </c>
      <c r="O30" s="89">
        <f t="shared" si="6"/>
        <v>5.2895034459836269E-4</v>
      </c>
      <c r="P30" s="48">
        <v>40344</v>
      </c>
      <c r="Q30" s="1">
        <v>4.5541859663405402E-3</v>
      </c>
      <c r="R30" s="100">
        <v>5114</v>
      </c>
      <c r="S30" s="100">
        <f t="shared" si="11"/>
        <v>88.244869109010835</v>
      </c>
      <c r="T30" s="101">
        <f t="shared" si="9"/>
        <v>5025.7551308909888</v>
      </c>
      <c r="U30" s="49">
        <v>40722</v>
      </c>
      <c r="V30" s="92"/>
      <c r="W30" s="92"/>
      <c r="X30" s="92"/>
      <c r="Y30" s="92"/>
      <c r="Z30" s="92"/>
      <c r="AE30" s="93">
        <f t="shared" si="12"/>
        <v>42901.5</v>
      </c>
      <c r="AF30" s="92">
        <f>Logistic2010!Q30</f>
        <v>5.0711194585093189E-3</v>
      </c>
      <c r="AG30" s="4">
        <f t="shared" si="10"/>
        <v>4.5541859663405402E-3</v>
      </c>
      <c r="AH30" s="92">
        <f>Logistic2011!Q30</f>
        <v>1.5634304169464023E-3</v>
      </c>
      <c r="AI30" s="92">
        <f>Logistic2012!Q30</f>
        <v>4.5541859663405402E-3</v>
      </c>
      <c r="AJ30" s="92">
        <f>Logistic2013!L30</f>
        <v>1.0389610148679944E-2</v>
      </c>
      <c r="AK30" s="119">
        <f>Logistic2014!AK30</f>
        <v>1.2798382995327439E-2</v>
      </c>
      <c r="AL30" s="119">
        <f t="shared" si="13"/>
        <v>1.5812131446874308E-2</v>
      </c>
      <c r="AM30" s="113"/>
      <c r="AN30" s="113"/>
      <c r="AO30" s="113"/>
      <c r="AP30" s="113"/>
      <c r="AQ30" s="113"/>
      <c r="AR30" s="113"/>
      <c r="AS30" s="113"/>
      <c r="AT30" s="114"/>
      <c r="AU30" s="114"/>
    </row>
    <row r="31" spans="1:50" ht="16.5" thickBot="1" x14ac:dyDescent="0.3">
      <c r="A31" s="120">
        <v>0.05</v>
      </c>
      <c r="B31" s="134">
        <v>42897</v>
      </c>
      <c r="C31" s="121">
        <f t="shared" si="0"/>
        <v>399.99999999999994</v>
      </c>
      <c r="D31" s="86">
        <f t="shared" si="1"/>
        <v>17.5</v>
      </c>
      <c r="E31" s="81">
        <v>2.3732696920000001E-2</v>
      </c>
      <c r="F31" s="50">
        <f t="shared" si="2"/>
        <v>7.3998660932324614E-3</v>
      </c>
      <c r="G31" s="16">
        <f t="shared" si="3"/>
        <v>1.6332830826767539E-2</v>
      </c>
      <c r="H31" s="51">
        <f t="shared" si="4"/>
        <v>0.10670454512632319</v>
      </c>
      <c r="I31" s="54"/>
      <c r="J31" s="105">
        <f t="shared" si="7"/>
        <v>42902.5</v>
      </c>
      <c r="K31" s="109">
        <v>23</v>
      </c>
      <c r="L31" s="125">
        <f t="shared" si="5"/>
        <v>1.8698963237916789E-2</v>
      </c>
      <c r="M31" s="46">
        <f t="shared" si="8"/>
        <v>7.5362365201523903E-4</v>
      </c>
      <c r="N31" s="131">
        <v>7.5362365201523903E-4</v>
      </c>
      <c r="O31" s="89">
        <f t="shared" si="6"/>
        <v>7.5362365201523903E-4</v>
      </c>
      <c r="P31" s="48">
        <v>40345</v>
      </c>
      <c r="Q31" s="1">
        <v>6.0567243090960737E-3</v>
      </c>
      <c r="R31" s="100">
        <v>7184</v>
      </c>
      <c r="S31" s="100">
        <f t="shared" si="11"/>
        <v>146.55350533334601</v>
      </c>
      <c r="T31" s="101">
        <f t="shared" si="9"/>
        <v>7037.446494666654</v>
      </c>
      <c r="U31" s="49">
        <v>40723</v>
      </c>
      <c r="V31" s="92"/>
      <c r="W31" s="92"/>
      <c r="X31" s="92"/>
      <c r="Y31" s="92"/>
      <c r="Z31" s="92"/>
      <c r="AE31" s="93">
        <f t="shared" si="12"/>
        <v>42902.5</v>
      </c>
      <c r="AF31" s="92">
        <f>Logistic2010!Q31</f>
        <v>6.18611330154804E-3</v>
      </c>
      <c r="AG31" s="4">
        <f t="shared" si="10"/>
        <v>6.0567243090960737E-3</v>
      </c>
      <c r="AH31" s="92">
        <f>Logistic2011!Q31</f>
        <v>2.0100329059479318E-3</v>
      </c>
      <c r="AI31" s="92">
        <f>Logistic2012!Q31</f>
        <v>6.0567243090960737E-3</v>
      </c>
      <c r="AJ31" s="92">
        <f>Logistic2013!L31</f>
        <v>1.263223931108238E-2</v>
      </c>
      <c r="AK31" s="119">
        <f>Logistic2014!AK31</f>
        <v>1.5452424589650317E-2</v>
      </c>
      <c r="AL31" s="119">
        <f t="shared" si="13"/>
        <v>1.8698963237916789E-2</v>
      </c>
      <c r="AM31" s="113"/>
      <c r="AO31" s="113"/>
      <c r="AP31" s="113"/>
      <c r="AQ31" s="113"/>
      <c r="AR31" t="s">
        <v>28</v>
      </c>
      <c r="AS31"/>
      <c r="AT31"/>
      <c r="AU31"/>
      <c r="AV31"/>
      <c r="AW31"/>
      <c r="AX31"/>
    </row>
    <row r="32" spans="1:50" ht="16.5" thickBot="1" x14ac:dyDescent="0.3">
      <c r="A32" s="120">
        <v>0.05</v>
      </c>
      <c r="B32" s="134">
        <v>42904</v>
      </c>
      <c r="C32" s="121">
        <f t="shared" si="0"/>
        <v>399.99999999999994</v>
      </c>
      <c r="D32" s="86">
        <f t="shared" si="1"/>
        <v>24.5</v>
      </c>
      <c r="E32" s="81">
        <v>3.6421311300000002E-2</v>
      </c>
      <c r="F32" s="50">
        <f t="shared" si="2"/>
        <v>2.4022023103551088E-2</v>
      </c>
      <c r="G32" s="16">
        <f t="shared" si="3"/>
        <v>1.2399288196448914E-2</v>
      </c>
      <c r="H32" s="51">
        <f t="shared" si="4"/>
        <v>6.1496939111438942E-2</v>
      </c>
      <c r="I32" s="54"/>
      <c r="J32" s="105">
        <f t="shared" si="7"/>
        <v>42903.5</v>
      </c>
      <c r="K32" s="109">
        <v>24</v>
      </c>
      <c r="L32" s="125">
        <f t="shared" si="5"/>
        <v>2.2101010407224085E-2</v>
      </c>
      <c r="M32" s="46">
        <f t="shared" si="8"/>
        <v>1.0736251359755081E-3</v>
      </c>
      <c r="N32" s="131">
        <v>1.0736251359755081E-3</v>
      </c>
      <c r="O32" s="89">
        <f t="shared" si="6"/>
        <v>1.0736251359755081E-3</v>
      </c>
      <c r="P32" s="48">
        <v>40346</v>
      </c>
      <c r="Q32" s="1">
        <v>8.0509778061675936E-3</v>
      </c>
      <c r="R32" s="100">
        <v>8109</v>
      </c>
      <c r="S32" s="100">
        <f t="shared" si="11"/>
        <v>195.45350787282129</v>
      </c>
      <c r="T32" s="101">
        <f t="shared" si="9"/>
        <v>7913.5464921271787</v>
      </c>
      <c r="U32" s="49">
        <v>40724</v>
      </c>
      <c r="V32" s="92"/>
      <c r="W32" s="92"/>
      <c r="X32" s="92"/>
      <c r="Y32" s="92"/>
      <c r="Z32" s="92"/>
      <c r="AE32" s="93">
        <f t="shared" si="12"/>
        <v>42903.5</v>
      </c>
      <c r="AF32" s="92">
        <f>Logistic2010!Q32</f>
        <v>7.5444033609171311E-3</v>
      </c>
      <c r="AG32" s="4">
        <f t="shared" si="10"/>
        <v>8.0509778061675936E-3</v>
      </c>
      <c r="AH32" s="92">
        <f>Logistic2011!Q32</f>
        <v>2.5838796966125908E-3</v>
      </c>
      <c r="AI32" s="92">
        <f>Logistic2012!Q32</f>
        <v>8.0509778061675936E-3</v>
      </c>
      <c r="AJ32" s="92">
        <f>Logistic2013!L32</f>
        <v>1.5351437527105454E-2</v>
      </c>
      <c r="AK32" s="119">
        <f>Logistic2014!AK32</f>
        <v>1.864644764878538E-2</v>
      </c>
      <c r="AL32" s="119">
        <f t="shared" si="13"/>
        <v>2.2101010407224085E-2</v>
      </c>
      <c r="AM32" s="115"/>
      <c r="AN32" s="115"/>
      <c r="AP32" s="115"/>
      <c r="AQ32" s="115"/>
      <c r="AR32"/>
      <c r="AS32"/>
      <c r="AT32"/>
      <c r="AU32"/>
      <c r="AV32"/>
      <c r="AW32"/>
      <c r="AX32"/>
    </row>
    <row r="33" spans="1:50" ht="16.5" thickBot="1" x14ac:dyDescent="0.3">
      <c r="A33" s="120">
        <v>0.05</v>
      </c>
      <c r="B33" s="134">
        <v>42911</v>
      </c>
      <c r="C33" s="121">
        <f t="shared" si="0"/>
        <v>399.99999999999994</v>
      </c>
      <c r="D33" s="86">
        <f t="shared" si="1"/>
        <v>31.5</v>
      </c>
      <c r="E33" s="81">
        <v>7.3465959699999996E-3</v>
      </c>
      <c r="F33" s="50">
        <f t="shared" si="2"/>
        <v>7.5155106806167798E-2</v>
      </c>
      <c r="G33" s="16">
        <f t="shared" si="3"/>
        <v>-6.7808510836167804E-2</v>
      </c>
      <c r="H33" s="51">
        <f t="shared" si="4"/>
        <v>1.8391976567274744</v>
      </c>
      <c r="I33" s="54"/>
      <c r="J33" s="105">
        <f t="shared" si="7"/>
        <v>42904.5</v>
      </c>
      <c r="K33" s="109">
        <v>25</v>
      </c>
      <c r="L33" s="125">
        <f t="shared" si="5"/>
        <v>2.6105552146190963E-2</v>
      </c>
      <c r="M33" s="46">
        <f t="shared" si="8"/>
        <v>1.5292967649937837E-3</v>
      </c>
      <c r="N33" s="131">
        <v>1.5292967649937837E-3</v>
      </c>
      <c r="O33" s="89">
        <f t="shared" si="6"/>
        <v>1.5292967649937837E-3</v>
      </c>
      <c r="P33" s="48">
        <v>40347</v>
      </c>
      <c r="Q33" s="1">
        <v>1.0694799271914295E-2</v>
      </c>
      <c r="R33" s="100">
        <v>18981</v>
      </c>
      <c r="S33" s="100">
        <f t="shared" si="11"/>
        <v>540.18385572598868</v>
      </c>
      <c r="T33" s="101">
        <f t="shared" si="9"/>
        <v>18440.816144274013</v>
      </c>
      <c r="U33" s="49">
        <v>40725</v>
      </c>
      <c r="V33" s="92">
        <v>0.35599999999999998</v>
      </c>
      <c r="W33" s="92"/>
      <c r="X33" s="92"/>
      <c r="Y33" s="92"/>
      <c r="Z33" s="92"/>
      <c r="AE33" s="93">
        <f t="shared" si="12"/>
        <v>42904.5</v>
      </c>
      <c r="AF33" s="92">
        <f>Logistic2010!Q33</f>
        <v>9.1981739546595914E-3</v>
      </c>
      <c r="AG33" s="4">
        <f t="shared" si="10"/>
        <v>1.0694799271914295E-2</v>
      </c>
      <c r="AH33" s="92">
        <f>Logistic2011!Q33</f>
        <v>3.3210095492913049E-3</v>
      </c>
      <c r="AI33" s="92">
        <f>Logistic2012!Q33</f>
        <v>1.0694799271914295E-2</v>
      </c>
      <c r="AJ33" s="92">
        <f>Logistic2013!L33</f>
        <v>1.8644913491254085E-2</v>
      </c>
      <c r="AK33" s="119">
        <f>Logistic2014!AK33</f>
        <v>2.2485598579313124E-2</v>
      </c>
      <c r="AL33" s="119">
        <f t="shared" si="13"/>
        <v>2.6105552146190963E-2</v>
      </c>
      <c r="AM33" s="110"/>
      <c r="AN33" s="110"/>
      <c r="AO33" s="110"/>
      <c r="AP33" s="110"/>
      <c r="AQ33" s="110"/>
      <c r="AR33" t="s">
        <v>29</v>
      </c>
      <c r="AS33"/>
      <c r="AT33"/>
      <c r="AU33"/>
      <c r="AV33"/>
      <c r="AW33"/>
      <c r="AX33"/>
    </row>
    <row r="34" spans="1:50" ht="16.5" thickBot="1" x14ac:dyDescent="0.3">
      <c r="A34" s="120">
        <v>0.05</v>
      </c>
      <c r="B34" s="134">
        <v>42917</v>
      </c>
      <c r="C34" s="121">
        <f t="shared" si="0"/>
        <v>399.99999999999994</v>
      </c>
      <c r="D34" s="86">
        <f t="shared" si="1"/>
        <v>37.5</v>
      </c>
      <c r="E34" s="81">
        <v>0.35611912855</v>
      </c>
      <c r="F34" s="50">
        <f t="shared" si="2"/>
        <v>0.18447725960345621</v>
      </c>
      <c r="G34" s="16">
        <f t="shared" si="3"/>
        <v>0.17164186894654379</v>
      </c>
      <c r="H34" s="51">
        <f t="shared" si="4"/>
        <v>11.784372470185005</v>
      </c>
      <c r="I34" s="54"/>
      <c r="J34" s="105">
        <f t="shared" si="7"/>
        <v>42905.5</v>
      </c>
      <c r="K34" s="109">
        <v>26</v>
      </c>
      <c r="L34" s="125">
        <f t="shared" si="5"/>
        <v>3.0812824728155875E-2</v>
      </c>
      <c r="M34" s="46">
        <f t="shared" si="8"/>
        <v>2.1779444332849758E-3</v>
      </c>
      <c r="N34" s="131">
        <v>2.1779444332849758E-3</v>
      </c>
      <c r="O34" s="89">
        <f t="shared" si="6"/>
        <v>2.1779444332849758E-3</v>
      </c>
      <c r="P34" s="48">
        <v>40348</v>
      </c>
      <c r="Q34" s="1">
        <v>1.4194388945639416E-2</v>
      </c>
      <c r="R34" s="100">
        <v>7954</v>
      </c>
      <c r="S34" s="100">
        <f t="shared" si="11"/>
        <v>267.05576106345706</v>
      </c>
      <c r="T34" s="101">
        <f t="shared" si="9"/>
        <v>7686.9442389365431</v>
      </c>
      <c r="U34" s="49">
        <v>40726</v>
      </c>
      <c r="V34" s="92"/>
      <c r="W34" s="92"/>
      <c r="X34" s="92"/>
      <c r="Y34" s="92"/>
      <c r="Z34" s="92"/>
      <c r="AE34" s="93">
        <f t="shared" si="12"/>
        <v>42905.5</v>
      </c>
      <c r="AF34" s="92">
        <f>Logistic2010!Q34</f>
        <v>1.1210364440860094E-2</v>
      </c>
      <c r="AG34" s="4">
        <f t="shared" si="10"/>
        <v>1.4194388945639416E-2</v>
      </c>
      <c r="AH34" s="92">
        <f>Logistic2011!Q34</f>
        <v>4.2675282552662704E-3</v>
      </c>
      <c r="AI34" s="92">
        <f>Logistic2012!Q34</f>
        <v>1.4194388945639416E-2</v>
      </c>
      <c r="AJ34" s="92">
        <f>Logistic2013!L34</f>
        <v>2.2628728952144059E-2</v>
      </c>
      <c r="AK34" s="119">
        <f>Logistic2014!AK34</f>
        <v>2.7093376387433324E-2</v>
      </c>
      <c r="AL34" s="119">
        <f t="shared" si="13"/>
        <v>3.0812824728155875E-2</v>
      </c>
      <c r="AM34" s="110"/>
      <c r="AN34" s="110"/>
      <c r="AO34" s="110"/>
      <c r="AQ34" s="110"/>
      <c r="AR34" s="112" t="s">
        <v>30</v>
      </c>
      <c r="AS34" s="112" t="s">
        <v>31</v>
      </c>
      <c r="AT34" s="112" t="s">
        <v>32</v>
      </c>
      <c r="AU34" s="112" t="s">
        <v>33</v>
      </c>
      <c r="AV34" s="112" t="s">
        <v>34</v>
      </c>
      <c r="AW34"/>
      <c r="AX34"/>
    </row>
    <row r="35" spans="1:50" ht="16.5" thickBot="1" x14ac:dyDescent="0.3">
      <c r="A35" s="120">
        <v>0.05</v>
      </c>
      <c r="B35" s="134">
        <v>42921</v>
      </c>
      <c r="C35" s="121">
        <f t="shared" si="0"/>
        <v>399.99999999999994</v>
      </c>
      <c r="D35" s="86">
        <f t="shared" si="1"/>
        <v>41.5</v>
      </c>
      <c r="E35" s="81">
        <v>0.51490290000000005</v>
      </c>
      <c r="F35" s="50">
        <f t="shared" si="2"/>
        <v>0.30921527271149496</v>
      </c>
      <c r="G35" s="16">
        <f t="shared" si="3"/>
        <v>0.20568762728850509</v>
      </c>
      <c r="H35" s="51">
        <f t="shared" si="4"/>
        <v>16.922960007829989</v>
      </c>
      <c r="I35" s="54"/>
      <c r="J35" s="105">
        <f t="shared" si="7"/>
        <v>42906.5</v>
      </c>
      <c r="K35" s="109">
        <v>27</v>
      </c>
      <c r="L35" s="125">
        <f t="shared" si="5"/>
        <v>3.6337228342866776E-2</v>
      </c>
      <c r="M35" s="46">
        <f t="shared" si="8"/>
        <v>3.1008600796789275E-3</v>
      </c>
      <c r="N35" s="131">
        <v>3.1008600796789275E-3</v>
      </c>
      <c r="O35" s="89">
        <f t="shared" si="6"/>
        <v>3.1008600796789275E-3</v>
      </c>
      <c r="P35" s="48">
        <v>40349</v>
      </c>
      <c r="Q35" s="1">
        <v>1.8817345014281332E-2</v>
      </c>
      <c r="R35" s="100">
        <v>10420</v>
      </c>
      <c r="S35" s="100">
        <f t="shared" si="11"/>
        <v>412.34845857043689</v>
      </c>
      <c r="T35" s="101">
        <f t="shared" si="9"/>
        <v>10007.651541429563</v>
      </c>
      <c r="U35" s="40">
        <v>40727</v>
      </c>
      <c r="AE35" s="93">
        <f t="shared" si="12"/>
        <v>42906.5</v>
      </c>
      <c r="AF35" s="92">
        <f>Logistic2010!Q35</f>
        <v>1.3656673980419356E-2</v>
      </c>
      <c r="AG35" s="4">
        <f t="shared" si="10"/>
        <v>1.8817345014281332E-2</v>
      </c>
      <c r="AH35" s="92">
        <f>Logistic2011!Q35</f>
        <v>5.4823297455268887E-3</v>
      </c>
      <c r="AI35" s="92">
        <f>Logistic2012!Q35</f>
        <v>1.8817345014281332E-2</v>
      </c>
      <c r="AJ35" s="92">
        <f>Logistic2013!L35</f>
        <v>2.7439956026617411E-2</v>
      </c>
      <c r="AK35" s="119">
        <f>Logistic2014!AK35</f>
        <v>3.2613882518552371E-2</v>
      </c>
      <c r="AL35" s="119">
        <f t="shared" si="13"/>
        <v>3.6337228342866776E-2</v>
      </c>
      <c r="AM35" s="113"/>
      <c r="AO35" s="113"/>
      <c r="AP35" s="113"/>
      <c r="AQ35" s="113"/>
      <c r="AR35" s="110">
        <v>2010</v>
      </c>
      <c r="AS35" s="110">
        <v>11</v>
      </c>
      <c r="AT35" s="110">
        <v>4.5669999999999993</v>
      </c>
      <c r="AU35" s="110">
        <v>0.4151818181818181</v>
      </c>
      <c r="AV35" s="110">
        <v>0.13328476363636368</v>
      </c>
      <c r="AW35"/>
      <c r="AX35"/>
    </row>
    <row r="36" spans="1:50" ht="16.5" thickBot="1" x14ac:dyDescent="0.3">
      <c r="A36" s="120">
        <v>0.05</v>
      </c>
      <c r="B36" s="134">
        <v>42924</v>
      </c>
      <c r="C36" s="121">
        <f t="shared" si="0"/>
        <v>399.99999999999994</v>
      </c>
      <c r="D36" s="86">
        <f t="shared" si="1"/>
        <v>44.5</v>
      </c>
      <c r="E36" s="81">
        <v>0.90137308332499999</v>
      </c>
      <c r="F36" s="50">
        <f t="shared" si="2"/>
        <v>0.42753728780204603</v>
      </c>
      <c r="G36" s="16">
        <f t="shared" si="3"/>
        <v>0.47383579552295396</v>
      </c>
      <c r="H36" s="51">
        <f t="shared" si="4"/>
        <v>89.808144447548244</v>
      </c>
      <c r="I36" s="54"/>
      <c r="J36" s="105">
        <f t="shared" si="7"/>
        <v>42907.5</v>
      </c>
      <c r="K36" s="109">
        <v>28</v>
      </c>
      <c r="L36" s="125">
        <f t="shared" si="5"/>
        <v>4.2808349117869661E-2</v>
      </c>
      <c r="M36" s="46">
        <f t="shared" si="8"/>
        <v>4.4131364833405974E-3</v>
      </c>
      <c r="N36" s="131">
        <v>4.4131364833405974E-3</v>
      </c>
      <c r="O36" s="89">
        <f t="shared" si="6"/>
        <v>4.4131364833405974E-3</v>
      </c>
      <c r="P36" s="48">
        <v>40350</v>
      </c>
      <c r="Q36" s="1">
        <v>2.4907904460513997E-2</v>
      </c>
      <c r="R36" s="100">
        <v>14984</v>
      </c>
      <c r="S36" s="100">
        <f t="shared" si="11"/>
        <v>698.10449891099563</v>
      </c>
      <c r="T36" s="101">
        <f t="shared" si="9"/>
        <v>14285.895501089004</v>
      </c>
      <c r="U36" s="49">
        <v>40728</v>
      </c>
      <c r="AE36" s="93">
        <f t="shared" si="12"/>
        <v>42907.5</v>
      </c>
      <c r="AF36" s="92">
        <f>Logistic2010!Q36</f>
        <v>1.6627836578475143E-2</v>
      </c>
      <c r="AG36" s="4">
        <f t="shared" si="10"/>
        <v>2.4907904460513997E-2</v>
      </c>
      <c r="AH36" s="92">
        <f>Logistic2011!Q36</f>
        <v>7.0404935024234346E-3</v>
      </c>
      <c r="AI36" s="92">
        <f>Logistic2012!Q36</f>
        <v>2.4907904460513997E-2</v>
      </c>
      <c r="AJ36" s="92">
        <f>Logistic2013!L36</f>
        <v>3.3239337178441269E-2</v>
      </c>
      <c r="AK36" s="119">
        <f>Logistic2014!AK36</f>
        <v>3.9213900655283261E-2</v>
      </c>
      <c r="AL36" s="119">
        <f t="shared" si="13"/>
        <v>4.2808349117869661E-2</v>
      </c>
      <c r="AM36" s="113"/>
      <c r="AN36" s="113"/>
      <c r="AP36" s="113"/>
      <c r="AQ36" s="113"/>
      <c r="AR36" s="111">
        <v>2011</v>
      </c>
      <c r="AS36" s="111">
        <v>11</v>
      </c>
      <c r="AT36" s="111">
        <v>3.9729999999999994</v>
      </c>
      <c r="AU36" s="111">
        <v>0.3611818181818181</v>
      </c>
      <c r="AV36" s="111">
        <v>0.13927216363636366</v>
      </c>
      <c r="AW36"/>
      <c r="AX36"/>
    </row>
    <row r="37" spans="1:50" ht="16.5" thickBot="1" x14ac:dyDescent="0.3">
      <c r="A37" s="120">
        <v>0.05</v>
      </c>
      <c r="B37" s="134">
        <v>42927</v>
      </c>
      <c r="C37" s="121">
        <f t="shared" si="0"/>
        <v>399.99999999999994</v>
      </c>
      <c r="D37" s="86">
        <f t="shared" si="1"/>
        <v>47.5</v>
      </c>
      <c r="E37" s="81">
        <v>0.77536357529</v>
      </c>
      <c r="F37" s="50">
        <f t="shared" si="2"/>
        <v>0.55477388484458423</v>
      </c>
      <c r="G37" s="16">
        <f t="shared" si="3"/>
        <v>0.22058969044541576</v>
      </c>
      <c r="H37" s="51">
        <f t="shared" si="4"/>
        <v>19.463924612321737</v>
      </c>
      <c r="I37" s="54"/>
      <c r="J37" s="105">
        <f t="shared" si="7"/>
        <v>42908.5</v>
      </c>
      <c r="K37" s="109">
        <v>29</v>
      </c>
      <c r="L37" s="125">
        <f t="shared" si="5"/>
        <v>5.0371642728232274E-2</v>
      </c>
      <c r="M37" s="46">
        <f t="shared" si="8"/>
        <v>6.2772681143683619E-3</v>
      </c>
      <c r="N37" s="131">
        <v>6.2772681143683619E-3</v>
      </c>
      <c r="O37" s="89">
        <f t="shared" si="6"/>
        <v>6.2772681143683619E-3</v>
      </c>
      <c r="P37" s="48">
        <v>40351</v>
      </c>
      <c r="Q37" s="1">
        <v>3.2903671432563369E-2</v>
      </c>
      <c r="R37" s="100">
        <v>16806</v>
      </c>
      <c r="S37" s="100">
        <f t="shared" si="11"/>
        <v>920.63450923188225</v>
      </c>
      <c r="T37" s="101">
        <f t="shared" si="9"/>
        <v>15885.365490768118</v>
      </c>
      <c r="U37" s="49">
        <v>40729</v>
      </c>
      <c r="V37" s="4">
        <v>0.51500000000000001</v>
      </c>
      <c r="AE37" s="93">
        <f t="shared" si="12"/>
        <v>42908.5</v>
      </c>
      <c r="AF37" s="92">
        <f>Logistic2010!Q37</f>
        <v>2.0232149587218227E-2</v>
      </c>
      <c r="AG37" s="4">
        <f t="shared" si="10"/>
        <v>3.2903671432563369E-2</v>
      </c>
      <c r="AH37" s="92">
        <f>Logistic2011!Q37</f>
        <v>9.0374873855469922E-3</v>
      </c>
      <c r="AI37" s="92">
        <f>Logistic2012!Q37</f>
        <v>3.2903671432563369E-2</v>
      </c>
      <c r="AJ37" s="92">
        <f>Logistic2013!L37</f>
        <v>4.0213726080353264E-2</v>
      </c>
      <c r="AK37" s="119">
        <f>Logistic2014!AK37</f>
        <v>4.7084545759597696E-2</v>
      </c>
      <c r="AL37" s="119">
        <f t="shared" si="13"/>
        <v>5.0371642728232274E-2</v>
      </c>
      <c r="AM37" s="113"/>
      <c r="AN37" s="113"/>
      <c r="AO37" s="113"/>
      <c r="AP37" s="113"/>
      <c r="AQ37" s="113"/>
      <c r="AR37"/>
      <c r="AS37"/>
      <c r="AT37"/>
      <c r="AU37"/>
      <c r="AV37"/>
      <c r="AW37"/>
      <c r="AX37"/>
    </row>
    <row r="38" spans="1:50" ht="16.5" thickBot="1" x14ac:dyDescent="0.3">
      <c r="A38" s="120">
        <v>0.05</v>
      </c>
      <c r="B38" s="134">
        <v>42930</v>
      </c>
      <c r="C38" s="121">
        <f t="shared" si="0"/>
        <v>399.99999999999994</v>
      </c>
      <c r="D38" s="86">
        <f t="shared" si="1"/>
        <v>50.5</v>
      </c>
      <c r="E38" s="81">
        <v>0.93005344240999999</v>
      </c>
      <c r="F38" s="50">
        <f t="shared" si="2"/>
        <v>0.67521391194497093</v>
      </c>
      <c r="G38" s="16">
        <f t="shared" si="3"/>
        <v>0.25483953046502905</v>
      </c>
      <c r="H38" s="51">
        <f t="shared" si="4"/>
        <v>25.977274515054585</v>
      </c>
      <c r="I38" s="54"/>
      <c r="J38" s="105">
        <f t="shared" si="7"/>
        <v>42909.5</v>
      </c>
      <c r="K38" s="109">
        <v>30</v>
      </c>
      <c r="L38" s="125">
        <f t="shared" si="5"/>
        <v>5.9188574959722302E-2</v>
      </c>
      <c r="M38" s="46">
        <f t="shared" si="8"/>
        <v>8.9217622649491162E-3</v>
      </c>
      <c r="N38" s="131">
        <v>8.9217622649491162E-3</v>
      </c>
      <c r="O38" s="89">
        <f t="shared" si="6"/>
        <v>8.9217622649491162E-3</v>
      </c>
      <c r="P38" s="48">
        <v>40352</v>
      </c>
      <c r="Q38" s="1">
        <v>4.3352069231991391E-2</v>
      </c>
      <c r="R38" s="100">
        <v>28505</v>
      </c>
      <c r="S38" s="100">
        <f t="shared" si="11"/>
        <v>1833.2211514469648</v>
      </c>
      <c r="T38" s="101">
        <f t="shared" si="9"/>
        <v>26671.778848553036</v>
      </c>
      <c r="U38" s="49"/>
      <c r="AE38" s="93">
        <f t="shared" si="12"/>
        <v>42909.5</v>
      </c>
      <c r="AF38" s="92">
        <f>Logistic2010!Q38</f>
        <v>2.4598204014952465E-2</v>
      </c>
      <c r="AG38" s="4">
        <f t="shared" si="10"/>
        <v>4.3352069231991391E-2</v>
      </c>
      <c r="AH38" s="92">
        <f>Logistic2011!Q38</f>
        <v>1.1594302653630432E-2</v>
      </c>
      <c r="AI38" s="92">
        <f>Logistic2012!Q38</f>
        <v>4.3352069231991391E-2</v>
      </c>
      <c r="AJ38" s="92">
        <f>Logistic2013!L38</f>
        <v>4.8577971912167145E-2</v>
      </c>
      <c r="AK38" s="119">
        <f>Logistic2014!AK38</f>
        <v>5.6442110719466705E-2</v>
      </c>
      <c r="AL38" s="119">
        <f t="shared" si="13"/>
        <v>5.9188574959722302E-2</v>
      </c>
      <c r="AM38" s="115"/>
      <c r="AQ38" s="115"/>
      <c r="AR38"/>
      <c r="AS38"/>
      <c r="AT38"/>
      <c r="AU38"/>
      <c r="AV38"/>
      <c r="AW38"/>
      <c r="AX38"/>
    </row>
    <row r="39" spans="1:50" ht="16.5" thickBot="1" x14ac:dyDescent="0.3">
      <c r="A39" s="120">
        <v>0.05</v>
      </c>
      <c r="B39" s="134">
        <v>42933</v>
      </c>
      <c r="C39" s="121">
        <f t="shared" si="0"/>
        <v>399.99999999999994</v>
      </c>
      <c r="D39" s="86">
        <f t="shared" si="1"/>
        <v>53.5</v>
      </c>
      <c r="E39" s="81">
        <v>0.99689491875000003</v>
      </c>
      <c r="F39" s="50">
        <f t="shared" si="2"/>
        <v>0.77621559603684442</v>
      </c>
      <c r="G39" s="16">
        <f t="shared" si="3"/>
        <v>0.2206793227131556</v>
      </c>
      <c r="H39" s="51">
        <f t="shared" si="4"/>
        <v>19.479745389254827</v>
      </c>
      <c r="I39" s="54"/>
      <c r="J39" s="105">
        <f t="shared" si="7"/>
        <v>42910.5</v>
      </c>
      <c r="K39" s="109">
        <v>31</v>
      </c>
      <c r="L39" s="125">
        <f t="shared" si="5"/>
        <v>6.9435957679952462E-2</v>
      </c>
      <c r="M39" s="46">
        <f t="shared" si="8"/>
        <v>1.2666131545885561E-2</v>
      </c>
      <c r="N39" s="131">
        <v>1.2666131545885561E-2</v>
      </c>
      <c r="O39" s="89">
        <f t="shared" si="6"/>
        <v>1.2666131545885561E-2</v>
      </c>
      <c r="P39" s="48">
        <v>40353</v>
      </c>
      <c r="Q39" s="1">
        <v>5.6923017026269736E-2</v>
      </c>
      <c r="R39" s="100">
        <v>37919</v>
      </c>
      <c r="S39" s="100">
        <f t="shared" si="11"/>
        <v>2857.9572836593511</v>
      </c>
      <c r="T39" s="101">
        <f t="shared" si="9"/>
        <v>35061.042716340649</v>
      </c>
      <c r="U39" s="49"/>
      <c r="AE39" s="93">
        <f t="shared" si="12"/>
        <v>42910.5</v>
      </c>
      <c r="AF39" s="92">
        <f>Logistic2010!Q39</f>
        <v>2.9877711971165448E-2</v>
      </c>
      <c r="AG39" s="4">
        <f t="shared" si="10"/>
        <v>5.6923017026269736E-2</v>
      </c>
      <c r="AH39" s="92">
        <f>Logistic2011!Q39</f>
        <v>1.4863622388293144E-2</v>
      </c>
      <c r="AI39" s="92">
        <f>Logistic2012!Q39</f>
        <v>5.6923017026269736E-2</v>
      </c>
      <c r="AJ39" s="92">
        <f>Logistic2013!L39</f>
        <v>5.8575762266613804E-2</v>
      </c>
      <c r="AK39" s="119">
        <f>Logistic2014!AK39</f>
        <v>6.7527607102486259E-2</v>
      </c>
      <c r="AL39" s="119">
        <f t="shared" si="13"/>
        <v>6.9435957679952462E-2</v>
      </c>
      <c r="AM39" s="110"/>
      <c r="AN39" s="110"/>
      <c r="AP39" s="110"/>
      <c r="AQ39" s="110"/>
      <c r="AR39" t="s">
        <v>35</v>
      </c>
      <c r="AS39"/>
      <c r="AT39"/>
      <c r="AU39"/>
      <c r="AV39"/>
      <c r="AW39"/>
      <c r="AX39"/>
    </row>
    <row r="40" spans="1:50" ht="16.5" thickBot="1" x14ac:dyDescent="0.3">
      <c r="A40" s="120">
        <v>0.05</v>
      </c>
      <c r="B40" s="134">
        <v>42937</v>
      </c>
      <c r="C40" s="121">
        <f t="shared" si="0"/>
        <v>399.99999999999994</v>
      </c>
      <c r="D40" s="86">
        <f t="shared" si="1"/>
        <v>57.5</v>
      </c>
      <c r="E40" s="81">
        <v>0.99354700465000001</v>
      </c>
      <c r="F40" s="50">
        <f t="shared" si="2"/>
        <v>0.87283485619746637</v>
      </c>
      <c r="G40" s="16">
        <f t="shared" si="3"/>
        <v>0.12071214845253364</v>
      </c>
      <c r="H40" s="51">
        <f t="shared" si="4"/>
        <v>5.828569113610607</v>
      </c>
      <c r="I40" s="54"/>
      <c r="J40" s="105">
        <f t="shared" si="7"/>
        <v>42911.5</v>
      </c>
      <c r="K40" s="109">
        <v>32</v>
      </c>
      <c r="L40" s="125">
        <f t="shared" si="5"/>
        <v>8.1304161187072052E-2</v>
      </c>
      <c r="M40" s="46">
        <f t="shared" si="8"/>
        <v>1.7953505605503725E-2</v>
      </c>
      <c r="N40" s="131">
        <v>1.7953505605503725E-2</v>
      </c>
      <c r="O40" s="89">
        <f t="shared" si="6"/>
        <v>1.7953505605503725E-2</v>
      </c>
      <c r="P40" s="48">
        <v>40354</v>
      </c>
      <c r="Q40" s="1">
        <v>7.4411773683001156E-2</v>
      </c>
      <c r="R40" s="100">
        <v>41134</v>
      </c>
      <c r="S40" s="100">
        <f t="shared" si="11"/>
        <v>3625.9208982049558</v>
      </c>
      <c r="T40" s="101">
        <f t="shared" si="9"/>
        <v>37508.079101795047</v>
      </c>
      <c r="U40" s="49"/>
      <c r="AE40" s="93">
        <f t="shared" si="12"/>
        <v>42911.5</v>
      </c>
      <c r="AF40" s="92">
        <f>Logistic2010!Q40</f>
        <v>3.624824956962025E-2</v>
      </c>
      <c r="AG40" s="4">
        <f t="shared" si="10"/>
        <v>7.4411773683001156E-2</v>
      </c>
      <c r="AH40" s="92">
        <f>Logistic2011!Q40</f>
        <v>1.9037057560494706E-2</v>
      </c>
      <c r="AI40" s="92">
        <f>Logistic2012!Q40</f>
        <v>7.4411773683001156E-2</v>
      </c>
      <c r="AJ40" s="92">
        <f>Logistic2013!L40</f>
        <v>7.0478765060004542E-2</v>
      </c>
      <c r="AK40" s="119">
        <f>Logistic2014!AK40</f>
        <v>8.060435401777398E-2</v>
      </c>
      <c r="AL40" s="119">
        <f t="shared" si="13"/>
        <v>8.1304161187072052E-2</v>
      </c>
      <c r="AM40" s="110"/>
      <c r="AN40" s="110"/>
      <c r="AO40" s="110"/>
      <c r="AP40" s="110"/>
      <c r="AQ40" s="110"/>
      <c r="AR40" s="112" t="s">
        <v>36</v>
      </c>
      <c r="AS40" s="112" t="s">
        <v>37</v>
      </c>
      <c r="AT40" s="112" t="s">
        <v>38</v>
      </c>
      <c r="AU40" s="112" t="s">
        <v>39</v>
      </c>
      <c r="AV40" s="112" t="s">
        <v>40</v>
      </c>
      <c r="AW40" s="112" t="s">
        <v>41</v>
      </c>
      <c r="AX40" s="112" t="s">
        <v>42</v>
      </c>
    </row>
    <row r="41" spans="1:50" ht="16.5" thickBot="1" x14ac:dyDescent="0.3">
      <c r="A41" s="120">
        <v>0.05</v>
      </c>
      <c r="B41" s="134">
        <v>42944</v>
      </c>
      <c r="C41" s="121">
        <f t="shared" si="0"/>
        <v>399.99999999999994</v>
      </c>
      <c r="D41" s="86">
        <f t="shared" si="1"/>
        <v>64.5</v>
      </c>
      <c r="E41" s="81">
        <v>0.99986735576999997</v>
      </c>
      <c r="F41" s="50">
        <f t="shared" si="2"/>
        <v>0.95773682120665793</v>
      </c>
      <c r="G41" s="16">
        <f t="shared" si="3"/>
        <v>4.2130534563342037E-2</v>
      </c>
      <c r="H41" s="51">
        <f t="shared" si="4"/>
        <v>0.70999277703718311</v>
      </c>
      <c r="I41" s="54"/>
      <c r="J41" s="105">
        <f t="shared" si="7"/>
        <v>42912.5</v>
      </c>
      <c r="K41" s="109">
        <v>33</v>
      </c>
      <c r="L41" s="125">
        <f t="shared" si="5"/>
        <v>9.4993835516625894E-2</v>
      </c>
      <c r="M41" s="46">
        <f t="shared" si="8"/>
        <v>2.5391289272607597E-2</v>
      </c>
      <c r="N41" s="131">
        <v>2.5391289272607597E-2</v>
      </c>
      <c r="O41" s="89">
        <f t="shared" si="6"/>
        <v>2.5391289272607597E-2</v>
      </c>
      <c r="P41" s="48">
        <v>40355</v>
      </c>
      <c r="Q41" s="1">
        <v>9.6722617460862401E-2</v>
      </c>
      <c r="R41" s="100">
        <v>21594</v>
      </c>
      <c r="S41" s="100">
        <f t="shared" si="11"/>
        <v>2220.9924026174963</v>
      </c>
      <c r="T41" s="101">
        <f t="shared" si="9"/>
        <v>19373.007597382504</v>
      </c>
      <c r="U41" s="49"/>
      <c r="AE41" s="93">
        <f t="shared" si="12"/>
        <v>42912.5</v>
      </c>
      <c r="AF41" s="92">
        <f>Logistic2010!Q41</f>
        <v>4.3915626721520266E-2</v>
      </c>
      <c r="AG41" s="4">
        <f t="shared" si="10"/>
        <v>9.6722617460862401E-2</v>
      </c>
      <c r="AH41" s="92">
        <f>Logistic2011!Q41</f>
        <v>2.4353349085554369E-2</v>
      </c>
      <c r="AI41" s="92">
        <f>Logistic2012!Q41</f>
        <v>9.6722617460862401E-2</v>
      </c>
      <c r="AJ41" s="92">
        <f>Logistic2013!L41</f>
        <v>8.458322376954866E-2</v>
      </c>
      <c r="AK41" s="119">
        <f>Logistic2014!AK41</f>
        <v>9.5952838664410234E-2</v>
      </c>
      <c r="AL41" s="119">
        <f t="shared" si="13"/>
        <v>9.4993835516625894E-2</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1:50" ht="16.5" thickBot="1" x14ac:dyDescent="0.3">
      <c r="A42" s="120">
        <v>0.05</v>
      </c>
      <c r="B42" s="134">
        <v>42913</v>
      </c>
      <c r="C42" s="121">
        <f t="shared" si="0"/>
        <v>399.99999999999994</v>
      </c>
      <c r="D42" s="86">
        <f t="shared" si="1"/>
        <v>33.5</v>
      </c>
      <c r="E42" s="81">
        <v>8.8735986289999999E-2</v>
      </c>
      <c r="F42" s="50">
        <f t="shared" si="2"/>
        <v>0.10258601288905633</v>
      </c>
      <c r="G42" s="16">
        <f t="shared" si="3"/>
        <v>-1.3850026599056334E-2</v>
      </c>
      <c r="H42" s="51">
        <f t="shared" si="4"/>
        <v>7.6729294717827176E-2</v>
      </c>
      <c r="I42" s="54"/>
      <c r="J42" s="105">
        <f t="shared" si="7"/>
        <v>42913.5</v>
      </c>
      <c r="K42" s="109">
        <v>34</v>
      </c>
      <c r="L42" s="125">
        <f t="shared" si="5"/>
        <v>0.11071074933263743</v>
      </c>
      <c r="M42" s="46">
        <f t="shared" si="8"/>
        <v>3.5798078010252969E-2</v>
      </c>
      <c r="N42" s="131">
        <v>3.5798078010252969E-2</v>
      </c>
      <c r="O42" s="89">
        <f t="shared" si="6"/>
        <v>3.5798078010252969E-2</v>
      </c>
      <c r="P42" s="48">
        <v>40356</v>
      </c>
      <c r="Q42" s="1">
        <v>0.12482080008468176</v>
      </c>
      <c r="R42" s="100">
        <v>17704</v>
      </c>
      <c r="S42" s="100">
        <f t="shared" si="11"/>
        <v>2118.8955080349356</v>
      </c>
      <c r="T42" s="101">
        <f t="shared" si="9"/>
        <v>15585.104491965065</v>
      </c>
      <c r="AE42" s="93">
        <f t="shared" si="12"/>
        <v>42913.5</v>
      </c>
      <c r="AF42" s="92">
        <f>Logistic2010!Q42</f>
        <v>5.3115454143665003E-2</v>
      </c>
      <c r="AG42" s="4">
        <f t="shared" si="10"/>
        <v>0.12482080008468176</v>
      </c>
      <c r="AH42" s="92">
        <f>Logistic2011!Q42</f>
        <v>3.1107190112750017E-2</v>
      </c>
      <c r="AI42" s="92">
        <f>Logistic2012!Q42</f>
        <v>0.12482080008468176</v>
      </c>
      <c r="AJ42" s="92">
        <f>Logistic2013!L42</f>
        <v>0.1012029979928537</v>
      </c>
      <c r="AK42" s="119">
        <f>Logistic2014!AK42</f>
        <v>0.11386199412717302</v>
      </c>
      <c r="AL42" s="119">
        <f t="shared" si="13"/>
        <v>0.11071074933263743</v>
      </c>
      <c r="AM42" s="110"/>
      <c r="AN42" s="110"/>
      <c r="AP42" s="110"/>
      <c r="AQ42" s="110"/>
      <c r="AR42" s="110" t="s">
        <v>44</v>
      </c>
      <c r="AS42" s="110">
        <v>2.7255692727272729</v>
      </c>
      <c r="AT42" s="110">
        <v>20</v>
      </c>
      <c r="AU42" s="110">
        <v>0.13627846363636364</v>
      </c>
      <c r="AV42" s="110"/>
      <c r="AW42" s="110"/>
      <c r="AX42" s="110"/>
    </row>
    <row r="43" spans="1:50" ht="16.5" thickBot="1" x14ac:dyDescent="0.3">
      <c r="A43" s="120">
        <v>0.05</v>
      </c>
      <c r="B43" s="134">
        <v>42917</v>
      </c>
      <c r="C43" s="121">
        <f t="shared" si="0"/>
        <v>399.99999999999994</v>
      </c>
      <c r="D43" s="86">
        <f t="shared" si="1"/>
        <v>37.5</v>
      </c>
      <c r="E43" s="81">
        <v>0.14236432834000001</v>
      </c>
      <c r="F43" s="50">
        <f t="shared" si="2"/>
        <v>0.18447725960345621</v>
      </c>
      <c r="G43" s="16">
        <f t="shared" si="3"/>
        <v>-4.2112931263456194E-2</v>
      </c>
      <c r="H43" s="51">
        <f t="shared" si="4"/>
        <v>0.70939959184023438</v>
      </c>
      <c r="I43" s="54"/>
      <c r="J43" s="105">
        <f t="shared" si="7"/>
        <v>42914.5</v>
      </c>
      <c r="K43" s="109">
        <v>35</v>
      </c>
      <c r="L43" s="125">
        <f t="shared" si="5"/>
        <v>0.12865837719638826</v>
      </c>
      <c r="M43" s="46">
        <f t="shared" si="8"/>
        <v>5.0250242425127004E-2</v>
      </c>
      <c r="N43" s="131">
        <v>5.0250242425127004E-2</v>
      </c>
      <c r="O43" s="89">
        <f t="shared" si="6"/>
        <v>5.0250242425127004E-2</v>
      </c>
      <c r="P43" s="48">
        <v>40357</v>
      </c>
      <c r="Q43" s="1">
        <v>0.15963897994445775</v>
      </c>
      <c r="R43" s="100">
        <v>13702</v>
      </c>
      <c r="S43" s="100">
        <f t="shared" si="11"/>
        <v>1902.4291060434095</v>
      </c>
      <c r="T43" s="101">
        <f t="shared" si="9"/>
        <v>11799.57089395659</v>
      </c>
      <c r="U43" s="40">
        <v>40705</v>
      </c>
      <c r="AE43" s="93">
        <f t="shared" si="12"/>
        <v>42914.5</v>
      </c>
      <c r="AF43" s="92">
        <f>Logistic2010!Q43</f>
        <v>6.4113302836932173E-2</v>
      </c>
      <c r="AG43" s="4">
        <f t="shared" si="10"/>
        <v>0.15963897994445775</v>
      </c>
      <c r="AH43" s="92">
        <f>Logistic2011!Q43</f>
        <v>3.9657919254324193E-2</v>
      </c>
      <c r="AI43" s="92">
        <f>Logistic2012!Q43</f>
        <v>0.15963897994445775</v>
      </c>
      <c r="AJ43" s="92">
        <f>Logistic2013!L43</f>
        <v>0.12065796431808783</v>
      </c>
      <c r="AK43" s="119">
        <f>Logistic2014!AK43</f>
        <v>0.13461607593232877</v>
      </c>
      <c r="AL43" s="119">
        <f t="shared" si="13"/>
        <v>0.12865837719638826</v>
      </c>
      <c r="AM43" s="114"/>
      <c r="AN43" s="114"/>
      <c r="AP43" s="114"/>
      <c r="AQ43" s="114"/>
      <c r="AR43" s="110"/>
      <c r="AS43" s="110"/>
      <c r="AT43" s="110"/>
      <c r="AU43" s="110"/>
      <c r="AV43" s="110"/>
      <c r="AW43" s="110"/>
      <c r="AX43" s="110"/>
    </row>
    <row r="44" spans="1:50" ht="16.5" thickBot="1" x14ac:dyDescent="0.3">
      <c r="A44" s="120">
        <v>0.05</v>
      </c>
      <c r="B44" s="134">
        <v>42921</v>
      </c>
      <c r="C44" s="121">
        <f t="shared" si="0"/>
        <v>399.99999999999994</v>
      </c>
      <c r="D44" s="86">
        <f t="shared" si="1"/>
        <v>41.5</v>
      </c>
      <c r="E44" s="81">
        <v>0.38772344154999999</v>
      </c>
      <c r="F44" s="50">
        <f t="shared" si="2"/>
        <v>0.30921527271149496</v>
      </c>
      <c r="G44" s="16">
        <f t="shared" si="3"/>
        <v>7.8508168838505032E-2</v>
      </c>
      <c r="H44" s="51">
        <f t="shared" si="4"/>
        <v>2.4654130297500845</v>
      </c>
      <c r="I44" s="54"/>
      <c r="J44" s="105">
        <f t="shared" si="7"/>
        <v>42915.5</v>
      </c>
      <c r="K44" s="109">
        <v>36</v>
      </c>
      <c r="L44" s="125">
        <f t="shared" si="5"/>
        <v>0.14902796144664338</v>
      </c>
      <c r="M44" s="46">
        <f t="shared" si="8"/>
        <v>7.0112677039206914E-2</v>
      </c>
      <c r="N44" s="131">
        <v>7.0112677039206914E-2</v>
      </c>
      <c r="O44" s="89">
        <f t="shared" si="6"/>
        <v>7.0112677039206914E-2</v>
      </c>
      <c r="P44" s="48">
        <v>40358</v>
      </c>
      <c r="Q44" s="1">
        <v>0.20192861027500136</v>
      </c>
      <c r="R44" s="100">
        <v>6021</v>
      </c>
      <c r="S44" s="100">
        <f t="shared" si="11"/>
        <v>966.41244815237894</v>
      </c>
      <c r="T44" s="101">
        <f t="shared" si="9"/>
        <v>5054.5875518476214</v>
      </c>
      <c r="U44" s="49">
        <v>40706</v>
      </c>
      <c r="V44" s="95"/>
      <c r="W44" s="95"/>
      <c r="X44" s="95"/>
      <c r="Y44" s="95"/>
      <c r="Z44" s="95"/>
      <c r="AE44" s="93">
        <f t="shared" si="12"/>
        <v>42915.5</v>
      </c>
      <c r="AF44" s="92">
        <f>Logistic2010!Q44</f>
        <v>7.72026520734653E-2</v>
      </c>
      <c r="AG44" s="4">
        <f t="shared" si="10"/>
        <v>0.20192861027500136</v>
      </c>
      <c r="AH44" s="92">
        <f>Logistic2011!Q44</f>
        <v>5.0436715072649276E-2</v>
      </c>
      <c r="AI44" s="92">
        <f>Logistic2012!Q44</f>
        <v>0.20192861027500136</v>
      </c>
      <c r="AJ44" s="92">
        <f>Logistic2013!L44</f>
        <v>0.14325679323024673</v>
      </c>
      <c r="AK44" s="119">
        <f>Logistic2014!AK44</f>
        <v>0.15847654981878281</v>
      </c>
      <c r="AL44" s="119">
        <f t="shared" si="13"/>
        <v>0.14902796144664338</v>
      </c>
      <c r="AM44" s="113"/>
      <c r="AQ44" s="113"/>
      <c r="AR44" s="111" t="s">
        <v>45</v>
      </c>
      <c r="AS44" s="111">
        <v>2.7416072727272724</v>
      </c>
      <c r="AT44" s="111">
        <v>21</v>
      </c>
      <c r="AU44" s="111"/>
      <c r="AV44" s="111"/>
      <c r="AW44" s="111"/>
      <c r="AX44" s="111"/>
    </row>
    <row r="45" spans="1:50" ht="16.5" thickBot="1" x14ac:dyDescent="0.3">
      <c r="A45" s="120">
        <v>0.05</v>
      </c>
      <c r="B45" s="134">
        <v>42924</v>
      </c>
      <c r="C45" s="121">
        <f t="shared" si="0"/>
        <v>399.99999999999994</v>
      </c>
      <c r="D45" s="86">
        <f t="shared" si="1"/>
        <v>44.5</v>
      </c>
      <c r="E45" s="81">
        <v>0.57132401384999998</v>
      </c>
      <c r="F45" s="50">
        <f t="shared" si="2"/>
        <v>0.42753728780204603</v>
      </c>
      <c r="G45" s="16">
        <f t="shared" si="3"/>
        <v>0.14378672604795395</v>
      </c>
      <c r="H45" s="51">
        <f t="shared" si="4"/>
        <v>8.2698490350357421</v>
      </c>
      <c r="I45" s="54"/>
      <c r="J45" s="105">
        <f t="shared" si="7"/>
        <v>42916.5</v>
      </c>
      <c r="K45" s="109">
        <v>37</v>
      </c>
      <c r="L45" s="125">
        <f t="shared" si="5"/>
        <v>0.17198597250199604</v>
      </c>
      <c r="M45" s="46">
        <f t="shared" si="8"/>
        <v>9.7024102357607847E-2</v>
      </c>
      <c r="N45" s="131">
        <v>9.7024102357607847E-2</v>
      </c>
      <c r="O45" s="89">
        <f t="shared" si="6"/>
        <v>9.7024102357607847E-2</v>
      </c>
      <c r="P45" s="48">
        <v>40359</v>
      </c>
      <c r="Q45" s="1">
        <v>0.25206087357123486</v>
      </c>
      <c r="R45" s="100">
        <v>4676</v>
      </c>
      <c r="S45" s="100">
        <f t="shared" si="11"/>
        <v>864.23044545472294</v>
      </c>
      <c r="T45" s="101">
        <f t="shared" si="9"/>
        <v>3811.7695545452771</v>
      </c>
      <c r="U45" s="49">
        <v>40707</v>
      </c>
      <c r="V45" s="95"/>
      <c r="W45" s="95"/>
      <c r="X45" s="95"/>
      <c r="Y45" s="95"/>
      <c r="Z45" s="95"/>
      <c r="AE45" s="93">
        <f t="shared" si="12"/>
        <v>42916.5</v>
      </c>
      <c r="AF45" s="92">
        <f>Logistic2010!Q45</f>
        <v>9.2699625095272714E-2</v>
      </c>
      <c r="AG45" s="4">
        <f t="shared" si="10"/>
        <v>0.25206087357123486</v>
      </c>
      <c r="AH45" s="92">
        <f>Logistic2011!Q45</f>
        <v>6.3950040299436198E-2</v>
      </c>
      <c r="AI45" s="92">
        <f>Logistic2012!Q45</f>
        <v>0.25206087357123486</v>
      </c>
      <c r="AJ45" s="92">
        <f>Logistic2013!L45</f>
        <v>0.16927351386641812</v>
      </c>
      <c r="AK45" s="119">
        <f>Logistic2014!AK45</f>
        <v>0.18565891661671166</v>
      </c>
      <c r="AL45" s="119">
        <f t="shared" si="13"/>
        <v>0.17198597250199604</v>
      </c>
      <c r="AM45" s="113"/>
      <c r="AN45" s="113"/>
      <c r="AP45" s="113"/>
      <c r="AQ45" s="113"/>
      <c r="AR45" s="113"/>
      <c r="AS45" s="113"/>
      <c r="AT45" s="114"/>
      <c r="AU45" s="114"/>
    </row>
    <row r="46" spans="1:50" ht="16.5" thickBot="1" x14ac:dyDescent="0.3">
      <c r="A46" s="120">
        <v>0.05</v>
      </c>
      <c r="B46" s="134">
        <v>42930</v>
      </c>
      <c r="C46" s="121">
        <f t="shared" si="0"/>
        <v>399.99999999999994</v>
      </c>
      <c r="D46" s="86">
        <f t="shared" si="1"/>
        <v>50.5</v>
      </c>
      <c r="E46" s="81">
        <v>0.71230605805000002</v>
      </c>
      <c r="F46" s="50">
        <f t="shared" si="2"/>
        <v>0.67521391194497093</v>
      </c>
      <c r="G46" s="16">
        <f t="shared" si="3"/>
        <v>3.7092146105029089E-2</v>
      </c>
      <c r="H46" s="51">
        <f t="shared" si="4"/>
        <v>0.55033092107072978</v>
      </c>
      <c r="I46" s="54"/>
      <c r="J46" s="105">
        <f t="shared" si="7"/>
        <v>42917.5</v>
      </c>
      <c r="K46" s="109">
        <v>38</v>
      </c>
      <c r="L46" s="125">
        <f t="shared" si="5"/>
        <v>0.19765921374895476</v>
      </c>
      <c r="M46" s="46">
        <f t="shared" si="8"/>
        <v>0.13278990299316346</v>
      </c>
      <c r="N46" s="131">
        <v>0.13278990299316346</v>
      </c>
      <c r="O46" s="89">
        <f t="shared" si="6"/>
        <v>0.13278990299316346</v>
      </c>
      <c r="P46" s="48">
        <v>40360</v>
      </c>
      <c r="Q46" s="1">
        <v>0.30980777704027063</v>
      </c>
      <c r="R46" s="100">
        <v>3828</v>
      </c>
      <c r="S46" s="100">
        <f t="shared" si="11"/>
        <v>811.11010013054897</v>
      </c>
      <c r="T46" s="101">
        <f t="shared" si="9"/>
        <v>3016.8898998694513</v>
      </c>
      <c r="U46" s="49">
        <v>40708</v>
      </c>
      <c r="V46" s="95"/>
      <c r="W46" s="95"/>
      <c r="X46" s="95"/>
      <c r="Y46" s="95"/>
      <c r="Z46" s="95"/>
      <c r="AE46" s="93">
        <f t="shared" si="12"/>
        <v>42917.5</v>
      </c>
      <c r="AF46" s="92">
        <f>Logistic2010!Q46</f>
        <v>0.11093336918210217</v>
      </c>
      <c r="AG46" s="4">
        <f t="shared" si="10"/>
        <v>0.30980777704027063</v>
      </c>
      <c r="AH46" s="92">
        <f>Logistic2011!Q46</f>
        <v>8.0775952050874497E-2</v>
      </c>
      <c r="AI46" s="92">
        <f>Logistic2012!Q46</f>
        <v>0.30980777704027063</v>
      </c>
      <c r="AJ46" s="92">
        <f>Logistic2013!L46</f>
        <v>0.19891808737150862</v>
      </c>
      <c r="AK46" s="119">
        <f>Logistic2014!AK46</f>
        <v>0.21630525971395512</v>
      </c>
      <c r="AL46" s="119">
        <f t="shared" si="13"/>
        <v>0.19765921374895476</v>
      </c>
      <c r="AM46" s="113"/>
      <c r="AN46" s="113"/>
      <c r="AP46" s="113"/>
      <c r="AQ46" s="113"/>
      <c r="AR46" s="113"/>
      <c r="AS46" s="113"/>
      <c r="AT46" s="114"/>
      <c r="AU46" s="114"/>
    </row>
    <row r="47" spans="1:50" ht="16.5" thickBot="1" x14ac:dyDescent="0.3">
      <c r="A47" s="120">
        <v>0.05</v>
      </c>
      <c r="B47" s="134">
        <v>42914</v>
      </c>
      <c r="C47" s="121">
        <f t="shared" si="0"/>
        <v>399.99999999999994</v>
      </c>
      <c r="D47" s="86">
        <f t="shared" si="1"/>
        <v>34.5</v>
      </c>
      <c r="E47" s="81">
        <v>0.17462905342999999</v>
      </c>
      <c r="F47" s="50">
        <f t="shared" si="2"/>
        <v>0.11939335023741725</v>
      </c>
      <c r="G47" s="16">
        <f t="shared" si="3"/>
        <v>5.5235703192582739E-2</v>
      </c>
      <c r="H47" s="51">
        <f t="shared" si="4"/>
        <v>1.2203931628716378</v>
      </c>
      <c r="I47" s="54"/>
      <c r="J47" s="105">
        <f t="shared" si="7"/>
        <v>42918.5</v>
      </c>
      <c r="K47" s="109">
        <v>39</v>
      </c>
      <c r="L47" s="125">
        <f t="shared" si="5"/>
        <v>0.22611826803294124</v>
      </c>
      <c r="M47" s="46">
        <f t="shared" si="8"/>
        <v>0.17912459589298799</v>
      </c>
      <c r="N47" s="131">
        <v>0.17912459589298799</v>
      </c>
      <c r="O47" s="89">
        <f t="shared" si="6"/>
        <v>0.17912459589298799</v>
      </c>
      <c r="P47" s="48">
        <v>40361</v>
      </c>
      <c r="Q47" s="1">
        <v>0.37416608438208854</v>
      </c>
      <c r="R47" s="100">
        <v>3893</v>
      </c>
      <c r="S47" s="100">
        <f t="shared" si="11"/>
        <v>941.09148222102772</v>
      </c>
      <c r="T47" s="101">
        <f t="shared" si="9"/>
        <v>2951.9085177789721</v>
      </c>
      <c r="U47" s="49">
        <v>40709</v>
      </c>
      <c r="V47" s="95"/>
      <c r="W47" s="95"/>
      <c r="X47" s="95"/>
      <c r="Y47" s="95"/>
      <c r="Z47" s="95"/>
      <c r="AE47" s="93">
        <f t="shared" si="12"/>
        <v>42918.5</v>
      </c>
      <c r="AF47" s="92">
        <f>Logistic2010!Q47</f>
        <v>0.13223093333791724</v>
      </c>
      <c r="AG47" s="4">
        <f t="shared" si="10"/>
        <v>0.37416608438208854</v>
      </c>
      <c r="AH47" s="92">
        <f>Logistic2011!Q47</f>
        <v>0.10154865709169383</v>
      </c>
      <c r="AI47" s="92">
        <f>Logistic2012!Q47</f>
        <v>0.37416608438208854</v>
      </c>
      <c r="AJ47" s="92">
        <f>Logistic2013!L47</f>
        <v>0.23230249502167508</v>
      </c>
      <c r="AK47" s="119">
        <f>Logistic2014!AK47</f>
        <v>0.25045449624933086</v>
      </c>
      <c r="AL47" s="119">
        <f t="shared" si="13"/>
        <v>0.22611826803294124</v>
      </c>
      <c r="AM47" s="115"/>
      <c r="AN47" s="115"/>
      <c r="AQ47" s="115"/>
      <c r="AR47" t="s">
        <v>28</v>
      </c>
      <c r="AS47"/>
      <c r="AT47"/>
      <c r="AU47"/>
      <c r="AV47"/>
      <c r="AW47"/>
      <c r="AX47"/>
    </row>
    <row r="48" spans="1:50" ht="16.5" thickBot="1" x14ac:dyDescent="0.3">
      <c r="A48" s="120">
        <v>0.05</v>
      </c>
      <c r="B48" s="134">
        <v>42918</v>
      </c>
      <c r="C48" s="121">
        <f t="shared" si="0"/>
        <v>399.99999999999994</v>
      </c>
      <c r="D48" s="86">
        <f t="shared" si="1"/>
        <v>38.5</v>
      </c>
      <c r="E48" s="81">
        <v>0.21513286812999999</v>
      </c>
      <c r="F48" s="50">
        <f t="shared" si="2"/>
        <v>0.21153876728677404</v>
      </c>
      <c r="G48" s="16">
        <f t="shared" si="3"/>
        <v>3.5941008432259502E-3</v>
      </c>
      <c r="H48" s="51">
        <f t="shared" si="4"/>
        <v>5.1670243485109945E-3</v>
      </c>
      <c r="I48" s="54"/>
      <c r="J48" s="105">
        <f t="shared" si="7"/>
        <v>42919.5</v>
      </c>
      <c r="K48" s="109">
        <v>40</v>
      </c>
      <c r="L48" s="125">
        <f t="shared" si="5"/>
        <v>0.25736053095037631</v>
      </c>
      <c r="M48" s="46">
        <f t="shared" si="8"/>
        <v>0.23720467988333704</v>
      </c>
      <c r="N48" s="131">
        <v>0.23720467988333704</v>
      </c>
      <c r="O48" s="89">
        <f t="shared" si="6"/>
        <v>0.23720467988333704</v>
      </c>
      <c r="P48" s="48">
        <v>40362</v>
      </c>
      <c r="Q48" s="1">
        <v>0.44330675299696459</v>
      </c>
      <c r="R48" s="100">
        <v>3621</v>
      </c>
      <c r="S48" s="100">
        <f t="shared" si="11"/>
        <v>993.34018912806346</v>
      </c>
      <c r="T48" s="101">
        <f>R48-S48</f>
        <v>2627.6598108719363</v>
      </c>
      <c r="U48" s="49">
        <v>40710</v>
      </c>
      <c r="V48" s="95"/>
      <c r="W48" s="95"/>
      <c r="X48" s="95"/>
      <c r="Y48" s="95"/>
      <c r="Z48" s="95"/>
      <c r="AE48" s="93">
        <f t="shared" si="12"/>
        <v>42919.5</v>
      </c>
      <c r="AF48" s="92">
        <f>Logistic2010!Q48</f>
        <v>0.15689575096130998</v>
      </c>
      <c r="AG48" s="4">
        <f t="shared" si="10"/>
        <v>0.44330675299696459</v>
      </c>
      <c r="AH48" s="92">
        <f>Logistic2011!Q48</f>
        <v>0.12692574439278323</v>
      </c>
      <c r="AI48" s="92">
        <f>Logistic2012!Q48</f>
        <v>0.44330675299696459</v>
      </c>
      <c r="AJ48" s="92">
        <f>Logistic2013!L48</f>
        <v>0.26940553732402189</v>
      </c>
      <c r="AK48" s="119">
        <f>Logistic2014!AK48</f>
        <v>0.28801370069768495</v>
      </c>
      <c r="AL48" s="119">
        <f t="shared" si="13"/>
        <v>0.25736053095037631</v>
      </c>
      <c r="AM48" s="110"/>
      <c r="AP48" s="110"/>
      <c r="AQ48" s="110"/>
      <c r="AR48"/>
      <c r="AS48"/>
      <c r="AT48"/>
      <c r="AU48"/>
      <c r="AV48"/>
      <c r="AW48"/>
      <c r="AX48"/>
    </row>
    <row r="49" spans="1:50" ht="16.5" thickBot="1" x14ac:dyDescent="0.3">
      <c r="A49" s="120">
        <v>0.05</v>
      </c>
      <c r="B49" s="134">
        <v>42922</v>
      </c>
      <c r="C49" s="121">
        <f t="shared" si="0"/>
        <v>399.99999999999994</v>
      </c>
      <c r="D49" s="86">
        <f t="shared" si="1"/>
        <v>42.5</v>
      </c>
      <c r="E49" s="81">
        <v>0.38207104493999999</v>
      </c>
      <c r="F49" s="50">
        <f t="shared" si="2"/>
        <v>0.34679382325771818</v>
      </c>
      <c r="G49" s="16">
        <f t="shared" si="3"/>
        <v>3.5277221682281812E-2</v>
      </c>
      <c r="H49" s="51">
        <f t="shared" si="4"/>
        <v>0.49779294784834155</v>
      </c>
      <c r="I49" s="54"/>
      <c r="J49" s="105">
        <f t="shared" si="7"/>
        <v>42920.5</v>
      </c>
      <c r="K49" s="109">
        <v>41</v>
      </c>
      <c r="L49" s="143">
        <f t="shared" si="5"/>
        <v>0.29129464117227688</v>
      </c>
      <c r="M49" s="46">
        <f t="shared" si="8"/>
        <v>0.30707218568713457</v>
      </c>
      <c r="N49" s="131">
        <v>0.30707218568713457</v>
      </c>
      <c r="O49" s="89">
        <f t="shared" si="6"/>
        <v>0.30707218568713457</v>
      </c>
      <c r="P49" s="4">
        <v>40363</v>
      </c>
      <c r="Q49" s="4">
        <v>0.51471586655781365</v>
      </c>
      <c r="R49" s="4">
        <v>2271</v>
      </c>
      <c r="S49" s="100">
        <f t="shared" si="11"/>
        <v>702.90085179386028</v>
      </c>
      <c r="T49" s="101">
        <f t="shared" ref="T49:T70" si="14">R49-S49</f>
        <v>1568.0991482061397</v>
      </c>
      <c r="U49" s="49">
        <v>40711</v>
      </c>
      <c r="V49" s="95"/>
      <c r="W49" s="95"/>
      <c r="X49" s="95"/>
      <c r="Y49" s="95"/>
      <c r="Z49" s="95"/>
      <c r="AE49" s="93">
        <f t="shared" si="12"/>
        <v>42920.5</v>
      </c>
      <c r="AF49" s="92">
        <f>Logistic2010!Q49</f>
        <v>0.1851794824455581</v>
      </c>
      <c r="AG49" s="4">
        <f t="shared" si="10"/>
        <v>0.51471586655781365</v>
      </c>
      <c r="AH49" s="92">
        <f>Logistic2011!Q49</f>
        <v>0.15753263507351994</v>
      </c>
      <c r="AI49" s="92">
        <f>Logistic2012!Q49</f>
        <v>0.51471586655781365</v>
      </c>
      <c r="AJ49" s="92">
        <f>Logistic2013!L49</f>
        <v>0.31004134142241851</v>
      </c>
      <c r="AK49" s="119">
        <f>Logistic2014!AK49</f>
        <v>0.32873512727698778</v>
      </c>
      <c r="AL49" s="119">
        <f t="shared" si="13"/>
        <v>0.29129464117227688</v>
      </c>
      <c r="AM49" s="110"/>
      <c r="AN49" s="110"/>
      <c r="AO49" s="110"/>
      <c r="AP49" s="110"/>
      <c r="AQ49" s="110"/>
      <c r="AR49" t="s">
        <v>29</v>
      </c>
      <c r="AS49"/>
      <c r="AT49"/>
      <c r="AU49"/>
      <c r="AV49"/>
      <c r="AW49"/>
      <c r="AX49"/>
    </row>
    <row r="50" spans="1:50" ht="16.5" thickBot="1" x14ac:dyDescent="0.3">
      <c r="A50" s="120">
        <v>0.05</v>
      </c>
      <c r="B50" s="134">
        <v>42926</v>
      </c>
      <c r="C50" s="121">
        <f t="shared" si="0"/>
        <v>399.99999999999994</v>
      </c>
      <c r="D50" s="86">
        <f t="shared" si="1"/>
        <v>46.5</v>
      </c>
      <c r="E50" s="81">
        <v>0.64329943528</v>
      </c>
      <c r="F50" s="50">
        <f t="shared" si="2"/>
        <v>0.51233504530123841</v>
      </c>
      <c r="G50" s="16">
        <f t="shared" si="3"/>
        <v>0.13096438997876159</v>
      </c>
      <c r="H50" s="51">
        <f t="shared" si="4"/>
        <v>6.8606685770036577</v>
      </c>
      <c r="I50" s="54"/>
      <c r="J50" s="105">
        <f t="shared" si="7"/>
        <v>42921.5</v>
      </c>
      <c r="K50" s="109">
        <v>42</v>
      </c>
      <c r="L50" s="125">
        <f t="shared" si="5"/>
        <v>0.3277285660438044</v>
      </c>
      <c r="M50" s="46">
        <f t="shared" si="8"/>
        <v>0.38707606622199253</v>
      </c>
      <c r="N50" s="131">
        <v>0.38707606622199253</v>
      </c>
      <c r="O50" s="89">
        <f t="shared" si="6"/>
        <v>0.38707606622199253</v>
      </c>
      <c r="P50" s="4">
        <v>40364</v>
      </c>
      <c r="Q50" s="4">
        <v>0.58552915257129856</v>
      </c>
      <c r="R50" s="4">
        <v>2403</v>
      </c>
      <c r="S50" s="100">
        <f t="shared" si="11"/>
        <v>833.95193122677495</v>
      </c>
      <c r="T50" s="101">
        <f t="shared" si="14"/>
        <v>1569.0480687732252</v>
      </c>
      <c r="U50" s="49">
        <v>40712</v>
      </c>
      <c r="V50" s="95">
        <v>3.5999999999999997E-2</v>
      </c>
      <c r="W50" s="95"/>
      <c r="X50" s="95"/>
      <c r="Y50" s="95"/>
      <c r="Z50" s="95"/>
      <c r="AE50" s="93">
        <f t="shared" si="12"/>
        <v>42921.5</v>
      </c>
      <c r="AF50" s="92">
        <f>Logistic2010!Q50</f>
        <v>0.21724812306999194</v>
      </c>
      <c r="AG50" s="4">
        <f t="shared" si="10"/>
        <v>0.58552915257129856</v>
      </c>
      <c r="AH50" s="92">
        <f>Logistic2011!Q50</f>
        <v>0.19388109788722835</v>
      </c>
      <c r="AI50" s="92">
        <f>Logistic2012!Q50</f>
        <v>0.58552915257129856</v>
      </c>
      <c r="AJ50" s="92">
        <f>Logistic2013!L50</f>
        <v>0.35383793526166868</v>
      </c>
      <c r="AK50" s="119">
        <f>Logistic2014!AK50</f>
        <v>0.37220420551064748</v>
      </c>
      <c r="AL50" s="119">
        <f t="shared" si="13"/>
        <v>0.3277285660438044</v>
      </c>
      <c r="AM50" s="113"/>
      <c r="AN50" s="113"/>
      <c r="AO50" s="113"/>
      <c r="AQ50" s="113"/>
      <c r="AR50" s="112" t="s">
        <v>30</v>
      </c>
      <c r="AS50" s="112" t="s">
        <v>31</v>
      </c>
      <c r="AT50" s="112" t="s">
        <v>32</v>
      </c>
      <c r="AU50" s="112" t="s">
        <v>33</v>
      </c>
      <c r="AV50" s="112" t="s">
        <v>34</v>
      </c>
      <c r="AW50"/>
      <c r="AX50"/>
    </row>
    <row r="51" spans="1:50" ht="16.5" thickBot="1" x14ac:dyDescent="0.3">
      <c r="A51" s="120">
        <v>0.05</v>
      </c>
      <c r="B51" s="134">
        <v>42930</v>
      </c>
      <c r="C51" s="121">
        <f t="shared" si="0"/>
        <v>399.99999999999994</v>
      </c>
      <c r="D51" s="86">
        <f t="shared" si="1"/>
        <v>50.5</v>
      </c>
      <c r="E51" s="81">
        <v>0.77989192895000004</v>
      </c>
      <c r="F51" s="50">
        <f t="shared" si="2"/>
        <v>0.67521391194497093</v>
      </c>
      <c r="G51" s="16">
        <f t="shared" si="3"/>
        <v>0.1046780170050291</v>
      </c>
      <c r="H51" s="51">
        <f t="shared" si="4"/>
        <v>4.3829948976420638</v>
      </c>
      <c r="I51" s="54"/>
      <c r="J51" s="105">
        <f t="shared" si="7"/>
        <v>42922.5</v>
      </c>
      <c r="K51" s="109">
        <v>43</v>
      </c>
      <c r="L51" s="125">
        <f t="shared" si="5"/>
        <v>0.36636376123607484</v>
      </c>
      <c r="M51" s="46">
        <f t="shared" si="8"/>
        <v>0.47367530224191001</v>
      </c>
      <c r="N51" s="131">
        <v>0.47367530224191001</v>
      </c>
      <c r="O51" s="89">
        <f t="shared" si="6"/>
        <v>0.47367530224191001</v>
      </c>
      <c r="P51" s="4">
        <v>40365</v>
      </c>
      <c r="Q51" s="4">
        <v>0.65297594566306583</v>
      </c>
      <c r="R51" s="4">
        <v>2644</v>
      </c>
      <c r="S51" s="100">
        <f t="shared" si="11"/>
        <v>1022.1192318804368</v>
      </c>
      <c r="T51" s="101">
        <f t="shared" si="14"/>
        <v>1621.8807681195631</v>
      </c>
      <c r="U51" s="40">
        <v>40713</v>
      </c>
      <c r="V51" s="95"/>
      <c r="W51" s="95"/>
      <c r="X51" s="95"/>
      <c r="Y51" s="95"/>
      <c r="Z51" s="95"/>
      <c r="AE51" s="93">
        <f t="shared" si="12"/>
        <v>42922.5</v>
      </c>
      <c r="AF51" s="92">
        <f>Logistic2010!Q51</f>
        <v>0.25314493902860469</v>
      </c>
      <c r="AG51" s="4">
        <f t="shared" si="10"/>
        <v>0.65297594566306583</v>
      </c>
      <c r="AH51" s="92">
        <f>Logistic2011!Q51</f>
        <v>0.2362644112915534</v>
      </c>
      <c r="AI51" s="92">
        <f>Logistic2012!Q51</f>
        <v>0.65297594566306583</v>
      </c>
      <c r="AJ51" s="92">
        <f>Logistic2013!L51</f>
        <v>0.40023244913820061</v>
      </c>
      <c r="AK51" s="119">
        <f>Logistic2014!AK51</f>
        <v>0.41784330704514244</v>
      </c>
      <c r="AL51" s="119">
        <f t="shared" si="13"/>
        <v>0.36636376123607484</v>
      </c>
      <c r="AM51" s="113"/>
      <c r="AN51" s="113"/>
      <c r="AO51" s="113"/>
      <c r="AP51" s="113"/>
      <c r="AQ51" s="113"/>
      <c r="AR51" s="110">
        <v>2011</v>
      </c>
      <c r="AS51" s="110">
        <v>11</v>
      </c>
      <c r="AT51" s="110">
        <v>3.9729999999999994</v>
      </c>
      <c r="AU51" s="110">
        <v>0.3611818181818181</v>
      </c>
      <c r="AV51" s="110">
        <v>0.13927216363636366</v>
      </c>
      <c r="AW51"/>
      <c r="AX51"/>
    </row>
    <row r="52" spans="1:50" ht="16.5" thickBot="1" x14ac:dyDescent="0.3">
      <c r="A52" s="120">
        <v>0.05</v>
      </c>
      <c r="B52" s="134">
        <v>42934</v>
      </c>
      <c r="C52" s="121">
        <f t="shared" si="0"/>
        <v>399.99999999999994</v>
      </c>
      <c r="D52" s="86">
        <f t="shared" si="1"/>
        <v>54.5</v>
      </c>
      <c r="E52" s="81">
        <v>0.85745494431000002</v>
      </c>
      <c r="F52" s="50">
        <f t="shared" si="2"/>
        <v>0.80445513408141267</v>
      </c>
      <c r="G52" s="16">
        <f t="shared" si="3"/>
        <v>5.2999810228587352E-2</v>
      </c>
      <c r="H52" s="51">
        <f t="shared" si="4"/>
        <v>1.1235919537065089</v>
      </c>
      <c r="I52" s="54"/>
      <c r="J52" s="105">
        <f t="shared" si="7"/>
        <v>42923.5</v>
      </c>
      <c r="K52" s="109">
        <v>44</v>
      </c>
      <c r="L52" s="125">
        <f t="shared" si="5"/>
        <v>0.40679753368104837</v>
      </c>
      <c r="M52" s="46">
        <f t="shared" si="8"/>
        <v>0.56188779335925654</v>
      </c>
      <c r="N52" s="131">
        <v>0.56188779335925654</v>
      </c>
      <c r="O52" s="89">
        <f t="shared" si="6"/>
        <v>0.56188779335925654</v>
      </c>
      <c r="P52" s="4">
        <v>40366</v>
      </c>
      <c r="Q52" s="4">
        <v>0.71479326435445212</v>
      </c>
      <c r="R52" s="4">
        <v>1901</v>
      </c>
      <c r="S52" s="100">
        <f t="shared" si="11"/>
        <v>812.99348744360213</v>
      </c>
      <c r="T52" s="101">
        <f t="shared" si="14"/>
        <v>1088.0065125563979</v>
      </c>
      <c r="U52" s="49">
        <v>40714</v>
      </c>
      <c r="V52" s="95"/>
      <c r="W52" s="95"/>
      <c r="X52" s="95"/>
      <c r="Y52" s="95"/>
      <c r="Z52" s="95"/>
      <c r="AE52" s="93">
        <f t="shared" si="12"/>
        <v>42923.5</v>
      </c>
      <c r="AF52" s="92">
        <f>Logistic2010!Q52</f>
        <v>0.29275475741502793</v>
      </c>
      <c r="AG52" s="4">
        <f t="shared" si="10"/>
        <v>0.71479326435445212</v>
      </c>
      <c r="AH52" s="92">
        <f>Logistic2011!Q52</f>
        <v>0.28464136726106892</v>
      </c>
      <c r="AI52" s="92">
        <f>Logistic2012!Q52</f>
        <v>0.71479326435445212</v>
      </c>
      <c r="AJ52" s="92">
        <f>Logistic2013!L52</f>
        <v>0.44848792399421938</v>
      </c>
      <c r="AK52" s="119">
        <f>Logistic2014!AK52</f>
        <v>0.46493416339222882</v>
      </c>
      <c r="AL52" s="119">
        <f t="shared" si="13"/>
        <v>0.40679753368104837</v>
      </c>
      <c r="AM52" s="113"/>
      <c r="AN52" s="113"/>
      <c r="AP52" s="113"/>
      <c r="AQ52" s="113"/>
      <c r="AR52" s="111">
        <v>2012</v>
      </c>
      <c r="AS52" s="111">
        <v>11</v>
      </c>
      <c r="AT52" s="111">
        <v>6.5350000000000001</v>
      </c>
      <c r="AU52" s="111">
        <v>0.59409090909090911</v>
      </c>
      <c r="AV52" s="111">
        <v>0.17708689090909088</v>
      </c>
      <c r="AW52"/>
      <c r="AX52"/>
    </row>
    <row r="53" spans="1:50" ht="16.5" thickBot="1" x14ac:dyDescent="0.3">
      <c r="A53" s="120">
        <v>0.05</v>
      </c>
      <c r="B53" s="134">
        <v>42913</v>
      </c>
      <c r="C53" s="121">
        <f t="shared" si="0"/>
        <v>399.99999999999994</v>
      </c>
      <c r="D53" s="86">
        <f t="shared" si="1"/>
        <v>33.5</v>
      </c>
      <c r="E53" s="81">
        <v>9.5066198399999996E-2</v>
      </c>
      <c r="F53" s="50">
        <f t="shared" si="2"/>
        <v>0.10258601288905633</v>
      </c>
      <c r="G53" s="16">
        <f t="shared" si="3"/>
        <v>-7.5198144890563368E-3</v>
      </c>
      <c r="H53" s="51">
        <f t="shared" si="4"/>
        <v>2.2619043979928644E-2</v>
      </c>
      <c r="I53" s="54"/>
      <c r="J53" s="105">
        <f t="shared" si="7"/>
        <v>42924.5</v>
      </c>
      <c r="K53" s="109">
        <v>45</v>
      </c>
      <c r="L53" s="125">
        <f t="shared" si="5"/>
        <v>0.44853490971043197</v>
      </c>
      <c r="M53" s="46">
        <f t="shared" si="8"/>
        <v>0.64635389784882469</v>
      </c>
      <c r="N53" s="130">
        <v>0.64635389784882469</v>
      </c>
      <c r="O53" s="89">
        <f t="shared" si="6"/>
        <v>0.64635389784882469</v>
      </c>
      <c r="P53" s="4">
        <v>40367</v>
      </c>
      <c r="Q53" s="4">
        <v>0.76948613379160047</v>
      </c>
      <c r="R53" s="4">
        <v>2421</v>
      </c>
      <c r="S53" s="100">
        <f t="shared" si="11"/>
        <v>1137.3191126471236</v>
      </c>
      <c r="T53" s="101">
        <f t="shared" si="14"/>
        <v>1283.6808873528764</v>
      </c>
      <c r="U53" s="49">
        <v>40715</v>
      </c>
      <c r="V53" s="95"/>
      <c r="W53" s="95"/>
      <c r="X53" s="95"/>
      <c r="Y53" s="95"/>
      <c r="Z53" s="95"/>
      <c r="AE53" s="93">
        <f t="shared" si="12"/>
        <v>42924.5</v>
      </c>
      <c r="AF53" s="92">
        <f>Logistic2010!Q53</f>
        <v>0.33577592018640684</v>
      </c>
      <c r="AG53" s="4">
        <f t="shared" si="10"/>
        <v>0.76948613379160047</v>
      </c>
      <c r="AH53" s="92">
        <f>Logistic2011!Q53</f>
        <v>0.33853314511451504</v>
      </c>
      <c r="AI53" s="92">
        <f>Logistic2012!Q53</f>
        <v>0.76948613379160047</v>
      </c>
      <c r="AJ53" s="92">
        <f>Logistic2013!L53</f>
        <v>0.49773319182267894</v>
      </c>
      <c r="AK53" s="119">
        <f>Logistic2014!AK53</f>
        <v>0.51265858710560919</v>
      </c>
      <c r="AL53" s="119">
        <f t="shared" si="13"/>
        <v>0.44853490971043197</v>
      </c>
      <c r="AM53" s="115"/>
      <c r="AO53" s="115"/>
      <c r="AP53" s="115"/>
      <c r="AQ53" s="115"/>
      <c r="AR53"/>
      <c r="AS53"/>
      <c r="AT53"/>
      <c r="AU53"/>
      <c r="AV53"/>
      <c r="AW53"/>
      <c r="AX53"/>
    </row>
    <row r="54" spans="1:50" ht="16.5" thickBot="1" x14ac:dyDescent="0.3">
      <c r="A54" s="120">
        <v>0.05</v>
      </c>
      <c r="B54" s="134">
        <v>42917</v>
      </c>
      <c r="C54" s="121">
        <f t="shared" si="0"/>
        <v>399.99999999999994</v>
      </c>
      <c r="D54" s="86">
        <f t="shared" si="1"/>
        <v>37.5</v>
      </c>
      <c r="E54" s="81">
        <v>6.7959138180000003E-2</v>
      </c>
      <c r="F54" s="50">
        <f t="shared" si="2"/>
        <v>0.18447725960345621</v>
      </c>
      <c r="G54" s="16">
        <f t="shared" si="3"/>
        <v>-0.1165181214234562</v>
      </c>
      <c r="H54" s="51">
        <f t="shared" si="4"/>
        <v>5.4305890480205123</v>
      </c>
      <c r="I54" s="54"/>
      <c r="J54" s="105">
        <f t="shared" si="7"/>
        <v>42925.5</v>
      </c>
      <c r="K54" s="109">
        <v>46</v>
      </c>
      <c r="L54" s="125">
        <f t="shared" si="5"/>
        <v>0.49100999953956687</v>
      </c>
      <c r="M54" s="46">
        <f t="shared" si="8"/>
        <v>0.72257565187378159</v>
      </c>
      <c r="N54" s="130">
        <v>0.72257565187378159</v>
      </c>
      <c r="O54" s="89">
        <f t="shared" si="6"/>
        <v>0.72257565187378159</v>
      </c>
      <c r="P54" s="4">
        <v>40368</v>
      </c>
      <c r="Q54" s="4">
        <v>0.81638498403003179</v>
      </c>
      <c r="R54" s="4">
        <v>2560</v>
      </c>
      <c r="S54" s="100">
        <f t="shared" si="11"/>
        <v>1311.520360937579</v>
      </c>
      <c r="T54" s="101">
        <f t="shared" si="14"/>
        <v>1248.479639062421</v>
      </c>
      <c r="U54" s="49">
        <v>40716</v>
      </c>
      <c r="V54" s="95"/>
      <c r="W54" s="95"/>
      <c r="X54" s="95"/>
      <c r="Y54" s="95"/>
      <c r="Z54" s="95"/>
      <c r="AE54" s="93">
        <f t="shared" si="12"/>
        <v>42925.5</v>
      </c>
      <c r="AF54" s="92">
        <f>Logistic2010!Q54</f>
        <v>0.3817070776941604</v>
      </c>
      <c r="AG54" s="4">
        <f t="shared" si="10"/>
        <v>0.81638498403003179</v>
      </c>
      <c r="AH54" s="92">
        <f>Logistic2011!Q54</f>
        <v>0.39696628169175319</v>
      </c>
      <c r="AI54" s="92">
        <f>Logistic2012!Q54</f>
        <v>0.81638498403003179</v>
      </c>
      <c r="AJ54" s="92">
        <f>Logistic2013!L54</f>
        <v>0.54702247769245926</v>
      </c>
      <c r="AK54" s="119">
        <f>Logistic2014!AK54</f>
        <v>0.56015332200960266</v>
      </c>
      <c r="AL54" s="119">
        <f t="shared" si="13"/>
        <v>0.49100999953956687</v>
      </c>
      <c r="AM54" s="110"/>
      <c r="AN54" s="110"/>
      <c r="AO54" s="110"/>
      <c r="AQ54" s="110"/>
      <c r="AR54"/>
      <c r="AS54"/>
      <c r="AT54"/>
      <c r="AU54"/>
      <c r="AV54"/>
      <c r="AW54"/>
      <c r="AX54"/>
    </row>
    <row r="55" spans="1:50" ht="16.5" thickBot="1" x14ac:dyDescent="0.3">
      <c r="A55" s="120">
        <v>0.05</v>
      </c>
      <c r="B55" s="134">
        <v>42921</v>
      </c>
      <c r="C55" s="121">
        <f t="shared" si="0"/>
        <v>399.99999999999994</v>
      </c>
      <c r="D55" s="86">
        <f t="shared" si="1"/>
        <v>41.5</v>
      </c>
      <c r="E55" s="81">
        <v>0.13628831517000001</v>
      </c>
      <c r="F55" s="50">
        <f t="shared" si="2"/>
        <v>0.30921527271149496</v>
      </c>
      <c r="G55" s="16">
        <f t="shared" si="3"/>
        <v>-0.17292695754149495</v>
      </c>
      <c r="H55" s="51">
        <f t="shared" si="4"/>
        <v>11.961493057823198</v>
      </c>
      <c r="I55" s="54"/>
      <c r="J55" s="105">
        <f t="shared" si="7"/>
        <v>42926.5</v>
      </c>
      <c r="K55" s="109">
        <v>47</v>
      </c>
      <c r="L55" s="125">
        <f t="shared" si="5"/>
        <v>0.53361528244291656</v>
      </c>
      <c r="M55" s="46">
        <f t="shared" si="8"/>
        <v>0.67992615512835608</v>
      </c>
      <c r="N55" s="131">
        <v>0.67992615512835608</v>
      </c>
      <c r="O55" s="89">
        <f t="shared" si="6"/>
        <v>0.67992615512835608</v>
      </c>
      <c r="P55" s="4">
        <v>40369</v>
      </c>
      <c r="Q55" s="4">
        <v>0.85553350414652685</v>
      </c>
      <c r="R55" s="4">
        <v>3011</v>
      </c>
      <c r="S55" s="100">
        <f t="shared" si="11"/>
        <v>1670.1280217622927</v>
      </c>
      <c r="T55" s="101">
        <f t="shared" si="14"/>
        <v>1340.8719782377073</v>
      </c>
      <c r="U55" s="49">
        <v>40717</v>
      </c>
      <c r="V55" s="95"/>
      <c r="W55" s="95"/>
      <c r="X55" s="95"/>
      <c r="Y55" s="95"/>
      <c r="Z55" s="95"/>
      <c r="AE55" s="93">
        <f t="shared" si="12"/>
        <v>42926.5</v>
      </c>
      <c r="AF55" s="92">
        <f>Logistic2010!Q55</f>
        <v>0.42985515834963317</v>
      </c>
      <c r="AG55" s="4">
        <f t="shared" si="10"/>
        <v>0.85553350414652685</v>
      </c>
      <c r="AH55" s="92">
        <f>Logistic2011!Q55</f>
        <v>0.45849431667616858</v>
      </c>
      <c r="AI55" s="92">
        <f>Logistic2012!Q55</f>
        <v>0.85553350414652685</v>
      </c>
      <c r="AJ55" s="92">
        <f>Logistic2013!L55</f>
        <v>0.59540663680406558</v>
      </c>
      <c r="AK55" s="119">
        <f>Logistic2014!AK55</f>
        <v>0.60657155343516</v>
      </c>
      <c r="AL55" s="119">
        <f t="shared" si="13"/>
        <v>0.53361528244291656</v>
      </c>
      <c r="AM55" s="110"/>
      <c r="AN55" s="110"/>
      <c r="AP55" s="110"/>
      <c r="AQ55" s="110"/>
      <c r="AR55" t="s">
        <v>35</v>
      </c>
      <c r="AS55"/>
      <c r="AT55"/>
      <c r="AU55"/>
      <c r="AV55"/>
      <c r="AW55"/>
      <c r="AX55"/>
    </row>
    <row r="56" spans="1:50" ht="16.5" thickBot="1" x14ac:dyDescent="0.3">
      <c r="A56" s="120">
        <v>0.05</v>
      </c>
      <c r="B56" s="134">
        <v>42928</v>
      </c>
      <c r="C56" s="121">
        <f t="shared" si="0"/>
        <v>399.99999999999994</v>
      </c>
      <c r="D56" s="86">
        <f t="shared" si="1"/>
        <v>48.5</v>
      </c>
      <c r="E56" s="81">
        <v>0.10614953457</v>
      </c>
      <c r="F56" s="50">
        <f t="shared" si="2"/>
        <v>0.59642868929733894</v>
      </c>
      <c r="G56" s="16">
        <f t="shared" si="3"/>
        <v>-0.49027915472733896</v>
      </c>
      <c r="H56" s="51">
        <f t="shared" si="4"/>
        <v>96.14945982406158</v>
      </c>
      <c r="I56" s="54"/>
      <c r="J56" s="105">
        <f t="shared" si="7"/>
        <v>42927.5</v>
      </c>
      <c r="K56" s="109">
        <v>48</v>
      </c>
      <c r="L56" s="125">
        <f t="shared" si="5"/>
        <v>0.57573577817634125</v>
      </c>
      <c r="M56" s="46">
        <f t="shared" si="8"/>
        <v>0.73462826392623781</v>
      </c>
      <c r="N56" s="131">
        <v>0.73462826392623781</v>
      </c>
      <c r="O56" s="89">
        <f t="shared" si="6"/>
        <v>0.73462826392623781</v>
      </c>
      <c r="P56" s="4">
        <v>40370</v>
      </c>
      <c r="Q56" s="4">
        <v>0.88748554172196392</v>
      </c>
      <c r="R56" s="4">
        <v>582</v>
      </c>
      <c r="S56" s="100">
        <f t="shared" si="11"/>
        <v>347.02328797623426</v>
      </c>
      <c r="T56" s="101">
        <f t="shared" si="14"/>
        <v>234.97671202376574</v>
      </c>
      <c r="U56" s="49">
        <v>40718</v>
      </c>
      <c r="V56" s="95"/>
      <c r="W56" s="95"/>
      <c r="X56" s="95"/>
      <c r="Y56" s="95"/>
      <c r="Z56" s="95"/>
      <c r="AE56" s="93">
        <f t="shared" si="12"/>
        <v>42927.5</v>
      </c>
      <c r="AF56" s="92">
        <f>Logistic2010!Q56</f>
        <v>0.47936786629286093</v>
      </c>
      <c r="AG56" s="4">
        <f t="shared" si="10"/>
        <v>0.88748554172196392</v>
      </c>
      <c r="AH56" s="92">
        <f>Logistic2011!Q56</f>
        <v>0.52131468367366807</v>
      </c>
      <c r="AI56" s="92">
        <f>Logistic2012!Q56</f>
        <v>0.88748554172196392</v>
      </c>
      <c r="AJ56" s="92">
        <f>Logistic2013!L56</f>
        <v>0.64200492795904929</v>
      </c>
      <c r="AK56" s="119">
        <f>Logistic2014!AK56</f>
        <v>0.65114196868570062</v>
      </c>
      <c r="AL56" s="119">
        <f t="shared" si="13"/>
        <v>0.57573577817634125</v>
      </c>
      <c r="AM56" s="110"/>
      <c r="AN56" s="110"/>
      <c r="AO56" s="110"/>
      <c r="AP56" s="110"/>
      <c r="AQ56" s="110"/>
      <c r="AR56" s="112" t="s">
        <v>36</v>
      </c>
      <c r="AS56" s="112" t="s">
        <v>37</v>
      </c>
      <c r="AT56" s="112" t="s">
        <v>38</v>
      </c>
      <c r="AU56" s="112" t="s">
        <v>39</v>
      </c>
      <c r="AV56" s="112" t="s">
        <v>40</v>
      </c>
      <c r="AW56" s="112" t="s">
        <v>41</v>
      </c>
      <c r="AX56" s="112" t="s">
        <v>42</v>
      </c>
    </row>
    <row r="57" spans="1:50" ht="16.5" thickBot="1" x14ac:dyDescent="0.3">
      <c r="A57" s="120">
        <v>0.05</v>
      </c>
      <c r="B57" s="134">
        <v>42934</v>
      </c>
      <c r="C57" s="121">
        <f t="shared" si="0"/>
        <v>399.99999999999994</v>
      </c>
      <c r="D57" s="86">
        <f t="shared" si="1"/>
        <v>54.5</v>
      </c>
      <c r="E57" s="81">
        <v>0.63694789038999999</v>
      </c>
      <c r="F57" s="50">
        <f t="shared" si="2"/>
        <v>0.80445513408141267</v>
      </c>
      <c r="G57" s="16">
        <f t="shared" si="3"/>
        <v>-0.16750724369141268</v>
      </c>
      <c r="H57" s="51">
        <f t="shared" si="4"/>
        <v>11.223470675637722</v>
      </c>
      <c r="I57" s="54"/>
      <c r="J57" s="105">
        <f t="shared" si="7"/>
        <v>42928.5</v>
      </c>
      <c r="K57" s="109">
        <v>49</v>
      </c>
      <c r="L57" s="125">
        <f t="shared" si="5"/>
        <v>0.61678411177635384</v>
      </c>
      <c r="M57" s="46">
        <f t="shared" si="8"/>
        <v>0.78296570483334704</v>
      </c>
      <c r="N57" s="131">
        <v>0.78296570483334704</v>
      </c>
      <c r="O57" s="89">
        <f t="shared" si="6"/>
        <v>0.78296570483334704</v>
      </c>
      <c r="P57" s="4">
        <v>40371</v>
      </c>
      <c r="Q57" s="4">
        <v>0.91308857223820117</v>
      </c>
      <c r="R57" s="4">
        <v>2638</v>
      </c>
      <c r="S57" s="100">
        <f t="shared" si="11"/>
        <v>1679.1086460822032</v>
      </c>
      <c r="T57" s="101">
        <f t="shared" si="14"/>
        <v>958.89135391779678</v>
      </c>
      <c r="U57" s="49">
        <v>40719</v>
      </c>
      <c r="V57" s="95">
        <v>7.0000000000000001E-3</v>
      </c>
      <c r="W57" s="95"/>
      <c r="X57" s="95"/>
      <c r="Y57" s="95"/>
      <c r="Z57" s="95"/>
      <c r="AE57" s="93">
        <f t="shared" si="12"/>
        <v>42928.5</v>
      </c>
      <c r="AF57" s="92">
        <f>Logistic2010!Q57</f>
        <v>0.52928924873066352</v>
      </c>
      <c r="AG57" s="4">
        <f t="shared" si="10"/>
        <v>0.91308857223820117</v>
      </c>
      <c r="AH57" s="92">
        <f>Logistic2011!Q57</f>
        <v>0.58346805352827824</v>
      </c>
      <c r="AI57" s="92">
        <f>Logistic2012!Q57</f>
        <v>0.91308857223820117</v>
      </c>
      <c r="AJ57" s="92">
        <f>Logistic2013!L57</f>
        <v>0.68606608243321232</v>
      </c>
      <c r="AK57" s="119">
        <f>Logistic2014!AK57</f>
        <v>0.69321686759508971</v>
      </c>
      <c r="AL57" s="119">
        <f t="shared" si="13"/>
        <v>0.61678411177635384</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1:50" ht="16.5" thickBot="1" x14ac:dyDescent="0.3">
      <c r="A58" s="120">
        <v>0.05</v>
      </c>
      <c r="B58" s="134">
        <v>42941</v>
      </c>
      <c r="C58" s="121">
        <f t="shared" si="0"/>
        <v>399.99999999999994</v>
      </c>
      <c r="D58" s="86">
        <f t="shared" si="1"/>
        <v>61.5</v>
      </c>
      <c r="E58" s="81">
        <v>0.61665790052000002</v>
      </c>
      <c r="F58" s="50">
        <f t="shared" si="2"/>
        <v>0.93142402441377437</v>
      </c>
      <c r="G58" s="16">
        <f t="shared" si="3"/>
        <v>-0.31476612389377434</v>
      </c>
      <c r="H58" s="51">
        <f t="shared" si="4"/>
        <v>39.631085100444352</v>
      </c>
      <c r="I58" s="54"/>
      <c r="J58" s="105">
        <f t="shared" si="7"/>
        <v>42929.5</v>
      </c>
      <c r="K58" s="109">
        <v>50</v>
      </c>
      <c r="L58" s="125">
        <f t="shared" si="5"/>
        <v>0.65623229920333015</v>
      </c>
      <c r="M58" s="46">
        <f t="shared" si="8"/>
        <v>0.82460067927314873</v>
      </c>
      <c r="N58" s="130">
        <v>0.82460067927314873</v>
      </c>
      <c r="O58" s="89">
        <f t="shared" si="6"/>
        <v>0.82460067927314873</v>
      </c>
      <c r="P58" s="4">
        <v>40372</v>
      </c>
      <c r="Q58" s="4">
        <v>0.93330339143718788</v>
      </c>
      <c r="R58" s="4">
        <v>4264</v>
      </c>
      <c r="S58" s="100">
        <f t="shared" si="11"/>
        <v>2877.920779086101</v>
      </c>
      <c r="T58" s="101">
        <f t="shared" si="14"/>
        <v>1386.079220913899</v>
      </c>
      <c r="U58" s="40">
        <v>40720</v>
      </c>
      <c r="V58" s="95"/>
      <c r="W58" s="95"/>
      <c r="X58" s="95"/>
      <c r="Y58" s="95"/>
      <c r="Z58" s="95"/>
      <c r="AE58" s="93">
        <f t="shared" si="12"/>
        <v>42929.5</v>
      </c>
      <c r="AF58" s="92">
        <f>Logistic2010!Q58</f>
        <v>0.57863147408369076</v>
      </c>
      <c r="AG58" s="4">
        <f t="shared" si="10"/>
        <v>0.93330339143718788</v>
      </c>
      <c r="AH58" s="92">
        <f>Logistic2011!Q58</f>
        <v>0.64307659747584256</v>
      </c>
      <c r="AI58" s="92">
        <f>Logistic2012!Q58</f>
        <v>0.93330339143718788</v>
      </c>
      <c r="AJ58" s="92">
        <f>Logistic2013!L58</f>
        <v>0.7270102102463335</v>
      </c>
      <c r="AK58" s="119">
        <f>Logistic2014!AK58</f>
        <v>0.73230345881884595</v>
      </c>
      <c r="AL58" s="119">
        <f t="shared" si="13"/>
        <v>0.65623229920333015</v>
      </c>
      <c r="AM58" s="114"/>
      <c r="AN58" s="114"/>
      <c r="AO58" s="114"/>
      <c r="AP58" s="114"/>
      <c r="AQ58" s="114"/>
      <c r="AR58" s="110" t="s">
        <v>44</v>
      </c>
      <c r="AS58" s="110">
        <v>3.1635905454545457</v>
      </c>
      <c r="AT58" s="110">
        <v>20</v>
      </c>
      <c r="AU58" s="110">
        <v>0.15817952727272727</v>
      </c>
      <c r="AV58" s="110"/>
      <c r="AW58" s="110"/>
      <c r="AX58" s="110"/>
    </row>
    <row r="59" spans="1:50" ht="16.5" thickBot="1" x14ac:dyDescent="0.3">
      <c r="A59" s="120">
        <v>0.05</v>
      </c>
      <c r="B59" s="134">
        <v>42913</v>
      </c>
      <c r="C59" s="121">
        <f t="shared" si="0"/>
        <v>399.99999999999994</v>
      </c>
      <c r="D59" s="86">
        <f t="shared" si="1"/>
        <v>33.5</v>
      </c>
      <c r="E59" s="81">
        <v>1.211964382E-2</v>
      </c>
      <c r="F59" s="50">
        <f t="shared" si="2"/>
        <v>0.10258601288905633</v>
      </c>
      <c r="G59" s="16">
        <f t="shared" si="3"/>
        <v>-9.0466369069056335E-2</v>
      </c>
      <c r="H59" s="51">
        <f t="shared" si="4"/>
        <v>3.2736655730154847</v>
      </c>
      <c r="I59" s="54"/>
      <c r="J59" s="105">
        <f t="shared" si="7"/>
        <v>42930.5</v>
      </c>
      <c r="K59" s="109">
        <v>51</v>
      </c>
      <c r="L59" s="125">
        <f t="shared" si="5"/>
        <v>0.69363673413911875</v>
      </c>
      <c r="M59" s="46">
        <f t="shared" si="8"/>
        <v>0.85967998350172414</v>
      </c>
      <c r="N59" s="130">
        <v>0.85967998350172414</v>
      </c>
      <c r="O59" s="89">
        <f t="shared" si="6"/>
        <v>0.85967998350172414</v>
      </c>
      <c r="P59" s="4">
        <v>40373</v>
      </c>
      <c r="Q59" s="4">
        <v>0.94907863528681002</v>
      </c>
      <c r="R59" s="4">
        <v>29205</v>
      </c>
      <c r="S59" s="100">
        <f t="shared" si="11"/>
        <v>20769.002615185484</v>
      </c>
      <c r="T59" s="101">
        <f t="shared" si="14"/>
        <v>8435.9973848145164</v>
      </c>
      <c r="U59" s="49">
        <v>40721</v>
      </c>
      <c r="V59" s="95"/>
      <c r="W59" s="95"/>
      <c r="X59" s="95"/>
      <c r="Y59" s="95"/>
      <c r="Z59" s="95"/>
      <c r="AE59" s="93">
        <f t="shared" si="12"/>
        <v>42930.5</v>
      </c>
      <c r="AF59" s="92">
        <f>Logistic2010!Q59</f>
        <v>0.62645177427350185</v>
      </c>
      <c r="AG59" s="4">
        <f t="shared" si="10"/>
        <v>0.94907863528681002</v>
      </c>
      <c r="AH59" s="92">
        <f>Logistic2011!Q59</f>
        <v>0.69856182420049406</v>
      </c>
      <c r="AI59" s="92">
        <f>Logistic2012!Q59</f>
        <v>0.94907863528681002</v>
      </c>
      <c r="AJ59" s="92">
        <f>Logistic2013!L59</f>
        <v>0.76444773045159664</v>
      </c>
      <c r="AK59" s="119">
        <f>Logistic2014!AK59</f>
        <v>0.76807620704019175</v>
      </c>
      <c r="AL59" s="119">
        <f t="shared" si="13"/>
        <v>0.69363673413911875</v>
      </c>
      <c r="AM59" s="114"/>
      <c r="AN59" s="114"/>
      <c r="AO59" s="114"/>
      <c r="AP59" s="114"/>
      <c r="AQ59" s="114"/>
      <c r="AR59" s="110"/>
      <c r="AS59" s="110"/>
      <c r="AT59" s="110"/>
      <c r="AU59" s="110"/>
      <c r="AV59" s="110"/>
      <c r="AW59" s="110"/>
      <c r="AX59" s="110"/>
    </row>
    <row r="60" spans="1:50" ht="16.5" thickBot="1" x14ac:dyDescent="0.3">
      <c r="A60" s="120">
        <v>0.05</v>
      </c>
      <c r="B60" s="134">
        <v>42918</v>
      </c>
      <c r="C60" s="121">
        <f t="shared" si="0"/>
        <v>399.99999999999994</v>
      </c>
      <c r="D60" s="86">
        <f t="shared" si="1"/>
        <v>38.5</v>
      </c>
      <c r="E60" s="81">
        <v>0.20070242641</v>
      </c>
      <c r="F60" s="50">
        <f t="shared" si="2"/>
        <v>0.21153876728677404</v>
      </c>
      <c r="G60" s="16">
        <f t="shared" si="3"/>
        <v>-1.0836340876774042E-2</v>
      </c>
      <c r="H60" s="51">
        <f t="shared" si="4"/>
        <v>4.6970513439057601E-2</v>
      </c>
      <c r="I60" s="54"/>
      <c r="J60" s="105">
        <f t="shared" si="7"/>
        <v>42931.5</v>
      </c>
      <c r="K60" s="109">
        <v>52</v>
      </c>
      <c r="L60" s="125">
        <f t="shared" si="5"/>
        <v>0.7286541485991439</v>
      </c>
      <c r="M60" s="46">
        <f t="shared" si="8"/>
        <v>0.8886905657803027</v>
      </c>
      <c r="N60" s="131">
        <v>0.8886905657803027</v>
      </c>
      <c r="O60" s="89">
        <f t="shared" si="6"/>
        <v>0.8886905657803027</v>
      </c>
      <c r="P60" s="4">
        <v>40374</v>
      </c>
      <c r="Q60" s="4">
        <v>0.96127748661561918</v>
      </c>
      <c r="R60" s="4">
        <v>27768</v>
      </c>
      <c r="S60" s="100">
        <f t="shared" si="11"/>
        <v>20683.023109756821</v>
      </c>
      <c r="T60" s="101">
        <f t="shared" si="14"/>
        <v>7084.9768902431788</v>
      </c>
      <c r="U60" s="49">
        <v>40722</v>
      </c>
      <c r="V60" s="95"/>
      <c r="W60" s="95"/>
      <c r="X60" s="95"/>
      <c r="Y60" s="95"/>
      <c r="Z60" s="95"/>
      <c r="AE60" s="93">
        <f t="shared" si="12"/>
        <v>42931.5</v>
      </c>
      <c r="AF60" s="92">
        <f>Logistic2010!Q60</f>
        <v>0.6719221112063114</v>
      </c>
      <c r="AG60" s="4">
        <f t="shared" si="10"/>
        <v>0.96127748661561918</v>
      </c>
      <c r="AH60" s="92">
        <f>Logistic2011!Q60</f>
        <v>0.74879103833236005</v>
      </c>
      <c r="AI60" s="92">
        <f>Logistic2012!Q60</f>
        <v>0.96127748661561918</v>
      </c>
      <c r="AJ60" s="92">
        <f>Logistic2013!L60</f>
        <v>0.79817638699971571</v>
      </c>
      <c r="AK60" s="119">
        <f>Logistic2014!AK60</f>
        <v>0.80037172674720769</v>
      </c>
      <c r="AL60" s="119">
        <f t="shared" si="13"/>
        <v>0.7286541485991439</v>
      </c>
      <c r="AM60" s="113"/>
      <c r="AO60" s="113"/>
      <c r="AP60" s="113"/>
      <c r="AQ60" s="113"/>
      <c r="AR60" s="111" t="s">
        <v>45</v>
      </c>
      <c r="AS60" s="111">
        <v>3.4619470909090904</v>
      </c>
      <c r="AT60" s="111">
        <v>21</v>
      </c>
      <c r="AU60" s="111"/>
      <c r="AV60" s="111"/>
      <c r="AW60" s="111"/>
      <c r="AX60" s="111"/>
    </row>
    <row r="61" spans="1:50" ht="16.5" thickBot="1" x14ac:dyDescent="0.3">
      <c r="A61" s="120">
        <v>0.05</v>
      </c>
      <c r="B61" s="134">
        <v>42923</v>
      </c>
      <c r="C61" s="121">
        <f t="shared" si="0"/>
        <v>399.99999999999994</v>
      </c>
      <c r="D61" s="86">
        <f t="shared" si="1"/>
        <v>43.5</v>
      </c>
      <c r="E61" s="81">
        <v>0.37352882179000002</v>
      </c>
      <c r="F61" s="50">
        <f t="shared" si="2"/>
        <v>0.3863848044582861</v>
      </c>
      <c r="G61" s="16">
        <f t="shared" si="3"/>
        <v>-1.2855982668286081E-2</v>
      </c>
      <c r="H61" s="51">
        <f t="shared" si="4"/>
        <v>6.611051614690884E-2</v>
      </c>
      <c r="I61" s="54"/>
      <c r="J61" s="105">
        <f t="shared" si="7"/>
        <v>42932.5</v>
      </c>
      <c r="K61" s="109">
        <v>53</v>
      </c>
      <c r="L61" s="125">
        <f t="shared" si="5"/>
        <v>0.76104789042108234</v>
      </c>
      <c r="M61" s="46">
        <f t="shared" si="8"/>
        <v>0.91231509064301375</v>
      </c>
      <c r="N61" s="130">
        <v>0.91231509064301375</v>
      </c>
      <c r="O61" s="89">
        <f t="shared" si="6"/>
        <v>0.91231509064301375</v>
      </c>
      <c r="P61" s="4">
        <v>40375</v>
      </c>
      <c r="Q61" s="4">
        <v>0.97064434164342128</v>
      </c>
      <c r="R61" s="4">
        <v>21508</v>
      </c>
      <c r="S61" s="100">
        <f t="shared" si="11"/>
        <v>16687.338909551199</v>
      </c>
      <c r="T61" s="101">
        <f t="shared" si="14"/>
        <v>4820.6610904488007</v>
      </c>
      <c r="U61" s="49">
        <v>40723</v>
      </c>
      <c r="V61" s="95"/>
      <c r="W61" s="95"/>
      <c r="X61" s="95"/>
      <c r="Y61" s="95"/>
      <c r="Z61" s="95"/>
      <c r="AC61" s="93">
        <v>37783</v>
      </c>
      <c r="AD61" s="95">
        <v>2.4E-2</v>
      </c>
      <c r="AE61" s="93">
        <f t="shared" si="12"/>
        <v>42932.5</v>
      </c>
      <c r="AF61" s="92">
        <f>Logistic2010!Q61</f>
        <v>0.71438108258813315</v>
      </c>
      <c r="AG61" s="4">
        <f t="shared" si="10"/>
        <v>0.97064434164342128</v>
      </c>
      <c r="AH61" s="92">
        <f>Logistic2011!Q61</f>
        <v>0.79312907861690396</v>
      </c>
      <c r="AI61" s="92">
        <f>Logistic2012!Q61</f>
        <v>0.97064434164342128</v>
      </c>
      <c r="AJ61" s="92">
        <f>Logistic2013!L61</f>
        <v>0.82816108437109193</v>
      </c>
      <c r="AK61" s="119">
        <f>Logistic2014!AK61</f>
        <v>0.82917030340634412</v>
      </c>
      <c r="AL61" s="119">
        <f t="shared" si="13"/>
        <v>0.76104789042108234</v>
      </c>
      <c r="AM61" s="113"/>
      <c r="AN61" s="113"/>
      <c r="AO61" s="113"/>
      <c r="AP61" s="113"/>
      <c r="AQ61" s="113"/>
      <c r="AR61" s="113"/>
      <c r="AS61" s="113"/>
      <c r="AT61" s="114"/>
      <c r="AU61" s="114"/>
    </row>
    <row r="62" spans="1:50" ht="16.5" thickBot="1" x14ac:dyDescent="0.3">
      <c r="A62" s="120">
        <v>0.05</v>
      </c>
      <c r="B62" s="134">
        <v>42928</v>
      </c>
      <c r="C62" s="121">
        <f t="shared" si="0"/>
        <v>399.99999999999994</v>
      </c>
      <c r="D62" s="86">
        <f t="shared" si="1"/>
        <v>48.5</v>
      </c>
      <c r="E62" s="81">
        <v>0.57831060958000002</v>
      </c>
      <c r="F62" s="50">
        <f t="shared" si="2"/>
        <v>0.59642868929733894</v>
      </c>
      <c r="G62" s="16">
        <f t="shared" si="3"/>
        <v>-1.811807971733892E-2</v>
      </c>
      <c r="H62" s="51">
        <f t="shared" si="4"/>
        <v>0.13130592505753916</v>
      </c>
      <c r="I62" s="54"/>
      <c r="J62" s="105">
        <f t="shared" si="7"/>
        <v>42933.5</v>
      </c>
      <c r="K62" s="109">
        <v>54</v>
      </c>
      <c r="L62" s="125">
        <f t="shared" si="5"/>
        <v>0.79068531671590836</v>
      </c>
      <c r="M62" s="46">
        <f t="shared" si="8"/>
        <v>0.93131304287865924</v>
      </c>
      <c r="N62" s="130">
        <v>0.93131304287865924</v>
      </c>
      <c r="O62" s="89">
        <f t="shared" si="6"/>
        <v>0.93131304287865924</v>
      </c>
      <c r="P62" s="4">
        <v>40376</v>
      </c>
      <c r="Q62" s="4">
        <v>0.97779771637475388</v>
      </c>
      <c r="R62" s="4">
        <v>9686</v>
      </c>
      <c r="S62" s="100">
        <f t="shared" si="11"/>
        <v>7788.5778194650638</v>
      </c>
      <c r="T62" s="101">
        <f t="shared" si="14"/>
        <v>1897.4221805349362</v>
      </c>
      <c r="U62" s="49">
        <v>40724</v>
      </c>
      <c r="V62" s="95"/>
      <c r="W62" s="95"/>
      <c r="X62" s="95"/>
      <c r="Y62" s="95"/>
      <c r="Z62" s="95"/>
      <c r="AC62" s="93">
        <v>37810</v>
      </c>
      <c r="AD62" s="95">
        <v>0.90100000000000002</v>
      </c>
      <c r="AE62" s="93">
        <f t="shared" si="12"/>
        <v>42933.5</v>
      </c>
      <c r="AF62" s="92">
        <f>Logistic2010!Q62</f>
        <v>0.75336211213144844</v>
      </c>
      <c r="AG62" s="4">
        <f t="shared" si="10"/>
        <v>0.97779771637475388</v>
      </c>
      <c r="AH62" s="92">
        <f>Logistic2011!Q62</f>
        <v>0.83140351438424964</v>
      </c>
      <c r="AI62" s="92">
        <f>Logistic2012!Q62</f>
        <v>0.97779771637475388</v>
      </c>
      <c r="AJ62" s="92">
        <f>Logistic2013!L62</f>
        <v>0.85450303975835906</v>
      </c>
      <c r="AK62" s="119">
        <f>Logistic2014!AK62</f>
        <v>0.85456925965431629</v>
      </c>
      <c r="AL62" s="119">
        <f t="shared" si="13"/>
        <v>0.79068531671590836</v>
      </c>
      <c r="AM62" s="113"/>
      <c r="AN62" s="113"/>
      <c r="AP62" s="113"/>
      <c r="AQ62" s="113"/>
      <c r="AR62" s="113"/>
      <c r="AS62" s="113"/>
      <c r="AT62" s="114"/>
      <c r="AU62" s="114"/>
    </row>
    <row r="63" spans="1:50" ht="16.5" thickBot="1" x14ac:dyDescent="0.3">
      <c r="A63" s="120">
        <v>0.05</v>
      </c>
      <c r="B63" s="134">
        <v>42933</v>
      </c>
      <c r="C63" s="121">
        <f t="shared" si="0"/>
        <v>399.99999999999994</v>
      </c>
      <c r="D63" s="86">
        <f t="shared" si="1"/>
        <v>53.5</v>
      </c>
      <c r="E63" s="81">
        <v>0.80114727205000003</v>
      </c>
      <c r="F63" s="50">
        <f t="shared" si="2"/>
        <v>0.77621559603684442</v>
      </c>
      <c r="G63" s="16">
        <f t="shared" si="3"/>
        <v>2.4931676013155601E-2</v>
      </c>
      <c r="H63" s="51">
        <f t="shared" si="4"/>
        <v>0.24863538752998332</v>
      </c>
      <c r="I63" s="54"/>
      <c r="J63" s="105">
        <f t="shared" si="7"/>
        <v>42934.5</v>
      </c>
      <c r="K63" s="109">
        <v>55</v>
      </c>
      <c r="L63" s="125">
        <f t="shared" si="5"/>
        <v>0.81752815003302082</v>
      </c>
      <c r="M63" s="46">
        <f t="shared" si="8"/>
        <v>0.94643653282667362</v>
      </c>
      <c r="N63" s="130">
        <v>0.94643653282667362</v>
      </c>
      <c r="O63" s="89">
        <f t="shared" si="6"/>
        <v>0.94643653282667362</v>
      </c>
      <c r="P63" s="4">
        <v>40377</v>
      </c>
      <c r="Q63" s="4">
        <v>0.98323806162233796</v>
      </c>
      <c r="R63" s="4">
        <v>3970</v>
      </c>
      <c r="S63" s="100">
        <f t="shared" si="11"/>
        <v>3293.4054183146591</v>
      </c>
      <c r="T63" s="101">
        <f t="shared" si="14"/>
        <v>676.59458168534093</v>
      </c>
      <c r="U63" s="40">
        <v>40725</v>
      </c>
      <c r="V63" s="95">
        <v>0.35599999999999998</v>
      </c>
      <c r="W63" s="95"/>
      <c r="X63" s="95"/>
      <c r="Y63" s="95"/>
      <c r="Z63" s="95"/>
      <c r="AC63" s="93">
        <v>37813</v>
      </c>
      <c r="AD63" s="95">
        <v>0.77500000000000002</v>
      </c>
      <c r="AE63" s="93">
        <f t="shared" si="12"/>
        <v>42934.5</v>
      </c>
      <c r="AF63" s="92">
        <f>Logistic2010!Q63</f>
        <v>0.78859738904460508</v>
      </c>
      <c r="AG63" s="4">
        <f t="shared" si="10"/>
        <v>0.98323806162233796</v>
      </c>
      <c r="AH63" s="92">
        <f>Logistic2011!Q63</f>
        <v>0.86381250435994517</v>
      </c>
      <c r="AI63" s="92">
        <f>Logistic2012!Q63</f>
        <v>0.98323806162233796</v>
      </c>
      <c r="AJ63" s="92">
        <f>Logistic2013!L63</f>
        <v>0.87740468827985718</v>
      </c>
      <c r="AK63" s="119">
        <f>Logistic2014!AK63</f>
        <v>0.87675320628420728</v>
      </c>
      <c r="AL63" s="119">
        <f t="shared" si="13"/>
        <v>0.81752815003302082</v>
      </c>
      <c r="AM63" s="115"/>
      <c r="AN63" s="115"/>
      <c r="AO63" s="115"/>
      <c r="AP63" s="115"/>
      <c r="AQ63" s="115"/>
      <c r="AR63" t="s">
        <v>28</v>
      </c>
      <c r="AS63"/>
      <c r="AT63"/>
      <c r="AU63"/>
      <c r="AV63"/>
      <c r="AW63"/>
      <c r="AX63"/>
    </row>
    <row r="64" spans="1:50" ht="16.5" thickBot="1" x14ac:dyDescent="0.3">
      <c r="A64" s="120">
        <v>0.05</v>
      </c>
      <c r="B64" s="134">
        <v>42942</v>
      </c>
      <c r="C64" s="121">
        <f t="shared" si="0"/>
        <v>399.99999999999994</v>
      </c>
      <c r="D64" s="87">
        <f t="shared" si="1"/>
        <v>62.5</v>
      </c>
      <c r="E64" s="82">
        <v>0.86473196691999998</v>
      </c>
      <c r="F64" s="50">
        <f t="shared" si="2"/>
        <v>0.94155246213863542</v>
      </c>
      <c r="G64" s="16">
        <f t="shared" si="3"/>
        <v>-7.6820495218635432E-2</v>
      </c>
      <c r="H64" s="51">
        <f t="shared" si="4"/>
        <v>2.3605553942545554</v>
      </c>
      <c r="I64" s="54"/>
      <c r="J64" s="105">
        <f t="shared" si="7"/>
        <v>42935.5</v>
      </c>
      <c r="K64" s="109">
        <v>56</v>
      </c>
      <c r="L64" s="125">
        <f t="shared" si="5"/>
        <v>0.84161815642272686</v>
      </c>
      <c r="M64" s="46">
        <f t="shared" si="8"/>
        <v>0.95837894884125729</v>
      </c>
      <c r="N64" s="131">
        <v>0.95837894884125729</v>
      </c>
      <c r="O64" s="89">
        <f t="shared" si="6"/>
        <v>0.95837894884125729</v>
      </c>
      <c r="P64" s="4">
        <v>40378</v>
      </c>
      <c r="Q64" s="4">
        <v>0.98736255895680802</v>
      </c>
      <c r="R64" s="4">
        <v>5509</v>
      </c>
      <c r="S64" s="100">
        <f t="shared" si="11"/>
        <v>4695.5374048466665</v>
      </c>
      <c r="T64" s="101">
        <f t="shared" si="14"/>
        <v>813.4625951533335</v>
      </c>
      <c r="U64" s="49">
        <v>40726</v>
      </c>
      <c r="V64" s="95"/>
      <c r="W64" s="95"/>
      <c r="X64" s="95"/>
      <c r="Y64" s="95"/>
      <c r="Z64" s="95"/>
      <c r="AC64" s="93">
        <v>37816</v>
      </c>
      <c r="AD64" s="95">
        <v>0.93</v>
      </c>
      <c r="AE64" s="93">
        <f t="shared" si="12"/>
        <v>42935.5</v>
      </c>
      <c r="AF64" s="92">
        <f>Logistic2010!Q64</f>
        <v>0.82000157910537541</v>
      </c>
      <c r="AG64" s="4">
        <f t="shared" si="10"/>
        <v>0.98736255895680802</v>
      </c>
      <c r="AH64" s="92">
        <f>Logistic2011!Q64</f>
        <v>0.89080976473363638</v>
      </c>
      <c r="AI64" s="92">
        <f>Logistic2012!Q64</f>
        <v>0.98736255895680802</v>
      </c>
      <c r="AJ64" s="92">
        <f>Logistic2013!L64</f>
        <v>0.8971354919418093</v>
      </c>
      <c r="AK64" s="119">
        <f>Logistic2014!AK64</f>
        <v>0.89596518054214846</v>
      </c>
      <c r="AL64" s="119">
        <f t="shared" si="13"/>
        <v>0.84161815642272686</v>
      </c>
      <c r="AM64" s="110"/>
      <c r="AN64" s="110"/>
      <c r="AO64" s="110"/>
      <c r="AP64" s="110"/>
      <c r="AQ64" s="110"/>
      <c r="AR64"/>
      <c r="AS64"/>
      <c r="AT64"/>
      <c r="AU64"/>
      <c r="AV64"/>
      <c r="AW64"/>
      <c r="AX64"/>
    </row>
    <row r="65" spans="1:50" ht="16.5" thickBot="1" x14ac:dyDescent="0.3">
      <c r="A65" s="120">
        <v>0.05</v>
      </c>
      <c r="B65" s="134">
        <v>42911</v>
      </c>
      <c r="C65" s="121">
        <f t="shared" si="0"/>
        <v>399.99999999999994</v>
      </c>
      <c r="D65" s="87">
        <f t="shared" si="1"/>
        <v>31.5</v>
      </c>
      <c r="E65" s="81">
        <v>1.4373661500000001E-2</v>
      </c>
      <c r="F65" s="50">
        <f t="shared" ref="F65:F70" si="15">IF(B65&lt;&gt;0,$G$3/(1+EXP(-$G$4*(D65-$G$5))),"")</f>
        <v>7.5155106806167798E-2</v>
      </c>
      <c r="G65" s="16">
        <f t="shared" ref="G65:G70" si="16">IF(B65&lt;&gt;0,E65-F65,"")</f>
        <v>-6.0781445306167796E-2</v>
      </c>
      <c r="H65" s="51">
        <f t="shared" ref="H65:H70" si="17">IF(B65&lt;&gt;0,C65*(G65)^2,"")</f>
        <v>1.4777536374026665</v>
      </c>
      <c r="I65" s="54"/>
      <c r="J65" s="105">
        <f t="shared" si="7"/>
        <v>42936.5</v>
      </c>
      <c r="K65" s="109">
        <v>57</v>
      </c>
      <c r="L65" s="125">
        <f t="shared" si="5"/>
        <v>0.86306051660202054</v>
      </c>
      <c r="M65" s="46">
        <f t="shared" si="8"/>
        <v>0.96774943709406713</v>
      </c>
      <c r="N65" s="130">
        <v>0.96774943709406713</v>
      </c>
      <c r="O65" s="89">
        <f t="shared" si="6"/>
        <v>0.96774943709406713</v>
      </c>
      <c r="P65" s="4">
        <v>40379</v>
      </c>
      <c r="Q65" s="4">
        <v>0.99048199337810516</v>
      </c>
      <c r="R65" s="4">
        <v>2314</v>
      </c>
      <c r="S65" s="100">
        <f t="shared" si="11"/>
        <v>2019.0430159904943</v>
      </c>
      <c r="T65" s="101">
        <f t="shared" si="14"/>
        <v>294.95698400950573</v>
      </c>
      <c r="U65" s="49">
        <v>40727</v>
      </c>
      <c r="V65" s="95"/>
      <c r="W65" s="95"/>
      <c r="X65" s="95"/>
      <c r="Y65" s="95"/>
      <c r="Z65" s="95"/>
      <c r="AC65" s="93">
        <v>37819</v>
      </c>
      <c r="AD65" s="95">
        <v>0.997</v>
      </c>
      <c r="AE65" s="93">
        <f t="shared" si="12"/>
        <v>42936.5</v>
      </c>
      <c r="AF65" s="92">
        <f>Logistic2010!Q65</f>
        <v>0.84764193896050799</v>
      </c>
      <c r="AG65" s="4">
        <f t="shared" si="10"/>
        <v>0.99048199337810516</v>
      </c>
      <c r="AH65" s="92">
        <f>Logistic2011!Q65</f>
        <v>0.91299424895614467</v>
      </c>
      <c r="AI65" s="92">
        <f>Logistic2012!Q65</f>
        <v>0.99048199337810516</v>
      </c>
      <c r="AJ65" s="92">
        <f>Logistic2013!L65</f>
        <v>0.91400201566045702</v>
      </c>
      <c r="AK65" s="119">
        <f>Logistic2014!AK65</f>
        <v>0.91248129649139764</v>
      </c>
      <c r="AL65" s="119">
        <f t="shared" si="13"/>
        <v>0.86306051660202054</v>
      </c>
      <c r="AM65" s="110"/>
      <c r="AN65" s="110"/>
      <c r="AO65" s="110"/>
      <c r="AP65" s="110"/>
      <c r="AQ65" s="110"/>
      <c r="AR65" t="s">
        <v>29</v>
      </c>
      <c r="AS65"/>
      <c r="AT65"/>
      <c r="AU65"/>
      <c r="AV65"/>
      <c r="AW65"/>
      <c r="AX65"/>
    </row>
    <row r="66" spans="1:50" ht="16.5" thickBot="1" x14ac:dyDescent="0.3">
      <c r="A66" s="120">
        <v>0.05</v>
      </c>
      <c r="B66" s="134">
        <v>42917</v>
      </c>
      <c r="C66" s="121">
        <f t="shared" si="0"/>
        <v>399.99999999999994</v>
      </c>
      <c r="D66" s="87">
        <f t="shared" si="1"/>
        <v>37.5</v>
      </c>
      <c r="E66" s="81">
        <v>0.14530426295000001</v>
      </c>
      <c r="F66" s="50">
        <f t="shared" si="15"/>
        <v>0.18447725960345621</v>
      </c>
      <c r="G66" s="16">
        <f t="shared" si="16"/>
        <v>-3.9172996653456194E-2</v>
      </c>
      <c r="H66" s="51">
        <f t="shared" si="17"/>
        <v>0.61380946672467596</v>
      </c>
      <c r="I66" s="68"/>
      <c r="J66" s="105">
        <f t="shared" si="7"/>
        <v>42937.5</v>
      </c>
      <c r="K66" s="109">
        <v>58</v>
      </c>
      <c r="L66" s="125">
        <f t="shared" si="5"/>
        <v>0.88200691294896838</v>
      </c>
      <c r="M66" s="46">
        <f t="shared" si="8"/>
        <v>0.97506515897383861</v>
      </c>
      <c r="N66" s="130">
        <v>0.97506515897383861</v>
      </c>
      <c r="O66" s="89">
        <f t="shared" si="6"/>
        <v>0.97506515897383861</v>
      </c>
      <c r="P66" s="4">
        <v>40380</v>
      </c>
      <c r="Q66" s="4">
        <v>0.99283701063466723</v>
      </c>
      <c r="R66" s="4">
        <v>2271</v>
      </c>
      <c r="S66" s="100">
        <f t="shared" si="11"/>
        <v>2021.9243655320736</v>
      </c>
      <c r="T66" s="101">
        <f t="shared" si="14"/>
        <v>249.07563446792642</v>
      </c>
      <c r="U66" s="49">
        <v>40728</v>
      </c>
      <c r="V66" s="95"/>
      <c r="W66" s="95"/>
      <c r="X66" s="95"/>
      <c r="Y66" s="95"/>
      <c r="Z66" s="95"/>
      <c r="AC66" s="93">
        <v>37823</v>
      </c>
      <c r="AD66" s="95">
        <v>0.99399999999999999</v>
      </c>
      <c r="AE66" s="93">
        <f t="shared" si="12"/>
        <v>42937.5</v>
      </c>
      <c r="AF66" s="92">
        <f>Logistic2010!Q66</f>
        <v>0.8717019610426997</v>
      </c>
      <c r="AG66" s="4">
        <f t="shared" si="10"/>
        <v>0.99283701063466723</v>
      </c>
      <c r="AH66" s="92">
        <f>Logistic2011!Q66</f>
        <v>0.93102046958550611</v>
      </c>
      <c r="AI66" s="92">
        <f>Logistic2012!Q66</f>
        <v>0.99283701063466723</v>
      </c>
      <c r="AJ66" s="92">
        <f>Logistic2013!L66</f>
        <v>0.92832391728718622</v>
      </c>
      <c r="AK66" s="119">
        <f>Logistic2014!AK66</f>
        <v>0.92659021810226538</v>
      </c>
      <c r="AL66" s="119">
        <f t="shared" si="13"/>
        <v>0.88200691294896838</v>
      </c>
      <c r="AM66" s="113"/>
      <c r="AN66" s="113"/>
      <c r="AO66" s="113"/>
      <c r="AP66" s="113"/>
      <c r="AQ66" s="113"/>
      <c r="AR66" s="112" t="s">
        <v>30</v>
      </c>
      <c r="AS66" s="112" t="s">
        <v>31</v>
      </c>
      <c r="AT66" s="112" t="s">
        <v>32</v>
      </c>
      <c r="AU66" s="112" t="s">
        <v>33</v>
      </c>
      <c r="AV66" s="112" t="s">
        <v>34</v>
      </c>
      <c r="AW66"/>
      <c r="AX66"/>
    </row>
    <row r="67" spans="1:50" ht="16.5" thickBot="1" x14ac:dyDescent="0.3">
      <c r="A67" s="120">
        <v>0.05</v>
      </c>
      <c r="B67" s="134">
        <v>42923</v>
      </c>
      <c r="C67" s="121">
        <f t="shared" si="0"/>
        <v>399.99999999999994</v>
      </c>
      <c r="D67" s="87">
        <f t="shared" si="1"/>
        <v>43.5</v>
      </c>
      <c r="E67" s="81">
        <v>0.28467891862</v>
      </c>
      <c r="F67" s="50">
        <f t="shared" si="15"/>
        <v>0.3863848044582861</v>
      </c>
      <c r="G67" s="16">
        <f t="shared" si="16"/>
        <v>-0.1017058858382861</v>
      </c>
      <c r="H67" s="51">
        <f t="shared" si="17"/>
        <v>4.1376348856601934</v>
      </c>
      <c r="I67" s="68"/>
      <c r="J67" s="105">
        <f t="shared" si="7"/>
        <v>42938.5</v>
      </c>
      <c r="K67" s="109">
        <v>59</v>
      </c>
      <c r="L67" s="125">
        <f t="shared" si="5"/>
        <v>0.89863982023647715</v>
      </c>
      <c r="M67" s="46">
        <f t="shared" si="8"/>
        <v>0.98075438398529091</v>
      </c>
      <c r="N67" s="131">
        <v>0.98075438398529091</v>
      </c>
      <c r="O67" s="89">
        <f t="shared" si="6"/>
        <v>0.98075438398529091</v>
      </c>
      <c r="P67" s="4">
        <v>40381</v>
      </c>
      <c r="Q67" s="4">
        <v>0.99461250113431077</v>
      </c>
      <c r="R67" s="4">
        <v>2019</v>
      </c>
      <c r="S67" s="100">
        <f t="shared" si="11"/>
        <v>1829.0108280131142</v>
      </c>
      <c r="T67" s="101">
        <f t="shared" si="14"/>
        <v>189.98917198688582</v>
      </c>
      <c r="U67" s="49">
        <v>40729</v>
      </c>
      <c r="V67" s="95">
        <v>0.51500000000000001</v>
      </c>
      <c r="W67" s="95"/>
      <c r="X67" s="95"/>
      <c r="Y67" s="95"/>
      <c r="Z67" s="95"/>
      <c r="AE67" s="93">
        <f t="shared" si="12"/>
        <v>42938.5</v>
      </c>
      <c r="AF67" s="92">
        <f>Logistic2010!Q67</f>
        <v>0.89244459206165738</v>
      </c>
      <c r="AG67" s="4">
        <f t="shared" si="10"/>
        <v>0.99461250113431077</v>
      </c>
      <c r="AH67" s="92">
        <f>Logistic2011!Q67</f>
        <v>0.94553474019587147</v>
      </c>
      <c r="AI67" s="92">
        <f>Logistic2012!Q67</f>
        <v>0.99461250113431077</v>
      </c>
      <c r="AJ67" s="92">
        <f>Logistic2013!L67</f>
        <v>0.94041617027076585</v>
      </c>
      <c r="AK67" s="119">
        <f>Logistic2014!AK67</f>
        <v>0.93857774011739092</v>
      </c>
      <c r="AL67" s="119">
        <f t="shared" si="13"/>
        <v>0.89863982023647715</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A68" s="120">
        <v>0.05</v>
      </c>
      <c r="B68" s="134">
        <v>42929</v>
      </c>
      <c r="C68" s="121">
        <f t="shared" si="0"/>
        <v>399.99999999999994</v>
      </c>
      <c r="D68" s="87">
        <f t="shared" si="1"/>
        <v>49.5</v>
      </c>
      <c r="E68" s="81">
        <v>0.68313881839000001</v>
      </c>
      <c r="F68" s="50">
        <f t="shared" si="15"/>
        <v>0.63673816117932536</v>
      </c>
      <c r="G68" s="16">
        <f t="shared" si="16"/>
        <v>4.6400657210674656E-2</v>
      </c>
      <c r="H68" s="51">
        <f t="shared" si="17"/>
        <v>0.86120839583301345</v>
      </c>
      <c r="I68" s="68"/>
      <c r="J68" s="105">
        <f t="shared" si="7"/>
        <v>42939.5</v>
      </c>
      <c r="K68" s="109">
        <v>60</v>
      </c>
      <c r="L68" s="125">
        <f t="shared" si="5"/>
        <v>0.91315891974679597</v>
      </c>
      <c r="M68" s="46">
        <f t="shared" si="8"/>
        <v>0.98516528350488675</v>
      </c>
      <c r="N68" s="131">
        <v>0.98516528350488675</v>
      </c>
      <c r="O68" s="89">
        <f t="shared" si="6"/>
        <v>0.98516528350488675</v>
      </c>
      <c r="P68" s="4">
        <v>40382</v>
      </c>
      <c r="Q68" s="4">
        <v>0.99594969608518535</v>
      </c>
      <c r="R68" s="4">
        <v>2115</v>
      </c>
      <c r="S68" s="100">
        <f t="shared" si="11"/>
        <v>1944.6673941168244</v>
      </c>
      <c r="T68" s="101">
        <f t="shared" si="14"/>
        <v>170.33260588317557</v>
      </c>
      <c r="U68" s="49">
        <v>40730</v>
      </c>
      <c r="V68" s="95"/>
      <c r="W68" s="95"/>
      <c r="X68" s="95"/>
      <c r="Y68" s="95"/>
      <c r="Z68" s="95"/>
      <c r="AE68" s="93">
        <f t="shared" si="12"/>
        <v>42939.5</v>
      </c>
      <c r="AF68" s="92">
        <f>Logistic2010!Q68</f>
        <v>0.91017920532930874</v>
      </c>
      <c r="AG68" s="4">
        <f t="shared" si="10"/>
        <v>0.99594969608518535</v>
      </c>
      <c r="AH68" s="92">
        <f>Logistic2011!Q68</f>
        <v>0.95713560982756274</v>
      </c>
      <c r="AI68" s="92">
        <f>Logistic2012!Q68</f>
        <v>0.99594969608518535</v>
      </c>
      <c r="AJ68" s="92">
        <f>Logistic2013!L68</f>
        <v>0.95057698620331765</v>
      </c>
      <c r="AK68" s="119">
        <f>Logistic2014!AK68</f>
        <v>0.94871609038627402</v>
      </c>
      <c r="AL68" s="119">
        <f t="shared" si="13"/>
        <v>0.91315891974679597</v>
      </c>
      <c r="AM68" s="113"/>
      <c r="AN68" s="113"/>
      <c r="AO68" s="113"/>
      <c r="AP68" s="113"/>
      <c r="AQ68" s="113"/>
      <c r="AR68" s="111">
        <v>2012</v>
      </c>
      <c r="AS68" s="111">
        <v>11</v>
      </c>
      <c r="AT68" s="111">
        <v>6.5350000000000001</v>
      </c>
      <c r="AU68" s="111">
        <v>0.59409090909090911</v>
      </c>
      <c r="AV68" s="111">
        <v>0.17708689090909088</v>
      </c>
      <c r="AW68"/>
      <c r="AX68"/>
    </row>
    <row r="69" spans="1:50" ht="16.5" thickBot="1" x14ac:dyDescent="0.3">
      <c r="A69" s="120">
        <v>0.05</v>
      </c>
      <c r="B69" s="134">
        <v>42934</v>
      </c>
      <c r="C69" s="121">
        <f t="shared" si="0"/>
        <v>399.99999999999994</v>
      </c>
      <c r="D69" s="87">
        <f t="shared" si="1"/>
        <v>54.5</v>
      </c>
      <c r="E69" s="81">
        <v>0.58347815381000001</v>
      </c>
      <c r="F69" s="50">
        <f t="shared" si="15"/>
        <v>0.80445513408141267</v>
      </c>
      <c r="G69" s="16">
        <f t="shared" si="16"/>
        <v>-0.22097698027141266</v>
      </c>
      <c r="H69" s="51">
        <f t="shared" si="17"/>
        <v>19.532330323948919</v>
      </c>
      <c r="I69" s="53"/>
      <c r="J69" s="105">
        <f t="shared" si="7"/>
        <v>42940.5</v>
      </c>
      <c r="K69" s="109">
        <v>61</v>
      </c>
      <c r="L69" s="125">
        <f t="shared" si="5"/>
        <v>0.92577005814145419</v>
      </c>
      <c r="M69" s="46">
        <f t="shared" si="8"/>
        <v>0.9885770241743157</v>
      </c>
      <c r="N69" s="131">
        <v>0.9885770241743157</v>
      </c>
      <c r="O69" s="89">
        <f t="shared" si="6"/>
        <v>0.9885770241743157</v>
      </c>
      <c r="P69" s="4">
        <v>40383</v>
      </c>
      <c r="Q69" s="4">
        <v>0.99695601060889649</v>
      </c>
      <c r="R69" s="4">
        <v>2946</v>
      </c>
      <c r="S69" s="100">
        <f t="shared" si="11"/>
        <v>2743.3842143190905</v>
      </c>
      <c r="T69" s="101">
        <f t="shared" si="14"/>
        <v>202.61578568090954</v>
      </c>
      <c r="U69" s="49">
        <v>40731</v>
      </c>
      <c r="V69" s="95"/>
      <c r="W69" s="95"/>
      <c r="X69" s="95"/>
      <c r="Y69" s="95"/>
      <c r="Z69" s="95"/>
      <c r="AE69" s="93">
        <f t="shared" si="12"/>
        <v>42940.5</v>
      </c>
      <c r="AF69" s="92">
        <f>Logistic2010!Q69</f>
        <v>0.92523457092805417</v>
      </c>
      <c r="AG69" s="4">
        <f t="shared" si="10"/>
        <v>0.99695601060889649</v>
      </c>
      <c r="AH69" s="92">
        <f>Logistic2011!Q69</f>
        <v>0.96635347078003297</v>
      </c>
      <c r="AI69" s="92">
        <f>Logistic2012!Q69</f>
        <v>0.99695601060889649</v>
      </c>
      <c r="AJ69" s="92">
        <f>Logistic2013!L69</f>
        <v>0.95908047510394157</v>
      </c>
      <c r="AK69" s="119">
        <f>Logistic2014!AK69</f>
        <v>0.95725721401262687</v>
      </c>
      <c r="AL69" s="119">
        <f t="shared" si="13"/>
        <v>0.92577005814145419</v>
      </c>
      <c r="AM69" s="115"/>
      <c r="AN69" s="115"/>
      <c r="AO69" s="115"/>
      <c r="AP69" s="115"/>
      <c r="AQ69" s="115"/>
      <c r="AR69"/>
      <c r="AS69"/>
      <c r="AT69"/>
      <c r="AU69"/>
      <c r="AV69"/>
      <c r="AW69"/>
      <c r="AX69"/>
    </row>
    <row r="70" spans="1:50" ht="16.5" thickBot="1" x14ac:dyDescent="0.3">
      <c r="A70" s="120">
        <v>0.05</v>
      </c>
      <c r="B70" s="134">
        <v>42939</v>
      </c>
      <c r="C70" s="121">
        <f t="shared" si="0"/>
        <v>399.99999999999994</v>
      </c>
      <c r="D70" s="87">
        <f t="shared" si="1"/>
        <v>59.5</v>
      </c>
      <c r="E70" s="81">
        <v>0.57123000782</v>
      </c>
      <c r="F70" s="50">
        <f t="shared" si="15"/>
        <v>0.90615076365513203</v>
      </c>
      <c r="G70" s="16">
        <f t="shared" si="16"/>
        <v>-0.33492075583513203</v>
      </c>
      <c r="H70" s="51">
        <f t="shared" si="17"/>
        <v>44.868765075670446</v>
      </c>
      <c r="I70" s="53"/>
      <c r="J70" s="105">
        <f t="shared" si="7"/>
        <v>42941.5</v>
      </c>
      <c r="K70" s="109">
        <v>62</v>
      </c>
      <c r="L70" s="125">
        <f t="shared" si="5"/>
        <v>0.93667679475677423</v>
      </c>
      <c r="M70" s="46">
        <f t="shared" si="8"/>
        <v>0.99121112062050309</v>
      </c>
      <c r="N70" s="131">
        <v>0.99121112062050309</v>
      </c>
      <c r="O70" s="89">
        <f t="shared" si="6"/>
        <v>0.99121112062050309</v>
      </c>
      <c r="P70" s="4">
        <v>40384</v>
      </c>
      <c r="Q70" s="4">
        <v>0.99771287634461936</v>
      </c>
      <c r="R70" s="4">
        <v>2623</v>
      </c>
      <c r="S70" s="100">
        <f t="shared" si="11"/>
        <v>2469.2281038247315</v>
      </c>
      <c r="T70" s="101">
        <f t="shared" si="14"/>
        <v>153.77189617526847</v>
      </c>
      <c r="U70" s="49">
        <v>40732</v>
      </c>
      <c r="AE70" s="93">
        <f t="shared" si="12"/>
        <v>42941.5</v>
      </c>
      <c r="AF70" s="92">
        <f>Logistic2010!Q70</f>
        <v>0.93793849093008874</v>
      </c>
      <c r="AG70" s="4">
        <f t="shared" si="10"/>
        <v>0.99771287634461936</v>
      </c>
      <c r="AH70" s="92">
        <f>Logistic2011!Q70</f>
        <v>0.97364364314605079</v>
      </c>
      <c r="AI70" s="92">
        <f>Logistic2012!Q70</f>
        <v>0.99771287634461936</v>
      </c>
      <c r="AJ70" s="92">
        <f>Logistic2013!L70</f>
        <v>0.96617295862288388</v>
      </c>
      <c r="AK70" s="119">
        <f>Logistic2014!AK70</f>
        <v>0.9644291830100955</v>
      </c>
      <c r="AL70" s="119">
        <f t="shared" si="13"/>
        <v>0.93667679475677423</v>
      </c>
      <c r="AM70" s="110"/>
      <c r="AN70" s="110"/>
      <c r="AO70" s="110"/>
      <c r="AP70" s="110"/>
      <c r="AQ70" s="110"/>
      <c r="AR70"/>
      <c r="AS70"/>
      <c r="AT70"/>
      <c r="AU70"/>
      <c r="AV70"/>
      <c r="AW70"/>
      <c r="AX70"/>
    </row>
    <row r="71" spans="1:50" ht="16.5" thickBot="1" x14ac:dyDescent="0.3">
      <c r="B71" s="63"/>
      <c r="C71" s="64"/>
      <c r="D71" s="65"/>
      <c r="E71" s="81"/>
      <c r="F71" s="64"/>
      <c r="G71" s="64"/>
      <c r="H71" s="64"/>
      <c r="I71" s="53"/>
      <c r="J71" s="105">
        <f t="shared" si="7"/>
        <v>42942.5</v>
      </c>
      <c r="K71" s="109">
        <v>63</v>
      </c>
      <c r="L71" s="125">
        <f t="shared" si="5"/>
        <v>0.94607433282594156</v>
      </c>
      <c r="M71" s="46">
        <f t="shared" si="8"/>
        <v>0.99324195641616453</v>
      </c>
      <c r="N71" s="131">
        <v>0.99324195641616453</v>
      </c>
      <c r="O71" s="89">
        <f t="shared" si="6"/>
        <v>0.99324195641616453</v>
      </c>
      <c r="P71" s="4">
        <v>40385</v>
      </c>
      <c r="Q71" s="4">
        <v>0.99828187726084372</v>
      </c>
      <c r="U71" s="40">
        <v>40733</v>
      </c>
      <c r="V71" s="95"/>
      <c r="W71" s="95"/>
      <c r="X71" s="95"/>
      <c r="Y71" s="95"/>
      <c r="Z71" s="95"/>
      <c r="AE71" s="93">
        <f t="shared" si="12"/>
        <v>42942.5</v>
      </c>
      <c r="AF71" s="92">
        <f>Logistic2010!Q71</f>
        <v>0.94860370829645768</v>
      </c>
      <c r="AG71" s="4">
        <f t="shared" si="10"/>
        <v>0.99828187726084372</v>
      </c>
      <c r="AH71" s="92">
        <f>Logistic2011!Q71</f>
        <v>0.97938794995342149</v>
      </c>
      <c r="AI71" s="92">
        <f>Logistic2012!Q71</f>
        <v>0.99828187726084372</v>
      </c>
      <c r="AJ71" s="92">
        <f>Logistic2013!L71</f>
        <v>0.97207191636988943</v>
      </c>
      <c r="AK71" s="119">
        <f>Logistic2014!AK71</f>
        <v>0.97043490859995651</v>
      </c>
      <c r="AL71" s="119">
        <f t="shared" si="13"/>
        <v>0.94607433282594156</v>
      </c>
      <c r="AM71" s="110"/>
      <c r="AN71" s="110"/>
      <c r="AO71" s="110"/>
      <c r="AP71" s="110"/>
      <c r="AQ71" s="110"/>
      <c r="AR71" t="s">
        <v>35</v>
      </c>
      <c r="AS71"/>
      <c r="AT71"/>
      <c r="AU71"/>
      <c r="AV71"/>
      <c r="AW71"/>
      <c r="AX71"/>
    </row>
    <row r="72" spans="1:50" x14ac:dyDescent="0.25">
      <c r="B72" s="63"/>
      <c r="C72" s="64"/>
      <c r="D72" s="65"/>
      <c r="E72" s="81"/>
      <c r="F72" s="64"/>
      <c r="G72" s="64"/>
      <c r="H72" s="64"/>
      <c r="I72" s="53"/>
      <c r="J72" s="105">
        <f t="shared" si="7"/>
        <v>42943.5</v>
      </c>
      <c r="K72" s="109">
        <v>64</v>
      </c>
      <c r="L72" s="125">
        <f t="shared" si="5"/>
        <v>0.95414549502641322</v>
      </c>
      <c r="M72" s="46">
        <f t="shared" si="8"/>
        <v>0.99480598839313295</v>
      </c>
      <c r="N72" s="131">
        <v>0.99480598839313295</v>
      </c>
      <c r="O72" s="89">
        <f t="shared" si="6"/>
        <v>0.99480598839313295</v>
      </c>
      <c r="P72" s="4">
        <v>40386</v>
      </c>
      <c r="Q72" s="4">
        <v>0.99870950266811021</v>
      </c>
      <c r="U72" s="49">
        <v>40734</v>
      </c>
      <c r="V72" s="95"/>
      <c r="W72" s="95"/>
      <c r="X72" s="95"/>
      <c r="Y72" s="95"/>
      <c r="Z72" s="95"/>
      <c r="AE72" s="93">
        <f t="shared" si="12"/>
        <v>42943.5</v>
      </c>
      <c r="AF72" s="92">
        <f>Logistic2010!Q72</f>
        <v>0.95751912825764318</v>
      </c>
      <c r="AG72" s="4">
        <f t="shared" si="10"/>
        <v>0.99870950266811021</v>
      </c>
      <c r="AH72" s="92">
        <f>Logistic2011!Q72</f>
        <v>0.98390099930162234</v>
      </c>
      <c r="AI72" s="92">
        <f>Logistic2012!Q72</f>
        <v>0.99870950266811021</v>
      </c>
      <c r="AJ72" s="92">
        <f>Logistic2013!L72</f>
        <v>0.97696670309022537</v>
      </c>
      <c r="AK72" s="119">
        <f>Logistic2014!AK72</f>
        <v>0.97545244534588094</v>
      </c>
      <c r="AL72" s="119">
        <f t="shared" si="13"/>
        <v>0.95414549502641322</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81"/>
      <c r="F73" s="64"/>
      <c r="G73" s="64"/>
      <c r="H73" s="64"/>
      <c r="I73" s="53"/>
      <c r="J73" s="105">
        <f t="shared" si="7"/>
        <v>42944.5</v>
      </c>
      <c r="K73" s="109">
        <v>65</v>
      </c>
      <c r="L73" s="125">
        <f t="shared" ref="L73:L104" si="18">$G$3/(1+EXP(-$G$4*(K73-$G$5)))</f>
        <v>0.96105835423148434</v>
      </c>
      <c r="M73" s="46">
        <f t="shared" si="8"/>
        <v>0.99600950655454856</v>
      </c>
      <c r="N73" s="132">
        <v>0.99600950655454856</v>
      </c>
      <c r="O73" s="89">
        <f t="shared" ref="O73:O104" si="19">IF(N73=M73,N73,M73)</f>
        <v>0.99600950655454856</v>
      </c>
      <c r="P73" s="4">
        <v>40387</v>
      </c>
      <c r="Q73" s="4">
        <v>0.99903079926177196</v>
      </c>
      <c r="U73" s="49">
        <v>40735</v>
      </c>
      <c r="AE73" s="93">
        <f t="shared" si="12"/>
        <v>42944.5</v>
      </c>
      <c r="AF73" s="92">
        <f>Logistic2010!Q73</f>
        <v>0.96494519123476252</v>
      </c>
      <c r="AG73" s="4">
        <f t="shared" si="10"/>
        <v>0.99903079926177196</v>
      </c>
      <c r="AH73" s="92">
        <f>Logistic2011!Q73</f>
        <v>0.98743858120527517</v>
      </c>
      <c r="AI73" s="92">
        <f>Logistic2012!Q73</f>
        <v>0.99903079926177196</v>
      </c>
      <c r="AJ73" s="92">
        <f>Logistic2013!L73</f>
        <v>0.98102036011876015</v>
      </c>
      <c r="AK73" s="119">
        <f>Logistic2014!AK73</f>
        <v>0.97963631693234787</v>
      </c>
      <c r="AL73" s="119">
        <f t="shared" si="13"/>
        <v>0.96105835423148434</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81"/>
      <c r="F74" s="64"/>
      <c r="G74" s="64"/>
      <c r="H74" s="64"/>
      <c r="I74" s="53"/>
      <c r="J74" s="105">
        <f t="shared" ref="J74:J107" si="20">J73+1</f>
        <v>42945.5</v>
      </c>
      <c r="K74" s="109">
        <v>66</v>
      </c>
      <c r="L74" s="125">
        <f t="shared" si="18"/>
        <v>0.96696513786173244</v>
      </c>
      <c r="M74" s="46">
        <f t="shared" ref="M74:M107" si="21">IF(J75&gt;MAX($B$9:$B$64),L74,N74)</f>
        <v>0.96696513786173244</v>
      </c>
      <c r="N74" s="132">
        <v>0.99693501353750869</v>
      </c>
      <c r="O74" s="89">
        <f t="shared" si="19"/>
        <v>0.96696513786173244</v>
      </c>
      <c r="P74" s="4">
        <v>40388</v>
      </c>
      <c r="Q74" s="4">
        <v>0.99927216057350388</v>
      </c>
      <c r="U74" s="49">
        <v>40736</v>
      </c>
      <c r="V74" s="95"/>
      <c r="W74" s="95"/>
      <c r="X74" s="95"/>
      <c r="Y74" s="95"/>
      <c r="Z74" s="95"/>
      <c r="AE74" s="93">
        <f t="shared" si="12"/>
        <v>42945.5</v>
      </c>
      <c r="AF74" s="92">
        <f>Logistic2010!Q74</f>
        <v>0.97111227157250635</v>
      </c>
      <c r="AG74" s="4">
        <f t="shared" si="10"/>
        <v>0.99927216057350388</v>
      </c>
      <c r="AH74" s="92">
        <f>Logistic2011!Q74</f>
        <v>0.9902065550659539</v>
      </c>
      <c r="AI74" s="92">
        <f>Logistic2012!Q74</f>
        <v>0.99927216057350388</v>
      </c>
      <c r="AJ74" s="92">
        <f>Logistic2013!L74</f>
        <v>0.98437202125506518</v>
      </c>
      <c r="AK74" s="119">
        <f>Logistic2014!AK74</f>
        <v>0.98311943217332176</v>
      </c>
      <c r="AL74" s="119">
        <f t="shared" si="13"/>
        <v>0.96696513786173244</v>
      </c>
      <c r="AR74" s="110" t="s">
        <v>44</v>
      </c>
      <c r="AS74" s="110">
        <v>3.1037165454545459</v>
      </c>
      <c r="AT74" s="110">
        <v>20</v>
      </c>
      <c r="AU74" s="110">
        <v>0.15518582727272728</v>
      </c>
      <c r="AV74" s="110"/>
      <c r="AW74" s="110"/>
      <c r="AX74" s="110"/>
    </row>
    <row r="75" spans="1:50" ht="16.5" thickBot="1" x14ac:dyDescent="0.3">
      <c r="B75" s="63"/>
      <c r="C75" s="64"/>
      <c r="D75" s="65"/>
      <c r="E75" s="82"/>
      <c r="F75" s="64"/>
      <c r="G75" s="64"/>
      <c r="H75" s="64"/>
      <c r="I75" s="53"/>
      <c r="J75" s="105">
        <f t="shared" si="20"/>
        <v>42946.5</v>
      </c>
      <c r="K75" s="109">
        <v>67</v>
      </c>
      <c r="L75" s="125">
        <f t="shared" si="18"/>
        <v>0.97200206455400118</v>
      </c>
      <c r="M75" s="46">
        <f t="shared" si="21"/>
        <v>0.97200206455400118</v>
      </c>
      <c r="N75" s="132">
        <v>0.99764637681040835</v>
      </c>
      <c r="O75" s="89">
        <f t="shared" si="19"/>
        <v>0.97200206455400118</v>
      </c>
      <c r="P75" s="4">
        <v>40389</v>
      </c>
      <c r="Q75" s="4">
        <v>0.99945344824920912</v>
      </c>
      <c r="U75" s="49">
        <v>40737</v>
      </c>
      <c r="V75" s="95"/>
      <c r="W75" s="95"/>
      <c r="X75" s="95"/>
      <c r="Y75" s="95"/>
      <c r="Z75" s="95"/>
      <c r="AE75" s="93">
        <f t="shared" si="12"/>
        <v>42946.5</v>
      </c>
      <c r="AF75" s="92">
        <f>Logistic2010!Q75</f>
        <v>0.97622113342645345</v>
      </c>
      <c r="AG75" s="4">
        <f t="shared" si="10"/>
        <v>0.99945344824920912</v>
      </c>
      <c r="AH75" s="92">
        <f>Logistic2011!Q75</f>
        <v>0.99236930496689024</v>
      </c>
      <c r="AI75" s="92">
        <f>Logistic2012!Q75</f>
        <v>0.99945344824920912</v>
      </c>
      <c r="AJ75" s="92">
        <f>Logistic2013!L75</f>
        <v>0.98713956340918307</v>
      </c>
      <c r="AK75" s="119">
        <f>Logistic2014!AK75</f>
        <v>0.98601528129691507</v>
      </c>
      <c r="AL75" s="119">
        <f t="shared" si="13"/>
        <v>0.97200206455400118</v>
      </c>
      <c r="AR75" s="110"/>
      <c r="AS75" s="110"/>
      <c r="AT75" s="110"/>
      <c r="AU75" s="110"/>
      <c r="AV75" s="110"/>
      <c r="AW75" s="110"/>
      <c r="AX75" s="110"/>
    </row>
    <row r="76" spans="1:50" ht="16.5" thickBot="1" x14ac:dyDescent="0.3">
      <c r="B76" s="63"/>
      <c r="C76" s="64"/>
      <c r="D76" s="65"/>
      <c r="E76" s="64"/>
      <c r="F76" s="64"/>
      <c r="G76" s="64"/>
      <c r="H76" s="64"/>
      <c r="I76" s="53"/>
      <c r="J76" s="105">
        <f t="shared" si="20"/>
        <v>42947.5</v>
      </c>
      <c r="K76" s="109">
        <v>68</v>
      </c>
      <c r="L76" s="125">
        <f t="shared" si="18"/>
        <v>0.97628982699633993</v>
      </c>
      <c r="M76" s="46">
        <f t="shared" si="21"/>
        <v>0.97628982699633993</v>
      </c>
      <c r="N76" s="132">
        <v>0.9981929365976735</v>
      </c>
      <c r="O76" s="89">
        <f t="shared" si="19"/>
        <v>0.97628982699633993</v>
      </c>
      <c r="P76" s="4">
        <v>40390</v>
      </c>
      <c r="Q76" s="4">
        <v>0.99958959997534225</v>
      </c>
      <c r="U76" s="49">
        <v>40738</v>
      </c>
      <c r="AE76" s="93">
        <f t="shared" si="12"/>
        <v>42947.5</v>
      </c>
      <c r="AF76" s="92">
        <f>Logistic2010!Q76</f>
        <v>0.98044467529540402</v>
      </c>
      <c r="AG76" s="4">
        <f t="shared" ref="AG76" si="22">AI76</f>
        <v>0.99958959997534225</v>
      </c>
      <c r="AH76" s="92">
        <f>Logistic2011!Q76</f>
        <v>0.99405730717928753</v>
      </c>
      <c r="AI76" s="92">
        <f>Logistic2012!Q76</f>
        <v>0.99958959997534225</v>
      </c>
      <c r="AJ76" s="92">
        <f>Logistic2013!L76</f>
        <v>0.98942227092402102</v>
      </c>
      <c r="AK76" s="119">
        <f>Logistic2014!AK76</f>
        <v>0.98842020100800998</v>
      </c>
      <c r="AL76" s="119">
        <f t="shared" si="13"/>
        <v>0.97628982699633993</v>
      </c>
      <c r="AR76" s="111" t="s">
        <v>45</v>
      </c>
      <c r="AS76" s="111">
        <v>3.2797630909090909</v>
      </c>
      <c r="AT76" s="111">
        <v>21</v>
      </c>
      <c r="AU76" s="111"/>
      <c r="AV76" s="111"/>
      <c r="AW76" s="111"/>
      <c r="AX76" s="111"/>
    </row>
    <row r="77" spans="1:50" ht="16.5" thickBot="1" x14ac:dyDescent="0.3">
      <c r="B77" s="63"/>
      <c r="C77" s="64"/>
      <c r="D77" s="65"/>
      <c r="E77" s="64"/>
      <c r="F77" s="64"/>
      <c r="G77" s="64"/>
      <c r="H77" s="64"/>
      <c r="I77" s="53"/>
      <c r="J77" s="105">
        <f t="shared" si="20"/>
        <v>42948.5</v>
      </c>
      <c r="K77" s="109">
        <v>69</v>
      </c>
      <c r="L77" s="125">
        <f t="shared" si="18"/>
        <v>0.97993449279666589</v>
      </c>
      <c r="M77" s="46">
        <f t="shared" si="21"/>
        <v>0.97993449279666589</v>
      </c>
      <c r="N77" s="132">
        <v>0.99861275043215647</v>
      </c>
      <c r="O77" s="89">
        <f t="shared" si="19"/>
        <v>0.97993449279666589</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20"/>
        <v>42949.5</v>
      </c>
      <c r="K78" s="109">
        <v>70</v>
      </c>
      <c r="L78" s="125">
        <f t="shared" si="18"/>
        <v>0.98302864918897082</v>
      </c>
      <c r="M78" s="46">
        <f t="shared" si="21"/>
        <v>0.98302864918897082</v>
      </c>
      <c r="N78" s="132">
        <v>0.99893513788942956</v>
      </c>
      <c r="O78" s="89">
        <f t="shared" si="19"/>
        <v>0.98302864918897082</v>
      </c>
      <c r="P78" s="4">
        <v>40392</v>
      </c>
      <c r="Q78" s="4">
        <v>0.99976862362515118</v>
      </c>
      <c r="U78" s="40">
        <v>40740</v>
      </c>
      <c r="V78" s="95"/>
      <c r="W78" s="95"/>
      <c r="X78" s="95"/>
      <c r="Y78" s="95"/>
      <c r="Z78" s="95"/>
    </row>
    <row r="79" spans="1:50" x14ac:dyDescent="0.25">
      <c r="B79" s="63"/>
      <c r="C79" s="64"/>
      <c r="D79" s="65"/>
      <c r="E79" s="64"/>
      <c r="F79" s="64"/>
      <c r="G79" s="64"/>
      <c r="H79" s="64"/>
      <c r="I79" s="53"/>
      <c r="J79" s="105">
        <f t="shared" si="20"/>
        <v>42950.5</v>
      </c>
      <c r="K79" s="109">
        <v>71</v>
      </c>
      <c r="L79" s="125">
        <f t="shared" si="18"/>
        <v>0.98565266383518035</v>
      </c>
      <c r="M79" s="46">
        <f t="shared" si="21"/>
        <v>0.98565266383518035</v>
      </c>
      <c r="N79" s="132">
        <v>0.99918266599299976</v>
      </c>
      <c r="O79" s="89">
        <f t="shared" si="19"/>
        <v>0.98565266383518035</v>
      </c>
      <c r="P79" s="4">
        <v>40393</v>
      </c>
      <c r="Q79" s="4">
        <v>0.99982627553397851</v>
      </c>
      <c r="U79" s="49">
        <v>40741</v>
      </c>
    </row>
    <row r="80" spans="1:50" x14ac:dyDescent="0.25">
      <c r="B80" s="63"/>
      <c r="C80" s="64"/>
      <c r="D80" s="65"/>
      <c r="E80" s="64"/>
      <c r="F80" s="64"/>
      <c r="G80" s="64"/>
      <c r="H80" s="64"/>
      <c r="I80" s="53"/>
      <c r="J80" s="105">
        <f t="shared" si="20"/>
        <v>42951.5</v>
      </c>
      <c r="K80" s="109">
        <v>72</v>
      </c>
      <c r="L80" s="125">
        <f t="shared" si="18"/>
        <v>0.98787597188489473</v>
      </c>
      <c r="M80" s="46">
        <f t="shared" si="21"/>
        <v>0.98787597188489473</v>
      </c>
      <c r="N80" s="132">
        <v>0.99937269211089375</v>
      </c>
      <c r="O80" s="89">
        <f t="shared" si="19"/>
        <v>0.98787597188489473</v>
      </c>
      <c r="P80" s="4">
        <v>40394</v>
      </c>
      <c r="Q80" s="4">
        <v>0.99986956422634365</v>
      </c>
      <c r="U80" s="49">
        <v>40742</v>
      </c>
      <c r="V80" s="95"/>
      <c r="W80" s="95"/>
      <c r="X80" s="95"/>
      <c r="Y80" s="95"/>
      <c r="Z80" s="95"/>
    </row>
    <row r="81" spans="2:41" x14ac:dyDescent="0.25">
      <c r="B81" s="63"/>
      <c r="C81" s="64"/>
      <c r="D81" s="65"/>
      <c r="E81" s="64"/>
      <c r="F81" s="71"/>
      <c r="G81" s="64"/>
      <c r="H81" s="64"/>
      <c r="I81" s="53"/>
      <c r="J81" s="105">
        <f t="shared" si="20"/>
        <v>42952.5</v>
      </c>
      <c r="K81" s="109">
        <v>73</v>
      </c>
      <c r="L81" s="125">
        <f t="shared" si="18"/>
        <v>0.98975832910424755</v>
      </c>
      <c r="M81" s="46">
        <f t="shared" si="21"/>
        <v>0.98975832910424755</v>
      </c>
      <c r="N81" s="132">
        <v>0.99951855938287282</v>
      </c>
      <c r="O81" s="89">
        <f t="shared" si="19"/>
        <v>0.98975832910424755</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20"/>
        <v>42953.5</v>
      </c>
      <c r="K82" s="109">
        <v>74</v>
      </c>
      <c r="L82" s="125">
        <f t="shared" si="18"/>
        <v>0.99135099326094267</v>
      </c>
      <c r="M82" s="46">
        <f t="shared" si="21"/>
        <v>0.99135099326094267</v>
      </c>
      <c r="N82" s="132">
        <v>0.99963052082493253</v>
      </c>
      <c r="O82" s="89">
        <f t="shared" si="19"/>
        <v>0.99135099326094267</v>
      </c>
      <c r="P82" s="4">
        <v>40396</v>
      </c>
      <c r="Q82" s="4">
        <v>0.99992647156951309</v>
      </c>
      <c r="U82" s="49">
        <v>40744</v>
      </c>
      <c r="V82" s="95"/>
      <c r="W82" s="95"/>
      <c r="X82" s="95"/>
      <c r="Y82" s="95"/>
      <c r="Z82" s="95"/>
    </row>
    <row r="83" spans="2:41" x14ac:dyDescent="0.25">
      <c r="B83" s="63"/>
      <c r="C83" s="64"/>
      <c r="D83" s="65"/>
      <c r="E83" s="64"/>
      <c r="F83" s="71"/>
      <c r="G83" s="64"/>
      <c r="H83" s="64"/>
      <c r="I83" s="53"/>
      <c r="J83" s="105">
        <f t="shared" si="20"/>
        <v>42954.5</v>
      </c>
      <c r="K83" s="109">
        <v>75</v>
      </c>
      <c r="L83" s="125">
        <f t="shared" si="18"/>
        <v>0.99269781229141763</v>
      </c>
      <c r="M83" s="46">
        <f t="shared" si="21"/>
        <v>0.99269781229141763</v>
      </c>
      <c r="N83" s="132">
        <v>0.99971645245567509</v>
      </c>
      <c r="O83" s="89">
        <f t="shared" si="19"/>
        <v>0.99269781229141763</v>
      </c>
      <c r="P83" s="4">
        <v>40397</v>
      </c>
      <c r="Q83" s="4">
        <v>0.99994479477502707</v>
      </c>
      <c r="U83" s="94">
        <v>40745</v>
      </c>
    </row>
    <row r="84" spans="2:41" x14ac:dyDescent="0.25">
      <c r="B84" s="63"/>
      <c r="C84" s="64"/>
      <c r="D84" s="65"/>
      <c r="E84" s="64"/>
      <c r="F84" s="71"/>
      <c r="G84" s="64"/>
      <c r="H84" s="64"/>
      <c r="I84" s="53"/>
      <c r="J84" s="105">
        <f t="shared" si="20"/>
        <v>42955.5</v>
      </c>
      <c r="K84" s="109">
        <v>76</v>
      </c>
      <c r="L84" s="125">
        <f t="shared" si="18"/>
        <v>0.99383620931717498</v>
      </c>
      <c r="M84" s="46">
        <f t="shared" si="21"/>
        <v>0.99383620931717498</v>
      </c>
      <c r="N84" s="132">
        <v>0.99978240288510523</v>
      </c>
      <c r="O84" s="89">
        <f t="shared" si="19"/>
        <v>0.99383620931717498</v>
      </c>
      <c r="P84" s="4">
        <v>40398</v>
      </c>
      <c r="Q84" s="4">
        <v>0.99995855204677475</v>
      </c>
    </row>
    <row r="85" spans="2:41" x14ac:dyDescent="0.25">
      <c r="B85" s="63"/>
      <c r="C85" s="64"/>
      <c r="D85" s="65"/>
      <c r="E85" s="64"/>
      <c r="F85" s="71"/>
      <c r="G85" s="64"/>
      <c r="H85" s="64"/>
      <c r="I85" s="53"/>
      <c r="J85" s="105">
        <f t="shared" si="20"/>
        <v>42956.5</v>
      </c>
      <c r="K85" s="109">
        <v>77</v>
      </c>
      <c r="L85" s="125">
        <f t="shared" si="18"/>
        <v>0.99479806243433255</v>
      </c>
      <c r="M85" s="46">
        <f t="shared" si="21"/>
        <v>0.99479806243433255</v>
      </c>
      <c r="N85" s="132">
        <v>0.99983301644163747</v>
      </c>
      <c r="O85" s="89">
        <f t="shared" si="19"/>
        <v>0.99479806243433255</v>
      </c>
      <c r="P85" s="4">
        <v>40399</v>
      </c>
      <c r="Q85" s="4">
        <v>0.99996888108077731</v>
      </c>
    </row>
    <row r="86" spans="2:41" x14ac:dyDescent="0.25">
      <c r="B86" s="63"/>
      <c r="C86" s="64"/>
      <c r="D86" s="65"/>
      <c r="E86" s="64"/>
      <c r="F86" s="71"/>
      <c r="G86" s="64"/>
      <c r="H86" s="64"/>
      <c r="I86" s="53"/>
      <c r="J86" s="105">
        <f t="shared" si="20"/>
        <v>42957.5</v>
      </c>
      <c r="K86" s="109">
        <v>78</v>
      </c>
      <c r="L86" s="125">
        <f t="shared" si="18"/>
        <v>0.99561048231024418</v>
      </c>
      <c r="M86" s="46">
        <f t="shared" si="21"/>
        <v>0.99561048231024418</v>
      </c>
      <c r="N86" s="132">
        <v>0.99987185868506689</v>
      </c>
      <c r="O86" s="89">
        <f t="shared" si="19"/>
        <v>0.99561048231024418</v>
      </c>
      <c r="P86" s="4">
        <v>40400</v>
      </c>
      <c r="Q86" s="4">
        <v>0.99997663612879639</v>
      </c>
      <c r="AO86" s="4">
        <v>0.96399999999999997</v>
      </c>
    </row>
    <row r="87" spans="2:41" x14ac:dyDescent="0.25">
      <c r="B87" s="63"/>
      <c r="C87" s="64"/>
      <c r="D87" s="65"/>
      <c r="E87" s="64"/>
      <c r="F87" s="71"/>
      <c r="G87" s="64"/>
      <c r="H87" s="64"/>
      <c r="I87" s="53"/>
      <c r="J87" s="105">
        <f t="shared" si="20"/>
        <v>42958.5</v>
      </c>
      <c r="K87" s="109">
        <v>79</v>
      </c>
      <c r="L87" s="125">
        <f t="shared" si="18"/>
        <v>0.99629649373667228</v>
      </c>
      <c r="M87" s="46">
        <f t="shared" si="21"/>
        <v>0.99629649373667228</v>
      </c>
      <c r="N87" s="132">
        <v>0.9999016666768179</v>
      </c>
      <c r="O87" s="89">
        <f t="shared" si="19"/>
        <v>0.99629649373667228</v>
      </c>
      <c r="P87" s="4">
        <v>40401</v>
      </c>
      <c r="Q87" s="4">
        <v>0.99998245859958268</v>
      </c>
    </row>
    <row r="88" spans="2:41" x14ac:dyDescent="0.25">
      <c r="B88" s="63"/>
      <c r="C88" s="64"/>
      <c r="D88" s="65"/>
      <c r="E88" s="64"/>
      <c r="F88" s="71"/>
      <c r="G88" s="64"/>
      <c r="H88" s="64"/>
      <c r="I88" s="53"/>
      <c r="J88" s="105">
        <f t="shared" si="20"/>
        <v>42959.5</v>
      </c>
      <c r="K88" s="109">
        <v>80</v>
      </c>
      <c r="L88" s="125">
        <f t="shared" si="18"/>
        <v>0.99687562899532578</v>
      </c>
      <c r="M88" s="46">
        <f t="shared" si="21"/>
        <v>0.99687562899532578</v>
      </c>
      <c r="N88" s="132">
        <v>0.99992454131286057</v>
      </c>
      <c r="O88" s="89">
        <f t="shared" si="19"/>
        <v>0.99687562899532578</v>
      </c>
      <c r="P88" s="4">
        <v>40402</v>
      </c>
      <c r="Q88" s="4">
        <v>0.99998683008139233</v>
      </c>
    </row>
    <row r="89" spans="2:41" x14ac:dyDescent="0.25">
      <c r="B89" s="63"/>
      <c r="C89" s="64"/>
      <c r="D89" s="65"/>
      <c r="E89" s="64"/>
      <c r="F89" s="71"/>
      <c r="G89" s="64"/>
      <c r="H89" s="64"/>
      <c r="I89" s="53"/>
      <c r="J89" s="105">
        <f t="shared" si="20"/>
        <v>42960.5</v>
      </c>
      <c r="K89" s="109">
        <v>81</v>
      </c>
      <c r="L89" s="125">
        <f t="shared" si="18"/>
        <v>0.9973644416304891</v>
      </c>
      <c r="M89" s="46">
        <f t="shared" si="21"/>
        <v>0.9973644416304891</v>
      </c>
      <c r="N89" s="132">
        <v>0.99994209508049881</v>
      </c>
      <c r="O89" s="89">
        <f t="shared" si="19"/>
        <v>0.9973644416304891</v>
      </c>
      <c r="P89" s="4">
        <v>40403</v>
      </c>
      <c r="Q89" s="4">
        <v>0.99999011215963096</v>
      </c>
    </row>
    <row r="90" spans="2:41" x14ac:dyDescent="0.25">
      <c r="B90" s="63"/>
      <c r="C90" s="64"/>
      <c r="D90" s="65"/>
      <c r="E90" s="64"/>
      <c r="F90" s="71"/>
      <c r="G90" s="64"/>
      <c r="H90" s="64"/>
      <c r="I90" s="53"/>
      <c r="J90" s="105">
        <f t="shared" si="20"/>
        <v>42961.5</v>
      </c>
      <c r="K90" s="109">
        <v>82</v>
      </c>
      <c r="L90" s="125">
        <f t="shared" si="18"/>
        <v>0.99777694932096372</v>
      </c>
      <c r="M90" s="46">
        <f t="shared" si="21"/>
        <v>0.99777694932096372</v>
      </c>
      <c r="N90" s="132">
        <v>0.99995556554007625</v>
      </c>
      <c r="O90" s="89">
        <f t="shared" si="19"/>
        <v>0.99777694932096372</v>
      </c>
      <c r="P90" s="4">
        <v>40404</v>
      </c>
      <c r="Q90" s="4">
        <v>0.9999925763165205</v>
      </c>
    </row>
    <row r="91" spans="2:41" x14ac:dyDescent="0.25">
      <c r="B91" s="63"/>
      <c r="C91" s="64"/>
      <c r="D91" s="65"/>
      <c r="E91" s="64"/>
      <c r="F91" s="71"/>
      <c r="G91" s="64"/>
      <c r="H91" s="64"/>
      <c r="I91" s="53"/>
      <c r="J91" s="105">
        <f t="shared" si="20"/>
        <v>42962.5</v>
      </c>
      <c r="K91" s="109">
        <v>83</v>
      </c>
      <c r="L91" s="125">
        <f t="shared" si="18"/>
        <v>0.99812501423486433</v>
      </c>
      <c r="M91" s="46">
        <f t="shared" si="21"/>
        <v>0.99812501423486433</v>
      </c>
      <c r="N91" s="132">
        <v>0.99996590246462225</v>
      </c>
      <c r="O91" s="89">
        <f t="shared" si="19"/>
        <v>0.99812501423486433</v>
      </c>
      <c r="P91" s="4">
        <v>40405</v>
      </c>
      <c r="Q91" s="4">
        <v>0.99999442638225311</v>
      </c>
    </row>
    <row r="92" spans="2:41" x14ac:dyDescent="0.25">
      <c r="B92" s="63"/>
      <c r="C92" s="64"/>
      <c r="D92" s="65"/>
      <c r="E92" s="64"/>
      <c r="F92" s="71"/>
      <c r="G92" s="64"/>
      <c r="H92" s="64"/>
      <c r="I92" s="53"/>
      <c r="J92" s="105">
        <f t="shared" si="20"/>
        <v>42963.5</v>
      </c>
      <c r="K92" s="109">
        <v>84</v>
      </c>
      <c r="L92" s="125">
        <f t="shared" si="18"/>
        <v>0.99841866870207652</v>
      </c>
      <c r="M92" s="46">
        <f t="shared" si="21"/>
        <v>0.99841866870207652</v>
      </c>
      <c r="N92" s="132">
        <v>0.99997383474166435</v>
      </c>
      <c r="O92" s="89">
        <f t="shared" si="19"/>
        <v>0.99841866870207652</v>
      </c>
      <c r="P92" s="4">
        <v>40406</v>
      </c>
      <c r="Q92" s="4">
        <v>0.99999581539264815</v>
      </c>
    </row>
    <row r="93" spans="2:41" x14ac:dyDescent="0.25">
      <c r="B93" s="63"/>
      <c r="C93" s="64"/>
      <c r="D93" s="65"/>
      <c r="E93" s="64"/>
      <c r="F93" s="71"/>
      <c r="G93" s="64"/>
      <c r="H93" s="64"/>
      <c r="I93" s="53"/>
      <c r="J93" s="105">
        <f t="shared" si="20"/>
        <v>42964.5</v>
      </c>
      <c r="K93" s="109">
        <v>85</v>
      </c>
      <c r="L93" s="125">
        <f t="shared" si="18"/>
        <v>0.9986663933649903</v>
      </c>
      <c r="M93" s="46">
        <f t="shared" si="21"/>
        <v>0.9986663933649903</v>
      </c>
      <c r="N93" s="132">
        <v>0.99997992173121009</v>
      </c>
      <c r="O93" s="89">
        <f t="shared" si="19"/>
        <v>0.9986663933649903</v>
      </c>
      <c r="P93" s="4">
        <v>40407</v>
      </c>
      <c r="Q93" s="4">
        <v>0.99999685824657825</v>
      </c>
    </row>
    <row r="94" spans="2:41" x14ac:dyDescent="0.25">
      <c r="B94" s="63"/>
      <c r="C94" s="64"/>
      <c r="D94" s="65"/>
      <c r="E94" s="64"/>
      <c r="F94" s="71"/>
      <c r="G94" s="64"/>
      <c r="H94" s="64"/>
      <c r="I94" s="53"/>
      <c r="J94" s="105">
        <f t="shared" si="20"/>
        <v>42965.5</v>
      </c>
      <c r="K94" s="109">
        <v>86</v>
      </c>
      <c r="L94" s="125">
        <f t="shared" si="18"/>
        <v>0.99887535424533891</v>
      </c>
      <c r="M94" s="46">
        <f t="shared" si="21"/>
        <v>0.99887535424533891</v>
      </c>
      <c r="N94" s="132">
        <v>0.99998459268769502</v>
      </c>
      <c r="O94" s="89">
        <f t="shared" si="19"/>
        <v>0.99887535424533891</v>
      </c>
      <c r="P94" s="4">
        <v>40408</v>
      </c>
      <c r="Q94" s="4">
        <v>0.99999764120951673</v>
      </c>
    </row>
    <row r="95" spans="2:41" x14ac:dyDescent="0.25">
      <c r="B95" s="63"/>
      <c r="C95" s="64"/>
      <c r="D95" s="65"/>
      <c r="E95" s="64"/>
      <c r="F95" s="71"/>
      <c r="G95" s="64"/>
      <c r="H95" s="64"/>
      <c r="I95" s="53"/>
      <c r="J95" s="105">
        <f t="shared" si="20"/>
        <v>42966.5</v>
      </c>
      <c r="K95" s="109">
        <v>87</v>
      </c>
      <c r="L95" s="125">
        <f t="shared" si="18"/>
        <v>0.99905160444345831</v>
      </c>
      <c r="M95" s="46">
        <f t="shared" si="21"/>
        <v>0.99905160444345831</v>
      </c>
      <c r="N95" s="132">
        <v>0.99998817701780018</v>
      </c>
      <c r="O95" s="89">
        <f t="shared" si="19"/>
        <v>0.99905160444345831</v>
      </c>
      <c r="P95" s="4">
        <v>40409</v>
      </c>
      <c r="Q95" s="4">
        <v>0.99999822904897007</v>
      </c>
    </row>
    <row r="96" spans="2:41" x14ac:dyDescent="0.25">
      <c r="B96" s="63"/>
      <c r="C96" s="64"/>
      <c r="D96" s="65"/>
      <c r="E96" s="64"/>
      <c r="F96" s="71"/>
      <c r="G96" s="64"/>
      <c r="H96" s="64"/>
      <c r="I96" s="53"/>
      <c r="J96" s="105">
        <f t="shared" si="20"/>
        <v>42967.5</v>
      </c>
      <c r="K96" s="109">
        <v>88</v>
      </c>
      <c r="L96" s="125">
        <f t="shared" si="18"/>
        <v>0.99920025549680891</v>
      </c>
      <c r="M96" s="46">
        <f t="shared" si="21"/>
        <v>0.99920025549680891</v>
      </c>
      <c r="N96" s="132">
        <v>0.99999092750320295</v>
      </c>
      <c r="O96" s="89">
        <f t="shared" si="19"/>
        <v>0.99920025549680891</v>
      </c>
      <c r="P96" s="4">
        <v>40410</v>
      </c>
      <c r="Q96" s="4">
        <v>0.99999867039183277</v>
      </c>
    </row>
    <row r="97" spans="2:17" x14ac:dyDescent="0.25">
      <c r="B97" s="63"/>
      <c r="C97" s="64"/>
      <c r="D97" s="65"/>
      <c r="E97" s="64"/>
      <c r="F97" s="71"/>
      <c r="G97" s="64"/>
      <c r="H97" s="64"/>
      <c r="I97" s="53"/>
      <c r="J97" s="105">
        <f t="shared" si="20"/>
        <v>42968.5</v>
      </c>
      <c r="K97" s="109">
        <v>89</v>
      </c>
      <c r="L97" s="125">
        <f t="shared" si="18"/>
        <v>0.99932562278468973</v>
      </c>
      <c r="M97" s="46">
        <f t="shared" si="21"/>
        <v>0.99932562278468973</v>
      </c>
      <c r="N97" s="132">
        <v>0.99999303812320184</v>
      </c>
      <c r="O97" s="89">
        <f t="shared" si="19"/>
        <v>0.99932562278468973</v>
      </c>
      <c r="P97" s="4">
        <v>40411</v>
      </c>
      <c r="Q97" s="4">
        <v>0.99999900174671486</v>
      </c>
    </row>
    <row r="98" spans="2:17" x14ac:dyDescent="0.25">
      <c r="B98" s="134">
        <v>42900</v>
      </c>
      <c r="C98">
        <v>4.0922580690000002E-2</v>
      </c>
      <c r="D98" s="65"/>
      <c r="E98" s="64"/>
      <c r="F98" s="71"/>
      <c r="G98" s="64"/>
      <c r="H98" s="64"/>
      <c r="I98" s="53"/>
      <c r="J98" s="105">
        <f t="shared" si="20"/>
        <v>42969.5</v>
      </c>
      <c r="K98" s="109">
        <v>90</v>
      </c>
      <c r="L98" s="125">
        <f t="shared" si="18"/>
        <v>0.99943134878439932</v>
      </c>
      <c r="M98" s="46">
        <f t="shared" si="21"/>
        <v>0.99943134878439932</v>
      </c>
      <c r="N98" s="132">
        <v>0.99999465773250285</v>
      </c>
      <c r="O98" s="89">
        <f t="shared" si="19"/>
        <v>0.99943134878439932</v>
      </c>
      <c r="P98" s="4">
        <v>40412</v>
      </c>
      <c r="Q98" s="4">
        <v>0.99999925052390337</v>
      </c>
    </row>
    <row r="99" spans="2:17" x14ac:dyDescent="0.25">
      <c r="B99" s="134">
        <v>42907</v>
      </c>
      <c r="C99">
        <v>5.2840316599999998E-3</v>
      </c>
      <c r="D99" s="65"/>
      <c r="E99" s="64"/>
      <c r="F99" s="71"/>
      <c r="G99" s="64"/>
      <c r="H99" s="64"/>
      <c r="I99" s="53"/>
      <c r="J99" s="105">
        <f t="shared" si="20"/>
        <v>42970.5</v>
      </c>
      <c r="K99" s="109">
        <v>91</v>
      </c>
      <c r="L99" s="125">
        <f t="shared" si="18"/>
        <v>0.99952050746335308</v>
      </c>
      <c r="M99" s="46">
        <f t="shared" si="21"/>
        <v>0.99952050746335308</v>
      </c>
      <c r="N99" s="132">
        <v>0.99999590055784027</v>
      </c>
      <c r="O99" s="89">
        <f t="shared" si="19"/>
        <v>0.99952050746335308</v>
      </c>
      <c r="P99" s="4">
        <v>40413</v>
      </c>
      <c r="Q99" s="4">
        <v>0.99999943730274388</v>
      </c>
    </row>
    <row r="100" spans="2:17" x14ac:dyDescent="0.25">
      <c r="B100" s="134">
        <v>42913</v>
      </c>
      <c r="C100">
        <v>7.5737816139999997E-2</v>
      </c>
      <c r="D100" s="65"/>
      <c r="E100" s="64"/>
      <c r="F100" s="71"/>
      <c r="G100" s="64"/>
      <c r="H100" s="64"/>
      <c r="I100" s="53"/>
      <c r="J100" s="105">
        <f t="shared" si="20"/>
        <v>42971.5</v>
      </c>
      <c r="K100" s="109">
        <v>92</v>
      </c>
      <c r="L100" s="125">
        <f t="shared" si="18"/>
        <v>0.99959569263088621</v>
      </c>
      <c r="M100" s="46">
        <f t="shared" si="21"/>
        <v>0.99959569263088621</v>
      </c>
      <c r="N100" s="132">
        <v>0.99999685425314822</v>
      </c>
      <c r="O100" s="89">
        <f t="shared" si="19"/>
        <v>0.99959569263088621</v>
      </c>
      <c r="P100" s="4">
        <v>40414</v>
      </c>
      <c r="Q100" s="4">
        <v>0.99999957753397495</v>
      </c>
    </row>
    <row r="101" spans="2:17" x14ac:dyDescent="0.25">
      <c r="B101" s="134">
        <v>42917</v>
      </c>
      <c r="C101">
        <v>0.17707928325</v>
      </c>
      <c r="D101" s="65"/>
      <c r="E101" s="64"/>
      <c r="F101" s="71"/>
      <c r="G101" s="64"/>
      <c r="H101" s="64"/>
      <c r="I101" s="53"/>
      <c r="J101" s="105">
        <f t="shared" si="20"/>
        <v>42972.5</v>
      </c>
      <c r="K101" s="109">
        <v>93</v>
      </c>
      <c r="L101" s="125">
        <f t="shared" si="18"/>
        <v>0.99965909266939967</v>
      </c>
      <c r="M101" s="46">
        <f t="shared" si="21"/>
        <v>0.99965909266939967</v>
      </c>
      <c r="N101" s="132">
        <v>0.99999758608106293</v>
      </c>
      <c r="O101" s="89">
        <f t="shared" si="19"/>
        <v>0.99965909266939967</v>
      </c>
      <c r="P101" s="4">
        <v>40415</v>
      </c>
      <c r="Q101" s="4">
        <v>0.99999968281783125</v>
      </c>
    </row>
    <row r="102" spans="2:17" x14ac:dyDescent="0.25">
      <c r="B102" s="134">
        <v>42921</v>
      </c>
      <c r="C102">
        <v>0.21196124265999999</v>
      </c>
      <c r="D102" s="65"/>
      <c r="E102" s="64"/>
      <c r="F102" s="71"/>
      <c r="G102" s="64"/>
      <c r="H102" s="64"/>
      <c r="I102" s="53"/>
      <c r="J102" s="105">
        <f t="shared" si="20"/>
        <v>42973.5</v>
      </c>
      <c r="K102" s="109">
        <v>94</v>
      </c>
      <c r="L102" s="125">
        <f t="shared" si="18"/>
        <v>0.99971255371269763</v>
      </c>
      <c r="M102" s="46">
        <f t="shared" si="21"/>
        <v>0.99971255371269763</v>
      </c>
      <c r="N102" s="132">
        <v>0.99999814765652884</v>
      </c>
      <c r="O102" s="89">
        <f t="shared" si="19"/>
        <v>0.99971255371269763</v>
      </c>
      <c r="P102" s="4">
        <v>40416</v>
      </c>
      <c r="Q102" s="4">
        <v>0.99999976186363015</v>
      </c>
    </row>
    <row r="103" spans="2:17" x14ac:dyDescent="0.25">
      <c r="B103" s="134">
        <v>42924</v>
      </c>
      <c r="C103">
        <v>0.21575262277000001</v>
      </c>
      <c r="D103" s="65"/>
      <c r="E103" s="64"/>
      <c r="F103" s="71"/>
      <c r="G103" s="64"/>
      <c r="H103" s="64"/>
      <c r="I103" s="53"/>
      <c r="J103" s="105">
        <f t="shared" si="20"/>
        <v>42974.5</v>
      </c>
      <c r="K103" s="109">
        <v>95</v>
      </c>
      <c r="L103" s="125">
        <f t="shared" si="18"/>
        <v>0.99975763303476861</v>
      </c>
      <c r="M103" s="46">
        <f t="shared" si="21"/>
        <v>0.99975763303476861</v>
      </c>
      <c r="N103" s="132">
        <v>0.99999857858694674</v>
      </c>
      <c r="O103" s="89">
        <f t="shared" si="19"/>
        <v>0.99975763303476861</v>
      </c>
      <c r="P103" s="4">
        <v>40417</v>
      </c>
      <c r="Q103" s="4">
        <v>0.99999982121022213</v>
      </c>
    </row>
    <row r="104" spans="2:17" x14ac:dyDescent="0.25">
      <c r="B104" s="134">
        <v>42927</v>
      </c>
      <c r="C104">
        <v>0.48050065994000002</v>
      </c>
      <c r="D104" s="65"/>
      <c r="E104" s="64"/>
      <c r="F104" s="71"/>
      <c r="G104" s="64"/>
      <c r="H104" s="64"/>
      <c r="I104" s="53"/>
      <c r="J104" s="105">
        <f t="shared" si="20"/>
        <v>42975.5</v>
      </c>
      <c r="K104" s="109">
        <v>96</v>
      </c>
      <c r="L104" s="125">
        <f t="shared" si="18"/>
        <v>0.99979564414977629</v>
      </c>
      <c r="M104" s="46">
        <f t="shared" si="21"/>
        <v>0.99979564414977629</v>
      </c>
      <c r="N104" s="132">
        <v>0.99999890926553481</v>
      </c>
      <c r="O104" s="89">
        <f t="shared" si="19"/>
        <v>0.99979564414977629</v>
      </c>
      <c r="P104" s="4">
        <v>40418</v>
      </c>
      <c r="Q104" s="4">
        <v>0.99999986576689559</v>
      </c>
    </row>
    <row r="105" spans="2:17" x14ac:dyDescent="0.25">
      <c r="B105" s="134">
        <v>42930</v>
      </c>
      <c r="C105">
        <v>0.77252834502000001</v>
      </c>
      <c r="D105" s="65"/>
      <c r="E105" s="64"/>
      <c r="F105" s="71"/>
      <c r="G105" s="64"/>
      <c r="H105" s="64"/>
      <c r="I105" s="53"/>
      <c r="J105" s="105">
        <f t="shared" si="20"/>
        <v>42976.5</v>
      </c>
      <c r="K105" s="109">
        <v>97</v>
      </c>
      <c r="L105" s="125">
        <f>$G$3/(1+EXP(-$G$4*(K105-$G$5)))</f>
        <v>0.99982769489865808</v>
      </c>
      <c r="M105" s="46">
        <f t="shared" si="21"/>
        <v>0.99982769489865808</v>
      </c>
      <c r="N105" s="132">
        <v>0.99999916301487501</v>
      </c>
      <c r="O105" s="89">
        <f>IF(N105=M105,N105,M105)</f>
        <v>0.99982769489865808</v>
      </c>
      <c r="P105" s="4">
        <v>40419</v>
      </c>
      <c r="Q105" s="4">
        <v>0.99999989921948373</v>
      </c>
    </row>
    <row r="106" spans="2:17" x14ac:dyDescent="0.25">
      <c r="B106" s="134">
        <v>42934</v>
      </c>
      <c r="C106">
        <v>0.70669625335999997</v>
      </c>
      <c r="D106" s="65"/>
      <c r="E106" s="64"/>
      <c r="F106" s="71"/>
      <c r="G106" s="64"/>
      <c r="H106" s="64"/>
      <c r="I106" s="53"/>
      <c r="J106" s="105">
        <f t="shared" si="20"/>
        <v>42977.5</v>
      </c>
      <c r="K106" s="109">
        <v>98</v>
      </c>
      <c r="L106" s="125">
        <f>$G$3/(1+EXP(-$G$4*(K106-$G$5)))</f>
        <v>0.99985471960481631</v>
      </c>
      <c r="M106" s="46">
        <f t="shared" si="21"/>
        <v>0.99985471960481631</v>
      </c>
      <c r="N106" s="132">
        <v>0.99999935773180315</v>
      </c>
      <c r="O106" s="89">
        <f>IF(N106=M106,N106,M106)</f>
        <v>0.99985471960481631</v>
      </c>
      <c r="P106" s="4">
        <v>40420</v>
      </c>
      <c r="Q106" s="4">
        <v>0.99999992433526419</v>
      </c>
    </row>
    <row r="107" spans="2:17" x14ac:dyDescent="0.25">
      <c r="B107" s="134">
        <v>42939</v>
      </c>
      <c r="C107">
        <v>0.89196898668000002</v>
      </c>
      <c r="D107" s="65"/>
      <c r="E107" s="64"/>
      <c r="F107" s="71"/>
      <c r="G107" s="64"/>
      <c r="H107" s="64"/>
      <c r="I107" s="53"/>
      <c r="J107" s="105">
        <f t="shared" si="20"/>
        <v>42978.5</v>
      </c>
      <c r="K107" s="109">
        <v>99</v>
      </c>
      <c r="L107" s="125">
        <f>$G$3/(1+EXP(-$G$4*(K107-$G$5)))</f>
        <v>0.99987750621668503</v>
      </c>
      <c r="M107" s="46">
        <f t="shared" si="21"/>
        <v>0.99999999730296318</v>
      </c>
      <c r="N107" s="132">
        <v>0.99999999730296318</v>
      </c>
      <c r="O107" s="89">
        <f>IF(N107=M107,N107,M107)</f>
        <v>0.99999999730296318</v>
      </c>
      <c r="P107" s="4">
        <v>40421</v>
      </c>
      <c r="Q107" s="4">
        <v>0.99999994319187457</v>
      </c>
    </row>
    <row r="108" spans="2:17" x14ac:dyDescent="0.25">
      <c r="B108" s="134">
        <v>42946</v>
      </c>
      <c r="C108">
        <v>0.98726842201999998</v>
      </c>
      <c r="D108" s="65"/>
      <c r="E108" s="64"/>
      <c r="F108" s="71"/>
      <c r="G108" s="64"/>
      <c r="H108" s="64"/>
      <c r="I108" s="53"/>
      <c r="J108" s="44"/>
      <c r="K108" s="45"/>
      <c r="L108" s="46"/>
      <c r="M108" s="46"/>
      <c r="N108" s="70"/>
      <c r="O108" s="47"/>
    </row>
    <row r="109" spans="2:17" x14ac:dyDescent="0.25">
      <c r="B109" s="134">
        <v>42896</v>
      </c>
      <c r="C109">
        <v>1.9770958100000001E-3</v>
      </c>
      <c r="D109" s="65"/>
      <c r="E109" s="64"/>
      <c r="F109" s="71"/>
      <c r="G109" s="64"/>
      <c r="H109" s="64"/>
      <c r="I109" s="53"/>
      <c r="J109" s="44"/>
      <c r="K109" s="45"/>
      <c r="L109" s="46"/>
      <c r="M109" s="46"/>
      <c r="N109" s="70"/>
      <c r="O109" s="47"/>
    </row>
    <row r="110" spans="2:17" x14ac:dyDescent="0.25">
      <c r="B110" s="134">
        <v>42903</v>
      </c>
      <c r="C110">
        <v>1.7753132999999999E-4</v>
      </c>
      <c r="D110" s="65"/>
      <c r="E110" s="64"/>
      <c r="F110" s="71"/>
      <c r="G110" s="64"/>
      <c r="H110" s="64"/>
      <c r="I110" s="53"/>
      <c r="J110" s="44"/>
      <c r="K110" s="45"/>
      <c r="L110" s="46"/>
      <c r="M110" s="46"/>
      <c r="N110" s="70"/>
      <c r="O110" s="47"/>
    </row>
    <row r="111" spans="2:17" x14ac:dyDescent="0.25">
      <c r="B111" s="134">
        <v>42910</v>
      </c>
      <c r="C111">
        <v>2.4308137909999999E-2</v>
      </c>
      <c r="D111" s="65"/>
      <c r="E111" s="64"/>
      <c r="F111" s="71"/>
      <c r="G111" s="64"/>
      <c r="H111" s="64"/>
      <c r="I111" s="53"/>
      <c r="J111" s="44"/>
      <c r="K111" s="45"/>
      <c r="L111" s="46"/>
      <c r="M111" s="46"/>
      <c r="N111" s="70"/>
      <c r="O111" s="47"/>
    </row>
    <row r="112" spans="2:17" x14ac:dyDescent="0.25">
      <c r="B112" s="134">
        <v>42914</v>
      </c>
      <c r="C112">
        <v>0.1675365398</v>
      </c>
      <c r="D112" s="65"/>
      <c r="E112" s="64"/>
      <c r="F112" s="71"/>
      <c r="G112" s="64"/>
      <c r="H112" s="64"/>
      <c r="I112" s="53"/>
      <c r="J112" s="44"/>
      <c r="K112" s="45"/>
      <c r="L112" s="46"/>
      <c r="M112" s="46"/>
      <c r="N112" s="70"/>
      <c r="O112" s="47"/>
    </row>
    <row r="113" spans="2:15" x14ac:dyDescent="0.25">
      <c r="B113" s="134">
        <v>42918</v>
      </c>
      <c r="C113">
        <v>4.7377257159999998E-2</v>
      </c>
      <c r="D113" s="65"/>
      <c r="E113" s="64" t="s">
        <v>54</v>
      </c>
      <c r="F113" s="71"/>
      <c r="G113" s="64"/>
      <c r="H113" s="64"/>
      <c r="I113" s="53"/>
      <c r="J113" s="44"/>
      <c r="K113" s="45"/>
      <c r="L113" s="46"/>
      <c r="M113" s="46"/>
      <c r="N113" s="70"/>
      <c r="O113" s="47"/>
    </row>
    <row r="114" spans="2:15" x14ac:dyDescent="0.25">
      <c r="B114" s="134">
        <v>42921</v>
      </c>
      <c r="C114">
        <v>0.21548781105000001</v>
      </c>
      <c r="D114" s="65"/>
      <c r="E114" s="64"/>
      <c r="F114" s="71"/>
      <c r="G114" s="64"/>
      <c r="H114" s="64"/>
      <c r="I114" s="53"/>
      <c r="J114" s="44"/>
      <c r="K114" s="45"/>
      <c r="L114" s="46"/>
      <c r="M114" s="46"/>
      <c r="N114" s="70"/>
      <c r="O114" s="47"/>
    </row>
    <row r="115" spans="2:15" x14ac:dyDescent="0.25">
      <c r="B115" s="134">
        <v>42925</v>
      </c>
      <c r="C115">
        <v>0.28120337040999999</v>
      </c>
      <c r="D115" s="65"/>
      <c r="E115" s="64"/>
      <c r="F115" s="71"/>
      <c r="G115" s="64"/>
      <c r="H115" s="64"/>
      <c r="I115" s="53"/>
      <c r="J115" s="44"/>
      <c r="K115" s="45"/>
      <c r="L115" s="46"/>
      <c r="M115" s="46"/>
      <c r="N115" s="70"/>
      <c r="O115" s="47"/>
    </row>
    <row r="116" spans="2:15" x14ac:dyDescent="0.25">
      <c r="B116" s="134">
        <v>42928</v>
      </c>
      <c r="C116">
        <v>0.70293298057999998</v>
      </c>
      <c r="D116" s="65"/>
      <c r="E116" s="64"/>
      <c r="F116" s="71"/>
      <c r="G116" s="64"/>
      <c r="H116" s="64"/>
      <c r="I116" s="53"/>
      <c r="J116" s="44"/>
      <c r="K116" s="45"/>
      <c r="L116" s="46"/>
      <c r="M116" s="46"/>
      <c r="N116" s="70"/>
      <c r="O116" s="47"/>
    </row>
    <row r="117" spans="2:15" x14ac:dyDescent="0.25">
      <c r="B117" s="134">
        <v>42930</v>
      </c>
      <c r="C117">
        <v>0.69174640976000001</v>
      </c>
      <c r="D117" s="65"/>
      <c r="E117" s="64"/>
      <c r="F117" s="71"/>
      <c r="G117" s="64"/>
      <c r="H117" s="64"/>
      <c r="I117" s="53"/>
      <c r="J117" s="44"/>
      <c r="K117" s="45"/>
      <c r="L117" s="46"/>
      <c r="M117" s="46"/>
      <c r="N117" s="70"/>
      <c r="O117" s="47"/>
    </row>
    <row r="118" spans="2:15" x14ac:dyDescent="0.25">
      <c r="B118" s="134">
        <v>42937</v>
      </c>
      <c r="C118">
        <v>0.87700319511000002</v>
      </c>
      <c r="D118" s="65"/>
      <c r="E118" s="64"/>
      <c r="F118" s="71"/>
      <c r="G118" s="64"/>
      <c r="H118" s="64"/>
      <c r="I118" s="53"/>
      <c r="J118" s="44"/>
      <c r="K118" s="45"/>
      <c r="L118" s="46"/>
      <c r="M118" s="46"/>
      <c r="N118" s="70"/>
      <c r="O118" s="47"/>
    </row>
    <row r="119" spans="2:15" x14ac:dyDescent="0.25">
      <c r="B119" s="134">
        <v>42944</v>
      </c>
      <c r="C119">
        <v>0.96438682468000003</v>
      </c>
      <c r="D119" s="65"/>
      <c r="E119" s="64"/>
      <c r="F119" s="71"/>
      <c r="G119" s="64"/>
      <c r="H119" s="64"/>
      <c r="I119" s="53"/>
      <c r="J119" s="44"/>
      <c r="K119" s="45"/>
      <c r="L119" s="46"/>
      <c r="M119" s="46"/>
      <c r="N119" s="70"/>
      <c r="O119" s="47"/>
    </row>
    <row r="120" spans="2:15" x14ac:dyDescent="0.25">
      <c r="B120" s="134">
        <v>42897</v>
      </c>
      <c r="C120">
        <v>2.3732696920000001E-2</v>
      </c>
      <c r="D120" s="65"/>
      <c r="E120" s="64"/>
      <c r="F120" s="71"/>
      <c r="G120" s="64"/>
      <c r="H120" s="64"/>
      <c r="I120" s="53"/>
      <c r="J120" s="44"/>
      <c r="K120" s="45"/>
      <c r="L120" s="46"/>
      <c r="M120" s="46"/>
      <c r="N120" s="70"/>
      <c r="O120" s="47"/>
    </row>
    <row r="121" spans="2:15" x14ac:dyDescent="0.25">
      <c r="B121" s="134">
        <v>42904</v>
      </c>
      <c r="C121">
        <v>3.6421311300000002E-2</v>
      </c>
      <c r="D121" s="65"/>
      <c r="E121" s="64"/>
      <c r="F121" s="71"/>
      <c r="G121" s="64"/>
      <c r="H121" s="64"/>
      <c r="I121" s="53"/>
      <c r="J121" s="44"/>
      <c r="K121" s="45"/>
      <c r="L121" s="46"/>
      <c r="M121" s="46"/>
      <c r="N121" s="70"/>
      <c r="O121" s="47"/>
    </row>
    <row r="122" spans="2:15" x14ac:dyDescent="0.25">
      <c r="B122" s="134">
        <v>42911</v>
      </c>
      <c r="C122">
        <v>7.3465959699999996E-3</v>
      </c>
      <c r="D122" s="65"/>
      <c r="E122" s="64"/>
      <c r="F122" s="71"/>
      <c r="G122" s="64"/>
      <c r="H122" s="64"/>
      <c r="I122" s="53"/>
      <c r="J122" s="44"/>
      <c r="K122" s="45"/>
      <c r="L122" s="46"/>
      <c r="M122" s="46"/>
      <c r="N122" s="70"/>
      <c r="O122" s="47"/>
    </row>
    <row r="123" spans="2:15" x14ac:dyDescent="0.25">
      <c r="B123" s="134">
        <v>42917</v>
      </c>
      <c r="C123">
        <v>0.35611912855</v>
      </c>
      <c r="D123" s="65"/>
      <c r="E123" s="64"/>
      <c r="F123" s="71"/>
      <c r="G123" s="64"/>
      <c r="H123" s="64"/>
      <c r="I123" s="53"/>
      <c r="J123" s="44"/>
      <c r="K123" s="45"/>
      <c r="L123" s="46"/>
      <c r="M123" s="46"/>
      <c r="N123" s="70"/>
      <c r="O123" s="47"/>
    </row>
    <row r="124" spans="2:15" x14ac:dyDescent="0.25">
      <c r="B124" s="134">
        <v>42921</v>
      </c>
      <c r="C124">
        <v>0.51490290000000005</v>
      </c>
      <c r="D124" s="65"/>
      <c r="E124" s="64"/>
      <c r="F124" s="71"/>
      <c r="G124" s="64"/>
      <c r="H124" s="64"/>
      <c r="I124" s="53"/>
      <c r="J124" s="44"/>
      <c r="K124" s="45"/>
      <c r="L124" s="46"/>
      <c r="M124" s="46"/>
      <c r="N124" s="70"/>
      <c r="O124" s="47"/>
    </row>
    <row r="125" spans="2:15" x14ac:dyDescent="0.25">
      <c r="B125" s="134">
        <v>42924</v>
      </c>
      <c r="C125">
        <v>0.90137308332499999</v>
      </c>
      <c r="D125" s="65"/>
      <c r="E125" s="64"/>
      <c r="F125" s="71"/>
      <c r="G125" s="64"/>
      <c r="H125" s="64"/>
      <c r="I125" s="53"/>
      <c r="J125" s="44"/>
      <c r="K125" s="45"/>
      <c r="L125" s="46"/>
      <c r="M125" s="46"/>
      <c r="N125" s="70"/>
      <c r="O125" s="47"/>
    </row>
    <row r="126" spans="2:15" x14ac:dyDescent="0.25">
      <c r="B126" s="134">
        <v>42927</v>
      </c>
      <c r="C126">
        <v>0.77536357529</v>
      </c>
      <c r="D126" s="65"/>
      <c r="E126" s="64"/>
      <c r="F126" s="71"/>
      <c r="G126" s="64"/>
      <c r="H126" s="64"/>
      <c r="I126" s="53"/>
      <c r="J126" s="44"/>
      <c r="K126" s="45"/>
      <c r="L126" s="46"/>
      <c r="M126" s="46"/>
      <c r="N126" s="70"/>
      <c r="O126" s="47"/>
    </row>
    <row r="127" spans="2:15" x14ac:dyDescent="0.25">
      <c r="B127" s="134">
        <v>42930</v>
      </c>
      <c r="C127">
        <v>0.93005344240999999</v>
      </c>
      <c r="D127" s="65"/>
      <c r="E127" s="64"/>
      <c r="F127" s="71"/>
      <c r="G127" s="64"/>
      <c r="H127" s="64"/>
      <c r="I127" s="53"/>
      <c r="J127" s="44"/>
      <c r="K127" s="45"/>
      <c r="L127" s="46"/>
      <c r="M127" s="46"/>
      <c r="N127" s="70"/>
      <c r="O127" s="47"/>
    </row>
    <row r="128" spans="2:15" x14ac:dyDescent="0.25">
      <c r="B128" s="134">
        <v>42933</v>
      </c>
      <c r="C128">
        <v>0.99689491875000003</v>
      </c>
      <c r="D128" s="65"/>
      <c r="E128" s="64"/>
      <c r="F128" s="71"/>
      <c r="G128" s="64"/>
      <c r="H128" s="64"/>
      <c r="I128" s="53"/>
      <c r="J128" s="44"/>
      <c r="K128" s="45"/>
      <c r="L128" s="46"/>
      <c r="M128" s="46"/>
      <c r="N128" s="70"/>
      <c r="O128" s="47"/>
    </row>
    <row r="129" spans="2:15" x14ac:dyDescent="0.25">
      <c r="B129" s="134">
        <v>42937</v>
      </c>
      <c r="C129">
        <v>0.99354700465000001</v>
      </c>
      <c r="D129" s="65"/>
      <c r="E129" s="64"/>
      <c r="F129" s="71"/>
      <c r="G129" s="64"/>
      <c r="H129" s="64"/>
      <c r="I129" s="53"/>
      <c r="J129" s="44"/>
      <c r="K129" s="45"/>
      <c r="L129" s="46"/>
      <c r="M129" s="46"/>
      <c r="N129" s="70"/>
      <c r="O129" s="47"/>
    </row>
    <row r="130" spans="2:15" x14ac:dyDescent="0.25">
      <c r="B130" s="134">
        <v>42944</v>
      </c>
      <c r="C130">
        <v>0.99986735576999997</v>
      </c>
      <c r="D130" s="65"/>
      <c r="E130" s="64"/>
      <c r="F130" s="71"/>
      <c r="G130" s="64"/>
      <c r="H130" s="64"/>
      <c r="I130" s="53"/>
      <c r="J130" s="44"/>
      <c r="K130" s="45"/>
      <c r="L130" s="46"/>
      <c r="M130" s="46"/>
      <c r="N130" s="70"/>
      <c r="O130" s="47"/>
    </row>
    <row r="131" spans="2:15" x14ac:dyDescent="0.25">
      <c r="B131" s="134">
        <v>42913</v>
      </c>
      <c r="C131">
        <v>8.8735986289999999E-2</v>
      </c>
      <c r="D131" s="65"/>
      <c r="E131" s="64"/>
      <c r="F131" s="71"/>
      <c r="G131" s="64"/>
      <c r="H131" s="64"/>
      <c r="I131" s="53"/>
      <c r="J131" s="44"/>
      <c r="K131" s="45"/>
      <c r="L131" s="46"/>
      <c r="M131" s="46"/>
      <c r="N131" s="70"/>
      <c r="O131" s="47"/>
    </row>
    <row r="132" spans="2:15" x14ac:dyDescent="0.25">
      <c r="B132" s="134">
        <v>42917</v>
      </c>
      <c r="C132">
        <v>0.14236432834000001</v>
      </c>
      <c r="D132" s="4">
        <v>2.5000000000000001E-2</v>
      </c>
      <c r="E132" s="64">
        <f>1.96*D132</f>
        <v>4.9000000000000002E-2</v>
      </c>
      <c r="F132" s="71">
        <f>1-C132</f>
        <v>0.85763567165999999</v>
      </c>
      <c r="G132" s="64"/>
      <c r="H132" s="64"/>
      <c r="I132" s="53"/>
      <c r="J132" s="44"/>
      <c r="K132" s="45"/>
      <c r="L132" s="46"/>
      <c r="M132" s="46"/>
      <c r="N132" s="70"/>
      <c r="O132" s="47"/>
    </row>
    <row r="133" spans="2:15" x14ac:dyDescent="0.25">
      <c r="B133" s="134">
        <v>42921</v>
      </c>
      <c r="C133">
        <v>0.38772344154999999</v>
      </c>
      <c r="D133" s="147">
        <v>2.9294660471095732E-2</v>
      </c>
      <c r="E133" s="64">
        <f t="shared" ref="E133:E139" si="23">1.96*D133</f>
        <v>5.7417534523347635E-2</v>
      </c>
      <c r="F133" s="71">
        <f t="shared" ref="F133:F139" si="24">1-C133</f>
        <v>0.61227655845000006</v>
      </c>
      <c r="G133" s="64"/>
      <c r="H133" s="64"/>
      <c r="I133" s="53"/>
      <c r="J133" s="44"/>
      <c r="K133" s="45"/>
      <c r="L133" s="46"/>
      <c r="M133" s="46"/>
      <c r="N133" s="70"/>
      <c r="O133" s="47"/>
    </row>
    <row r="134" spans="2:15" x14ac:dyDescent="0.25">
      <c r="B134" s="134">
        <v>42924</v>
      </c>
      <c r="C134">
        <v>0.57132401384999998</v>
      </c>
      <c r="D134" s="147">
        <v>4.3768624675588189E-2</v>
      </c>
      <c r="E134" s="64">
        <f t="shared" si="23"/>
        <v>8.5786504364152846E-2</v>
      </c>
      <c r="F134" s="71">
        <f t="shared" si="24"/>
        <v>0.42867598615000002</v>
      </c>
      <c r="G134" s="64"/>
      <c r="H134" s="64"/>
      <c r="I134" s="53"/>
      <c r="J134" s="44"/>
      <c r="K134" s="45"/>
      <c r="L134" s="46"/>
      <c r="M134" s="46"/>
      <c r="N134" s="70"/>
      <c r="O134" s="47"/>
    </row>
    <row r="135" spans="2:15" x14ac:dyDescent="0.25">
      <c r="B135" s="134">
        <v>42930</v>
      </c>
      <c r="C135">
        <v>0.71230605805000002</v>
      </c>
      <c r="D135" s="147">
        <v>5.482678371741849E-2</v>
      </c>
      <c r="E135" s="64">
        <f t="shared" si="23"/>
        <v>0.10746049608614024</v>
      </c>
      <c r="F135" s="71">
        <f t="shared" si="24"/>
        <v>0.28769394194999998</v>
      </c>
      <c r="G135" s="64"/>
      <c r="H135" s="64"/>
      <c r="I135" s="53"/>
      <c r="J135" s="44"/>
      <c r="K135" s="45"/>
      <c r="L135" s="46"/>
      <c r="M135" s="46"/>
      <c r="N135" s="70"/>
      <c r="O135" s="47"/>
    </row>
    <row r="136" spans="2:15" x14ac:dyDescent="0.25">
      <c r="B136" s="134">
        <v>42914</v>
      </c>
      <c r="C136">
        <v>0.17462905342999999</v>
      </c>
      <c r="D136" s="147">
        <v>5.455329775196275E-2</v>
      </c>
      <c r="E136" s="64">
        <f t="shared" si="23"/>
        <v>0.10692446359384698</v>
      </c>
      <c r="F136" s="71">
        <f t="shared" si="24"/>
        <v>0.82537094656999999</v>
      </c>
      <c r="G136" s="64"/>
      <c r="H136" s="64"/>
      <c r="I136" s="53"/>
      <c r="J136" s="44"/>
      <c r="K136" s="45"/>
      <c r="L136" s="46"/>
      <c r="M136" s="46"/>
      <c r="N136" s="70"/>
      <c r="O136" s="47"/>
    </row>
    <row r="137" spans="2:15" x14ac:dyDescent="0.25">
      <c r="B137" s="134">
        <v>42918</v>
      </c>
      <c r="C137">
        <v>0.21513286812999999</v>
      </c>
      <c r="D137" s="147">
        <v>5.2774119647345311E-2</v>
      </c>
      <c r="E137" s="64">
        <f t="shared" si="23"/>
        <v>0.10343727450879681</v>
      </c>
      <c r="F137" s="71">
        <f t="shared" si="24"/>
        <v>0.78486713187000001</v>
      </c>
      <c r="G137" s="64"/>
      <c r="H137" s="64"/>
      <c r="I137" s="53"/>
      <c r="J137" s="44"/>
      <c r="K137" s="45"/>
      <c r="L137" s="46"/>
      <c r="M137" s="46"/>
      <c r="N137" s="70"/>
      <c r="O137" s="47"/>
    </row>
    <row r="138" spans="2:15" x14ac:dyDescent="0.25">
      <c r="B138" s="134">
        <v>42922</v>
      </c>
      <c r="C138">
        <v>0.38207104493999999</v>
      </c>
      <c r="D138" s="147">
        <v>5.8738633411898597E-2</v>
      </c>
      <c r="E138" s="64">
        <f t="shared" si="23"/>
        <v>0.11512772148732124</v>
      </c>
      <c r="F138" s="71">
        <f t="shared" si="24"/>
        <v>0.61792895506000001</v>
      </c>
      <c r="G138" s="64"/>
      <c r="H138" s="64"/>
      <c r="I138" s="53"/>
      <c r="J138" s="44"/>
      <c r="K138" s="45"/>
      <c r="L138" s="46"/>
      <c r="M138" s="46"/>
      <c r="N138" s="70"/>
      <c r="O138" s="47"/>
    </row>
    <row r="139" spans="2:15" x14ac:dyDescent="0.25">
      <c r="B139" s="134">
        <v>42926</v>
      </c>
      <c r="C139">
        <v>0.64329943528</v>
      </c>
      <c r="D139" s="147">
        <v>2.5000000000000001E-2</v>
      </c>
      <c r="E139" s="64">
        <f t="shared" si="23"/>
        <v>4.9000000000000002E-2</v>
      </c>
      <c r="F139" s="71">
        <f t="shared" si="24"/>
        <v>0.35670056472</v>
      </c>
      <c r="G139" s="64"/>
      <c r="H139" s="64"/>
      <c r="I139" s="53"/>
      <c r="J139" s="44"/>
      <c r="K139" s="45"/>
      <c r="L139" s="46"/>
      <c r="M139" s="46"/>
      <c r="N139" s="70"/>
      <c r="O139" s="47"/>
    </row>
    <row r="140" spans="2:15" x14ac:dyDescent="0.25">
      <c r="B140" s="134">
        <v>42930</v>
      </c>
      <c r="C140">
        <v>0.77989192895000004</v>
      </c>
      <c r="D140" s="65"/>
      <c r="E140" s="64"/>
      <c r="F140" s="71"/>
      <c r="G140" s="64"/>
      <c r="H140" s="64"/>
      <c r="I140" s="53"/>
      <c r="J140" s="44"/>
      <c r="K140" s="45"/>
      <c r="L140" s="46"/>
      <c r="M140" s="46"/>
      <c r="N140" s="70"/>
      <c r="O140" s="47"/>
    </row>
    <row r="141" spans="2:15" x14ac:dyDescent="0.25">
      <c r="B141" s="134">
        <v>42934</v>
      </c>
      <c r="C141">
        <v>0.85745494431000002</v>
      </c>
      <c r="D141" s="65"/>
      <c r="E141" s="64"/>
      <c r="F141" s="71"/>
      <c r="G141" s="64"/>
      <c r="H141" s="64"/>
      <c r="I141" s="53"/>
      <c r="J141" s="44"/>
      <c r="K141" s="45"/>
      <c r="L141" s="46"/>
      <c r="M141" s="46"/>
      <c r="N141" s="70"/>
      <c r="O141" s="47"/>
    </row>
    <row r="142" spans="2:15" x14ac:dyDescent="0.25">
      <c r="B142" s="134">
        <v>42913</v>
      </c>
      <c r="C142">
        <v>9.5066198399999996E-2</v>
      </c>
      <c r="D142" s="65"/>
      <c r="E142" s="64"/>
      <c r="F142" s="71"/>
      <c r="G142" s="64"/>
      <c r="H142" s="64"/>
      <c r="I142" s="53"/>
      <c r="J142" s="44"/>
      <c r="K142" s="45"/>
      <c r="L142" s="46"/>
      <c r="M142" s="46"/>
      <c r="N142" s="70"/>
      <c r="O142" s="47"/>
    </row>
    <row r="143" spans="2:15" x14ac:dyDescent="0.25">
      <c r="B143" s="134">
        <v>42917</v>
      </c>
      <c r="C143">
        <v>6.7959138180000003E-2</v>
      </c>
      <c r="D143" s="65"/>
      <c r="E143" s="64"/>
      <c r="F143" s="71"/>
      <c r="G143" s="64"/>
      <c r="H143" s="64"/>
      <c r="I143" s="53"/>
      <c r="J143" s="44"/>
      <c r="K143" s="45"/>
      <c r="L143" s="46"/>
      <c r="M143" s="46"/>
      <c r="N143" s="70"/>
      <c r="O143" s="47"/>
    </row>
    <row r="144" spans="2:15" x14ac:dyDescent="0.25">
      <c r="B144" s="134">
        <v>42921</v>
      </c>
      <c r="C144">
        <v>0.13628831517000001</v>
      </c>
      <c r="D144" s="65"/>
      <c r="E144" s="64"/>
      <c r="F144" s="71"/>
      <c r="G144" s="64"/>
      <c r="H144" s="64"/>
      <c r="I144" s="53"/>
      <c r="J144" s="44"/>
      <c r="K144" s="45"/>
      <c r="L144" s="46"/>
      <c r="M144" s="46"/>
      <c r="N144" s="70"/>
      <c r="O144" s="47"/>
    </row>
    <row r="145" spans="2:15" x14ac:dyDescent="0.25">
      <c r="B145" s="134">
        <v>42928</v>
      </c>
      <c r="C145">
        <v>0.10614953457</v>
      </c>
      <c r="D145" s="65"/>
      <c r="E145" s="64"/>
      <c r="F145" s="71"/>
      <c r="G145" s="64"/>
      <c r="H145" s="64"/>
      <c r="I145" s="53"/>
      <c r="J145" s="44"/>
      <c r="K145" s="45"/>
      <c r="L145" s="46"/>
      <c r="M145" s="46"/>
      <c r="N145" s="70"/>
      <c r="O145" s="47"/>
    </row>
    <row r="146" spans="2:15" x14ac:dyDescent="0.25">
      <c r="B146" s="134">
        <v>42934</v>
      </c>
      <c r="C146">
        <v>0.63694789038999999</v>
      </c>
      <c r="D146" s="65"/>
      <c r="E146" s="64"/>
      <c r="F146" s="71"/>
      <c r="G146" s="64"/>
      <c r="H146" s="64"/>
      <c r="I146" s="53"/>
      <c r="J146" s="44"/>
      <c r="K146" s="45"/>
      <c r="L146" s="46"/>
      <c r="M146" s="46"/>
      <c r="N146" s="70"/>
      <c r="O146" s="47"/>
    </row>
    <row r="147" spans="2:15" x14ac:dyDescent="0.25">
      <c r="B147" s="134">
        <v>42941</v>
      </c>
      <c r="C147">
        <v>0.61665790052000002</v>
      </c>
      <c r="D147" s="65"/>
      <c r="E147" s="64"/>
      <c r="F147" s="71"/>
      <c r="G147" s="64"/>
      <c r="H147" s="64"/>
      <c r="I147" s="53"/>
      <c r="J147" s="44"/>
      <c r="K147" s="45"/>
      <c r="L147" s="46"/>
      <c r="M147" s="46"/>
      <c r="N147" s="70"/>
      <c r="O147" s="47"/>
    </row>
    <row r="148" spans="2:15" x14ac:dyDescent="0.25">
      <c r="B148" s="134">
        <v>42913</v>
      </c>
      <c r="C148">
        <v>1.211964382E-2</v>
      </c>
      <c r="D148" s="65"/>
      <c r="E148" s="64"/>
      <c r="F148" s="71"/>
      <c r="G148" s="64"/>
      <c r="H148" s="64"/>
      <c r="I148" s="53"/>
      <c r="J148" s="44"/>
      <c r="K148" s="45"/>
      <c r="L148" s="46"/>
      <c r="M148" s="46"/>
      <c r="N148" s="70"/>
      <c r="O148" s="47"/>
    </row>
    <row r="149" spans="2:15" x14ac:dyDescent="0.25">
      <c r="B149" s="134">
        <v>42918</v>
      </c>
      <c r="C149">
        <v>0.20070242641</v>
      </c>
      <c r="D149" s="65"/>
      <c r="E149" s="64"/>
      <c r="F149" s="71"/>
      <c r="G149" s="64"/>
      <c r="H149" s="64"/>
      <c r="I149" s="53"/>
      <c r="J149" s="44"/>
      <c r="K149" s="45"/>
      <c r="L149" s="46"/>
      <c r="M149" s="46"/>
      <c r="N149" s="70"/>
      <c r="O149" s="47"/>
    </row>
    <row r="150" spans="2:15" x14ac:dyDescent="0.25">
      <c r="B150" s="134">
        <v>42923</v>
      </c>
      <c r="C150">
        <v>0.37352882179000002</v>
      </c>
      <c r="D150" s="65"/>
      <c r="E150" s="64"/>
      <c r="F150" s="71"/>
      <c r="G150" s="64"/>
      <c r="H150" s="64"/>
      <c r="I150" s="53"/>
      <c r="J150" s="44"/>
      <c r="K150" s="45"/>
      <c r="L150" s="46"/>
      <c r="M150" s="46"/>
      <c r="N150" s="70"/>
      <c r="O150" s="47"/>
    </row>
    <row r="151" spans="2:15" x14ac:dyDescent="0.25">
      <c r="B151" s="134">
        <v>42928</v>
      </c>
      <c r="C151">
        <v>0.57831060958000002</v>
      </c>
      <c r="D151" s="65"/>
      <c r="E151" s="64"/>
      <c r="F151" s="71"/>
      <c r="G151" s="64"/>
      <c r="H151" s="64"/>
      <c r="I151" s="53"/>
      <c r="J151" s="44"/>
      <c r="K151" s="45"/>
      <c r="L151" s="46"/>
      <c r="M151" s="46"/>
      <c r="N151" s="70"/>
      <c r="O151" s="47"/>
    </row>
    <row r="152" spans="2:15" x14ac:dyDescent="0.25">
      <c r="B152" s="134">
        <v>42933</v>
      </c>
      <c r="C152">
        <v>0.80114727205000003</v>
      </c>
      <c r="D152" s="65">
        <v>0.99937189731766174</v>
      </c>
      <c r="E152" s="65"/>
      <c r="F152" s="71"/>
      <c r="G152" s="64"/>
      <c r="H152" s="64"/>
      <c r="I152" s="53"/>
      <c r="J152" s="44"/>
      <c r="K152" s="45"/>
      <c r="L152" s="46"/>
      <c r="M152" s="46"/>
      <c r="N152" s="70"/>
      <c r="O152" s="47"/>
    </row>
    <row r="153" spans="2:15" x14ac:dyDescent="0.25">
      <c r="B153" s="134">
        <v>42942</v>
      </c>
      <c r="C153">
        <v>0.86473196691999998</v>
      </c>
      <c r="D153" s="65">
        <v>0.99927033440039681</v>
      </c>
      <c r="E153" s="65"/>
      <c r="F153" s="71"/>
      <c r="G153" s="64"/>
      <c r="H153" s="64"/>
      <c r="I153" s="53"/>
      <c r="J153" s="44"/>
      <c r="K153" s="45"/>
      <c r="L153" s="46"/>
      <c r="M153" s="46"/>
      <c r="N153" s="70"/>
      <c r="O153" s="47"/>
    </row>
    <row r="154" spans="2:15" x14ac:dyDescent="0.25">
      <c r="B154" s="134">
        <v>42911</v>
      </c>
      <c r="C154">
        <v>1.4373661500000001E-2</v>
      </c>
      <c r="D154" s="65">
        <v>0.99915236289651199</v>
      </c>
      <c r="E154" s="65"/>
      <c r="F154" s="71"/>
      <c r="G154" s="64"/>
      <c r="H154" s="64"/>
      <c r="I154" s="53"/>
      <c r="J154" s="44"/>
      <c r="K154" s="45"/>
      <c r="L154" s="46"/>
      <c r="M154" s="46"/>
      <c r="N154" s="70"/>
      <c r="O154" s="47"/>
    </row>
    <row r="155" spans="2:15" x14ac:dyDescent="0.25">
      <c r="B155" s="134">
        <v>42917</v>
      </c>
      <c r="C155">
        <v>0.14530426295000001</v>
      </c>
      <c r="D155" s="65">
        <v>0.9990153366888026</v>
      </c>
      <c r="E155" s="65"/>
      <c r="F155" s="71"/>
      <c r="G155" s="64"/>
      <c r="H155" s="64"/>
      <c r="I155" s="53"/>
      <c r="J155" s="44"/>
      <c r="K155" s="45"/>
      <c r="L155" s="46"/>
      <c r="M155" s="46"/>
      <c r="N155" s="70"/>
      <c r="O155" s="47"/>
    </row>
    <row r="156" spans="2:15" x14ac:dyDescent="0.25">
      <c r="B156" s="134">
        <v>42923</v>
      </c>
      <c r="C156">
        <v>0.28467891862</v>
      </c>
      <c r="D156" s="65">
        <v>0.99885618463641579</v>
      </c>
      <c r="E156" s="65"/>
      <c r="F156" s="71"/>
      <c r="G156" s="64"/>
      <c r="H156" s="64"/>
      <c r="I156" s="53"/>
      <c r="J156" s="44"/>
      <c r="K156" s="45"/>
      <c r="L156" s="46"/>
      <c r="M156" s="46"/>
      <c r="N156" s="70"/>
      <c r="O156" s="47"/>
    </row>
    <row r="157" spans="2:15" x14ac:dyDescent="0.25">
      <c r="B157" s="134">
        <v>42929</v>
      </c>
      <c r="C157">
        <v>0.68313881839000001</v>
      </c>
      <c r="D157" s="65">
        <v>0.9986713429007984</v>
      </c>
      <c r="E157" s="65"/>
      <c r="F157" s="71"/>
      <c r="G157" s="64"/>
      <c r="H157" s="64"/>
      <c r="I157" s="53"/>
      <c r="J157" s="44"/>
      <c r="K157" s="45"/>
      <c r="L157" s="46"/>
      <c r="M157" s="46"/>
      <c r="N157" s="70"/>
      <c r="O157" s="47"/>
    </row>
    <row r="158" spans="2:15" x14ac:dyDescent="0.25">
      <c r="B158" s="134">
        <v>42934</v>
      </c>
      <c r="C158">
        <v>0.58347815381000001</v>
      </c>
      <c r="D158" s="65">
        <v>0.9984566767039742</v>
      </c>
      <c r="E158" s="65"/>
      <c r="F158" s="71"/>
      <c r="G158" s="64"/>
      <c r="H158" s="64"/>
      <c r="I158" s="53"/>
      <c r="J158" s="44"/>
      <c r="K158" s="45"/>
      <c r="L158" s="46"/>
      <c r="M158" s="46"/>
      <c r="N158" s="70"/>
      <c r="O158" s="47"/>
    </row>
    <row r="159" spans="2:15" x14ac:dyDescent="0.25">
      <c r="B159" s="134">
        <v>42939</v>
      </c>
      <c r="C159">
        <v>0.57123000782</v>
      </c>
      <c r="D159" s="65">
        <v>0.99820738994185276</v>
      </c>
      <c r="E159" s="65"/>
      <c r="F159" s="71"/>
      <c r="G159" s="64"/>
      <c r="H159" s="64"/>
      <c r="I159" s="53"/>
      <c r="J159" s="44"/>
      <c r="K159" s="45"/>
      <c r="L159" s="46"/>
      <c r="M159" s="46"/>
      <c r="N159" s="70"/>
      <c r="O159" s="47"/>
    </row>
    <row r="160" spans="2:15" x14ac:dyDescent="0.25">
      <c r="B160" s="63"/>
      <c r="C160" s="64"/>
      <c r="D160" s="65"/>
      <c r="E160" s="65"/>
      <c r="F160" s="71"/>
      <c r="G160" s="64"/>
      <c r="H160" s="64"/>
      <c r="I160" s="53"/>
      <c r="J160" s="44"/>
      <c r="K160" s="45"/>
      <c r="L160" s="46"/>
      <c r="M160" s="46"/>
      <c r="N160" s="70"/>
      <c r="O160" s="47"/>
    </row>
    <row r="161" spans="2:9" x14ac:dyDescent="0.25">
      <c r="B161" s="63"/>
      <c r="C161" s="64"/>
      <c r="D161" s="65"/>
      <c r="E161" s="65"/>
      <c r="F161" s="71"/>
      <c r="G161" s="64"/>
      <c r="H161" s="64"/>
      <c r="I161" s="53"/>
    </row>
    <row r="162" spans="2:9" x14ac:dyDescent="0.25">
      <c r="B162" s="63"/>
      <c r="C162" s="64"/>
      <c r="D162" s="65"/>
      <c r="E162" s="65"/>
      <c r="F162" s="71"/>
      <c r="G162" s="64"/>
      <c r="H162" s="64"/>
      <c r="I162" s="53"/>
    </row>
    <row r="163" spans="2:9" x14ac:dyDescent="0.25">
      <c r="B163" s="63"/>
      <c r="C163" s="64"/>
      <c r="D163" s="65"/>
      <c r="E163" s="65"/>
      <c r="F163" s="71"/>
      <c r="G163" s="64"/>
      <c r="H163" s="64"/>
      <c r="I163" s="53"/>
    </row>
    <row r="164" spans="2:9" x14ac:dyDescent="0.25">
      <c r="B164" s="63"/>
      <c r="C164" s="64"/>
      <c r="D164" s="65"/>
      <c r="E164" s="65"/>
      <c r="F164" s="71"/>
      <c r="G164" s="64"/>
      <c r="H164" s="64"/>
      <c r="I164" s="53"/>
    </row>
    <row r="165" spans="2:9" x14ac:dyDescent="0.25">
      <c r="B165" s="63"/>
      <c r="C165" s="64"/>
      <c r="D165" s="65"/>
      <c r="E165" s="65"/>
      <c r="F165" s="71"/>
      <c r="G165" s="64"/>
      <c r="H165" s="64"/>
      <c r="I165" s="53"/>
    </row>
    <row r="166" spans="2:9" x14ac:dyDescent="0.25">
      <c r="B166" s="63"/>
      <c r="C166" s="64"/>
      <c r="D166" s="65"/>
      <c r="E166" s="65"/>
      <c r="F166" s="71"/>
      <c r="G166" s="64"/>
      <c r="H166" s="64"/>
      <c r="I166" s="53"/>
    </row>
    <row r="167" spans="2:9" x14ac:dyDescent="0.25">
      <c r="B167" s="63"/>
      <c r="C167" s="64"/>
      <c r="D167" s="65"/>
      <c r="E167" s="65"/>
      <c r="F167" s="71"/>
      <c r="G167" s="64"/>
      <c r="H167" s="64"/>
      <c r="I167" s="53"/>
    </row>
    <row r="168" spans="2:9" x14ac:dyDescent="0.25">
      <c r="B168" s="63"/>
      <c r="C168" s="64"/>
      <c r="D168" s="65"/>
      <c r="E168" s="65"/>
      <c r="F168" s="71"/>
      <c r="G168" s="64"/>
      <c r="H168" s="64"/>
      <c r="I168" s="53"/>
    </row>
    <row r="169" spans="2:9" x14ac:dyDescent="0.25">
      <c r="B169" s="63"/>
      <c r="C169" s="64"/>
      <c r="D169" s="65"/>
      <c r="E169" s="65"/>
      <c r="F169" s="71"/>
      <c r="G169" s="64"/>
      <c r="H169" s="64"/>
      <c r="I169" s="53"/>
    </row>
    <row r="170" spans="2:9" x14ac:dyDescent="0.25">
      <c r="B170" s="63"/>
      <c r="C170" s="64"/>
      <c r="D170" s="65"/>
      <c r="E170" s="65"/>
      <c r="F170" s="71"/>
      <c r="G170" s="64"/>
      <c r="H170" s="64"/>
      <c r="I170" s="53"/>
    </row>
    <row r="171" spans="2:9" x14ac:dyDescent="0.25">
      <c r="B171" s="63"/>
      <c r="C171" s="64"/>
      <c r="D171" s="65"/>
      <c r="E171" s="65"/>
      <c r="F171" s="71"/>
      <c r="G171" s="64"/>
      <c r="H171" s="64"/>
      <c r="I171" s="53"/>
    </row>
    <row r="172" spans="2:9" x14ac:dyDescent="0.25">
      <c r="B172" s="63"/>
      <c r="C172" s="64"/>
      <c r="D172" s="65"/>
      <c r="E172" s="65"/>
      <c r="F172" s="71"/>
      <c r="G172" s="64"/>
      <c r="H172" s="64"/>
      <c r="I172" s="53"/>
    </row>
    <row r="173" spans="2:9" x14ac:dyDescent="0.25">
      <c r="B173" s="63"/>
      <c r="C173" s="64"/>
      <c r="D173" s="65"/>
      <c r="E173" s="65"/>
      <c r="F173" s="71"/>
      <c r="G173" s="64"/>
      <c r="H173" s="64"/>
      <c r="I173" s="53"/>
    </row>
    <row r="174" spans="2:9" x14ac:dyDescent="0.25">
      <c r="B174" s="63"/>
      <c r="C174" s="64"/>
      <c r="D174" s="65"/>
      <c r="E174" s="65"/>
      <c r="F174" s="71"/>
      <c r="G174" s="64"/>
      <c r="H174" s="64"/>
      <c r="I174" s="53"/>
    </row>
    <row r="175" spans="2:9" x14ac:dyDescent="0.25">
      <c r="B175" s="63"/>
      <c r="C175" s="64"/>
      <c r="D175" s="65"/>
      <c r="E175" s="65"/>
      <c r="F175" s="71"/>
      <c r="G175" s="64"/>
      <c r="H175" s="64"/>
      <c r="I175" s="53"/>
    </row>
    <row r="176" spans="2:9" x14ac:dyDescent="0.25">
      <c r="B176" s="63"/>
      <c r="C176" s="64"/>
      <c r="D176" s="65"/>
      <c r="E176" s="65"/>
      <c r="F176" s="71"/>
      <c r="G176" s="64"/>
      <c r="H176" s="64"/>
      <c r="I176" s="53"/>
    </row>
    <row r="177" spans="2:9" x14ac:dyDescent="0.25">
      <c r="B177" s="63"/>
      <c r="C177" s="64"/>
      <c r="D177" s="65"/>
      <c r="E177" s="65"/>
      <c r="F177" s="71"/>
      <c r="G177" s="64"/>
      <c r="H177" s="64"/>
      <c r="I177" s="53"/>
    </row>
    <row r="178" spans="2:9" x14ac:dyDescent="0.25">
      <c r="B178" s="63"/>
      <c r="C178" s="64"/>
      <c r="D178" s="65"/>
      <c r="E178" s="65"/>
      <c r="F178" s="71"/>
      <c r="G178" s="64"/>
      <c r="H178" s="64"/>
      <c r="I178" s="53"/>
    </row>
    <row r="179" spans="2:9" x14ac:dyDescent="0.25">
      <c r="B179" s="63"/>
      <c r="C179" s="64"/>
      <c r="D179" s="65"/>
      <c r="E179" s="65"/>
      <c r="F179" s="71"/>
      <c r="G179" s="64"/>
      <c r="H179" s="64"/>
      <c r="I179" s="53"/>
    </row>
    <row r="180" spans="2:9" x14ac:dyDescent="0.25">
      <c r="B180" s="63"/>
      <c r="C180" s="64"/>
      <c r="D180" s="65"/>
      <c r="E180" s="65"/>
      <c r="F180" s="71"/>
      <c r="G180" s="64"/>
      <c r="H180" s="64"/>
      <c r="I180" s="53"/>
    </row>
    <row r="181" spans="2:9" x14ac:dyDescent="0.25">
      <c r="B181" s="63"/>
      <c r="C181" s="64"/>
      <c r="D181" s="65"/>
      <c r="E181" s="65"/>
      <c r="F181" s="71"/>
      <c r="G181" s="64"/>
      <c r="H181" s="64"/>
      <c r="I181" s="53"/>
    </row>
    <row r="182" spans="2:9" x14ac:dyDescent="0.25">
      <c r="B182" s="63"/>
      <c r="C182" s="64"/>
      <c r="D182" s="65"/>
      <c r="E182" s="65"/>
      <c r="F182" s="71"/>
      <c r="G182" s="64"/>
      <c r="H182" s="64"/>
      <c r="I182" s="53"/>
    </row>
    <row r="183" spans="2:9" x14ac:dyDescent="0.25">
      <c r="B183" s="63"/>
      <c r="C183" s="64"/>
      <c r="D183" s="65"/>
      <c r="E183" s="65"/>
      <c r="F183" s="71"/>
      <c r="G183" s="64"/>
      <c r="H183" s="64"/>
      <c r="I183" s="53"/>
    </row>
    <row r="184" spans="2:9" x14ac:dyDescent="0.25">
      <c r="B184" s="63"/>
      <c r="C184" s="64"/>
      <c r="D184" s="65"/>
      <c r="E184" s="65"/>
      <c r="F184" s="71"/>
      <c r="G184" s="64"/>
      <c r="H184" s="64"/>
      <c r="I184" s="53"/>
    </row>
    <row r="185" spans="2:9" x14ac:dyDescent="0.25">
      <c r="B185" s="63"/>
      <c r="C185" s="64"/>
      <c r="D185" s="65"/>
      <c r="E185" s="65"/>
      <c r="F185" s="71"/>
      <c r="G185" s="64"/>
      <c r="H185" s="64"/>
      <c r="I185" s="53"/>
    </row>
    <row r="186" spans="2:9" x14ac:dyDescent="0.25">
      <c r="B186" s="63"/>
      <c r="C186" s="64"/>
      <c r="D186" s="65"/>
      <c r="E186" s="65"/>
      <c r="F186" s="71"/>
      <c r="G186" s="64"/>
      <c r="H186" s="64"/>
      <c r="I186" s="53"/>
    </row>
    <row r="187" spans="2:9" x14ac:dyDescent="0.25">
      <c r="B187" s="63"/>
      <c r="C187" s="64"/>
      <c r="D187" s="65"/>
      <c r="E187" s="65"/>
      <c r="F187" s="71"/>
      <c r="G187" s="64"/>
      <c r="H187" s="64"/>
      <c r="I187" s="53"/>
    </row>
    <row r="188" spans="2:9" x14ac:dyDescent="0.25">
      <c r="B188" s="63"/>
      <c r="C188" s="64"/>
      <c r="D188" s="65"/>
      <c r="E188" s="65"/>
      <c r="F188" s="71"/>
      <c r="G188" s="64"/>
      <c r="H188" s="64"/>
      <c r="I188" s="53"/>
    </row>
    <row r="189" spans="2:9" x14ac:dyDescent="0.25">
      <c r="D189" s="65"/>
      <c r="E189" s="65"/>
      <c r="F189" s="71"/>
      <c r="G189" s="64"/>
      <c r="H189" s="64"/>
      <c r="I189" s="53"/>
    </row>
    <row r="190" spans="2:9" x14ac:dyDescent="0.25">
      <c r="D190" s="65"/>
      <c r="E190" s="65"/>
      <c r="F190" s="71"/>
      <c r="G190" s="64"/>
      <c r="H190" s="64"/>
      <c r="I190" s="53"/>
    </row>
    <row r="191" spans="2:9" x14ac:dyDescent="0.25">
      <c r="B191" s="63"/>
      <c r="C191" s="64"/>
      <c r="D191" s="65"/>
      <c r="E191" s="65"/>
      <c r="F191" s="71"/>
      <c r="G191" s="64"/>
      <c r="H191" s="64"/>
      <c r="I191" s="53"/>
    </row>
    <row r="192" spans="2:9" x14ac:dyDescent="0.25">
      <c r="B192" s="63"/>
      <c r="C192" s="64"/>
      <c r="D192" s="65"/>
      <c r="E192" s="65"/>
      <c r="F192" s="72"/>
      <c r="G192" s="64"/>
      <c r="H192" s="64"/>
      <c r="I192" s="53"/>
    </row>
    <row r="193" spans="2:9" x14ac:dyDescent="0.25">
      <c r="B193" s="72"/>
      <c r="C193" s="64"/>
      <c r="D193" s="64"/>
      <c r="E193" s="65"/>
      <c r="F193" s="72"/>
      <c r="G193" s="64"/>
      <c r="H193" s="64"/>
      <c r="I193" s="53"/>
    </row>
    <row r="194" spans="2:9" x14ac:dyDescent="0.25">
      <c r="C194" s="9"/>
      <c r="D194" s="9"/>
      <c r="E194" s="65"/>
      <c r="G194" s="53"/>
      <c r="H194" s="53"/>
      <c r="I194" s="53"/>
    </row>
    <row r="195" spans="2:9" x14ac:dyDescent="0.25">
      <c r="C195" s="9"/>
      <c r="D195" s="9"/>
      <c r="E195" s="65"/>
      <c r="G195" s="53"/>
      <c r="H195" s="53"/>
      <c r="I195" s="53"/>
    </row>
    <row r="196" spans="2:9" x14ac:dyDescent="0.25">
      <c r="C196" s="9"/>
      <c r="D196" s="9"/>
      <c r="E196" s="65"/>
      <c r="G196" s="53"/>
      <c r="H196" s="53"/>
      <c r="I196" s="53"/>
    </row>
    <row r="197" spans="2:9" x14ac:dyDescent="0.25">
      <c r="C197" s="9"/>
      <c r="D197" s="9"/>
      <c r="E197" s="65"/>
      <c r="G197" s="53"/>
      <c r="H197" s="53"/>
      <c r="I197" s="53"/>
    </row>
    <row r="198" spans="2:9" x14ac:dyDescent="0.25">
      <c r="C198" s="9"/>
      <c r="D198" s="9"/>
      <c r="E198" s="65"/>
      <c r="G198" s="53"/>
      <c r="H198" s="53"/>
      <c r="I198" s="53"/>
    </row>
    <row r="199" spans="2:9" x14ac:dyDescent="0.25">
      <c r="C199" s="9"/>
      <c r="D199" s="9"/>
      <c r="E199" s="65"/>
      <c r="G199" s="53"/>
      <c r="H199" s="53"/>
      <c r="I199" s="53"/>
    </row>
    <row r="200" spans="2:9" x14ac:dyDescent="0.25">
      <c r="C200" s="9"/>
      <c r="D200" s="9"/>
      <c r="E200" s="65"/>
      <c r="G200" s="53"/>
      <c r="H200" s="53"/>
      <c r="I200" s="53"/>
    </row>
    <row r="201" spans="2:9" x14ac:dyDescent="0.25">
      <c r="C201" s="9"/>
      <c r="D201" s="9"/>
      <c r="E201" s="65"/>
      <c r="G201" s="53"/>
      <c r="H201" s="53"/>
      <c r="I201" s="53"/>
    </row>
    <row r="202" spans="2:9" x14ac:dyDescent="0.25">
      <c r="C202" s="9"/>
      <c r="D202" s="9"/>
      <c r="E202" s="65"/>
      <c r="G202" s="53"/>
      <c r="H202" s="53"/>
      <c r="I202" s="53"/>
    </row>
    <row r="203" spans="2:9" x14ac:dyDescent="0.25">
      <c r="C203" s="9"/>
      <c r="D203" s="9"/>
      <c r="E203" s="65"/>
      <c r="G203" s="53"/>
      <c r="H203" s="53"/>
      <c r="I203" s="53"/>
    </row>
    <row r="204" spans="2:9" x14ac:dyDescent="0.25">
      <c r="C204" s="9"/>
      <c r="D204" s="9"/>
      <c r="E204" s="65"/>
      <c r="G204" s="53"/>
      <c r="H204" s="53"/>
      <c r="I204" s="53"/>
    </row>
    <row r="205" spans="2:9" x14ac:dyDescent="0.25">
      <c r="C205" s="9"/>
      <c r="D205" s="9"/>
      <c r="E205" s="65"/>
      <c r="G205" s="53"/>
      <c r="H205" s="53"/>
      <c r="I205" s="53"/>
    </row>
    <row r="206" spans="2:9" x14ac:dyDescent="0.25">
      <c r="C206" s="9"/>
      <c r="D206" s="9"/>
      <c r="E206" s="65"/>
      <c r="G206" s="53"/>
      <c r="H206" s="53"/>
      <c r="I206" s="53"/>
    </row>
    <row r="207" spans="2:9" x14ac:dyDescent="0.25">
      <c r="C207" s="9"/>
      <c r="D207" s="9"/>
      <c r="E207" s="65"/>
      <c r="G207" s="53"/>
      <c r="H207" s="53"/>
      <c r="I207" s="53"/>
    </row>
    <row r="208" spans="2:9" x14ac:dyDescent="0.25">
      <c r="C208" s="9"/>
      <c r="D208" s="9"/>
      <c r="E208" s="65"/>
      <c r="G208" s="53"/>
      <c r="H208" s="53"/>
      <c r="I208" s="53"/>
    </row>
    <row r="209" spans="3:9" x14ac:dyDescent="0.25">
      <c r="C209" s="9"/>
      <c r="D209" s="9"/>
      <c r="E209" s="65"/>
      <c r="G209" s="53"/>
      <c r="H209" s="53"/>
      <c r="I209" s="53"/>
    </row>
    <row r="210" spans="3:9" x14ac:dyDescent="0.25">
      <c r="C210" s="9"/>
      <c r="D210" s="9"/>
      <c r="E210" s="65"/>
      <c r="G210" s="53"/>
      <c r="H210" s="53"/>
      <c r="I210" s="53"/>
    </row>
    <row r="211" spans="3:9" x14ac:dyDescent="0.25">
      <c r="C211" s="9"/>
      <c r="D211" s="9"/>
      <c r="E211" s="65"/>
      <c r="G211" s="53"/>
      <c r="H211" s="53"/>
      <c r="I211" s="53"/>
    </row>
    <row r="212" spans="3:9" x14ac:dyDescent="0.25">
      <c r="C212" s="9"/>
      <c r="D212" s="9"/>
      <c r="E212" s="65"/>
      <c r="G212" s="53"/>
      <c r="H212" s="53"/>
      <c r="I212" s="53"/>
    </row>
    <row r="213" spans="3:9" x14ac:dyDescent="0.25">
      <c r="C213" s="9"/>
      <c r="D213" s="9"/>
      <c r="E213" s="65"/>
      <c r="G213" s="53"/>
      <c r="H213" s="53"/>
      <c r="I213" s="53"/>
    </row>
    <row r="214" spans="3:9" x14ac:dyDescent="0.25">
      <c r="C214" s="9"/>
      <c r="D214" s="9"/>
      <c r="E214" s="65"/>
      <c r="G214" s="53"/>
      <c r="H214" s="53"/>
      <c r="I214" s="53"/>
    </row>
    <row r="215" spans="3:9" x14ac:dyDescent="0.25">
      <c r="C215" s="9"/>
      <c r="D215" s="9"/>
      <c r="E215" s="65"/>
      <c r="G215" s="53"/>
      <c r="H215" s="53"/>
      <c r="I215" s="53"/>
    </row>
    <row r="216" spans="3:9" x14ac:dyDescent="0.25">
      <c r="C216" s="9"/>
      <c r="D216" s="9"/>
      <c r="E216" s="65"/>
      <c r="G216" s="53"/>
      <c r="H216" s="53"/>
      <c r="I216" s="53"/>
    </row>
    <row r="217" spans="3:9" x14ac:dyDescent="0.25">
      <c r="C217" s="9"/>
      <c r="D217" s="9"/>
      <c r="E217" s="65"/>
      <c r="G217" s="53"/>
      <c r="H217" s="53"/>
      <c r="I217" s="53"/>
    </row>
    <row r="218" spans="3:9" x14ac:dyDescent="0.25">
      <c r="C218" s="9"/>
      <c r="D218" s="9"/>
      <c r="E218" s="65"/>
      <c r="G218" s="53"/>
      <c r="H218" s="53"/>
      <c r="I218" s="53"/>
    </row>
    <row r="219" spans="3:9" x14ac:dyDescent="0.25">
      <c r="C219" s="9"/>
      <c r="D219" s="9"/>
      <c r="E219" s="65"/>
      <c r="G219" s="53"/>
      <c r="H219" s="53"/>
      <c r="I219" s="53"/>
    </row>
    <row r="220" spans="3:9" x14ac:dyDescent="0.25">
      <c r="C220" s="9"/>
      <c r="D220" s="9"/>
      <c r="E220" s="65"/>
      <c r="G220" s="53"/>
      <c r="H220" s="53"/>
      <c r="I220" s="53"/>
    </row>
    <row r="221" spans="3:9" x14ac:dyDescent="0.25">
      <c r="C221" s="9"/>
      <c r="D221" s="9"/>
      <c r="E221" s="65"/>
      <c r="G221" s="53"/>
      <c r="H221" s="53"/>
      <c r="I221" s="53"/>
    </row>
    <row r="222" spans="3:9" x14ac:dyDescent="0.25">
      <c r="C222" s="9"/>
      <c r="D222" s="9"/>
      <c r="E222" s="65"/>
      <c r="G222" s="53"/>
      <c r="H222" s="53"/>
      <c r="I222" s="53"/>
    </row>
    <row r="223" spans="3:9" x14ac:dyDescent="0.25">
      <c r="C223" s="9"/>
      <c r="D223" s="9"/>
      <c r="E223" s="65"/>
      <c r="G223" s="53"/>
      <c r="H223" s="53"/>
      <c r="I223" s="53"/>
    </row>
    <row r="224" spans="3:9" x14ac:dyDescent="0.25">
      <c r="C224" s="9"/>
      <c r="D224" s="9"/>
      <c r="E224" s="65"/>
      <c r="G224" s="53"/>
      <c r="H224" s="53"/>
      <c r="I224" s="53"/>
    </row>
    <row r="225" spans="3:9" x14ac:dyDescent="0.25">
      <c r="C225" s="9"/>
      <c r="D225" s="9"/>
      <c r="E225" s="65"/>
      <c r="G225" s="53"/>
      <c r="H225" s="53"/>
      <c r="I225" s="53"/>
    </row>
    <row r="226" spans="3:9" x14ac:dyDescent="0.25">
      <c r="C226" s="9"/>
      <c r="D226" s="9"/>
      <c r="E226" s="65"/>
      <c r="G226" s="53"/>
      <c r="H226" s="53"/>
      <c r="I226" s="53"/>
    </row>
    <row r="227" spans="3:9" x14ac:dyDescent="0.25">
      <c r="C227" s="9"/>
      <c r="D227" s="9"/>
      <c r="E227" s="65"/>
      <c r="G227" s="53"/>
      <c r="H227" s="53"/>
      <c r="I227" s="53"/>
    </row>
    <row r="228" spans="3:9" x14ac:dyDescent="0.25">
      <c r="C228" s="9"/>
      <c r="D228" s="9"/>
      <c r="E228" s="65"/>
      <c r="G228" s="53"/>
      <c r="H228" s="53"/>
      <c r="I228" s="53"/>
    </row>
    <row r="229" spans="3:9" x14ac:dyDescent="0.25">
      <c r="C229" s="9"/>
      <c r="D229" s="9"/>
      <c r="E229" s="65"/>
      <c r="G229" s="53"/>
      <c r="H229" s="53"/>
      <c r="I229" s="53"/>
    </row>
    <row r="230" spans="3:9" x14ac:dyDescent="0.25">
      <c r="C230" s="9"/>
      <c r="D230" s="9"/>
      <c r="E230" s="65"/>
      <c r="G230" s="53"/>
      <c r="H230" s="53"/>
      <c r="I230" s="53"/>
    </row>
    <row r="231" spans="3:9" x14ac:dyDescent="0.25">
      <c r="C231" s="9"/>
      <c r="D231" s="9"/>
      <c r="E231" s="65"/>
      <c r="G231" s="53"/>
      <c r="H231" s="53"/>
      <c r="I231" s="53"/>
    </row>
    <row r="232" spans="3:9" x14ac:dyDescent="0.25">
      <c r="C232" s="9"/>
      <c r="D232" s="9"/>
      <c r="E232" s="65"/>
      <c r="G232" s="53"/>
      <c r="H232" s="53"/>
      <c r="I232" s="53"/>
    </row>
    <row r="233" spans="3:9" x14ac:dyDescent="0.25">
      <c r="C233" s="9"/>
      <c r="D233" s="9"/>
      <c r="E233" s="65"/>
      <c r="G233" s="53"/>
      <c r="H233" s="53"/>
      <c r="I233" s="53"/>
    </row>
    <row r="234" spans="3:9" x14ac:dyDescent="0.25">
      <c r="C234" s="9"/>
      <c r="D234" s="9"/>
      <c r="E234" s="65"/>
      <c r="G234" s="53"/>
      <c r="H234" s="53"/>
      <c r="I234" s="53"/>
    </row>
    <row r="235" spans="3:9" x14ac:dyDescent="0.25">
      <c r="C235" s="9"/>
      <c r="D235" s="9"/>
      <c r="E235" s="65"/>
      <c r="G235" s="53"/>
      <c r="H235" s="53"/>
      <c r="I235" s="53"/>
    </row>
    <row r="236" spans="3:9" x14ac:dyDescent="0.25">
      <c r="C236" s="9"/>
      <c r="D236" s="9"/>
      <c r="E236" s="65"/>
      <c r="G236" s="53"/>
      <c r="H236" s="53"/>
      <c r="I236" s="53"/>
    </row>
    <row r="237" spans="3:9" x14ac:dyDescent="0.25">
      <c r="C237" s="9"/>
      <c r="D237" s="9"/>
      <c r="E237" s="65"/>
      <c r="G237" s="53"/>
      <c r="H237" s="53"/>
      <c r="I237" s="53"/>
    </row>
    <row r="238" spans="3:9" x14ac:dyDescent="0.25">
      <c r="C238" s="9"/>
      <c r="D238" s="9"/>
      <c r="E238" s="65"/>
      <c r="G238" s="53"/>
      <c r="H238" s="53"/>
      <c r="I238" s="53"/>
    </row>
    <row r="239" spans="3:9" x14ac:dyDescent="0.25">
      <c r="C239" s="9"/>
      <c r="D239" s="9"/>
      <c r="E239" s="65"/>
      <c r="G239" s="53"/>
      <c r="H239" s="53"/>
      <c r="I239" s="53"/>
    </row>
    <row r="240" spans="3:9" x14ac:dyDescent="0.25">
      <c r="C240" s="9"/>
      <c r="D240" s="9"/>
      <c r="E240" s="65"/>
      <c r="G240" s="53"/>
      <c r="H240" s="53"/>
      <c r="I240" s="53"/>
    </row>
    <row r="241" spans="3:9" x14ac:dyDescent="0.25">
      <c r="C241" s="9"/>
      <c r="D241" s="9"/>
      <c r="E241" s="65"/>
      <c r="G241" s="53"/>
      <c r="H241" s="53"/>
      <c r="I241" s="53"/>
    </row>
    <row r="242" spans="3:9" x14ac:dyDescent="0.25">
      <c r="C242" s="9"/>
      <c r="D242" s="9"/>
      <c r="E242" s="65"/>
      <c r="G242" s="53"/>
      <c r="H242" s="53"/>
      <c r="I242" s="53"/>
    </row>
    <row r="243" spans="3:9" x14ac:dyDescent="0.25">
      <c r="C243" s="9"/>
      <c r="D243" s="9"/>
      <c r="E243" s="65"/>
      <c r="G243" s="53"/>
      <c r="H243" s="53"/>
      <c r="I243" s="53"/>
    </row>
    <row r="244" spans="3:9" x14ac:dyDescent="0.25">
      <c r="C244" s="9"/>
      <c r="D244" s="9"/>
      <c r="E244" s="65"/>
      <c r="G244" s="53"/>
      <c r="H244" s="53"/>
      <c r="I244" s="53"/>
    </row>
    <row r="245" spans="3:9" x14ac:dyDescent="0.25">
      <c r="C245" s="9"/>
      <c r="D245" s="9"/>
      <c r="E245" s="65"/>
      <c r="G245" s="53"/>
      <c r="H245" s="53"/>
      <c r="I245" s="53"/>
    </row>
    <row r="246" spans="3:9" x14ac:dyDescent="0.25">
      <c r="C246" s="9"/>
      <c r="D246" s="9"/>
      <c r="E246" s="65"/>
      <c r="G246" s="53"/>
      <c r="H246" s="53"/>
      <c r="I246" s="53"/>
    </row>
    <row r="247" spans="3:9" x14ac:dyDescent="0.25">
      <c r="C247" s="9"/>
      <c r="D247" s="9"/>
      <c r="E247" s="65"/>
      <c r="G247" s="53"/>
      <c r="H247" s="53"/>
      <c r="I247" s="53"/>
    </row>
    <row r="248" spans="3:9" x14ac:dyDescent="0.25">
      <c r="C248" s="9"/>
      <c r="D248" s="9"/>
      <c r="E248" s="65"/>
      <c r="G248" s="53"/>
      <c r="H248" s="53"/>
      <c r="I248" s="53"/>
    </row>
    <row r="249" spans="3:9" x14ac:dyDescent="0.25">
      <c r="C249" s="9"/>
      <c r="D249" s="9"/>
      <c r="E249" s="65"/>
      <c r="G249" s="53"/>
      <c r="H249" s="53"/>
      <c r="I249" s="53"/>
    </row>
    <row r="250" spans="3:9" x14ac:dyDescent="0.25">
      <c r="C250" s="9"/>
      <c r="D250" s="9"/>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zoomScaleNormal="100" workbookViewId="0">
      <selection activeCell="H9" sqref="H9"/>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2016</v>
      </c>
      <c r="B2" s="6">
        <v>1.3</v>
      </c>
      <c r="C2" s="4" t="s">
        <v>6</v>
      </c>
      <c r="F2" s="3" t="s">
        <v>0</v>
      </c>
      <c r="G2" s="7" t="s">
        <v>7</v>
      </c>
      <c r="H2" s="7" t="s">
        <v>8</v>
      </c>
      <c r="I2" s="96" t="s">
        <v>27</v>
      </c>
      <c r="J2" s="98">
        <v>41459</v>
      </c>
      <c r="K2" s="99">
        <v>41459</v>
      </c>
      <c r="P2" s="134">
        <v>42885</v>
      </c>
      <c r="Q2">
        <v>150</v>
      </c>
      <c r="R2">
        <v>0</v>
      </c>
      <c r="X2" s="4" t="s">
        <v>46</v>
      </c>
    </row>
    <row r="3" spans="1:50" ht="21" thickBot="1" x14ac:dyDescent="0.4">
      <c r="A3" s="104">
        <v>37766.5</v>
      </c>
      <c r="C3" s="9"/>
      <c r="F3" s="73" t="s">
        <v>25</v>
      </c>
      <c r="G3" s="126">
        <v>1</v>
      </c>
      <c r="H3" s="11"/>
      <c r="I3">
        <f>G5-(1/G4)*LN((2*G3)-1)</f>
        <v>41.979034807848443</v>
      </c>
      <c r="J3" s="3" t="s">
        <v>9</v>
      </c>
      <c r="P3" s="134">
        <v>42895</v>
      </c>
      <c r="Q3">
        <v>160</v>
      </c>
      <c r="R3">
        <v>1E-3</v>
      </c>
      <c r="X3" s="4">
        <v>1775.0814151895604</v>
      </c>
      <c r="Y3" s="4">
        <v>74.024715246423497</v>
      </c>
    </row>
    <row r="4" spans="1:50" ht="16.5" thickBot="1" x14ac:dyDescent="0.3">
      <c r="A4" s="12" t="s">
        <v>10</v>
      </c>
      <c r="C4" s="4" t="s">
        <v>11</v>
      </c>
      <c r="F4" s="13" t="s">
        <v>1</v>
      </c>
      <c r="G4" s="127">
        <v>0.22748292506807088</v>
      </c>
      <c r="H4" s="15"/>
      <c r="I4" s="2"/>
      <c r="J4" s="129">
        <f>SUM(H9:H66)</f>
        <v>0.21709500335390114</v>
      </c>
      <c r="K4" s="16">
        <f>SUMSQ(G9:G14)</f>
        <v>1.4229552383388818E-4</v>
      </c>
      <c r="L4" s="16"/>
      <c r="M4" s="139"/>
      <c r="N4" s="4">
        <f>1-0.317</f>
        <v>0.68300000000000005</v>
      </c>
      <c r="P4" s="134">
        <v>42905</v>
      </c>
      <c r="Q4">
        <v>170</v>
      </c>
      <c r="R4">
        <v>0.02</v>
      </c>
      <c r="X4" s="4">
        <v>74.024715246423497</v>
      </c>
      <c r="Y4" s="4">
        <v>4.5020289576314099</v>
      </c>
    </row>
    <row r="5" spans="1:50" ht="16.5" thickBot="1" x14ac:dyDescent="0.3">
      <c r="C5" s="104">
        <v>37834.5</v>
      </c>
      <c r="F5" s="17" t="s">
        <v>2</v>
      </c>
      <c r="G5" s="128">
        <v>41.979034807848443</v>
      </c>
      <c r="H5" s="19"/>
      <c r="I5" s="2"/>
      <c r="J5" s="20" t="s">
        <v>12</v>
      </c>
      <c r="K5" s="21"/>
      <c r="L5" s="21"/>
      <c r="N5" s="30"/>
      <c r="P5" s="134">
        <v>42916</v>
      </c>
      <c r="Q5">
        <v>181</v>
      </c>
      <c r="R5">
        <v>0.25</v>
      </c>
    </row>
    <row r="6" spans="1:50" ht="16.5" thickBot="1" x14ac:dyDescent="0.3">
      <c r="C6" s="22"/>
      <c r="G6" s="23"/>
      <c r="H6" s="9"/>
      <c r="K6" s="24"/>
      <c r="L6" s="24"/>
      <c r="P6" s="134">
        <v>42921</v>
      </c>
      <c r="Q6">
        <v>185</v>
      </c>
      <c r="R6">
        <v>0.5</v>
      </c>
      <c r="X6" s="4" t="s">
        <v>47</v>
      </c>
    </row>
    <row r="7" spans="1:50" ht="16.5" thickBot="1" x14ac:dyDescent="0.3">
      <c r="E7" s="25"/>
      <c r="F7" s="26"/>
      <c r="G7" s="27"/>
      <c r="H7" s="28"/>
      <c r="J7" s="29"/>
      <c r="M7" s="29"/>
      <c r="O7" s="3" t="s">
        <v>26</v>
      </c>
      <c r="P7" s="134">
        <v>42926</v>
      </c>
      <c r="Q7">
        <v>190</v>
      </c>
      <c r="R7">
        <v>0.75</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c r="P8" s="134">
        <v>42935</v>
      </c>
      <c r="Q8">
        <v>200</v>
      </c>
      <c r="R8">
        <v>0.98</v>
      </c>
    </row>
    <row r="9" spans="1:50" ht="16.5" thickBot="1" x14ac:dyDescent="0.3">
      <c r="A9" s="120">
        <v>0.05</v>
      </c>
      <c r="B9" s="124">
        <v>37771.5</v>
      </c>
      <c r="C9" s="121">
        <f t="shared" ref="C9:C16" si="0">1/(A9^2)</f>
        <v>399.99999999999994</v>
      </c>
      <c r="D9" s="106">
        <f t="shared" ref="D9:D16" si="1">IF(B9&lt;&gt;0,B9-$A$3+1,"")</f>
        <v>6</v>
      </c>
      <c r="E9" s="81">
        <v>0</v>
      </c>
      <c r="F9" s="41">
        <f t="shared" ref="F9:F14" si="2">IF(B9&lt;&gt;0,$G$3/(1+EXP(-$G$4*(D9-$G$5))),"")</f>
        <v>2.7883371655998174E-4</v>
      </c>
      <c r="G9" s="42">
        <f t="shared" ref="G9:G14" si="3">IF(B9&lt;&gt;0,E9-F9,"")</f>
        <v>-2.7883371655998174E-4</v>
      </c>
      <c r="H9" s="43">
        <f t="shared" ref="H9:H14" si="4">IF(B9&lt;&gt;0,C9*(G9)^2,"")</f>
        <v>3.1099296596260886E-5</v>
      </c>
      <c r="J9" s="105">
        <f>A3</f>
        <v>37766.5</v>
      </c>
      <c r="K9" s="109">
        <v>1</v>
      </c>
      <c r="L9" s="125">
        <f t="shared" ref="L9:L72" si="5">$G$3/(1+EXP(-$G$4*(K9-$G$5)))</f>
        <v>8.9424118286963154E-5</v>
      </c>
      <c r="M9" s="46">
        <f>IF(J10&gt;MAX($B$9:$B$64),L9,N9)</f>
        <v>3.1121623501212576E-7</v>
      </c>
      <c r="N9" s="130">
        <v>3.1121623501212576E-7</v>
      </c>
      <c r="O9" s="89">
        <f t="shared" ref="O9:O72" si="6">IF(N9=M9,N9,M9)</f>
        <v>3.1121623501212576E-7</v>
      </c>
      <c r="P9" s="134">
        <v>42945</v>
      </c>
      <c r="Q9">
        <v>210</v>
      </c>
      <c r="R9">
        <v>1</v>
      </c>
    </row>
    <row r="10" spans="1:50" ht="16.5" thickBot="1" x14ac:dyDescent="0.3">
      <c r="A10" s="120">
        <v>0.05</v>
      </c>
      <c r="B10" s="124">
        <v>37781.5</v>
      </c>
      <c r="C10" s="121">
        <f t="shared" si="0"/>
        <v>399.99999999999994</v>
      </c>
      <c r="D10" s="106">
        <f t="shared" si="1"/>
        <v>16</v>
      </c>
      <c r="E10" s="81">
        <v>1E-3</v>
      </c>
      <c r="F10" s="41">
        <f t="shared" si="2"/>
        <v>2.7054259248118022E-3</v>
      </c>
      <c r="G10" s="42">
        <f t="shared" si="3"/>
        <v>-1.7054259248118022E-3</v>
      </c>
      <c r="H10" s="43">
        <f t="shared" si="4"/>
        <v>1.1633910340080763E-3</v>
      </c>
      <c r="I10" s="52"/>
      <c r="J10" s="105">
        <f t="shared" ref="J10:J73" si="7">J9+1</f>
        <v>37767.5</v>
      </c>
      <c r="K10" s="109">
        <v>2</v>
      </c>
      <c r="L10" s="125">
        <f t="shared" si="5"/>
        <v>1.1226369329882137E-4</v>
      </c>
      <c r="M10" s="46">
        <f t="shared" ref="M10:M73" si="8">IF(J11&gt;MAX($B$9:$B$64),L10,N10)</f>
        <v>4.4350593880565207E-7</v>
      </c>
      <c r="N10" s="130">
        <v>4.4350593880565207E-7</v>
      </c>
      <c r="O10" s="89">
        <f t="shared" si="6"/>
        <v>4.4350593880565207E-7</v>
      </c>
      <c r="Q10" s="4" t="s">
        <v>48</v>
      </c>
      <c r="W10" s="4" t="s">
        <v>46</v>
      </c>
    </row>
    <row r="11" spans="1:50" ht="16.5" thickBot="1" x14ac:dyDescent="0.3">
      <c r="A11" s="120">
        <v>0.05</v>
      </c>
      <c r="B11" s="124">
        <v>37791.5</v>
      </c>
      <c r="C11" s="121">
        <f t="shared" si="0"/>
        <v>399.99999999999994</v>
      </c>
      <c r="D11" s="106">
        <f t="shared" si="1"/>
        <v>26</v>
      </c>
      <c r="E11" s="81">
        <v>0.02</v>
      </c>
      <c r="F11" s="41">
        <f t="shared" si="2"/>
        <v>2.5706778932361615E-2</v>
      </c>
      <c r="G11" s="42">
        <f t="shared" si="3"/>
        <v>-5.7067789323616142E-3</v>
      </c>
      <c r="H11" s="43">
        <f t="shared" si="4"/>
        <v>1.3026930313138545E-2</v>
      </c>
      <c r="J11" s="105">
        <f t="shared" si="7"/>
        <v>37768.5</v>
      </c>
      <c r="K11" s="109">
        <v>3</v>
      </c>
      <c r="L11" s="125">
        <f t="shared" si="5"/>
        <v>1.4093584090401099E-4</v>
      </c>
      <c r="M11" s="46">
        <f t="shared" si="8"/>
        <v>6.3202842450478264E-7</v>
      </c>
      <c r="N11" s="130">
        <v>6.3202842450478264E-7</v>
      </c>
      <c r="O11" s="89">
        <f t="shared" si="6"/>
        <v>6.3202842450478264E-7</v>
      </c>
      <c r="Q11" s="4">
        <v>1</v>
      </c>
      <c r="R11" s="4">
        <v>-0.82806316245865486</v>
      </c>
      <c r="W11" s="4">
        <v>3817.4575451512078</v>
      </c>
      <c r="X11" s="4">
        <v>-24.564190234479639</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0.05</v>
      </c>
      <c r="B12" s="124">
        <v>37802.5</v>
      </c>
      <c r="C12" s="121">
        <f t="shared" si="0"/>
        <v>399.99999999999994</v>
      </c>
      <c r="D12" s="106">
        <f t="shared" si="1"/>
        <v>37</v>
      </c>
      <c r="E12" s="81">
        <v>0.25</v>
      </c>
      <c r="F12" s="41">
        <f t="shared" si="2"/>
        <v>0.24367323179024006</v>
      </c>
      <c r="G12" s="42">
        <f t="shared" si="3"/>
        <v>6.326768209759942E-3</v>
      </c>
      <c r="H12" s="43">
        <f t="shared" si="4"/>
        <v>1.6011198392011608E-2</v>
      </c>
      <c r="J12" s="105">
        <f t="shared" si="7"/>
        <v>37769.5</v>
      </c>
      <c r="K12" s="109">
        <v>4</v>
      </c>
      <c r="L12" s="125">
        <f t="shared" si="5"/>
        <v>1.7692955931652532E-4</v>
      </c>
      <c r="M12" s="46">
        <f t="shared" si="8"/>
        <v>9.0068669305005554E-7</v>
      </c>
      <c r="N12" s="130">
        <v>9.0068669305005554E-7</v>
      </c>
      <c r="O12" s="89">
        <f t="shared" si="6"/>
        <v>9.0068669305005554E-7</v>
      </c>
      <c r="P12" s="44">
        <v>40326</v>
      </c>
      <c r="Q12" s="1">
        <v>1.3958317686261709E-4</v>
      </c>
      <c r="R12" s="100">
        <v>543</v>
      </c>
      <c r="S12" s="100">
        <f>R12*AVERAGE(L12:L13)</f>
        <v>0.10834024504827967</v>
      </c>
      <c r="T12" s="101">
        <f t="shared" ref="T12:T47" si="9">R12-S12</f>
        <v>542.89165975495177</v>
      </c>
      <c r="W12" s="4">
        <v>-24.564190234479639</v>
      </c>
      <c r="X12" s="4">
        <v>2.8615910650705727</v>
      </c>
      <c r="AE12" s="93">
        <f>J12</f>
        <v>37769.5</v>
      </c>
      <c r="AF12" s="92">
        <f>Logistic2010!Q12</f>
        <v>1.3958317686261709E-4</v>
      </c>
      <c r="AG12" s="4">
        <f t="shared" ref="AG12:AG75" si="10">AI12</f>
        <v>1.3958317686261709E-4</v>
      </c>
      <c r="AH12" s="92">
        <f>Logistic2011!Q12</f>
        <v>1.3958317686261709E-4</v>
      </c>
      <c r="AI12" s="92">
        <f>Logistic2012!Q12</f>
        <v>1.3958317686261709E-4</v>
      </c>
      <c r="AJ12" s="92">
        <f>Logistic2013!L12</f>
        <v>2.9882028383729665E-4</v>
      </c>
      <c r="AK12" s="119">
        <f>Logistic2014!AK12</f>
        <v>4.1531400063546034E-4</v>
      </c>
      <c r="AL12" s="119">
        <f>L12</f>
        <v>1.7692955931652532E-4</v>
      </c>
      <c r="AM12" s="113"/>
      <c r="AN12" s="113"/>
      <c r="AO12" s="113"/>
      <c r="AP12" s="113"/>
      <c r="AQ12" s="113"/>
      <c r="AR12" s="113"/>
      <c r="AS12" s="113"/>
      <c r="AT12" s="114"/>
      <c r="AU12" s="114"/>
    </row>
    <row r="13" spans="1:50" ht="16.5" thickBot="1" x14ac:dyDescent="0.3">
      <c r="A13" s="120">
        <v>0.05</v>
      </c>
      <c r="B13" s="124">
        <v>37807.5</v>
      </c>
      <c r="C13" s="121">
        <f t="shared" si="0"/>
        <v>399.99999999999994</v>
      </c>
      <c r="D13" s="106">
        <f t="shared" si="1"/>
        <v>42</v>
      </c>
      <c r="E13" s="81">
        <v>0.5</v>
      </c>
      <c r="F13" s="41">
        <f t="shared" si="2"/>
        <v>0.50119230354885269</v>
      </c>
      <c r="G13" s="42">
        <f t="shared" si="3"/>
        <v>-1.1923035488526912E-3</v>
      </c>
      <c r="H13" s="43">
        <f t="shared" si="4"/>
        <v>5.686351010426886E-4</v>
      </c>
      <c r="J13" s="105">
        <f t="shared" si="7"/>
        <v>37770.5</v>
      </c>
      <c r="K13" s="109">
        <v>5</v>
      </c>
      <c r="L13" s="125">
        <f t="shared" si="5"/>
        <v>2.2211370052980866E-4</v>
      </c>
      <c r="M13" s="46">
        <f t="shared" si="8"/>
        <v>1.2835442124779599E-6</v>
      </c>
      <c r="N13" s="130">
        <v>1.2835442124779599E-6</v>
      </c>
      <c r="O13" s="89">
        <f t="shared" si="6"/>
        <v>1.2835442124779599E-6</v>
      </c>
      <c r="P13" s="48">
        <v>40327</v>
      </c>
      <c r="Q13" s="1">
        <v>1.7045928901654236E-4</v>
      </c>
      <c r="R13" s="100">
        <v>2664</v>
      </c>
      <c r="S13" s="100">
        <f t="shared" ref="S13:S70" si="11">R13*AVERAGE(L13:L14)</f>
        <v>0.66726195956360079</v>
      </c>
      <c r="T13" s="101">
        <f t="shared" si="9"/>
        <v>2663.3327380404362</v>
      </c>
      <c r="AE13" s="93">
        <f t="shared" ref="AE13:AE76" si="12">J13</f>
        <v>37770.5</v>
      </c>
      <c r="AF13" s="92">
        <f>Logistic2010!Q13</f>
        <v>1.7045928901654236E-4</v>
      </c>
      <c r="AG13" s="4">
        <f t="shared" si="10"/>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13">L13</f>
        <v>2.2211370052980866E-4</v>
      </c>
      <c r="AM13" s="113">
        <v>2011</v>
      </c>
      <c r="AO13" s="113">
        <v>2010</v>
      </c>
      <c r="AP13" s="113">
        <v>2012</v>
      </c>
      <c r="AQ13" s="113"/>
      <c r="AR13" t="s">
        <v>28</v>
      </c>
      <c r="AS13"/>
      <c r="AT13"/>
      <c r="AU13"/>
      <c r="AV13"/>
      <c r="AW13"/>
      <c r="AX13"/>
    </row>
    <row r="14" spans="1:50" ht="16.5" thickBot="1" x14ac:dyDescent="0.3">
      <c r="A14" s="120">
        <v>0.05</v>
      </c>
      <c r="B14" s="124">
        <v>37812.5</v>
      </c>
      <c r="C14" s="121">
        <f t="shared" si="0"/>
        <v>399.99999999999994</v>
      </c>
      <c r="D14" s="106">
        <f t="shared" si="1"/>
        <v>47</v>
      </c>
      <c r="E14" s="81">
        <v>0.75</v>
      </c>
      <c r="F14" s="41">
        <f t="shared" si="2"/>
        <v>0.75808037056649602</v>
      </c>
      <c r="G14" s="42">
        <f t="shared" si="3"/>
        <v>-8.0803705664960201E-3</v>
      </c>
      <c r="H14" s="43">
        <f t="shared" si="4"/>
        <v>2.6116955396758082E-2</v>
      </c>
      <c r="J14" s="105">
        <f t="shared" si="7"/>
        <v>37771.5</v>
      </c>
      <c r="K14" s="109">
        <v>6</v>
      </c>
      <c r="L14" s="125">
        <f t="shared" si="5"/>
        <v>2.7883371655998174E-4</v>
      </c>
      <c r="M14" s="46">
        <f t="shared" si="8"/>
        <v>1.8291437965967419E-6</v>
      </c>
      <c r="N14" s="130">
        <v>1.8291437965967419E-6</v>
      </c>
      <c r="O14" s="89">
        <f t="shared" si="6"/>
        <v>1.8291437965967419E-6</v>
      </c>
      <c r="P14" s="48">
        <v>40328</v>
      </c>
      <c r="Q14" s="1">
        <v>0</v>
      </c>
      <c r="R14" s="100">
        <v>963</v>
      </c>
      <c r="S14" s="100">
        <f t="shared" si="11"/>
        <v>0.30279930275920691</v>
      </c>
      <c r="T14" s="101">
        <f t="shared" si="9"/>
        <v>962.69720069724076</v>
      </c>
      <c r="W14" s="4" t="s">
        <v>47</v>
      </c>
      <c r="Y14" s="4" t="s">
        <v>8</v>
      </c>
      <c r="AE14" s="93">
        <f t="shared" si="12"/>
        <v>37771.5</v>
      </c>
      <c r="AF14" s="92">
        <f>Logistic2010!Q14</f>
        <v>2.0816384458125417E-4</v>
      </c>
      <c r="AG14" s="4">
        <f t="shared" si="10"/>
        <v>0</v>
      </c>
      <c r="AH14" s="92">
        <f>Logistic2011!Q14</f>
        <v>2.0816384458125417E-4</v>
      </c>
      <c r="AI14" s="92">
        <f>Logistic2012!Q14</f>
        <v>0</v>
      </c>
      <c r="AJ14" s="92">
        <f>Logistic2013!L14</f>
        <v>4.436902928409236E-4</v>
      </c>
      <c r="AK14" s="119">
        <f>Logistic2014!AK14</f>
        <v>6.0857479252525697E-4</v>
      </c>
      <c r="AL14" s="119">
        <f t="shared" si="13"/>
        <v>2.7883371655998174E-4</v>
      </c>
      <c r="AM14" s="115">
        <v>2E-3</v>
      </c>
      <c r="AO14" s="115">
        <v>4.1000000000000002E-2</v>
      </c>
      <c r="AP14" s="115">
        <v>2.4E-2</v>
      </c>
      <c r="AQ14" s="115"/>
      <c r="AR14"/>
      <c r="AS14"/>
      <c r="AT14"/>
      <c r="AU14"/>
      <c r="AV14"/>
      <c r="AW14"/>
      <c r="AX14"/>
    </row>
    <row r="15" spans="1:50" ht="16.5" thickBot="1" x14ac:dyDescent="0.3">
      <c r="A15" s="120">
        <v>0.05</v>
      </c>
      <c r="B15" s="124">
        <v>37821.5</v>
      </c>
      <c r="C15" s="121">
        <f t="shared" si="0"/>
        <v>399.99999999999994</v>
      </c>
      <c r="D15" s="106">
        <f t="shared" si="1"/>
        <v>56</v>
      </c>
      <c r="E15" s="81">
        <v>0.98</v>
      </c>
      <c r="F15" s="41">
        <f t="shared" ref="F15:F16" si="14">IF(B15&lt;&gt;0,$G$3/(1+EXP(-$G$4*(D15-$G$5))),"")</f>
        <v>0.96043837257149689</v>
      </c>
      <c r="G15" s="42">
        <f t="shared" ref="G15:G16" si="15">IF(B15&lt;&gt;0,E15-F15,"")</f>
        <v>1.9561627428503092E-2</v>
      </c>
      <c r="H15" s="43">
        <f t="shared" ref="H15:H16" si="16">IF(B15&lt;&gt;0,C15*(G15)^2,"")</f>
        <v>0.15306290706062578</v>
      </c>
      <c r="J15" s="105">
        <f t="shared" si="7"/>
        <v>37772.5</v>
      </c>
      <c r="K15" s="109">
        <v>7</v>
      </c>
      <c r="L15" s="125">
        <f t="shared" si="5"/>
        <v>3.5003295583712507E-4</v>
      </c>
      <c r="M15" s="46">
        <f t="shared" si="8"/>
        <v>2.6066622560821447E-6</v>
      </c>
      <c r="N15" s="130">
        <v>2.6066622560821447E-6</v>
      </c>
      <c r="O15" s="89">
        <f t="shared" si="6"/>
        <v>2.6066622560821447E-6</v>
      </c>
      <c r="P15" s="48">
        <v>40329</v>
      </c>
      <c r="Q15" s="1">
        <v>6.2104077545281245E-5</v>
      </c>
      <c r="R15" s="100">
        <v>1106</v>
      </c>
      <c r="S15" s="100">
        <f t="shared" si="11"/>
        <v>0.43655901671228092</v>
      </c>
      <c r="T15" s="101">
        <f t="shared" si="9"/>
        <v>1105.5634409832878</v>
      </c>
      <c r="W15" s="4">
        <f t="array" ref="W15:X16">2* 2.13732258253673^2*MINVERSE($W$11:$X$12)</f>
        <v>2.5332184642178463E-3</v>
      </c>
      <c r="X15" s="4">
        <v>2.1745406260208915E-2</v>
      </c>
      <c r="Y15" s="4">
        <v>5.0331088446583849E-2</v>
      </c>
      <c r="AE15" s="93">
        <f t="shared" si="12"/>
        <v>37772.5</v>
      </c>
      <c r="AF15" s="92">
        <f>Logistic2010!Q15</f>
        <v>2.542062975332477E-4</v>
      </c>
      <c r="AG15" s="4">
        <f t="shared" si="10"/>
        <v>6.2104077545281245E-5</v>
      </c>
      <c r="AH15" s="92">
        <f>Logistic2011!Q15</f>
        <v>3.5888786587624556E-5</v>
      </c>
      <c r="AI15" s="92">
        <f>Logistic2012!Q15</f>
        <v>6.2104077545281245E-5</v>
      </c>
      <c r="AJ15" s="92">
        <f>Logistic2013!L15</f>
        <v>5.4063505283763783E-4</v>
      </c>
      <c r="AK15" s="119">
        <f>Logistic2014!AK15</f>
        <v>7.3666320070702633E-4</v>
      </c>
      <c r="AL15" s="119">
        <f t="shared" si="13"/>
        <v>3.5003295583712507E-4</v>
      </c>
      <c r="AM15" s="4">
        <v>0</v>
      </c>
      <c r="AO15" s="115">
        <v>5.0000000000000001E-3</v>
      </c>
      <c r="AP15" s="115">
        <v>3.5999999999999997E-2</v>
      </c>
      <c r="AQ15" s="110"/>
      <c r="AR15" t="s">
        <v>29</v>
      </c>
      <c r="AS15"/>
      <c r="AT15"/>
      <c r="AU15"/>
      <c r="AV15"/>
      <c r="AW15"/>
      <c r="AX15"/>
    </row>
    <row r="16" spans="1:50" x14ac:dyDescent="0.25">
      <c r="A16" s="120">
        <v>0.05</v>
      </c>
      <c r="B16" s="124">
        <v>37831.5</v>
      </c>
      <c r="C16" s="121">
        <f t="shared" si="0"/>
        <v>399.99999999999994</v>
      </c>
      <c r="D16" s="106">
        <f t="shared" si="1"/>
        <v>66</v>
      </c>
      <c r="E16" s="81">
        <v>1</v>
      </c>
      <c r="F16" s="41">
        <f t="shared" si="14"/>
        <v>0.9957828069881377</v>
      </c>
      <c r="G16" s="42">
        <f t="shared" si="15"/>
        <v>4.2171930118622969E-3</v>
      </c>
      <c r="H16" s="43">
        <f t="shared" si="16"/>
        <v>7.1138867597200757E-3</v>
      </c>
      <c r="I16" s="146"/>
      <c r="J16" s="105">
        <f t="shared" si="7"/>
        <v>37773.5</v>
      </c>
      <c r="K16" s="109">
        <v>8</v>
      </c>
      <c r="L16" s="125">
        <f t="shared" si="5"/>
        <v>4.3940468740388919E-4</v>
      </c>
      <c r="M16" s="46">
        <f t="shared" si="8"/>
        <v>3.7146810897353246E-6</v>
      </c>
      <c r="N16" s="130">
        <v>3.7146810897353246E-6</v>
      </c>
      <c r="O16" s="89">
        <f t="shared" si="6"/>
        <v>3.7146810897353246E-6</v>
      </c>
      <c r="P16" s="48">
        <v>40330</v>
      </c>
      <c r="Q16" s="1">
        <v>8.271689671114933E-5</v>
      </c>
      <c r="R16" s="100">
        <v>3668</v>
      </c>
      <c r="S16" s="100">
        <f t="shared" si="11"/>
        <v>1.8174706025484384</v>
      </c>
      <c r="T16" s="101">
        <f t="shared" si="9"/>
        <v>3666.1825293974516</v>
      </c>
      <c r="W16" s="4">
        <v>2.1745406260208912E-2</v>
      </c>
      <c r="X16" s="4">
        <v>3.3793975868128725</v>
      </c>
      <c r="Y16" s="4">
        <v>1.8383137889960115</v>
      </c>
      <c r="AE16" s="93">
        <f t="shared" si="12"/>
        <v>37773.5</v>
      </c>
      <c r="AF16" s="92">
        <f>Logistic2010!Q16</f>
        <v>3.1042942936064727E-4</v>
      </c>
      <c r="AG16" s="4">
        <f t="shared" si="10"/>
        <v>8.271689671114933E-5</v>
      </c>
      <c r="AH16" s="92">
        <f>Logistic2011!Q16</f>
        <v>4.6160789501698919E-5</v>
      </c>
      <c r="AI16" s="92">
        <f>Logistic2012!Q16</f>
        <v>8.271689671114933E-5</v>
      </c>
      <c r="AJ16" s="92">
        <f>Logistic2013!L16</f>
        <v>6.5874794022489089E-4</v>
      </c>
      <c r="AK16" s="119">
        <f>Logistic2014!AK16</f>
        <v>8.9168667425910237E-4</v>
      </c>
      <c r="AL16" s="119">
        <f t="shared" si="13"/>
        <v>4.3940468740388919E-4</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4" si="17">IF(B17&lt;&gt;0,B17-$A$3+1,"")</f>
        <v/>
      </c>
      <c r="E17" s="81"/>
      <c r="F17" s="50" t="str">
        <f t="shared" ref="F17:F64" si="18">IF(B17&lt;&gt;0,$G$3/(1+EXP(-$G$4*(D17-$G$5))),"")</f>
        <v/>
      </c>
      <c r="G17" s="16" t="str">
        <f t="shared" ref="G17:G64" si="19">IF(B17&lt;&gt;0,E17-F17,"")</f>
        <v/>
      </c>
      <c r="H17" s="51" t="str">
        <f t="shared" ref="H17:H64" si="20">IF(B17&lt;&gt;0,C17*(G17)^2,"")</f>
        <v/>
      </c>
      <c r="J17" s="105">
        <f t="shared" si="7"/>
        <v>37774.5</v>
      </c>
      <c r="K17" s="109">
        <v>9</v>
      </c>
      <c r="L17" s="125">
        <f t="shared" si="5"/>
        <v>5.5158255498893437E-4</v>
      </c>
      <c r="M17" s="46">
        <f t="shared" si="8"/>
        <v>5.2936850821911276E-6</v>
      </c>
      <c r="N17" s="130">
        <v>5.2936850821911276E-6</v>
      </c>
      <c r="O17" s="89">
        <f t="shared" si="6"/>
        <v>5.2936850821911276E-6</v>
      </c>
      <c r="P17" s="48">
        <v>40331</v>
      </c>
      <c r="Q17" s="1">
        <v>1.1017051470513796E-4</v>
      </c>
      <c r="R17" s="100">
        <v>2939</v>
      </c>
      <c r="S17" s="100">
        <f t="shared" si="11"/>
        <v>1.8280015728361558</v>
      </c>
      <c r="T17" s="101">
        <f t="shared" si="9"/>
        <v>2937.171998427164</v>
      </c>
      <c r="AE17" s="93">
        <f t="shared" si="12"/>
        <v>37774.5</v>
      </c>
      <c r="AF17" s="92">
        <f>Logistic2010!Q17</f>
        <v>3.7908278806435145E-4</v>
      </c>
      <c r="AG17" s="4">
        <f t="shared" si="10"/>
        <v>1.1017051470513796E-4</v>
      </c>
      <c r="AH17" s="92">
        <f>Logistic2011!Q17</f>
        <v>5.9372646030949961E-5</v>
      </c>
      <c r="AI17" s="92">
        <f>Logistic2012!Q17</f>
        <v>1.1017051470513796E-4</v>
      </c>
      <c r="AJ17" s="92">
        <f>Logistic2013!L17</f>
        <v>8.0264430321866907E-4</v>
      </c>
      <c r="AK17" s="119">
        <f>Logistic2014!AK17</f>
        <v>1.0792980661665267E-3</v>
      </c>
      <c r="AL17" s="119">
        <f t="shared" si="13"/>
        <v>5.5158255498893437E-4</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17"/>
        <v/>
      </c>
      <c r="E18" s="81"/>
      <c r="F18" s="50" t="str">
        <f t="shared" si="18"/>
        <v/>
      </c>
      <c r="G18" s="16" t="str">
        <f t="shared" si="19"/>
        <v/>
      </c>
      <c r="H18" s="51" t="str">
        <f t="shared" si="20"/>
        <v/>
      </c>
      <c r="J18" s="105">
        <f t="shared" si="7"/>
        <v>37775.5</v>
      </c>
      <c r="K18" s="109">
        <v>10</v>
      </c>
      <c r="L18" s="125">
        <f t="shared" si="5"/>
        <v>6.9237904612447568E-4</v>
      </c>
      <c r="M18" s="46">
        <f t="shared" si="8"/>
        <v>7.543873151853996E-6</v>
      </c>
      <c r="N18" s="130">
        <v>7.543873151853996E-6</v>
      </c>
      <c r="O18" s="89">
        <f t="shared" si="6"/>
        <v>7.543873151853996E-6</v>
      </c>
      <c r="P18" s="48">
        <v>40332</v>
      </c>
      <c r="Q18" s="1">
        <v>1.4673461154601208E-4</v>
      </c>
      <c r="R18" s="100">
        <v>2148</v>
      </c>
      <c r="S18" s="100">
        <f t="shared" si="11"/>
        <v>1.6770111798494132</v>
      </c>
      <c r="T18" s="101">
        <f t="shared" si="9"/>
        <v>2146.3229888201504</v>
      </c>
      <c r="W18" s="4" t="s">
        <v>48</v>
      </c>
      <c r="AE18" s="93">
        <f t="shared" si="12"/>
        <v>37775.5</v>
      </c>
      <c r="AF18" s="92">
        <f>Logistic2010!Q18</f>
        <v>4.6291222449000769E-4</v>
      </c>
      <c r="AG18" s="4">
        <f t="shared" si="10"/>
        <v>1.4673461154601208E-4</v>
      </c>
      <c r="AH18" s="92">
        <f>Logistic2011!Q18</f>
        <v>7.6365629883993208E-5</v>
      </c>
      <c r="AI18" s="92">
        <f>Logistic2012!Q18</f>
        <v>1.4673461154601208E-4</v>
      </c>
      <c r="AJ18" s="92">
        <f>Logistic2013!L18</f>
        <v>9.7794251088522961E-4</v>
      </c>
      <c r="AK18" s="119">
        <f>Logistic2014!AK18</f>
        <v>1.3063313918701522E-3</v>
      </c>
      <c r="AL18" s="119">
        <f t="shared" si="13"/>
        <v>6.9237904612447568E-4</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17"/>
        <v/>
      </c>
      <c r="E19" s="81"/>
      <c r="F19" s="50" t="str">
        <f t="shared" si="18"/>
        <v/>
      </c>
      <c r="G19" s="16" t="str">
        <f t="shared" si="19"/>
        <v/>
      </c>
      <c r="H19" s="51" t="str">
        <f t="shared" si="20"/>
        <v/>
      </c>
      <c r="J19" s="105">
        <f t="shared" si="7"/>
        <v>37776.5</v>
      </c>
      <c r="K19" s="109">
        <v>11</v>
      </c>
      <c r="L19" s="125">
        <f t="shared" si="5"/>
        <v>8.6908387738521991E-4</v>
      </c>
      <c r="M19" s="46">
        <f t="shared" si="8"/>
        <v>1.0750538956072072E-5</v>
      </c>
      <c r="N19" s="130">
        <v>1.0750538956072072E-5</v>
      </c>
      <c r="O19" s="89">
        <f t="shared" si="6"/>
        <v>1.0750538956072072E-5</v>
      </c>
      <c r="P19" s="48">
        <v>40333</v>
      </c>
      <c r="Q19" s="1">
        <v>1.9543146345089269E-4</v>
      </c>
      <c r="R19" s="100">
        <v>5309</v>
      </c>
      <c r="S19" s="100">
        <f t="shared" si="11"/>
        <v>5.2026100451108155</v>
      </c>
      <c r="T19" s="101">
        <f t="shared" si="9"/>
        <v>5303.7973899548888</v>
      </c>
      <c r="W19" s="4">
        <v>1</v>
      </c>
      <c r="X19" s="4">
        <v>0.23502364558685596</v>
      </c>
      <c r="AE19" s="93">
        <f t="shared" si="12"/>
        <v>37776.5</v>
      </c>
      <c r="AF19" s="92">
        <f>Logistic2010!Q19</f>
        <v>5.6526901369757224E-4</v>
      </c>
      <c r="AG19" s="4">
        <f t="shared" si="10"/>
        <v>1.9543146345089269E-4</v>
      </c>
      <c r="AH19" s="92">
        <f>Logistic2011!Q19</f>
        <v>9.8221680405067934E-5</v>
      </c>
      <c r="AI19" s="92">
        <f>Logistic2012!Q19</f>
        <v>1.9543146345089269E-4</v>
      </c>
      <c r="AJ19" s="92">
        <f>Logistic2013!L19</f>
        <v>1.19148034540422E-3</v>
      </c>
      <c r="AK19" s="119">
        <f>Logistic2014!AK19</f>
        <v>1.5810462162153941E-3</v>
      </c>
      <c r="AL19" s="119">
        <f t="shared" si="13"/>
        <v>8.6908387738521991E-4</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17"/>
        <v/>
      </c>
      <c r="E20" s="81"/>
      <c r="F20" s="50" t="str">
        <f t="shared" si="18"/>
        <v/>
      </c>
      <c r="G20" s="16" t="str">
        <f t="shared" si="19"/>
        <v/>
      </c>
      <c r="H20" s="51" t="str">
        <f t="shared" si="20"/>
        <v/>
      </c>
      <c r="J20" s="105">
        <f t="shared" si="7"/>
        <v>37777.5</v>
      </c>
      <c r="K20" s="109">
        <v>12</v>
      </c>
      <c r="L20" s="125">
        <f t="shared" si="5"/>
        <v>1.090837028665191E-3</v>
      </c>
      <c r="M20" s="46">
        <f t="shared" si="8"/>
        <v>1.5320237759159121E-5</v>
      </c>
      <c r="N20" s="130">
        <v>1.5320237759159121E-5</v>
      </c>
      <c r="O20" s="89">
        <f t="shared" si="6"/>
        <v>1.5320237759159121E-5</v>
      </c>
      <c r="P20" s="48">
        <v>40334</v>
      </c>
      <c r="Q20" s="1">
        <v>2.6028514457293443E-4</v>
      </c>
      <c r="R20" s="100">
        <v>3853</v>
      </c>
      <c r="S20" s="100">
        <f t="shared" si="11"/>
        <v>4.739058275048631</v>
      </c>
      <c r="T20" s="101">
        <f t="shared" si="9"/>
        <v>3848.2609417249514</v>
      </c>
      <c r="U20" s="40">
        <v>40712</v>
      </c>
      <c r="V20" s="92">
        <v>3.5999999999999997E-2</v>
      </c>
      <c r="W20" s="92">
        <v>0.2350236455868559</v>
      </c>
      <c r="X20" s="92">
        <v>1</v>
      </c>
      <c r="Y20" s="92"/>
      <c r="Z20" s="92"/>
      <c r="AE20" s="93">
        <f t="shared" si="12"/>
        <v>37777.5</v>
      </c>
      <c r="AF20" s="92">
        <f>Logistic2010!Q20</f>
        <v>6.9024278465830858E-4</v>
      </c>
      <c r="AG20" s="4">
        <f t="shared" si="10"/>
        <v>2.6028514457293443E-4</v>
      </c>
      <c r="AH20" s="92">
        <f>Logistic2011!Q20</f>
        <v>1.2633220159905076E-4</v>
      </c>
      <c r="AI20" s="92">
        <f>Logistic2012!Q20</f>
        <v>2.6028514457293443E-4</v>
      </c>
      <c r="AJ20" s="92">
        <f>Logistic2013!L20</f>
        <v>1.4515773097888444E-3</v>
      </c>
      <c r="AK20" s="119">
        <f>Logistic2014!AK20</f>
        <v>1.9134214809037675E-3</v>
      </c>
      <c r="AL20" s="119">
        <f t="shared" si="13"/>
        <v>1.090837028665191E-3</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17"/>
        <v/>
      </c>
      <c r="E21" s="81"/>
      <c r="F21" s="50" t="str">
        <f t="shared" si="18"/>
        <v/>
      </c>
      <c r="G21" s="16" t="str">
        <f t="shared" si="19"/>
        <v/>
      </c>
      <c r="H21" s="51" t="str">
        <f t="shared" si="20"/>
        <v/>
      </c>
      <c r="I21" s="9">
        <f>1-0.15</f>
        <v>0.85</v>
      </c>
      <c r="J21" s="105">
        <f t="shared" si="7"/>
        <v>37778.5</v>
      </c>
      <c r="K21" s="109">
        <v>13</v>
      </c>
      <c r="L21" s="125">
        <f t="shared" si="5"/>
        <v>1.3690945960680716E-3</v>
      </c>
      <c r="M21" s="46">
        <f>IF(J22&gt;MAX($B$9:$B$64),L21,N21)</f>
        <v>2.1832322085948411E-5</v>
      </c>
      <c r="N21" s="130">
        <v>2.1832322085948411E-5</v>
      </c>
      <c r="O21" s="89">
        <f t="shared" si="6"/>
        <v>2.1832322085948411E-5</v>
      </c>
      <c r="P21" s="48">
        <v>40335</v>
      </c>
      <c r="Q21" s="1">
        <v>3.4665297481631412E-4</v>
      </c>
      <c r="R21" s="100">
        <v>10476</v>
      </c>
      <c r="S21" s="100">
        <f t="shared" si="11"/>
        <v>16.171300227570537</v>
      </c>
      <c r="T21" s="101">
        <f t="shared" si="9"/>
        <v>10459.82869977243</v>
      </c>
      <c r="U21" s="49">
        <v>40713</v>
      </c>
      <c r="V21" s="92"/>
      <c r="W21" s="92"/>
      <c r="X21" s="92"/>
      <c r="Y21" s="92"/>
      <c r="Z21" s="92"/>
      <c r="AE21" s="93">
        <f t="shared" si="12"/>
        <v>37778.5</v>
      </c>
      <c r="AF21" s="92">
        <f>Logistic2010!Q21</f>
        <v>8.428233623178356E-4</v>
      </c>
      <c r="AG21" s="4">
        <f t="shared" si="10"/>
        <v>3.4665297481631412E-4</v>
      </c>
      <c r="AH21" s="92">
        <f>Logistic2011!Q21</f>
        <v>1.624864967222617E-4</v>
      </c>
      <c r="AI21" s="92">
        <f>Logistic2012!Q21</f>
        <v>3.4665297481631412E-4</v>
      </c>
      <c r="AJ21" s="92">
        <f>Logistic2013!L21</f>
        <v>1.7683522199292421E-3</v>
      </c>
      <c r="AK21" s="119">
        <f>Logistic2014!AK21</f>
        <v>2.3155082495920514E-3</v>
      </c>
      <c r="AL21" s="119">
        <f t="shared" si="13"/>
        <v>1.3690945960680716E-3</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17"/>
        <v/>
      </c>
      <c r="E22" s="81"/>
      <c r="F22" s="50" t="str">
        <f t="shared" si="18"/>
        <v/>
      </c>
      <c r="G22" s="16" t="str">
        <f t="shared" si="19"/>
        <v/>
      </c>
      <c r="H22" s="51" t="str">
        <f t="shared" si="20"/>
        <v/>
      </c>
      <c r="I22" s="53"/>
      <c r="J22" s="105">
        <f t="shared" si="7"/>
        <v>37779.5</v>
      </c>
      <c r="K22" s="109">
        <v>14</v>
      </c>
      <c r="L22" s="125">
        <f t="shared" si="5"/>
        <v>1.7182097620019048E-3</v>
      </c>
      <c r="M22" s="46">
        <f t="shared" si="8"/>
        <v>3.1112374086324488E-5</v>
      </c>
      <c r="N22" s="130">
        <v>3.1112374086324488E-5</v>
      </c>
      <c r="O22" s="89">
        <f t="shared" si="6"/>
        <v>3.1112374086324488E-5</v>
      </c>
      <c r="P22" s="48">
        <v>40336</v>
      </c>
      <c r="Q22" s="1">
        <v>4.6166614885428784E-4</v>
      </c>
      <c r="R22" s="100">
        <v>15768</v>
      </c>
      <c r="S22" s="100">
        <f t="shared" si="11"/>
        <v>30.545500259342283</v>
      </c>
      <c r="T22" s="101">
        <f t="shared" si="9"/>
        <v>15737.454499740657</v>
      </c>
      <c r="U22" s="49">
        <v>40714</v>
      </c>
      <c r="V22" s="92"/>
      <c r="W22" s="92"/>
      <c r="X22" s="92"/>
      <c r="Y22" s="92"/>
      <c r="Z22" s="92"/>
      <c r="AE22" s="93">
        <f t="shared" si="12"/>
        <v>37779.5</v>
      </c>
      <c r="AF22" s="92">
        <f>Logistic2010!Q22</f>
        <v>1.0290976755680944E-3</v>
      </c>
      <c r="AG22" s="4">
        <f t="shared" si="10"/>
        <v>4.6166614885428784E-4</v>
      </c>
      <c r="AH22" s="92">
        <f>Logistic2011!Q22</f>
        <v>2.0898542158394941E-4</v>
      </c>
      <c r="AI22" s="92">
        <f>Logistic2012!Q22</f>
        <v>4.6166614885428784E-4</v>
      </c>
      <c r="AJ22" s="92">
        <f>Logistic2013!L22</f>
        <v>2.1541071781976768E-3</v>
      </c>
      <c r="AK22" s="119">
        <f>Logistic2014!AK22</f>
        <v>2.801852416196298E-3</v>
      </c>
      <c r="AL22" s="119">
        <f t="shared" si="13"/>
        <v>1.7182097620019048E-3</v>
      </c>
      <c r="AM22" s="110">
        <v>0.69199999999999995</v>
      </c>
      <c r="AO22" s="110">
        <v>0.70699999999999996</v>
      </c>
      <c r="AP22" s="113">
        <v>0.997</v>
      </c>
      <c r="AQ22" s="110"/>
      <c r="AR22" t="s">
        <v>35</v>
      </c>
      <c r="AS22"/>
      <c r="AT22"/>
      <c r="AU22"/>
      <c r="AV22"/>
      <c r="AW22"/>
      <c r="AX22"/>
    </row>
    <row r="23" spans="1:50" x14ac:dyDescent="0.25">
      <c r="A23" s="39"/>
      <c r="B23" s="49"/>
      <c r="C23" s="79"/>
      <c r="D23" s="86" t="str">
        <f t="shared" si="17"/>
        <v/>
      </c>
      <c r="E23" s="81"/>
      <c r="F23" s="50" t="str">
        <f t="shared" si="18"/>
        <v/>
      </c>
      <c r="G23" s="16" t="str">
        <f t="shared" si="19"/>
        <v/>
      </c>
      <c r="H23" s="51" t="str">
        <f t="shared" si="20"/>
        <v/>
      </c>
      <c r="I23" s="53"/>
      <c r="J23" s="105">
        <f t="shared" si="7"/>
        <v>37780.5</v>
      </c>
      <c r="K23" s="109">
        <v>15</v>
      </c>
      <c r="L23" s="125">
        <f t="shared" si="5"/>
        <v>2.1561560750531792E-3</v>
      </c>
      <c r="M23" s="46">
        <f t="shared" si="8"/>
        <v>4.4336832295415093E-5</v>
      </c>
      <c r="N23" s="130">
        <v>4.4336832295415093E-5</v>
      </c>
      <c r="O23" s="89">
        <f t="shared" si="6"/>
        <v>4.4336832295415093E-5</v>
      </c>
      <c r="P23" s="48">
        <v>40337</v>
      </c>
      <c r="Q23" s="1">
        <v>6.1481514040778599E-4</v>
      </c>
      <c r="R23" s="100">
        <v>13548</v>
      </c>
      <c r="S23" s="100">
        <f t="shared" si="11"/>
        <v>32.932356467085384</v>
      </c>
      <c r="T23" s="101">
        <f t="shared" si="9"/>
        <v>13515.067643532915</v>
      </c>
      <c r="U23" s="49">
        <v>40715</v>
      </c>
      <c r="V23" s="92"/>
      <c r="W23" s="92"/>
      <c r="X23" s="92"/>
      <c r="Y23" s="92"/>
      <c r="Z23" s="92"/>
      <c r="AE23" s="93">
        <f t="shared" si="12"/>
        <v>37780.5</v>
      </c>
      <c r="AF23" s="92">
        <f>Logistic2010!Q23</f>
        <v>1.2564891276397731E-3</v>
      </c>
      <c r="AG23" s="4">
        <f t="shared" si="10"/>
        <v>6.1481514040778599E-4</v>
      </c>
      <c r="AH23" s="92">
        <f>Logistic2011!Q23</f>
        <v>2.6878741349269233E-4</v>
      </c>
      <c r="AI23" s="92">
        <f>Logistic2012!Q23</f>
        <v>6.1481514040778599E-4</v>
      </c>
      <c r="AJ23" s="92">
        <f>Logistic2013!L23</f>
        <v>2.6237909806921655E-3</v>
      </c>
      <c r="AK23" s="119">
        <f>Logistic2014!AK23</f>
        <v>3.3900001278880923E-3</v>
      </c>
      <c r="AL23" s="119">
        <f t="shared" si="13"/>
        <v>2.1561560750531792E-3</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17"/>
        <v/>
      </c>
      <c r="E24" s="81"/>
      <c r="F24" s="50" t="str">
        <f t="shared" si="18"/>
        <v/>
      </c>
      <c r="G24" s="16" t="str">
        <f t="shared" si="19"/>
        <v/>
      </c>
      <c r="H24" s="51" t="str">
        <f t="shared" si="20"/>
        <v/>
      </c>
      <c r="I24" s="53"/>
      <c r="J24" s="105">
        <f t="shared" si="7"/>
        <v>37781.5</v>
      </c>
      <c r="K24" s="109">
        <v>16</v>
      </c>
      <c r="L24" s="125">
        <f t="shared" si="5"/>
        <v>2.7054259248118022E-3</v>
      </c>
      <c r="M24" s="46">
        <f t="shared" si="8"/>
        <v>6.3182052340935858E-5</v>
      </c>
      <c r="N24" s="130">
        <v>6.3182052340935858E-5</v>
      </c>
      <c r="O24" s="89">
        <f t="shared" si="6"/>
        <v>6.3182052340935858E-5</v>
      </c>
      <c r="P24" s="48">
        <v>40338</v>
      </c>
      <c r="Q24" s="1">
        <v>8.1872679212602632E-4</v>
      </c>
      <c r="R24" s="100">
        <v>8722</v>
      </c>
      <c r="S24" s="100">
        <f t="shared" si="11"/>
        <v>26.600222444971585</v>
      </c>
      <c r="T24" s="101">
        <f t="shared" si="9"/>
        <v>8695.3997775550288</v>
      </c>
      <c r="U24" s="49">
        <v>40716</v>
      </c>
      <c r="V24" s="92"/>
      <c r="W24" s="92"/>
      <c r="X24" s="92"/>
      <c r="Y24" s="92"/>
      <c r="Z24" s="92"/>
      <c r="AE24" s="93">
        <f t="shared" si="12"/>
        <v>37781.5</v>
      </c>
      <c r="AF24" s="92">
        <f>Logistic2010!Q24</f>
        <v>1.5340482859932569E-3</v>
      </c>
      <c r="AG24" s="4">
        <f t="shared" si="10"/>
        <v>8.1872679212602632E-4</v>
      </c>
      <c r="AH24" s="92">
        <f>Logistic2011!Q24</f>
        <v>3.4569606119318159E-4</v>
      </c>
      <c r="AI24" s="92">
        <f>Logistic2012!Q24</f>
        <v>8.1872679212602632E-4</v>
      </c>
      <c r="AJ24" s="92">
        <f>Logistic2013!L24</f>
        <v>3.1955571705628975E-3</v>
      </c>
      <c r="AK24" s="119">
        <f>Logistic2014!AK24</f>
        <v>4.101100461714453E-3</v>
      </c>
      <c r="AL24" s="119">
        <f t="shared" si="13"/>
        <v>2.7054259248118022E-3</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17"/>
        <v/>
      </c>
      <c r="E25" s="81"/>
      <c r="F25" s="50" t="str">
        <f t="shared" si="18"/>
        <v/>
      </c>
      <c r="G25" s="16" t="str">
        <f t="shared" si="19"/>
        <v/>
      </c>
      <c r="H25" s="51" t="str">
        <f t="shared" si="20"/>
        <v/>
      </c>
      <c r="I25" s="54"/>
      <c r="J25" s="105">
        <f t="shared" si="7"/>
        <v>37782.5</v>
      </c>
      <c r="K25" s="109">
        <v>17</v>
      </c>
      <c r="L25" s="125">
        <f t="shared" si="5"/>
        <v>3.3941435420470796E-3</v>
      </c>
      <c r="M25" s="46">
        <f t="shared" si="8"/>
        <v>9.003664795384782E-5</v>
      </c>
      <c r="N25" s="130">
        <v>9.003664795384782E-5</v>
      </c>
      <c r="O25" s="89">
        <f t="shared" si="6"/>
        <v>9.003664795384782E-5</v>
      </c>
      <c r="P25" s="48">
        <v>40339</v>
      </c>
      <c r="Q25" s="1">
        <v>1.0901946909765959E-3</v>
      </c>
      <c r="R25" s="100">
        <v>10831</v>
      </c>
      <c r="S25" s="100">
        <f t="shared" si="11"/>
        <v>41.437144500901674</v>
      </c>
      <c r="T25" s="101">
        <f t="shared" si="9"/>
        <v>10789.562855499098</v>
      </c>
      <c r="U25" s="49">
        <v>40717</v>
      </c>
      <c r="V25" s="92"/>
      <c r="W25" s="92"/>
      <c r="X25" s="92"/>
      <c r="Y25" s="92"/>
      <c r="Z25" s="92"/>
      <c r="AE25" s="93">
        <f t="shared" si="12"/>
        <v>37782.5</v>
      </c>
      <c r="AF25" s="92">
        <f>Logistic2010!Q25</f>
        <v>1.8728054475450151E-3</v>
      </c>
      <c r="AG25" s="4">
        <f t="shared" si="10"/>
        <v>1.0901946909765959E-3</v>
      </c>
      <c r="AH25" s="92">
        <f>Logistic2011!Q25</f>
        <v>4.4460093825327419E-4</v>
      </c>
      <c r="AI25" s="92">
        <f>Logistic2012!Q25</f>
        <v>1.0901946909765959E-3</v>
      </c>
      <c r="AJ25" s="92">
        <f>Logistic2013!L25</f>
        <v>3.8914342584479623E-3</v>
      </c>
      <c r="AK25" s="119">
        <f>Logistic2014!AK25</f>
        <v>4.960621659003208E-3</v>
      </c>
      <c r="AL25" s="119">
        <f t="shared" si="13"/>
        <v>3.3941435420470796E-3</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17"/>
        <v/>
      </c>
      <c r="E26" s="81"/>
      <c r="F26" s="50" t="str">
        <f t="shared" si="18"/>
        <v/>
      </c>
      <c r="G26" s="16" t="str">
        <f t="shared" si="19"/>
        <v/>
      </c>
      <c r="H26" s="51" t="str">
        <f t="shared" si="20"/>
        <v/>
      </c>
      <c r="I26" s="54"/>
      <c r="J26" s="105">
        <f t="shared" si="7"/>
        <v>37783.5</v>
      </c>
      <c r="K26" s="109">
        <v>18</v>
      </c>
      <c r="L26" s="125">
        <f t="shared" si="5"/>
        <v>4.2574388604830057E-3</v>
      </c>
      <c r="M26" s="46">
        <f t="shared" si="8"/>
        <v>1.2830392713932698E-4</v>
      </c>
      <c r="N26" s="130">
        <v>1.2830392713932698E-4</v>
      </c>
      <c r="O26" s="89">
        <f t="shared" si="6"/>
        <v>1.2830392713932698E-4</v>
      </c>
      <c r="P26" s="48">
        <v>40340</v>
      </c>
      <c r="Q26" s="1">
        <v>1.4515433191966043E-3</v>
      </c>
      <c r="R26" s="100">
        <v>10194</v>
      </c>
      <c r="S26" s="100">
        <f t="shared" si="11"/>
        <v>48.913740531799959</v>
      </c>
      <c r="T26" s="101">
        <f t="shared" si="9"/>
        <v>10145.0862594682</v>
      </c>
      <c r="U26" s="49">
        <v>40718</v>
      </c>
      <c r="V26" s="92"/>
      <c r="W26" s="92"/>
      <c r="X26" s="92"/>
      <c r="Y26" s="92"/>
      <c r="Z26" s="92"/>
      <c r="AE26" s="93">
        <f t="shared" si="12"/>
        <v>37783.5</v>
      </c>
      <c r="AF26" s="92">
        <f>Logistic2010!Q26</f>
        <v>2.2861975841660187E-3</v>
      </c>
      <c r="AG26" s="4">
        <f t="shared" si="10"/>
        <v>1.4515433191966043E-3</v>
      </c>
      <c r="AH26" s="92">
        <f>Logistic2011!Q26</f>
        <v>5.7178666821399956E-4</v>
      </c>
      <c r="AI26" s="92">
        <f>Logistic2012!Q26</f>
        <v>1.4515433191966043E-3</v>
      </c>
      <c r="AJ26" s="92">
        <f>Logistic2013!L26</f>
        <v>4.7381279726284222E-3</v>
      </c>
      <c r="AK26" s="119">
        <f>Logistic2014!AK26</f>
        <v>5.9991987892107617E-3</v>
      </c>
      <c r="AL26" s="119">
        <f t="shared" si="13"/>
        <v>4.2574388604830057E-3</v>
      </c>
      <c r="AM26" s="114"/>
      <c r="AN26" s="114"/>
      <c r="AO26" s="114"/>
      <c r="AP26" s="114"/>
      <c r="AQ26" s="114"/>
      <c r="AR26" s="110"/>
      <c r="AS26" s="110"/>
      <c r="AT26" s="110"/>
      <c r="AU26" s="110"/>
      <c r="AV26" s="110"/>
      <c r="AW26" s="110"/>
      <c r="AX26" s="110"/>
    </row>
    <row r="27" spans="1:50" ht="16.5" thickBot="1" x14ac:dyDescent="0.3">
      <c r="B27" s="49"/>
      <c r="C27" s="79"/>
      <c r="D27" s="86" t="str">
        <f t="shared" si="17"/>
        <v/>
      </c>
      <c r="E27" s="81"/>
      <c r="F27" s="50" t="str">
        <f t="shared" si="18"/>
        <v/>
      </c>
      <c r="G27" s="16" t="str">
        <f t="shared" si="19"/>
        <v/>
      </c>
      <c r="H27" s="51" t="str">
        <f t="shared" si="20"/>
        <v/>
      </c>
      <c r="I27" s="54"/>
      <c r="J27" s="105">
        <f t="shared" si="7"/>
        <v>37784.5</v>
      </c>
      <c r="K27" s="109">
        <v>19</v>
      </c>
      <c r="L27" s="125">
        <f t="shared" si="5"/>
        <v>5.3391356994149652E-3</v>
      </c>
      <c r="M27" s="46">
        <f t="shared" si="8"/>
        <v>1.8283255021357849E-4</v>
      </c>
      <c r="N27" s="130">
        <v>1.8283255021357849E-4</v>
      </c>
      <c r="O27" s="89">
        <f t="shared" si="6"/>
        <v>1.8283255021357849E-4</v>
      </c>
      <c r="P27" s="48">
        <v>40341</v>
      </c>
      <c r="Q27" s="1">
        <v>1.9324304426046567E-3</v>
      </c>
      <c r="R27" s="100">
        <v>4837</v>
      </c>
      <c r="S27" s="100">
        <f t="shared" si="11"/>
        <v>29.101689110782193</v>
      </c>
      <c r="T27" s="101">
        <f t="shared" si="9"/>
        <v>4807.898310889218</v>
      </c>
      <c r="U27" s="49">
        <v>40719</v>
      </c>
      <c r="V27" s="92">
        <v>7.0000000000000001E-3</v>
      </c>
      <c r="W27" s="92"/>
      <c r="X27" s="92"/>
      <c r="Y27" s="92"/>
      <c r="Z27" s="92"/>
      <c r="AE27" s="93">
        <f t="shared" si="12"/>
        <v>37784.5</v>
      </c>
      <c r="AF27" s="92">
        <f>Logistic2010!Q27</f>
        <v>2.7905843687065831E-3</v>
      </c>
      <c r="AG27" s="4">
        <f t="shared" si="10"/>
        <v>1.9324304426046567E-3</v>
      </c>
      <c r="AH27" s="92">
        <f>Logistic2011!Q27</f>
        <v>7.3532929350053459E-4</v>
      </c>
      <c r="AI27" s="92">
        <f>Logistic2012!Q27</f>
        <v>1.9324304426046567E-3</v>
      </c>
      <c r="AJ27" s="92">
        <f>Logistic2013!L27</f>
        <v>5.7679775716238009E-3</v>
      </c>
      <c r="AK27" s="119">
        <f>Logistic2014!AK27</f>
        <v>7.2536318036214055E-3</v>
      </c>
      <c r="AL27" s="119">
        <f t="shared" si="13"/>
        <v>5.3391356994149652E-3</v>
      </c>
      <c r="AM27" s="114"/>
      <c r="AO27" s="114"/>
      <c r="AP27" s="114"/>
      <c r="AQ27" s="114"/>
      <c r="AR27" s="111" t="s">
        <v>45</v>
      </c>
      <c r="AS27" s="111">
        <v>4.8233989090909093</v>
      </c>
      <c r="AT27" s="111">
        <v>32</v>
      </c>
      <c r="AU27" s="111"/>
      <c r="AV27" s="111"/>
      <c r="AW27" s="111"/>
      <c r="AX27" s="111"/>
    </row>
    <row r="28" spans="1:50" x14ac:dyDescent="0.25">
      <c r="B28" s="49"/>
      <c r="C28" s="79"/>
      <c r="D28" s="86" t="str">
        <f t="shared" si="17"/>
        <v/>
      </c>
      <c r="E28" s="81"/>
      <c r="F28" s="50" t="str">
        <f t="shared" si="18"/>
        <v/>
      </c>
      <c r="G28" s="16" t="str">
        <f t="shared" si="19"/>
        <v/>
      </c>
      <c r="H28" s="51" t="str">
        <f t="shared" si="20"/>
        <v/>
      </c>
      <c r="I28" s="54"/>
      <c r="J28" s="105">
        <f t="shared" si="7"/>
        <v>37785.5</v>
      </c>
      <c r="K28" s="109">
        <v>20</v>
      </c>
      <c r="L28" s="125">
        <f t="shared" si="5"/>
        <v>6.6938141086405212E-3</v>
      </c>
      <c r="M28" s="46">
        <f t="shared" si="8"/>
        <v>2.6052956766402371E-4</v>
      </c>
      <c r="N28" s="130">
        <v>2.6052956766402371E-4</v>
      </c>
      <c r="O28" s="89">
        <f t="shared" si="6"/>
        <v>2.6052956766402371E-4</v>
      </c>
      <c r="P28" s="48">
        <v>40342</v>
      </c>
      <c r="Q28" s="1">
        <v>2.5722220404043386E-3</v>
      </c>
      <c r="R28" s="100">
        <v>8645</v>
      </c>
      <c r="S28" s="100">
        <f t="shared" si="11"/>
        <v>65.196807596125907</v>
      </c>
      <c r="T28" s="101">
        <f t="shared" si="9"/>
        <v>8579.8031924038733</v>
      </c>
      <c r="U28" s="40">
        <v>40720</v>
      </c>
      <c r="V28" s="92"/>
      <c r="W28" s="92"/>
      <c r="X28" s="92"/>
      <c r="Y28" s="92"/>
      <c r="Z28" s="92"/>
      <c r="AE28" s="93">
        <f t="shared" si="12"/>
        <v>37785.5</v>
      </c>
      <c r="AF28" s="92">
        <f>Logistic2010!Q28</f>
        <v>3.4058703908046778E-3</v>
      </c>
      <c r="AG28" s="4">
        <f t="shared" si="10"/>
        <v>2.5722220404043386E-3</v>
      </c>
      <c r="AH28" s="92">
        <f>Logistic2011!Q28</f>
        <v>9.4560418099634688E-4</v>
      </c>
      <c r="AI28" s="92">
        <f>Logistic2012!Q28</f>
        <v>2.5722220404043386E-3</v>
      </c>
      <c r="AJ28" s="92">
        <f>Logistic2013!L28</f>
        <v>7.0200899120878707E-3</v>
      </c>
      <c r="AK28" s="119">
        <f>Logistic2014!AK28</f>
        <v>8.7680531167695416E-3</v>
      </c>
      <c r="AL28" s="119">
        <f t="shared" si="13"/>
        <v>6.6938141086405212E-3</v>
      </c>
      <c r="AM28" s="114"/>
      <c r="AN28" s="114"/>
      <c r="AQ28" s="114"/>
      <c r="AR28" s="114"/>
      <c r="AS28" s="114"/>
      <c r="AT28" s="114"/>
      <c r="AU28" s="114"/>
    </row>
    <row r="29" spans="1:50" x14ac:dyDescent="0.25">
      <c r="B29" s="49"/>
      <c r="C29" s="79"/>
      <c r="D29" s="86" t="str">
        <f t="shared" si="17"/>
        <v/>
      </c>
      <c r="E29" s="81"/>
      <c r="F29" s="50" t="str">
        <f t="shared" si="18"/>
        <v/>
      </c>
      <c r="G29" s="16" t="str">
        <f t="shared" si="19"/>
        <v/>
      </c>
      <c r="H29" s="51" t="str">
        <f t="shared" si="20"/>
        <v/>
      </c>
      <c r="I29" s="54"/>
      <c r="J29" s="105">
        <f t="shared" si="7"/>
        <v>37786.5</v>
      </c>
      <c r="K29" s="109">
        <v>21</v>
      </c>
      <c r="L29" s="125">
        <f t="shared" si="5"/>
        <v>8.3893108413018534E-3</v>
      </c>
      <c r="M29" s="46">
        <f t="shared" si="8"/>
        <v>3.7123266109304417E-4</v>
      </c>
      <c r="N29" s="130">
        <v>3.7123266109304417E-4</v>
      </c>
      <c r="O29" s="89">
        <f t="shared" si="6"/>
        <v>3.7123266109304417E-4</v>
      </c>
      <c r="P29" s="48">
        <v>40343</v>
      </c>
      <c r="Q29" s="1">
        <v>3.4231101794941045E-3</v>
      </c>
      <c r="R29" s="100">
        <v>6148</v>
      </c>
      <c r="S29" s="100">
        <f t="shared" si="11"/>
        <v>58.095624657755003</v>
      </c>
      <c r="T29" s="101">
        <f t="shared" si="9"/>
        <v>6089.9043753422447</v>
      </c>
      <c r="U29" s="49">
        <v>40721</v>
      </c>
      <c r="V29" s="92"/>
      <c r="W29" s="92"/>
      <c r="X29" s="92"/>
      <c r="Y29" s="92"/>
      <c r="Z29" s="92"/>
      <c r="AE29" s="93">
        <f t="shared" si="12"/>
        <v>37786.5</v>
      </c>
      <c r="AF29" s="92">
        <f>Logistic2010!Q29</f>
        <v>4.156253215078223E-3</v>
      </c>
      <c r="AG29" s="4">
        <f t="shared" si="10"/>
        <v>3.4231101794941045E-3</v>
      </c>
      <c r="AH29" s="92">
        <f>Logistic2011!Q29</f>
        <v>1.2159361420781157E-3</v>
      </c>
      <c r="AI29" s="92">
        <f>Logistic2012!Q29</f>
        <v>3.4231101794941045E-3</v>
      </c>
      <c r="AJ29" s="92">
        <f>Logistic2013!L29</f>
        <v>8.5416755801183825E-3</v>
      </c>
      <c r="AK29" s="119">
        <f>Logistic2014!AK29</f>
        <v>1.0595282474405681E-2</v>
      </c>
      <c r="AL29" s="119">
        <f t="shared" si="13"/>
        <v>8.3893108413018534E-3</v>
      </c>
      <c r="AM29" s="113"/>
      <c r="AN29" s="113"/>
      <c r="AP29" s="113"/>
      <c r="AQ29" s="113"/>
      <c r="AR29" s="113"/>
      <c r="AS29" s="113"/>
      <c r="AT29" s="114"/>
      <c r="AU29" s="114"/>
    </row>
    <row r="30" spans="1:50" x14ac:dyDescent="0.25">
      <c r="B30" s="49"/>
      <c r="C30" s="79"/>
      <c r="D30" s="86" t="str">
        <f t="shared" si="17"/>
        <v/>
      </c>
      <c r="E30" s="81"/>
      <c r="F30" s="50" t="str">
        <f t="shared" si="18"/>
        <v/>
      </c>
      <c r="G30" s="16" t="str">
        <f t="shared" si="19"/>
        <v/>
      </c>
      <c r="H30" s="51" t="str">
        <f t="shared" si="20"/>
        <v/>
      </c>
      <c r="I30" s="54"/>
      <c r="J30" s="105">
        <f t="shared" si="7"/>
        <v>37787.5</v>
      </c>
      <c r="K30" s="109">
        <v>22</v>
      </c>
      <c r="L30" s="125">
        <f t="shared" si="5"/>
        <v>1.0509721252958067E-2</v>
      </c>
      <c r="M30" s="46">
        <f t="shared" si="8"/>
        <v>5.2895034459836269E-4</v>
      </c>
      <c r="N30" s="131">
        <v>5.2895034459836269E-4</v>
      </c>
      <c r="O30" s="89">
        <f t="shared" si="6"/>
        <v>5.2895034459836269E-4</v>
      </c>
      <c r="P30" s="48">
        <v>40344</v>
      </c>
      <c r="Q30" s="1">
        <v>4.5541859663405402E-3</v>
      </c>
      <c r="R30" s="100">
        <v>5114</v>
      </c>
      <c r="S30" s="100">
        <f t="shared" si="11"/>
        <v>60.520808808883714</v>
      </c>
      <c r="T30" s="101">
        <f t="shared" si="9"/>
        <v>5053.4791911911161</v>
      </c>
      <c r="U30" s="49">
        <v>40722</v>
      </c>
      <c r="V30" s="92"/>
      <c r="W30" s="92"/>
      <c r="X30" s="92"/>
      <c r="Y30" s="92"/>
      <c r="Z30" s="92"/>
      <c r="AE30" s="93">
        <f t="shared" si="12"/>
        <v>37787.5</v>
      </c>
      <c r="AF30" s="92">
        <f>Logistic2010!Q30</f>
        <v>5.0711194585093189E-3</v>
      </c>
      <c r="AG30" s="4">
        <f t="shared" si="10"/>
        <v>4.5541859663405402E-3</v>
      </c>
      <c r="AH30" s="92">
        <f>Logistic2011!Q30</f>
        <v>1.5634304169464023E-3</v>
      </c>
      <c r="AI30" s="92">
        <f>Logistic2012!Q30</f>
        <v>4.5541859663405402E-3</v>
      </c>
      <c r="AJ30" s="92">
        <f>Logistic2013!L30</f>
        <v>1.0389610148679944E-2</v>
      </c>
      <c r="AK30" s="119">
        <f>Logistic2014!AK30</f>
        <v>1.2798382995327439E-2</v>
      </c>
      <c r="AL30" s="119">
        <f t="shared" si="13"/>
        <v>1.0509721252958067E-2</v>
      </c>
      <c r="AM30" s="113"/>
      <c r="AN30" s="113"/>
      <c r="AO30" s="113"/>
      <c r="AP30" s="113"/>
      <c r="AQ30" s="113"/>
      <c r="AR30" s="113"/>
      <c r="AS30" s="113"/>
      <c r="AT30" s="114"/>
      <c r="AU30" s="114"/>
    </row>
    <row r="31" spans="1:50" x14ac:dyDescent="0.25">
      <c r="B31" s="49"/>
      <c r="C31" s="79"/>
      <c r="D31" s="86" t="str">
        <f t="shared" si="17"/>
        <v/>
      </c>
      <c r="E31" s="81"/>
      <c r="F31" s="50" t="str">
        <f t="shared" si="18"/>
        <v/>
      </c>
      <c r="G31" s="16" t="str">
        <f t="shared" si="19"/>
        <v/>
      </c>
      <c r="H31" s="51" t="str">
        <f t="shared" si="20"/>
        <v/>
      </c>
      <c r="I31" s="54"/>
      <c r="J31" s="105">
        <f t="shared" si="7"/>
        <v>37788.5</v>
      </c>
      <c r="K31" s="109">
        <v>23</v>
      </c>
      <c r="L31" s="125">
        <f t="shared" si="5"/>
        <v>1.3158956419659732E-2</v>
      </c>
      <c r="M31" s="46">
        <f t="shared" si="8"/>
        <v>7.5362365201523903E-4</v>
      </c>
      <c r="N31" s="131">
        <v>7.5362365201523903E-4</v>
      </c>
      <c r="O31" s="89">
        <f t="shared" si="6"/>
        <v>7.5362365201523903E-4</v>
      </c>
      <c r="P31" s="48">
        <v>40345</v>
      </c>
      <c r="Q31" s="1">
        <v>6.0567243090960737E-3</v>
      </c>
      <c r="R31" s="100">
        <v>7184</v>
      </c>
      <c r="S31" s="100">
        <f t="shared" si="11"/>
        <v>106.40883733403949</v>
      </c>
      <c r="T31" s="101">
        <f t="shared" si="9"/>
        <v>7077.5911626659608</v>
      </c>
      <c r="U31" s="49">
        <v>40723</v>
      </c>
      <c r="V31" s="92"/>
      <c r="W31" s="92"/>
      <c r="X31" s="92"/>
      <c r="Y31" s="92"/>
      <c r="Z31" s="92"/>
      <c r="AE31" s="93">
        <f t="shared" si="12"/>
        <v>37788.5</v>
      </c>
      <c r="AF31" s="92">
        <f>Logistic2010!Q31</f>
        <v>6.18611330154804E-3</v>
      </c>
      <c r="AG31" s="4">
        <f t="shared" si="10"/>
        <v>6.0567243090960737E-3</v>
      </c>
      <c r="AH31" s="92">
        <f>Logistic2011!Q31</f>
        <v>2.0100329059479318E-3</v>
      </c>
      <c r="AI31" s="92">
        <f>Logistic2012!Q31</f>
        <v>6.0567243090960737E-3</v>
      </c>
      <c r="AJ31" s="92">
        <f>Logistic2013!L31</f>
        <v>1.263223931108238E-2</v>
      </c>
      <c r="AK31" s="119">
        <f>Logistic2014!AK31</f>
        <v>1.5452424589650317E-2</v>
      </c>
      <c r="AL31" s="119">
        <f t="shared" si="13"/>
        <v>1.3158956419659732E-2</v>
      </c>
      <c r="AM31" s="113"/>
      <c r="AO31" s="113"/>
      <c r="AP31" s="113"/>
      <c r="AQ31" s="113"/>
      <c r="AR31" t="s">
        <v>28</v>
      </c>
      <c r="AS31"/>
      <c r="AT31"/>
      <c r="AU31"/>
      <c r="AV31"/>
      <c r="AW31"/>
      <c r="AX31"/>
    </row>
    <row r="32" spans="1:50" x14ac:dyDescent="0.25">
      <c r="B32" s="49"/>
      <c r="C32" s="79"/>
      <c r="D32" s="86" t="str">
        <f t="shared" si="17"/>
        <v/>
      </c>
      <c r="E32" s="81"/>
      <c r="F32" s="50" t="str">
        <f t="shared" si="18"/>
        <v/>
      </c>
      <c r="G32" s="16" t="str">
        <f t="shared" si="19"/>
        <v/>
      </c>
      <c r="H32" s="51" t="str">
        <f t="shared" si="20"/>
        <v/>
      </c>
      <c r="I32" s="54"/>
      <c r="J32" s="105">
        <f t="shared" si="7"/>
        <v>37789.5</v>
      </c>
      <c r="K32" s="109">
        <v>24</v>
      </c>
      <c r="L32" s="125">
        <f t="shared" si="5"/>
        <v>1.6464884708970413E-2</v>
      </c>
      <c r="M32" s="46">
        <f t="shared" si="8"/>
        <v>1.0736251359755081E-3</v>
      </c>
      <c r="N32" s="131">
        <v>1.0736251359755081E-3</v>
      </c>
      <c r="O32" s="89">
        <f t="shared" si="6"/>
        <v>1.0736251359755081E-3</v>
      </c>
      <c r="P32" s="48">
        <v>40346</v>
      </c>
      <c r="Q32" s="1">
        <v>8.0509778061675936E-3</v>
      </c>
      <c r="R32" s="100">
        <v>8109</v>
      </c>
      <c r="S32" s="100">
        <f t="shared" si="11"/>
        <v>150.21485817592156</v>
      </c>
      <c r="T32" s="101">
        <f t="shared" si="9"/>
        <v>7958.7851418240789</v>
      </c>
      <c r="U32" s="49">
        <v>40724</v>
      </c>
      <c r="V32" s="92"/>
      <c r="W32" s="92"/>
      <c r="X32" s="92"/>
      <c r="Y32" s="92"/>
      <c r="Z32" s="92"/>
      <c r="AE32" s="93">
        <f t="shared" si="12"/>
        <v>37789.5</v>
      </c>
      <c r="AF32" s="92">
        <f>Logistic2010!Q32</f>
        <v>7.5444033609171311E-3</v>
      </c>
      <c r="AG32" s="4">
        <f t="shared" si="10"/>
        <v>8.0509778061675936E-3</v>
      </c>
      <c r="AH32" s="92">
        <f>Logistic2011!Q32</f>
        <v>2.5838796966125908E-3</v>
      </c>
      <c r="AI32" s="92">
        <f>Logistic2012!Q32</f>
        <v>8.0509778061675936E-3</v>
      </c>
      <c r="AJ32" s="92">
        <f>Logistic2013!L32</f>
        <v>1.5351437527105454E-2</v>
      </c>
      <c r="AK32" s="119">
        <f>Logistic2014!AK32</f>
        <v>1.864644764878538E-2</v>
      </c>
      <c r="AL32" s="119">
        <f t="shared" si="13"/>
        <v>1.6464884708970413E-2</v>
      </c>
      <c r="AM32" s="115"/>
      <c r="AN32" s="115"/>
      <c r="AP32" s="115"/>
      <c r="AQ32" s="115"/>
      <c r="AR32"/>
      <c r="AS32"/>
      <c r="AT32"/>
      <c r="AU32"/>
      <c r="AV32"/>
      <c r="AW32"/>
      <c r="AX32"/>
    </row>
    <row r="33" spans="2:50" ht="16.5" thickBot="1" x14ac:dyDescent="0.3">
      <c r="B33" s="49"/>
      <c r="C33" s="79"/>
      <c r="D33" s="86" t="str">
        <f t="shared" si="17"/>
        <v/>
      </c>
      <c r="E33" s="81"/>
      <c r="F33" s="50" t="str">
        <f t="shared" si="18"/>
        <v/>
      </c>
      <c r="G33" s="16" t="str">
        <f t="shared" si="19"/>
        <v/>
      </c>
      <c r="H33" s="51" t="str">
        <f t="shared" si="20"/>
        <v/>
      </c>
      <c r="I33" s="54"/>
      <c r="J33" s="105">
        <f t="shared" si="7"/>
        <v>37790.5</v>
      </c>
      <c r="K33" s="109">
        <v>25</v>
      </c>
      <c r="L33" s="125">
        <f t="shared" si="5"/>
        <v>2.0584038259563699E-2</v>
      </c>
      <c r="M33" s="46">
        <f t="shared" si="8"/>
        <v>1.5292967649937837E-3</v>
      </c>
      <c r="N33" s="131">
        <v>1.5292967649937837E-3</v>
      </c>
      <c r="O33" s="89">
        <f t="shared" si="6"/>
        <v>1.5292967649937837E-3</v>
      </c>
      <c r="P33" s="48">
        <v>40347</v>
      </c>
      <c r="Q33" s="1">
        <v>1.0694799271914295E-2</v>
      </c>
      <c r="R33" s="100">
        <v>18981</v>
      </c>
      <c r="S33" s="100">
        <f t="shared" si="11"/>
        <v>439.32300055996717</v>
      </c>
      <c r="T33" s="101">
        <f t="shared" si="9"/>
        <v>18541.676999440031</v>
      </c>
      <c r="U33" s="49">
        <v>40725</v>
      </c>
      <c r="V33" s="92">
        <v>0.35599999999999998</v>
      </c>
      <c r="W33" s="92"/>
      <c r="X33" s="92"/>
      <c r="Y33" s="92"/>
      <c r="Z33" s="92"/>
      <c r="AE33" s="93">
        <f t="shared" si="12"/>
        <v>37790.5</v>
      </c>
      <c r="AF33" s="92">
        <f>Logistic2010!Q33</f>
        <v>9.1981739546595914E-3</v>
      </c>
      <c r="AG33" s="4">
        <f t="shared" si="10"/>
        <v>1.0694799271914295E-2</v>
      </c>
      <c r="AH33" s="92">
        <f>Logistic2011!Q33</f>
        <v>3.3210095492913049E-3</v>
      </c>
      <c r="AI33" s="92">
        <f>Logistic2012!Q33</f>
        <v>1.0694799271914295E-2</v>
      </c>
      <c r="AJ33" s="92">
        <f>Logistic2013!L33</f>
        <v>1.8644913491254085E-2</v>
      </c>
      <c r="AK33" s="119">
        <f>Logistic2014!AK33</f>
        <v>2.2485598579313124E-2</v>
      </c>
      <c r="AL33" s="119">
        <f t="shared" si="13"/>
        <v>2.0584038259563699E-2</v>
      </c>
      <c r="AM33" s="110"/>
      <c r="AN33" s="110"/>
      <c r="AO33" s="110"/>
      <c r="AP33" s="110"/>
      <c r="AQ33" s="110"/>
      <c r="AR33" t="s">
        <v>29</v>
      </c>
      <c r="AS33"/>
      <c r="AT33"/>
      <c r="AU33"/>
      <c r="AV33"/>
      <c r="AW33"/>
      <c r="AX33"/>
    </row>
    <row r="34" spans="2:50" ht="16.5" thickBot="1" x14ac:dyDescent="0.3">
      <c r="B34" s="49"/>
      <c r="C34" s="79"/>
      <c r="D34" s="86" t="str">
        <f t="shared" si="17"/>
        <v/>
      </c>
      <c r="E34" s="81"/>
      <c r="F34" s="50" t="str">
        <f t="shared" si="18"/>
        <v/>
      </c>
      <c r="G34" s="16" t="str">
        <f t="shared" si="19"/>
        <v/>
      </c>
      <c r="H34" s="51" t="str">
        <f t="shared" si="20"/>
        <v/>
      </c>
      <c r="I34" s="54"/>
      <c r="J34" s="105">
        <f t="shared" si="7"/>
        <v>37791.5</v>
      </c>
      <c r="K34" s="109">
        <v>26</v>
      </c>
      <c r="L34" s="125">
        <f t="shared" si="5"/>
        <v>2.5706778932361615E-2</v>
      </c>
      <c r="M34" s="46">
        <f t="shared" si="8"/>
        <v>2.1779444332849758E-3</v>
      </c>
      <c r="N34" s="131">
        <v>2.1779444332849758E-3</v>
      </c>
      <c r="O34" s="89">
        <f t="shared" si="6"/>
        <v>2.1779444332849758E-3</v>
      </c>
      <c r="P34" s="48">
        <v>40348</v>
      </c>
      <c r="Q34" s="1">
        <v>1.4194388945639416E-2</v>
      </c>
      <c r="R34" s="100">
        <v>7954</v>
      </c>
      <c r="S34" s="100">
        <f t="shared" si="11"/>
        <v>229.74913118541829</v>
      </c>
      <c r="T34" s="101">
        <f t="shared" si="9"/>
        <v>7724.2508688145817</v>
      </c>
      <c r="U34" s="49">
        <v>40726</v>
      </c>
      <c r="V34" s="92"/>
      <c r="W34" s="92"/>
      <c r="X34" s="92"/>
      <c r="Y34" s="92"/>
      <c r="Z34" s="92"/>
      <c r="AE34" s="93">
        <f t="shared" si="12"/>
        <v>37791.5</v>
      </c>
      <c r="AF34" s="92">
        <f>Logistic2010!Q34</f>
        <v>1.1210364440860094E-2</v>
      </c>
      <c r="AG34" s="4">
        <f t="shared" si="10"/>
        <v>1.4194388945639416E-2</v>
      </c>
      <c r="AH34" s="92">
        <f>Logistic2011!Q34</f>
        <v>4.2675282552662704E-3</v>
      </c>
      <c r="AI34" s="92">
        <f>Logistic2012!Q34</f>
        <v>1.4194388945639416E-2</v>
      </c>
      <c r="AJ34" s="92">
        <f>Logistic2013!L34</f>
        <v>2.2628728952144059E-2</v>
      </c>
      <c r="AK34" s="119">
        <f>Logistic2014!AK34</f>
        <v>2.7093376387433324E-2</v>
      </c>
      <c r="AL34" s="119">
        <f t="shared" si="13"/>
        <v>2.5706778932361615E-2</v>
      </c>
      <c r="AM34" s="110"/>
      <c r="AN34" s="110"/>
      <c r="AO34" s="110"/>
      <c r="AQ34" s="110"/>
      <c r="AR34" s="112" t="s">
        <v>30</v>
      </c>
      <c r="AS34" s="112" t="s">
        <v>31</v>
      </c>
      <c r="AT34" s="112" t="s">
        <v>32</v>
      </c>
      <c r="AU34" s="112" t="s">
        <v>33</v>
      </c>
      <c r="AV34" s="112" t="s">
        <v>34</v>
      </c>
      <c r="AW34"/>
      <c r="AX34"/>
    </row>
    <row r="35" spans="2:50" x14ac:dyDescent="0.25">
      <c r="B35" s="49"/>
      <c r="C35" s="79"/>
      <c r="D35" s="86" t="str">
        <f t="shared" si="17"/>
        <v/>
      </c>
      <c r="E35" s="81"/>
      <c r="F35" s="50" t="str">
        <f t="shared" si="18"/>
        <v/>
      </c>
      <c r="G35" s="16" t="str">
        <f t="shared" si="19"/>
        <v/>
      </c>
      <c r="H35" s="51" t="str">
        <f t="shared" si="20"/>
        <v/>
      </c>
      <c r="I35" s="54"/>
      <c r="J35" s="105">
        <f t="shared" si="7"/>
        <v>37792.5</v>
      </c>
      <c r="K35" s="109">
        <v>27</v>
      </c>
      <c r="L35" s="125">
        <f t="shared" si="5"/>
        <v>3.2062678242749845E-2</v>
      </c>
      <c r="M35" s="46">
        <f t="shared" si="8"/>
        <v>3.1008600796789275E-3</v>
      </c>
      <c r="N35" s="131">
        <v>3.1008600796789275E-3</v>
      </c>
      <c r="O35" s="89">
        <f t="shared" si="6"/>
        <v>3.1008600796789275E-3</v>
      </c>
      <c r="P35" s="48">
        <v>40349</v>
      </c>
      <c r="Q35" s="1">
        <v>1.8817345014281332E-2</v>
      </c>
      <c r="R35" s="100">
        <v>10420</v>
      </c>
      <c r="S35" s="100">
        <f t="shared" si="11"/>
        <v>375.05919557025004</v>
      </c>
      <c r="T35" s="101">
        <f t="shared" si="9"/>
        <v>10044.940804429751</v>
      </c>
      <c r="U35" s="40">
        <v>40727</v>
      </c>
      <c r="AE35" s="93">
        <f t="shared" si="12"/>
        <v>37792.5</v>
      </c>
      <c r="AF35" s="92">
        <f>Logistic2010!Q35</f>
        <v>1.3656673980419356E-2</v>
      </c>
      <c r="AG35" s="4">
        <f t="shared" si="10"/>
        <v>1.8817345014281332E-2</v>
      </c>
      <c r="AH35" s="92">
        <f>Logistic2011!Q35</f>
        <v>5.4823297455268887E-3</v>
      </c>
      <c r="AI35" s="92">
        <f>Logistic2012!Q35</f>
        <v>1.8817345014281332E-2</v>
      </c>
      <c r="AJ35" s="92">
        <f>Logistic2013!L35</f>
        <v>2.7439956026617411E-2</v>
      </c>
      <c r="AK35" s="119">
        <f>Logistic2014!AK35</f>
        <v>3.2613882518552371E-2</v>
      </c>
      <c r="AL35" s="119">
        <f t="shared" si="13"/>
        <v>3.2062678242749845E-2</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17"/>
        <v/>
      </c>
      <c r="E36" s="81"/>
      <c r="F36" s="50" t="str">
        <f t="shared" si="18"/>
        <v/>
      </c>
      <c r="G36" s="16" t="str">
        <f t="shared" si="19"/>
        <v/>
      </c>
      <c r="H36" s="51" t="str">
        <f t="shared" si="20"/>
        <v/>
      </c>
      <c r="I36" s="54"/>
      <c r="J36" s="105">
        <f t="shared" si="7"/>
        <v>37793.5</v>
      </c>
      <c r="K36" s="109">
        <v>28</v>
      </c>
      <c r="L36" s="125">
        <f t="shared" si="5"/>
        <v>3.9925651041367249E-2</v>
      </c>
      <c r="M36" s="46">
        <f t="shared" si="8"/>
        <v>4.4131364833405974E-3</v>
      </c>
      <c r="N36" s="131">
        <v>4.4131364833405974E-3</v>
      </c>
      <c r="O36" s="89">
        <f t="shared" si="6"/>
        <v>4.4131364833405974E-3</v>
      </c>
      <c r="P36" s="48">
        <v>40350</v>
      </c>
      <c r="Q36" s="1">
        <v>2.4907904460513997E-2</v>
      </c>
      <c r="R36" s="100">
        <v>14984</v>
      </c>
      <c r="S36" s="100">
        <f t="shared" si="11"/>
        <v>670.86157599992032</v>
      </c>
      <c r="T36" s="101">
        <f t="shared" si="9"/>
        <v>14313.138424000079</v>
      </c>
      <c r="U36" s="49">
        <v>40728</v>
      </c>
      <c r="AE36" s="93">
        <f t="shared" si="12"/>
        <v>37793.5</v>
      </c>
      <c r="AF36" s="92">
        <f>Logistic2010!Q36</f>
        <v>1.6627836578475143E-2</v>
      </c>
      <c r="AG36" s="4">
        <f t="shared" si="10"/>
        <v>2.4907904460513997E-2</v>
      </c>
      <c r="AH36" s="92">
        <f>Logistic2011!Q36</f>
        <v>7.0404935024234346E-3</v>
      </c>
      <c r="AI36" s="92">
        <f>Logistic2012!Q36</f>
        <v>2.4907904460513997E-2</v>
      </c>
      <c r="AJ36" s="92">
        <f>Logistic2013!L36</f>
        <v>3.3239337178441269E-2</v>
      </c>
      <c r="AK36" s="119">
        <f>Logistic2014!AK36</f>
        <v>3.9213900655283261E-2</v>
      </c>
      <c r="AL36" s="119">
        <f t="shared" si="13"/>
        <v>3.9925651041367249E-2</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17"/>
        <v/>
      </c>
      <c r="E37" s="81"/>
      <c r="F37" s="50" t="str">
        <f t="shared" si="18"/>
        <v/>
      </c>
      <c r="G37" s="16" t="str">
        <f t="shared" si="19"/>
        <v/>
      </c>
      <c r="H37" s="51" t="str">
        <f t="shared" si="20"/>
        <v/>
      </c>
      <c r="I37" s="54"/>
      <c r="J37" s="105">
        <f t="shared" si="7"/>
        <v>37794.5</v>
      </c>
      <c r="K37" s="109">
        <v>29</v>
      </c>
      <c r="L37" s="125">
        <f t="shared" si="5"/>
        <v>4.9618072396956335E-2</v>
      </c>
      <c r="M37" s="46">
        <f t="shared" si="8"/>
        <v>6.2772681143683619E-3</v>
      </c>
      <c r="N37" s="131">
        <v>6.2772681143683619E-3</v>
      </c>
      <c r="O37" s="89">
        <f t="shared" si="6"/>
        <v>6.2772681143683619E-3</v>
      </c>
      <c r="P37" s="48">
        <v>40351</v>
      </c>
      <c r="Q37" s="1">
        <v>3.2903671432563369E-2</v>
      </c>
      <c r="R37" s="100">
        <v>16806</v>
      </c>
      <c r="S37" s="100">
        <f t="shared" si="11"/>
        <v>933.83177788424564</v>
      </c>
      <c r="T37" s="101">
        <f t="shared" si="9"/>
        <v>15872.168222115753</v>
      </c>
      <c r="U37" s="49">
        <v>40729</v>
      </c>
      <c r="V37" s="4">
        <v>0.51500000000000001</v>
      </c>
      <c r="AE37" s="93">
        <f t="shared" si="12"/>
        <v>37794.5</v>
      </c>
      <c r="AF37" s="92">
        <f>Logistic2010!Q37</f>
        <v>2.0232149587218227E-2</v>
      </c>
      <c r="AG37" s="4">
        <f t="shared" si="10"/>
        <v>3.2903671432563369E-2</v>
      </c>
      <c r="AH37" s="92">
        <f>Logistic2011!Q37</f>
        <v>9.0374873855469922E-3</v>
      </c>
      <c r="AI37" s="92">
        <f>Logistic2012!Q37</f>
        <v>3.2903671432563369E-2</v>
      </c>
      <c r="AJ37" s="92">
        <f>Logistic2013!L37</f>
        <v>4.0213726080353264E-2</v>
      </c>
      <c r="AK37" s="119">
        <f>Logistic2014!AK37</f>
        <v>4.7084545759597696E-2</v>
      </c>
      <c r="AL37" s="119">
        <f t="shared" si="13"/>
        <v>4.9618072396956335E-2</v>
      </c>
      <c r="AM37" s="113"/>
      <c r="AN37" s="113"/>
      <c r="AO37" s="113"/>
      <c r="AP37" s="113"/>
      <c r="AQ37" s="113"/>
      <c r="AR37"/>
      <c r="AS37"/>
      <c r="AT37"/>
      <c r="AU37"/>
      <c r="AV37"/>
      <c r="AW37"/>
      <c r="AX37"/>
    </row>
    <row r="38" spans="2:50" x14ac:dyDescent="0.25">
      <c r="B38" s="49"/>
      <c r="C38" s="79"/>
      <c r="D38" s="86" t="str">
        <f t="shared" si="17"/>
        <v/>
      </c>
      <c r="E38" s="81"/>
      <c r="F38" s="50" t="str">
        <f t="shared" si="18"/>
        <v/>
      </c>
      <c r="G38" s="16" t="str">
        <f t="shared" si="19"/>
        <v/>
      </c>
      <c r="H38" s="51" t="str">
        <f t="shared" si="20"/>
        <v/>
      </c>
      <c r="I38" s="54"/>
      <c r="J38" s="105">
        <f t="shared" si="7"/>
        <v>37795.5</v>
      </c>
      <c r="K38" s="109">
        <v>30</v>
      </c>
      <c r="L38" s="125">
        <f t="shared" si="5"/>
        <v>6.1512687793957105E-2</v>
      </c>
      <c r="M38" s="46">
        <f t="shared" si="8"/>
        <v>8.9217622649491162E-3</v>
      </c>
      <c r="N38" s="131">
        <v>8.9217622649491162E-3</v>
      </c>
      <c r="O38" s="89">
        <f t="shared" si="6"/>
        <v>8.9217622649491162E-3</v>
      </c>
      <c r="P38" s="48">
        <v>40352</v>
      </c>
      <c r="Q38" s="1">
        <v>4.3352069231991391E-2</v>
      </c>
      <c r="R38" s="100">
        <v>28505</v>
      </c>
      <c r="S38" s="100">
        <f t="shared" si="11"/>
        <v>1960.3358202862887</v>
      </c>
      <c r="T38" s="101">
        <f t="shared" si="9"/>
        <v>26544.664179713713</v>
      </c>
      <c r="U38" s="49"/>
      <c r="AE38" s="93">
        <f t="shared" si="12"/>
        <v>37795.5</v>
      </c>
      <c r="AF38" s="92">
        <f>Logistic2010!Q38</f>
        <v>2.4598204014952465E-2</v>
      </c>
      <c r="AG38" s="4">
        <f t="shared" si="10"/>
        <v>4.3352069231991391E-2</v>
      </c>
      <c r="AH38" s="92">
        <f>Logistic2011!Q38</f>
        <v>1.1594302653630432E-2</v>
      </c>
      <c r="AI38" s="92">
        <f>Logistic2012!Q38</f>
        <v>4.3352069231991391E-2</v>
      </c>
      <c r="AJ38" s="92">
        <f>Logistic2013!L38</f>
        <v>4.8577971912167145E-2</v>
      </c>
      <c r="AK38" s="119">
        <f>Logistic2014!AK38</f>
        <v>5.6442110719466705E-2</v>
      </c>
      <c r="AL38" s="119">
        <f t="shared" si="13"/>
        <v>6.1512687793957105E-2</v>
      </c>
      <c r="AM38" s="115"/>
      <c r="AQ38" s="115"/>
      <c r="AR38"/>
      <c r="AS38"/>
      <c r="AT38"/>
      <c r="AU38"/>
      <c r="AV38"/>
      <c r="AW38"/>
      <c r="AX38"/>
    </row>
    <row r="39" spans="2:50" ht="16.5" thickBot="1" x14ac:dyDescent="0.3">
      <c r="B39" s="49"/>
      <c r="C39" s="79"/>
      <c r="D39" s="86" t="str">
        <f t="shared" si="17"/>
        <v/>
      </c>
      <c r="E39" s="81"/>
      <c r="F39" s="50" t="str">
        <f t="shared" si="18"/>
        <v/>
      </c>
      <c r="G39" s="16" t="str">
        <f t="shared" si="19"/>
        <v/>
      </c>
      <c r="H39" s="51" t="str">
        <f t="shared" si="20"/>
        <v/>
      </c>
      <c r="I39" s="54"/>
      <c r="J39" s="105">
        <f t="shared" si="7"/>
        <v>37796.5</v>
      </c>
      <c r="K39" s="109">
        <v>31</v>
      </c>
      <c r="L39" s="125">
        <f t="shared" si="5"/>
        <v>7.6030607788311888E-2</v>
      </c>
      <c r="M39" s="46">
        <f t="shared" si="8"/>
        <v>1.2666131545885561E-2</v>
      </c>
      <c r="N39" s="131">
        <v>1.2666131545885561E-2</v>
      </c>
      <c r="O39" s="89">
        <f t="shared" si="6"/>
        <v>1.2666131545885561E-2</v>
      </c>
      <c r="P39" s="48">
        <v>40353</v>
      </c>
      <c r="Q39" s="1">
        <v>5.6923017026269736E-2</v>
      </c>
      <c r="R39" s="100">
        <v>37919</v>
      </c>
      <c r="S39" s="100">
        <f t="shared" si="11"/>
        <v>3216.7394058008317</v>
      </c>
      <c r="T39" s="101">
        <f t="shared" si="9"/>
        <v>34702.260594199171</v>
      </c>
      <c r="U39" s="49"/>
      <c r="AE39" s="93">
        <f t="shared" si="12"/>
        <v>37796.5</v>
      </c>
      <c r="AF39" s="92">
        <f>Logistic2010!Q39</f>
        <v>2.9877711971165448E-2</v>
      </c>
      <c r="AG39" s="4">
        <f t="shared" si="10"/>
        <v>5.6923017026269736E-2</v>
      </c>
      <c r="AH39" s="92">
        <f>Logistic2011!Q39</f>
        <v>1.4863622388293144E-2</v>
      </c>
      <c r="AI39" s="92">
        <f>Logistic2012!Q39</f>
        <v>5.6923017026269736E-2</v>
      </c>
      <c r="AJ39" s="92">
        <f>Logistic2013!L39</f>
        <v>5.8575762266613804E-2</v>
      </c>
      <c r="AK39" s="119">
        <f>Logistic2014!AK39</f>
        <v>6.7527607102486259E-2</v>
      </c>
      <c r="AL39" s="119">
        <f t="shared" si="13"/>
        <v>7.6030607788311888E-2</v>
      </c>
      <c r="AM39" s="110"/>
      <c r="AN39" s="110"/>
      <c r="AP39" s="110"/>
      <c r="AQ39" s="110"/>
      <c r="AR39" t="s">
        <v>35</v>
      </c>
      <c r="AS39"/>
      <c r="AT39"/>
      <c r="AU39"/>
      <c r="AV39"/>
      <c r="AW39"/>
      <c r="AX39"/>
    </row>
    <row r="40" spans="2:50" x14ac:dyDescent="0.25">
      <c r="B40" s="49"/>
      <c r="C40" s="79"/>
      <c r="D40" s="86" t="str">
        <f t="shared" si="17"/>
        <v/>
      </c>
      <c r="E40" s="81"/>
      <c r="F40" s="50" t="str">
        <f t="shared" si="18"/>
        <v/>
      </c>
      <c r="G40" s="16" t="str">
        <f t="shared" si="19"/>
        <v/>
      </c>
      <c r="H40" s="51" t="str">
        <f t="shared" si="20"/>
        <v/>
      </c>
      <c r="I40" s="54"/>
      <c r="J40" s="105">
        <f t="shared" si="7"/>
        <v>37797.5</v>
      </c>
      <c r="K40" s="109">
        <v>32</v>
      </c>
      <c r="L40" s="125">
        <f t="shared" si="5"/>
        <v>9.3633117826858958E-2</v>
      </c>
      <c r="M40" s="46">
        <f t="shared" si="8"/>
        <v>1.7953505605503725E-2</v>
      </c>
      <c r="N40" s="131">
        <v>1.7953505605503725E-2</v>
      </c>
      <c r="O40" s="89">
        <f t="shared" si="6"/>
        <v>1.7953505605503725E-2</v>
      </c>
      <c r="P40" s="48">
        <v>40354</v>
      </c>
      <c r="Q40" s="1">
        <v>7.4411773683001156E-2</v>
      </c>
      <c r="R40" s="100">
        <v>41134</v>
      </c>
      <c r="S40" s="100">
        <f t="shared" si="11"/>
        <v>4286.93803350088</v>
      </c>
      <c r="T40" s="101">
        <f t="shared" si="9"/>
        <v>36847.061966499117</v>
      </c>
      <c r="U40" s="49"/>
      <c r="AE40" s="93">
        <f t="shared" si="12"/>
        <v>37797.5</v>
      </c>
      <c r="AF40" s="92">
        <f>Logistic2010!Q40</f>
        <v>3.624824956962025E-2</v>
      </c>
      <c r="AG40" s="4">
        <f t="shared" si="10"/>
        <v>7.4411773683001156E-2</v>
      </c>
      <c r="AH40" s="92">
        <f>Logistic2011!Q40</f>
        <v>1.9037057560494706E-2</v>
      </c>
      <c r="AI40" s="92">
        <f>Logistic2012!Q40</f>
        <v>7.4411773683001156E-2</v>
      </c>
      <c r="AJ40" s="92">
        <f>Logistic2013!L40</f>
        <v>7.0478765060004542E-2</v>
      </c>
      <c r="AK40" s="119">
        <f>Logistic2014!AK40</f>
        <v>8.060435401777398E-2</v>
      </c>
      <c r="AL40" s="119">
        <f t="shared" si="13"/>
        <v>9.3633117826858958E-2</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17"/>
        <v/>
      </c>
      <c r="E41" s="81"/>
      <c r="F41" s="50" t="str">
        <f t="shared" si="18"/>
        <v/>
      </c>
      <c r="G41" s="16" t="str">
        <f t="shared" si="19"/>
        <v/>
      </c>
      <c r="H41" s="51" t="str">
        <f t="shared" si="20"/>
        <v/>
      </c>
      <c r="I41" s="54"/>
      <c r="J41" s="105">
        <f t="shared" si="7"/>
        <v>37798.5</v>
      </c>
      <c r="K41" s="109">
        <v>33</v>
      </c>
      <c r="L41" s="125">
        <f t="shared" si="5"/>
        <v>0.1148045752494711</v>
      </c>
      <c r="M41" s="46">
        <f t="shared" si="8"/>
        <v>2.5391289272607597E-2</v>
      </c>
      <c r="N41" s="131">
        <v>2.5391289272607597E-2</v>
      </c>
      <c r="O41" s="89">
        <f t="shared" si="6"/>
        <v>2.5391289272607597E-2</v>
      </c>
      <c r="P41" s="48">
        <v>40355</v>
      </c>
      <c r="Q41" s="1">
        <v>9.6722617460862401E-2</v>
      </c>
      <c r="R41" s="100">
        <v>21594</v>
      </c>
      <c r="S41" s="100">
        <f t="shared" si="11"/>
        <v>2751.3795349695743</v>
      </c>
      <c r="T41" s="101">
        <f t="shared" si="9"/>
        <v>18842.620465030424</v>
      </c>
      <c r="U41" s="49"/>
      <c r="AE41" s="93">
        <f t="shared" si="12"/>
        <v>37798.5</v>
      </c>
      <c r="AF41" s="92">
        <f>Logistic2010!Q41</f>
        <v>4.3915626721520266E-2</v>
      </c>
      <c r="AG41" s="4">
        <f t="shared" si="10"/>
        <v>9.6722617460862401E-2</v>
      </c>
      <c r="AH41" s="92">
        <f>Logistic2011!Q41</f>
        <v>2.4353349085554369E-2</v>
      </c>
      <c r="AI41" s="92">
        <f>Logistic2012!Q41</f>
        <v>9.6722617460862401E-2</v>
      </c>
      <c r="AJ41" s="92">
        <f>Logistic2013!L41</f>
        <v>8.458322376954866E-2</v>
      </c>
      <c r="AK41" s="119">
        <f>Logistic2014!AK41</f>
        <v>9.5952838664410234E-2</v>
      </c>
      <c r="AL41" s="119">
        <f t="shared" si="13"/>
        <v>0.1148045752494711</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17"/>
        <v/>
      </c>
      <c r="E42" s="81"/>
      <c r="F42" s="50" t="str">
        <f t="shared" si="18"/>
        <v/>
      </c>
      <c r="G42" s="16" t="str">
        <f t="shared" si="19"/>
        <v/>
      </c>
      <c r="H42" s="51" t="str">
        <f t="shared" si="20"/>
        <v/>
      </c>
      <c r="I42" s="54"/>
      <c r="J42" s="105">
        <f t="shared" si="7"/>
        <v>37799.5</v>
      </c>
      <c r="K42" s="109">
        <v>34</v>
      </c>
      <c r="L42" s="125">
        <f t="shared" si="5"/>
        <v>0.14002357469677082</v>
      </c>
      <c r="M42" s="46">
        <f t="shared" si="8"/>
        <v>3.5798078010252969E-2</v>
      </c>
      <c r="N42" s="131">
        <v>3.5798078010252969E-2</v>
      </c>
      <c r="O42" s="89">
        <f t="shared" si="6"/>
        <v>3.5798078010252969E-2</v>
      </c>
      <c r="P42" s="48">
        <v>40356</v>
      </c>
      <c r="Q42" s="1">
        <v>0.12482080008468176</v>
      </c>
      <c r="R42" s="100">
        <v>17704</v>
      </c>
      <c r="S42" s="100">
        <f t="shared" si="11"/>
        <v>2741.8522696140567</v>
      </c>
      <c r="T42" s="101">
        <f t="shared" si="9"/>
        <v>14962.147730385943</v>
      </c>
      <c r="AE42" s="93">
        <f t="shared" si="12"/>
        <v>37799.5</v>
      </c>
      <c r="AF42" s="92">
        <f>Logistic2010!Q42</f>
        <v>5.3115454143665003E-2</v>
      </c>
      <c r="AG42" s="4">
        <f t="shared" si="10"/>
        <v>0.12482080008468176</v>
      </c>
      <c r="AH42" s="92">
        <f>Logistic2011!Q42</f>
        <v>3.1107190112750017E-2</v>
      </c>
      <c r="AI42" s="92">
        <f>Logistic2012!Q42</f>
        <v>0.12482080008468176</v>
      </c>
      <c r="AJ42" s="92">
        <f>Logistic2013!L42</f>
        <v>0.1012029979928537</v>
      </c>
      <c r="AK42" s="119">
        <f>Logistic2014!AK42</f>
        <v>0.11386199412717302</v>
      </c>
      <c r="AL42" s="119">
        <f t="shared" si="13"/>
        <v>0.14002357469677082</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17"/>
        <v/>
      </c>
      <c r="E43" s="81"/>
      <c r="F43" s="50" t="str">
        <f t="shared" si="18"/>
        <v/>
      </c>
      <c r="G43" s="16" t="str">
        <f t="shared" si="19"/>
        <v/>
      </c>
      <c r="H43" s="51" t="str">
        <f t="shared" si="20"/>
        <v/>
      </c>
      <c r="I43" s="54"/>
      <c r="J43" s="105">
        <f t="shared" si="7"/>
        <v>37800.5</v>
      </c>
      <c r="K43" s="109">
        <v>35</v>
      </c>
      <c r="L43" s="125">
        <f t="shared" si="5"/>
        <v>0.16972024247607792</v>
      </c>
      <c r="M43" s="46">
        <f t="shared" si="8"/>
        <v>5.0250242425127004E-2</v>
      </c>
      <c r="N43" s="131">
        <v>5.0250242425127004E-2</v>
      </c>
      <c r="O43" s="89">
        <f t="shared" si="6"/>
        <v>5.0250242425127004E-2</v>
      </c>
      <c r="P43" s="48">
        <v>40357</v>
      </c>
      <c r="Q43" s="1">
        <v>0.15963897994445775</v>
      </c>
      <c r="R43" s="100">
        <v>13702</v>
      </c>
      <c r="S43" s="100">
        <f t="shared" si="11"/>
        <v>2561.8608095019804</v>
      </c>
      <c r="T43" s="101">
        <f t="shared" si="9"/>
        <v>11140.139190498019</v>
      </c>
      <c r="U43" s="40">
        <v>40705</v>
      </c>
      <c r="AE43" s="93">
        <f t="shared" si="12"/>
        <v>37800.5</v>
      </c>
      <c r="AF43" s="92">
        <f>Logistic2010!Q43</f>
        <v>6.4113302836932173E-2</v>
      </c>
      <c r="AG43" s="4">
        <f t="shared" si="10"/>
        <v>0.15963897994445775</v>
      </c>
      <c r="AH43" s="92">
        <f>Logistic2011!Q43</f>
        <v>3.9657919254324193E-2</v>
      </c>
      <c r="AI43" s="92">
        <f>Logistic2012!Q43</f>
        <v>0.15963897994445775</v>
      </c>
      <c r="AJ43" s="92">
        <f>Logistic2013!L43</f>
        <v>0.12065796431808783</v>
      </c>
      <c r="AK43" s="119">
        <f>Logistic2014!AK43</f>
        <v>0.13461607593232877</v>
      </c>
      <c r="AL43" s="119">
        <f t="shared" si="13"/>
        <v>0.16972024247607792</v>
      </c>
      <c r="AM43" s="114"/>
      <c r="AN43" s="114"/>
      <c r="AP43" s="114"/>
      <c r="AQ43" s="114"/>
      <c r="AR43" s="110"/>
      <c r="AS43" s="110"/>
      <c r="AT43" s="110"/>
      <c r="AU43" s="110"/>
      <c r="AV43" s="110"/>
      <c r="AW43" s="110"/>
      <c r="AX43" s="110"/>
    </row>
    <row r="44" spans="2:50" ht="16.5" thickBot="1" x14ac:dyDescent="0.3">
      <c r="B44" s="49"/>
      <c r="C44" s="79"/>
      <c r="D44" s="86" t="str">
        <f t="shared" si="17"/>
        <v/>
      </c>
      <c r="E44" s="81"/>
      <c r="F44" s="50" t="str">
        <f t="shared" si="18"/>
        <v/>
      </c>
      <c r="G44" s="16" t="str">
        <f t="shared" si="19"/>
        <v/>
      </c>
      <c r="H44" s="51" t="str">
        <f t="shared" si="20"/>
        <v/>
      </c>
      <c r="I44" s="54"/>
      <c r="J44" s="105">
        <f t="shared" si="7"/>
        <v>37801.5</v>
      </c>
      <c r="K44" s="109">
        <v>36</v>
      </c>
      <c r="L44" s="125">
        <f t="shared" si="5"/>
        <v>0.20421944654771138</v>
      </c>
      <c r="M44" s="46">
        <f t="shared" si="8"/>
        <v>7.0112677039206914E-2</v>
      </c>
      <c r="N44" s="131">
        <v>7.0112677039206914E-2</v>
      </c>
      <c r="O44" s="89">
        <f t="shared" si="6"/>
        <v>7.0112677039206914E-2</v>
      </c>
      <c r="P44" s="48">
        <v>40358</v>
      </c>
      <c r="Q44" s="1">
        <v>0.20192861027500136</v>
      </c>
      <c r="R44" s="100">
        <v>6021</v>
      </c>
      <c r="S44" s="100">
        <f t="shared" si="11"/>
        <v>1348.3809081364027</v>
      </c>
      <c r="T44" s="101">
        <f t="shared" si="9"/>
        <v>4672.6190918635975</v>
      </c>
      <c r="U44" s="49">
        <v>40706</v>
      </c>
      <c r="V44" s="95"/>
      <c r="W44" s="95"/>
      <c r="X44" s="95"/>
      <c r="Y44" s="95"/>
      <c r="Z44" s="95"/>
      <c r="AE44" s="93">
        <f t="shared" si="12"/>
        <v>37801.5</v>
      </c>
      <c r="AF44" s="92">
        <f>Logistic2010!Q44</f>
        <v>7.72026520734653E-2</v>
      </c>
      <c r="AG44" s="4">
        <f t="shared" si="10"/>
        <v>0.20192861027500136</v>
      </c>
      <c r="AH44" s="92">
        <f>Logistic2011!Q44</f>
        <v>5.0436715072649276E-2</v>
      </c>
      <c r="AI44" s="92">
        <f>Logistic2012!Q44</f>
        <v>0.20192861027500136</v>
      </c>
      <c r="AJ44" s="92">
        <f>Logistic2013!L44</f>
        <v>0.14325679323024673</v>
      </c>
      <c r="AK44" s="119">
        <f>Logistic2014!AK44</f>
        <v>0.15847654981878281</v>
      </c>
      <c r="AL44" s="119">
        <f t="shared" si="13"/>
        <v>0.20421944654771138</v>
      </c>
      <c r="AM44" s="113"/>
      <c r="AQ44" s="113"/>
      <c r="AR44" s="111" t="s">
        <v>45</v>
      </c>
      <c r="AS44" s="111">
        <v>2.7416072727272724</v>
      </c>
      <c r="AT44" s="111">
        <v>21</v>
      </c>
      <c r="AU44" s="111"/>
      <c r="AV44" s="111"/>
      <c r="AW44" s="111"/>
      <c r="AX44" s="111"/>
    </row>
    <row r="45" spans="2:50" x14ac:dyDescent="0.25">
      <c r="B45" s="49"/>
      <c r="C45" s="79"/>
      <c r="D45" s="86" t="str">
        <f t="shared" si="17"/>
        <v/>
      </c>
      <c r="E45" s="81"/>
      <c r="F45" s="50" t="str">
        <f t="shared" si="18"/>
        <v/>
      </c>
      <c r="G45" s="16" t="str">
        <f t="shared" si="19"/>
        <v/>
      </c>
      <c r="H45" s="51" t="str">
        <f t="shared" si="20"/>
        <v/>
      </c>
      <c r="I45" s="54"/>
      <c r="J45" s="105">
        <f t="shared" si="7"/>
        <v>37802.5</v>
      </c>
      <c r="K45" s="109">
        <v>37</v>
      </c>
      <c r="L45" s="125">
        <f t="shared" si="5"/>
        <v>0.24367323179024006</v>
      </c>
      <c r="M45" s="46">
        <f t="shared" si="8"/>
        <v>9.7024102357607847E-2</v>
      </c>
      <c r="N45" s="131">
        <v>9.7024102357607847E-2</v>
      </c>
      <c r="O45" s="89">
        <f t="shared" si="6"/>
        <v>9.7024102357607847E-2</v>
      </c>
      <c r="P45" s="48">
        <v>40359</v>
      </c>
      <c r="Q45" s="1">
        <v>0.25206087357123486</v>
      </c>
      <c r="R45" s="100">
        <v>4676</v>
      </c>
      <c r="S45" s="100">
        <f t="shared" si="11"/>
        <v>1243.0304202512746</v>
      </c>
      <c r="T45" s="101">
        <f t="shared" si="9"/>
        <v>3432.9695797487257</v>
      </c>
      <c r="U45" s="49">
        <v>40707</v>
      </c>
      <c r="V45" s="95"/>
      <c r="W45" s="95"/>
      <c r="X45" s="95"/>
      <c r="Y45" s="95"/>
      <c r="Z45" s="95"/>
      <c r="AE45" s="93">
        <f t="shared" si="12"/>
        <v>37802.5</v>
      </c>
      <c r="AF45" s="92">
        <f>Logistic2010!Q45</f>
        <v>9.2699625095272714E-2</v>
      </c>
      <c r="AG45" s="4">
        <f t="shared" si="10"/>
        <v>0.25206087357123486</v>
      </c>
      <c r="AH45" s="92">
        <f>Logistic2011!Q45</f>
        <v>6.3950040299436198E-2</v>
      </c>
      <c r="AI45" s="92">
        <f>Logistic2012!Q45</f>
        <v>0.25206087357123486</v>
      </c>
      <c r="AJ45" s="92">
        <f>Logistic2013!L45</f>
        <v>0.16927351386641812</v>
      </c>
      <c r="AK45" s="119">
        <f>Logistic2014!AK45</f>
        <v>0.18565891661671166</v>
      </c>
      <c r="AL45" s="119">
        <f t="shared" si="13"/>
        <v>0.24367323179024006</v>
      </c>
      <c r="AM45" s="113"/>
      <c r="AN45" s="113"/>
      <c r="AP45" s="113"/>
      <c r="AQ45" s="113"/>
      <c r="AR45" s="113"/>
      <c r="AS45" s="113"/>
      <c r="AT45" s="114"/>
      <c r="AU45" s="114"/>
    </row>
    <row r="46" spans="2:50" x14ac:dyDescent="0.25">
      <c r="B46" s="49"/>
      <c r="C46" s="79"/>
      <c r="D46" s="86" t="str">
        <f t="shared" si="17"/>
        <v/>
      </c>
      <c r="E46" s="81"/>
      <c r="F46" s="50" t="str">
        <f t="shared" si="18"/>
        <v/>
      </c>
      <c r="G46" s="16" t="str">
        <f t="shared" si="19"/>
        <v/>
      </c>
      <c r="H46" s="51" t="str">
        <f t="shared" si="20"/>
        <v/>
      </c>
      <c r="I46" s="54"/>
      <c r="J46" s="105">
        <f t="shared" si="7"/>
        <v>37803.5</v>
      </c>
      <c r="K46" s="109">
        <v>38</v>
      </c>
      <c r="L46" s="125">
        <f t="shared" si="5"/>
        <v>0.28799076318464212</v>
      </c>
      <c r="M46" s="46">
        <f t="shared" si="8"/>
        <v>0.13278990299316346</v>
      </c>
      <c r="N46" s="131">
        <v>0.13278990299316346</v>
      </c>
      <c r="O46" s="89">
        <f t="shared" si="6"/>
        <v>0.13278990299316346</v>
      </c>
      <c r="P46" s="48">
        <v>40360</v>
      </c>
      <c r="Q46" s="1">
        <v>0.30980777704027063</v>
      </c>
      <c r="R46" s="100">
        <v>3828</v>
      </c>
      <c r="S46" s="100">
        <f t="shared" si="11"/>
        <v>1195.8100907482899</v>
      </c>
      <c r="T46" s="101">
        <f t="shared" si="9"/>
        <v>2632.1899092517101</v>
      </c>
      <c r="U46" s="49">
        <v>40708</v>
      </c>
      <c r="V46" s="95"/>
      <c r="W46" s="95"/>
      <c r="X46" s="95"/>
      <c r="Y46" s="95"/>
      <c r="Z46" s="95"/>
      <c r="AE46" s="93">
        <f t="shared" si="12"/>
        <v>37803.5</v>
      </c>
      <c r="AF46" s="92">
        <f>Logistic2010!Q46</f>
        <v>0.11093336918210217</v>
      </c>
      <c r="AG46" s="4">
        <f t="shared" si="10"/>
        <v>0.30980777704027063</v>
      </c>
      <c r="AH46" s="92">
        <f>Logistic2011!Q46</f>
        <v>8.0775952050874497E-2</v>
      </c>
      <c r="AI46" s="92">
        <f>Logistic2012!Q46</f>
        <v>0.30980777704027063</v>
      </c>
      <c r="AJ46" s="92">
        <f>Logistic2013!L46</f>
        <v>0.19891808737150862</v>
      </c>
      <c r="AK46" s="119">
        <f>Logistic2014!AK46</f>
        <v>0.21630525971395512</v>
      </c>
      <c r="AL46" s="119">
        <f t="shared" si="13"/>
        <v>0.28799076318464212</v>
      </c>
      <c r="AM46" s="113"/>
      <c r="AN46" s="113"/>
      <c r="AP46" s="113"/>
      <c r="AQ46" s="113"/>
      <c r="AR46" s="113"/>
      <c r="AS46" s="113"/>
      <c r="AT46" s="114"/>
      <c r="AU46" s="114"/>
    </row>
    <row r="47" spans="2:50" x14ac:dyDescent="0.25">
      <c r="B47" s="49"/>
      <c r="C47" s="79"/>
      <c r="D47" s="86" t="str">
        <f t="shared" si="17"/>
        <v/>
      </c>
      <c r="E47" s="81"/>
      <c r="F47" s="50" t="str">
        <f t="shared" si="18"/>
        <v/>
      </c>
      <c r="G47" s="16" t="str">
        <f t="shared" si="19"/>
        <v/>
      </c>
      <c r="H47" s="51" t="str">
        <f t="shared" si="20"/>
        <v/>
      </c>
      <c r="I47" s="54"/>
      <c r="J47" s="105">
        <f t="shared" si="7"/>
        <v>37804.5</v>
      </c>
      <c r="K47" s="109">
        <v>39</v>
      </c>
      <c r="L47" s="125">
        <f t="shared" si="5"/>
        <v>0.33677939917078625</v>
      </c>
      <c r="M47" s="46">
        <f t="shared" si="8"/>
        <v>0.17912459589298799</v>
      </c>
      <c r="N47" s="131">
        <v>0.17912459589298799</v>
      </c>
      <c r="O47" s="89">
        <f t="shared" si="6"/>
        <v>0.17912459589298799</v>
      </c>
      <c r="P47" s="48">
        <v>40361</v>
      </c>
      <c r="Q47" s="1">
        <v>0.37416608438208854</v>
      </c>
      <c r="R47" s="100">
        <v>3893</v>
      </c>
      <c r="S47" s="100">
        <f t="shared" si="11"/>
        <v>1413.3408350834709</v>
      </c>
      <c r="T47" s="101">
        <f t="shared" si="9"/>
        <v>2479.6591649165293</v>
      </c>
      <c r="U47" s="49">
        <v>40709</v>
      </c>
      <c r="V47" s="95"/>
      <c r="W47" s="95"/>
      <c r="X47" s="95"/>
      <c r="Y47" s="95"/>
      <c r="Z47" s="95"/>
      <c r="AE47" s="93">
        <f t="shared" si="12"/>
        <v>37804.5</v>
      </c>
      <c r="AF47" s="92">
        <f>Logistic2010!Q47</f>
        <v>0.13223093333791724</v>
      </c>
      <c r="AG47" s="4">
        <f t="shared" si="10"/>
        <v>0.37416608438208854</v>
      </c>
      <c r="AH47" s="92">
        <f>Logistic2011!Q47</f>
        <v>0.10154865709169383</v>
      </c>
      <c r="AI47" s="92">
        <f>Logistic2012!Q47</f>
        <v>0.37416608438208854</v>
      </c>
      <c r="AJ47" s="92">
        <f>Logistic2013!L47</f>
        <v>0.23230249502167508</v>
      </c>
      <c r="AK47" s="119">
        <f>Logistic2014!AK47</f>
        <v>0.25045449624933086</v>
      </c>
      <c r="AL47" s="119">
        <f t="shared" si="13"/>
        <v>0.33677939917078625</v>
      </c>
      <c r="AM47" s="115"/>
      <c r="AN47" s="115"/>
      <c r="AQ47" s="115"/>
      <c r="AR47" t="s">
        <v>28</v>
      </c>
      <c r="AS47"/>
      <c r="AT47"/>
      <c r="AU47"/>
      <c r="AV47"/>
      <c r="AW47"/>
      <c r="AX47"/>
    </row>
    <row r="48" spans="2:50" x14ac:dyDescent="0.25">
      <c r="B48" s="49"/>
      <c r="C48" s="79"/>
      <c r="D48" s="86" t="str">
        <f t="shared" si="17"/>
        <v/>
      </c>
      <c r="E48" s="81"/>
      <c r="F48" s="50" t="str">
        <f t="shared" si="18"/>
        <v/>
      </c>
      <c r="G48" s="16" t="str">
        <f t="shared" si="19"/>
        <v/>
      </c>
      <c r="H48" s="51" t="str">
        <f t="shared" si="20"/>
        <v/>
      </c>
      <c r="I48" s="54"/>
      <c r="J48" s="105">
        <f t="shared" si="7"/>
        <v>37805.5</v>
      </c>
      <c r="K48" s="109">
        <v>40</v>
      </c>
      <c r="L48" s="125">
        <f t="shared" si="5"/>
        <v>0.38931401726048576</v>
      </c>
      <c r="M48" s="46">
        <f t="shared" si="8"/>
        <v>0.23720467988333704</v>
      </c>
      <c r="N48" s="131">
        <v>0.23720467988333704</v>
      </c>
      <c r="O48" s="89">
        <f t="shared" si="6"/>
        <v>0.23720467988333704</v>
      </c>
      <c r="P48" s="48">
        <v>40362</v>
      </c>
      <c r="Q48" s="1">
        <v>0.44330675299696459</v>
      </c>
      <c r="R48" s="100">
        <v>3621</v>
      </c>
      <c r="S48" s="100">
        <f t="shared" si="11"/>
        <v>1509.7118581413083</v>
      </c>
      <c r="T48" s="101">
        <f>R48-S48</f>
        <v>2111.2881418586917</v>
      </c>
      <c r="U48" s="49">
        <v>40710</v>
      </c>
      <c r="V48" s="95"/>
      <c r="W48" s="95"/>
      <c r="X48" s="95"/>
      <c r="Y48" s="95"/>
      <c r="Z48" s="95"/>
      <c r="AE48" s="93">
        <f t="shared" si="12"/>
        <v>37805.5</v>
      </c>
      <c r="AF48" s="92">
        <f>Logistic2010!Q48</f>
        <v>0.15689575096130998</v>
      </c>
      <c r="AG48" s="4">
        <f t="shared" si="10"/>
        <v>0.44330675299696459</v>
      </c>
      <c r="AH48" s="92">
        <f>Logistic2011!Q48</f>
        <v>0.12692574439278323</v>
      </c>
      <c r="AI48" s="92">
        <f>Logistic2012!Q48</f>
        <v>0.44330675299696459</v>
      </c>
      <c r="AJ48" s="92">
        <f>Logistic2013!L48</f>
        <v>0.26940553732402189</v>
      </c>
      <c r="AK48" s="119">
        <f>Logistic2014!AK48</f>
        <v>0.28801370069768495</v>
      </c>
      <c r="AL48" s="119">
        <f t="shared" si="13"/>
        <v>0.38931401726048576</v>
      </c>
      <c r="AM48" s="110"/>
      <c r="AP48" s="110"/>
      <c r="AQ48" s="110"/>
      <c r="AR48"/>
      <c r="AS48"/>
      <c r="AT48"/>
      <c r="AU48"/>
      <c r="AV48"/>
      <c r="AW48"/>
      <c r="AX48"/>
    </row>
    <row r="49" spans="2:50" ht="16.5" thickBot="1" x14ac:dyDescent="0.3">
      <c r="B49" s="49"/>
      <c r="C49" s="79"/>
      <c r="D49" s="86" t="str">
        <f t="shared" si="17"/>
        <v/>
      </c>
      <c r="E49" s="81"/>
      <c r="F49" s="50" t="str">
        <f t="shared" si="18"/>
        <v/>
      </c>
      <c r="G49" s="16" t="str">
        <f t="shared" si="19"/>
        <v/>
      </c>
      <c r="H49" s="51" t="str">
        <f t="shared" si="20"/>
        <v/>
      </c>
      <c r="I49" s="54"/>
      <c r="J49" s="105">
        <f t="shared" si="7"/>
        <v>37806.5</v>
      </c>
      <c r="K49" s="109">
        <v>41</v>
      </c>
      <c r="L49" s="143">
        <f t="shared" si="5"/>
        <v>0.44455058265186359</v>
      </c>
      <c r="M49" s="46">
        <f t="shared" si="8"/>
        <v>0.30707218568713457</v>
      </c>
      <c r="N49" s="131">
        <v>0.30707218568713457</v>
      </c>
      <c r="O49" s="89">
        <f t="shared" si="6"/>
        <v>0.30707218568713457</v>
      </c>
      <c r="P49" s="4">
        <v>40363</v>
      </c>
      <c r="Q49" s="4">
        <v>0.51471586655781365</v>
      </c>
      <c r="R49" s="4">
        <v>2271</v>
      </c>
      <c r="S49" s="100">
        <f t="shared" si="11"/>
        <v>1073.8910472809132</v>
      </c>
      <c r="T49" s="101">
        <f t="shared" ref="T49:T70" si="21">R49-S49</f>
        <v>1197.1089527190868</v>
      </c>
      <c r="U49" s="49">
        <v>40711</v>
      </c>
      <c r="V49" s="95"/>
      <c r="W49" s="95"/>
      <c r="X49" s="95"/>
      <c r="Y49" s="95"/>
      <c r="Z49" s="95"/>
      <c r="AE49" s="93">
        <f t="shared" si="12"/>
        <v>37806.5</v>
      </c>
      <c r="AF49" s="92">
        <f>Logistic2010!Q49</f>
        <v>0.1851794824455581</v>
      </c>
      <c r="AG49" s="4">
        <f t="shared" si="10"/>
        <v>0.51471586655781365</v>
      </c>
      <c r="AH49" s="92">
        <f>Logistic2011!Q49</f>
        <v>0.15753263507351994</v>
      </c>
      <c r="AI49" s="92">
        <f>Logistic2012!Q49</f>
        <v>0.51471586655781365</v>
      </c>
      <c r="AJ49" s="92">
        <f>Logistic2013!L49</f>
        <v>0.31004134142241851</v>
      </c>
      <c r="AK49" s="119">
        <f>Logistic2014!AK49</f>
        <v>0.32873512727698778</v>
      </c>
      <c r="AL49" s="119">
        <f t="shared" si="13"/>
        <v>0.44455058265186359</v>
      </c>
      <c r="AM49" s="110"/>
      <c r="AN49" s="110"/>
      <c r="AO49" s="110"/>
      <c r="AP49" s="110"/>
      <c r="AQ49" s="110"/>
      <c r="AR49" t="s">
        <v>29</v>
      </c>
      <c r="AS49"/>
      <c r="AT49"/>
      <c r="AU49"/>
      <c r="AV49"/>
      <c r="AW49"/>
      <c r="AX49"/>
    </row>
    <row r="50" spans="2:50" ht="16.5" thickBot="1" x14ac:dyDescent="0.3">
      <c r="B50" s="49"/>
      <c r="C50" s="79"/>
      <c r="D50" s="86" t="str">
        <f t="shared" si="17"/>
        <v/>
      </c>
      <c r="E50" s="81"/>
      <c r="F50" s="50" t="str">
        <f t="shared" si="18"/>
        <v/>
      </c>
      <c r="G50" s="16" t="str">
        <f t="shared" si="19"/>
        <v/>
      </c>
      <c r="H50" s="51" t="str">
        <f t="shared" si="20"/>
        <v/>
      </c>
      <c r="I50" s="54"/>
      <c r="J50" s="105">
        <f t="shared" si="7"/>
        <v>37807.5</v>
      </c>
      <c r="K50" s="109">
        <v>42</v>
      </c>
      <c r="L50" s="125">
        <f t="shared" si="5"/>
        <v>0.50119230354885269</v>
      </c>
      <c r="M50" s="46">
        <f t="shared" si="8"/>
        <v>0.38707606622199253</v>
      </c>
      <c r="N50" s="131">
        <v>0.38707606622199253</v>
      </c>
      <c r="O50" s="89">
        <f t="shared" si="6"/>
        <v>0.38707606622199253</v>
      </c>
      <c r="P50" s="4">
        <v>40364</v>
      </c>
      <c r="Q50" s="4">
        <v>0.58552915257129856</v>
      </c>
      <c r="R50" s="4">
        <v>2403</v>
      </c>
      <c r="S50" s="100">
        <f t="shared" si="11"/>
        <v>1272.3833844370924</v>
      </c>
      <c r="T50" s="101">
        <f t="shared" si="21"/>
        <v>1130.6166155629076</v>
      </c>
      <c r="U50" s="49">
        <v>40712</v>
      </c>
      <c r="V50" s="95">
        <v>3.5999999999999997E-2</v>
      </c>
      <c r="W50" s="95"/>
      <c r="X50" s="95"/>
      <c r="Y50" s="95"/>
      <c r="Z50" s="95"/>
      <c r="AE50" s="93">
        <f t="shared" si="12"/>
        <v>37807.5</v>
      </c>
      <c r="AF50" s="92">
        <f>Logistic2010!Q50</f>
        <v>0.21724812306999194</v>
      </c>
      <c r="AG50" s="4">
        <f t="shared" si="10"/>
        <v>0.58552915257129856</v>
      </c>
      <c r="AH50" s="92">
        <f>Logistic2011!Q50</f>
        <v>0.19388109788722835</v>
      </c>
      <c r="AI50" s="92">
        <f>Logistic2012!Q50</f>
        <v>0.58552915257129856</v>
      </c>
      <c r="AJ50" s="92">
        <f>Logistic2013!L50</f>
        <v>0.35383793526166868</v>
      </c>
      <c r="AK50" s="119">
        <f>Logistic2014!AK50</f>
        <v>0.37220420551064748</v>
      </c>
      <c r="AL50" s="119">
        <f t="shared" si="13"/>
        <v>0.50119230354885269</v>
      </c>
      <c r="AM50" s="113"/>
      <c r="AN50" s="113"/>
      <c r="AO50" s="113"/>
      <c r="AQ50" s="113"/>
      <c r="AR50" s="112" t="s">
        <v>30</v>
      </c>
      <c r="AS50" s="112" t="s">
        <v>31</v>
      </c>
      <c r="AT50" s="112" t="s">
        <v>32</v>
      </c>
      <c r="AU50" s="112" t="s">
        <v>33</v>
      </c>
      <c r="AV50" s="112" t="s">
        <v>34</v>
      </c>
      <c r="AW50"/>
      <c r="AX50"/>
    </row>
    <row r="51" spans="2:50" x14ac:dyDescent="0.25">
      <c r="B51" s="49"/>
      <c r="C51" s="79"/>
      <c r="D51" s="86" t="str">
        <f t="shared" si="17"/>
        <v/>
      </c>
      <c r="E51" s="81"/>
      <c r="F51" s="50" t="str">
        <f t="shared" si="18"/>
        <v/>
      </c>
      <c r="G51" s="16" t="str">
        <f t="shared" si="19"/>
        <v/>
      </c>
      <c r="H51" s="51" t="str">
        <f t="shared" si="20"/>
        <v/>
      </c>
      <c r="I51" s="54"/>
      <c r="J51" s="105">
        <f t="shared" si="7"/>
        <v>37808.5</v>
      </c>
      <c r="K51" s="109">
        <v>43</v>
      </c>
      <c r="L51" s="125">
        <f t="shared" si="5"/>
        <v>0.55780343880411654</v>
      </c>
      <c r="M51" s="46">
        <f t="shared" si="8"/>
        <v>0.47367530224191001</v>
      </c>
      <c r="N51" s="131">
        <v>0.47367530224191001</v>
      </c>
      <c r="O51" s="89">
        <f t="shared" si="6"/>
        <v>0.47367530224191001</v>
      </c>
      <c r="P51" s="4">
        <v>40365</v>
      </c>
      <c r="Q51" s="4">
        <v>0.65297594566306583</v>
      </c>
      <c r="R51" s="4">
        <v>2644</v>
      </c>
      <c r="S51" s="100">
        <f t="shared" si="11"/>
        <v>1547.7377994646615</v>
      </c>
      <c r="T51" s="101">
        <f t="shared" si="21"/>
        <v>1096.2622005353385</v>
      </c>
      <c r="U51" s="40">
        <v>40713</v>
      </c>
      <c r="V51" s="95"/>
      <c r="W51" s="95"/>
      <c r="X51" s="95"/>
      <c r="Y51" s="95"/>
      <c r="Z51" s="95"/>
      <c r="AE51" s="93">
        <f t="shared" si="12"/>
        <v>37808.5</v>
      </c>
      <c r="AF51" s="92">
        <f>Logistic2010!Q51</f>
        <v>0.25314493902860469</v>
      </c>
      <c r="AG51" s="4">
        <f t="shared" si="10"/>
        <v>0.65297594566306583</v>
      </c>
      <c r="AH51" s="92">
        <f>Logistic2011!Q51</f>
        <v>0.2362644112915534</v>
      </c>
      <c r="AI51" s="92">
        <f>Logistic2012!Q51</f>
        <v>0.65297594566306583</v>
      </c>
      <c r="AJ51" s="92">
        <f>Logistic2013!L51</f>
        <v>0.40023244913820061</v>
      </c>
      <c r="AK51" s="119">
        <f>Logistic2014!AK51</f>
        <v>0.41784330704514244</v>
      </c>
      <c r="AL51" s="119">
        <f t="shared" si="13"/>
        <v>0.55780343880411654</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17"/>
        <v/>
      </c>
      <c r="E52" s="81"/>
      <c r="F52" s="50" t="str">
        <f t="shared" si="18"/>
        <v/>
      </c>
      <c r="G52" s="16" t="str">
        <f t="shared" si="19"/>
        <v/>
      </c>
      <c r="H52" s="51" t="str">
        <f t="shared" si="20"/>
        <v/>
      </c>
      <c r="I52" s="54"/>
      <c r="J52" s="105">
        <f t="shared" si="7"/>
        <v>37809.5</v>
      </c>
      <c r="K52" s="109">
        <v>44</v>
      </c>
      <c r="L52" s="125">
        <f t="shared" si="5"/>
        <v>0.61295132629774551</v>
      </c>
      <c r="M52" s="46">
        <f t="shared" si="8"/>
        <v>0.56188779335925654</v>
      </c>
      <c r="N52" s="131">
        <v>0.56188779335925654</v>
      </c>
      <c r="O52" s="89">
        <f t="shared" si="6"/>
        <v>0.56188779335925654</v>
      </c>
      <c r="P52" s="4">
        <v>40366</v>
      </c>
      <c r="Q52" s="4">
        <v>0.71479326435445212</v>
      </c>
      <c r="R52" s="4">
        <v>1901</v>
      </c>
      <c r="S52" s="100">
        <f t="shared" si="11"/>
        <v>1215.0232921479703</v>
      </c>
      <c r="T52" s="101">
        <f t="shared" si="21"/>
        <v>685.97670785202968</v>
      </c>
      <c r="U52" s="49">
        <v>40714</v>
      </c>
      <c r="V52" s="95"/>
      <c r="W52" s="95"/>
      <c r="X52" s="95"/>
      <c r="Y52" s="95"/>
      <c r="Z52" s="95"/>
      <c r="AE52" s="93">
        <f t="shared" si="12"/>
        <v>37809.5</v>
      </c>
      <c r="AF52" s="92">
        <f>Logistic2010!Q52</f>
        <v>0.29275475741502793</v>
      </c>
      <c r="AG52" s="4">
        <f t="shared" si="10"/>
        <v>0.71479326435445212</v>
      </c>
      <c r="AH52" s="92">
        <f>Logistic2011!Q52</f>
        <v>0.28464136726106892</v>
      </c>
      <c r="AI52" s="92">
        <f>Logistic2012!Q52</f>
        <v>0.71479326435445212</v>
      </c>
      <c r="AJ52" s="92">
        <f>Logistic2013!L52</f>
        <v>0.44848792399421938</v>
      </c>
      <c r="AK52" s="119">
        <f>Logistic2014!AK52</f>
        <v>0.46493416339222882</v>
      </c>
      <c r="AL52" s="119">
        <f t="shared" si="13"/>
        <v>0.61295132629774551</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17"/>
        <v/>
      </c>
      <c r="E53" s="81"/>
      <c r="F53" s="50" t="str">
        <f t="shared" si="18"/>
        <v/>
      </c>
      <c r="G53" s="16" t="str">
        <f t="shared" si="19"/>
        <v/>
      </c>
      <c r="H53" s="51" t="str">
        <f t="shared" si="20"/>
        <v/>
      </c>
      <c r="I53" s="54"/>
      <c r="J53" s="105">
        <f t="shared" si="7"/>
        <v>37810.5</v>
      </c>
      <c r="K53" s="109">
        <v>45</v>
      </c>
      <c r="L53" s="125">
        <f t="shared" si="5"/>
        <v>0.66534777117513233</v>
      </c>
      <c r="M53" s="46">
        <f t="shared" si="8"/>
        <v>0.64635389784882469</v>
      </c>
      <c r="N53" s="130">
        <v>0.64635389784882469</v>
      </c>
      <c r="O53" s="89">
        <f t="shared" si="6"/>
        <v>0.64635389784882469</v>
      </c>
      <c r="P53" s="4">
        <v>40367</v>
      </c>
      <c r="Q53" s="4">
        <v>0.76948613379160047</v>
      </c>
      <c r="R53" s="4">
        <v>2421</v>
      </c>
      <c r="S53" s="100">
        <f t="shared" si="11"/>
        <v>1669.6534528322679</v>
      </c>
      <c r="T53" s="101">
        <f t="shared" si="21"/>
        <v>751.34654716773207</v>
      </c>
      <c r="U53" s="49">
        <v>40715</v>
      </c>
      <c r="V53" s="95"/>
      <c r="W53" s="95"/>
      <c r="X53" s="95"/>
      <c r="Y53" s="95"/>
      <c r="Z53" s="95"/>
      <c r="AE53" s="93">
        <f t="shared" si="12"/>
        <v>37810.5</v>
      </c>
      <c r="AF53" s="92">
        <f>Logistic2010!Q53</f>
        <v>0.33577592018640684</v>
      </c>
      <c r="AG53" s="4">
        <f t="shared" si="10"/>
        <v>0.76948613379160047</v>
      </c>
      <c r="AH53" s="92">
        <f>Logistic2011!Q53</f>
        <v>0.33853314511451504</v>
      </c>
      <c r="AI53" s="92">
        <f>Logistic2012!Q53</f>
        <v>0.76948613379160047</v>
      </c>
      <c r="AJ53" s="92">
        <f>Logistic2013!L53</f>
        <v>0.49773319182267894</v>
      </c>
      <c r="AK53" s="119">
        <f>Logistic2014!AK53</f>
        <v>0.51265858710560919</v>
      </c>
      <c r="AL53" s="119">
        <f t="shared" si="13"/>
        <v>0.66534777117513233</v>
      </c>
      <c r="AM53" s="115"/>
      <c r="AO53" s="115"/>
      <c r="AP53" s="115"/>
      <c r="AQ53" s="115"/>
      <c r="AR53"/>
      <c r="AS53"/>
      <c r="AT53"/>
      <c r="AU53"/>
      <c r="AV53"/>
      <c r="AW53"/>
      <c r="AX53"/>
    </row>
    <row r="54" spans="2:50" x14ac:dyDescent="0.25">
      <c r="B54" s="49"/>
      <c r="C54" s="79"/>
      <c r="D54" s="86" t="str">
        <f t="shared" si="17"/>
        <v/>
      </c>
      <c r="E54" s="81"/>
      <c r="F54" s="50" t="str">
        <f t="shared" si="18"/>
        <v/>
      </c>
      <c r="G54" s="16" t="str">
        <f t="shared" si="19"/>
        <v/>
      </c>
      <c r="H54" s="51" t="str">
        <f t="shared" si="20"/>
        <v/>
      </c>
      <c r="I54" s="54"/>
      <c r="J54" s="105">
        <f t="shared" si="7"/>
        <v>37811.5</v>
      </c>
      <c r="K54" s="109">
        <v>46</v>
      </c>
      <c r="L54" s="125">
        <f t="shared" si="5"/>
        <v>0.71396115309770369</v>
      </c>
      <c r="M54" s="46">
        <f t="shared" si="8"/>
        <v>0.72257565187378159</v>
      </c>
      <c r="N54" s="130">
        <v>0.72257565187378159</v>
      </c>
      <c r="O54" s="89">
        <f t="shared" si="6"/>
        <v>0.72257565187378159</v>
      </c>
      <c r="P54" s="4">
        <v>40368</v>
      </c>
      <c r="Q54" s="4">
        <v>0.81638498403003179</v>
      </c>
      <c r="R54" s="4">
        <v>2560</v>
      </c>
      <c r="S54" s="100">
        <f t="shared" si="11"/>
        <v>1884.2131502901757</v>
      </c>
      <c r="T54" s="101">
        <f t="shared" si="21"/>
        <v>675.78684970982431</v>
      </c>
      <c r="U54" s="49">
        <v>40716</v>
      </c>
      <c r="V54" s="95"/>
      <c r="W54" s="95"/>
      <c r="X54" s="95"/>
      <c r="Y54" s="95"/>
      <c r="Z54" s="95"/>
      <c r="AE54" s="93">
        <f t="shared" si="12"/>
        <v>37811.5</v>
      </c>
      <c r="AF54" s="92">
        <f>Logistic2010!Q54</f>
        <v>0.3817070776941604</v>
      </c>
      <c r="AG54" s="4">
        <f t="shared" si="10"/>
        <v>0.81638498403003179</v>
      </c>
      <c r="AH54" s="92">
        <f>Logistic2011!Q54</f>
        <v>0.39696628169175319</v>
      </c>
      <c r="AI54" s="92">
        <f>Logistic2012!Q54</f>
        <v>0.81638498403003179</v>
      </c>
      <c r="AJ54" s="92">
        <f>Logistic2013!L54</f>
        <v>0.54702247769245926</v>
      </c>
      <c r="AK54" s="119">
        <f>Logistic2014!AK54</f>
        <v>0.56015332200960266</v>
      </c>
      <c r="AL54" s="119">
        <f t="shared" si="13"/>
        <v>0.71396115309770369</v>
      </c>
      <c r="AM54" s="110"/>
      <c r="AN54" s="110"/>
      <c r="AO54" s="110"/>
      <c r="AQ54" s="110"/>
      <c r="AR54"/>
      <c r="AS54"/>
      <c r="AT54"/>
      <c r="AU54"/>
      <c r="AV54"/>
      <c r="AW54"/>
      <c r="AX54"/>
    </row>
    <row r="55" spans="2:50" ht="16.5" thickBot="1" x14ac:dyDescent="0.3">
      <c r="B55" s="49"/>
      <c r="C55" s="79"/>
      <c r="D55" s="86" t="str">
        <f t="shared" si="17"/>
        <v/>
      </c>
      <c r="E55" s="81"/>
      <c r="F55" s="50" t="str">
        <f t="shared" si="18"/>
        <v/>
      </c>
      <c r="G55" s="16" t="str">
        <f t="shared" si="19"/>
        <v/>
      </c>
      <c r="H55" s="51" t="str">
        <f t="shared" si="20"/>
        <v/>
      </c>
      <c r="I55" s="54"/>
      <c r="J55" s="105">
        <f t="shared" si="7"/>
        <v>37812.5</v>
      </c>
      <c r="K55" s="109">
        <v>47</v>
      </c>
      <c r="L55" s="125">
        <f t="shared" si="5"/>
        <v>0.75808037056649602</v>
      </c>
      <c r="M55" s="46">
        <f t="shared" si="8"/>
        <v>0.67992615512835608</v>
      </c>
      <c r="N55" s="131">
        <v>0.67992615512835608</v>
      </c>
      <c r="O55" s="89">
        <f t="shared" si="6"/>
        <v>0.67992615512835608</v>
      </c>
      <c r="P55" s="4">
        <v>40369</v>
      </c>
      <c r="Q55" s="4">
        <v>0.85553350414652685</v>
      </c>
      <c r="R55" s="4">
        <v>3011</v>
      </c>
      <c r="S55" s="100">
        <f t="shared" si="11"/>
        <v>2341.6647583498025</v>
      </c>
      <c r="T55" s="101">
        <f t="shared" si="21"/>
        <v>669.33524165019753</v>
      </c>
      <c r="U55" s="49">
        <v>40717</v>
      </c>
      <c r="V55" s="95"/>
      <c r="W55" s="95"/>
      <c r="X55" s="95"/>
      <c r="Y55" s="95"/>
      <c r="Z55" s="95"/>
      <c r="AE55" s="93">
        <f t="shared" si="12"/>
        <v>37812.5</v>
      </c>
      <c r="AF55" s="92">
        <f>Logistic2010!Q55</f>
        <v>0.42985515834963317</v>
      </c>
      <c r="AG55" s="4">
        <f t="shared" si="10"/>
        <v>0.85553350414652685</v>
      </c>
      <c r="AH55" s="92">
        <f>Logistic2011!Q55</f>
        <v>0.45849431667616858</v>
      </c>
      <c r="AI55" s="92">
        <f>Logistic2012!Q55</f>
        <v>0.85553350414652685</v>
      </c>
      <c r="AJ55" s="92">
        <f>Logistic2013!L55</f>
        <v>0.59540663680406558</v>
      </c>
      <c r="AK55" s="119">
        <f>Logistic2014!AK55</f>
        <v>0.60657155343516</v>
      </c>
      <c r="AL55" s="119">
        <f t="shared" si="13"/>
        <v>0.75808037056649602</v>
      </c>
      <c r="AM55" s="110"/>
      <c r="AN55" s="110"/>
      <c r="AP55" s="110"/>
      <c r="AQ55" s="110"/>
      <c r="AR55" t="s">
        <v>35</v>
      </c>
      <c r="AS55"/>
      <c r="AT55"/>
      <c r="AU55"/>
      <c r="AV55"/>
      <c r="AW55"/>
      <c r="AX55"/>
    </row>
    <row r="56" spans="2:50" x14ac:dyDescent="0.25">
      <c r="B56" s="49"/>
      <c r="C56" s="79"/>
      <c r="D56" s="86" t="str">
        <f t="shared" si="17"/>
        <v/>
      </c>
      <c r="E56" s="81"/>
      <c r="F56" s="50" t="str">
        <f t="shared" si="18"/>
        <v/>
      </c>
      <c r="G56" s="16" t="str">
        <f t="shared" si="19"/>
        <v/>
      </c>
      <c r="H56" s="51" t="str">
        <f t="shared" si="20"/>
        <v/>
      </c>
      <c r="I56" s="54"/>
      <c r="J56" s="105">
        <f t="shared" si="7"/>
        <v>37813.5</v>
      </c>
      <c r="K56" s="109">
        <v>48</v>
      </c>
      <c r="L56" s="125">
        <f t="shared" si="5"/>
        <v>0.79732631050278502</v>
      </c>
      <c r="M56" s="46">
        <f t="shared" si="8"/>
        <v>0.73462826392623781</v>
      </c>
      <c r="N56" s="131">
        <v>0.73462826392623781</v>
      </c>
      <c r="O56" s="89">
        <f t="shared" si="6"/>
        <v>0.73462826392623781</v>
      </c>
      <c r="P56" s="4">
        <v>40370</v>
      </c>
      <c r="Q56" s="4">
        <v>0.88748554172196392</v>
      </c>
      <c r="R56" s="4">
        <v>582</v>
      </c>
      <c r="S56" s="100">
        <f t="shared" si="11"/>
        <v>474.02327134414082</v>
      </c>
      <c r="T56" s="101">
        <f t="shared" si="21"/>
        <v>107.97672865585918</v>
      </c>
      <c r="U56" s="49">
        <v>40718</v>
      </c>
      <c r="V56" s="95"/>
      <c r="W56" s="95"/>
      <c r="X56" s="95"/>
      <c r="Y56" s="95"/>
      <c r="Z56" s="95"/>
      <c r="AE56" s="93">
        <f t="shared" si="12"/>
        <v>37813.5</v>
      </c>
      <c r="AF56" s="92">
        <f>Logistic2010!Q56</f>
        <v>0.47936786629286093</v>
      </c>
      <c r="AG56" s="4">
        <f t="shared" si="10"/>
        <v>0.88748554172196392</v>
      </c>
      <c r="AH56" s="92">
        <f>Logistic2011!Q56</f>
        <v>0.52131468367366807</v>
      </c>
      <c r="AI56" s="92">
        <f>Logistic2012!Q56</f>
        <v>0.88748554172196392</v>
      </c>
      <c r="AJ56" s="92">
        <f>Logistic2013!L56</f>
        <v>0.64200492795904929</v>
      </c>
      <c r="AK56" s="119">
        <f>Logistic2014!AK56</f>
        <v>0.65114196868570062</v>
      </c>
      <c r="AL56" s="119">
        <f t="shared" si="13"/>
        <v>0.79732631050278502</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17"/>
        <v/>
      </c>
      <c r="E57" s="81"/>
      <c r="F57" s="50" t="str">
        <f t="shared" si="18"/>
        <v/>
      </c>
      <c r="G57" s="16" t="str">
        <f t="shared" si="19"/>
        <v/>
      </c>
      <c r="H57" s="51" t="str">
        <f t="shared" si="20"/>
        <v/>
      </c>
      <c r="I57" s="54"/>
      <c r="J57" s="105">
        <f t="shared" si="7"/>
        <v>37814.5</v>
      </c>
      <c r="K57" s="109">
        <v>49</v>
      </c>
      <c r="L57" s="125">
        <f t="shared" si="5"/>
        <v>0.83161963913343784</v>
      </c>
      <c r="M57" s="46">
        <f t="shared" si="8"/>
        <v>0.78296570483334704</v>
      </c>
      <c r="N57" s="131">
        <v>0.78296570483334704</v>
      </c>
      <c r="O57" s="89">
        <f t="shared" si="6"/>
        <v>0.78296570483334704</v>
      </c>
      <c r="P57" s="4">
        <v>40371</v>
      </c>
      <c r="Q57" s="4">
        <v>0.91308857223820117</v>
      </c>
      <c r="R57" s="4">
        <v>2638</v>
      </c>
      <c r="S57" s="100">
        <f t="shared" si="11"/>
        <v>2232.7250048214983</v>
      </c>
      <c r="T57" s="101">
        <f t="shared" si="21"/>
        <v>405.27499517850174</v>
      </c>
      <c r="U57" s="49">
        <v>40719</v>
      </c>
      <c r="V57" s="95">
        <v>7.0000000000000001E-3</v>
      </c>
      <c r="W57" s="95"/>
      <c r="X57" s="95"/>
      <c r="Y57" s="95"/>
      <c r="Z57" s="95"/>
      <c r="AE57" s="93">
        <f t="shared" si="12"/>
        <v>37814.5</v>
      </c>
      <c r="AF57" s="92">
        <f>Logistic2010!Q57</f>
        <v>0.52928924873066352</v>
      </c>
      <c r="AG57" s="4">
        <f t="shared" si="10"/>
        <v>0.91308857223820117</v>
      </c>
      <c r="AH57" s="92">
        <f>Logistic2011!Q57</f>
        <v>0.58346805352827824</v>
      </c>
      <c r="AI57" s="92">
        <f>Logistic2012!Q57</f>
        <v>0.91308857223820117</v>
      </c>
      <c r="AJ57" s="92">
        <f>Logistic2013!L57</f>
        <v>0.68606608243321232</v>
      </c>
      <c r="AK57" s="119">
        <f>Logistic2014!AK57</f>
        <v>0.69321686759508971</v>
      </c>
      <c r="AL57" s="119">
        <f t="shared" si="13"/>
        <v>0.83161963913343784</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17"/>
        <v/>
      </c>
      <c r="E58" s="81"/>
      <c r="F58" s="50" t="str">
        <f t="shared" si="18"/>
        <v/>
      </c>
      <c r="G58" s="16" t="str">
        <f t="shared" si="19"/>
        <v/>
      </c>
      <c r="H58" s="51" t="str">
        <f t="shared" si="20"/>
        <v/>
      </c>
      <c r="I58" s="54"/>
      <c r="J58" s="105">
        <f t="shared" si="7"/>
        <v>37815.5</v>
      </c>
      <c r="K58" s="109">
        <v>50</v>
      </c>
      <c r="L58" s="125">
        <f t="shared" si="5"/>
        <v>0.8611210771830885</v>
      </c>
      <c r="M58" s="46">
        <f t="shared" si="8"/>
        <v>0.82460067927314873</v>
      </c>
      <c r="N58" s="130">
        <v>0.82460067927314873</v>
      </c>
      <c r="O58" s="89">
        <f t="shared" si="6"/>
        <v>0.82460067927314873</v>
      </c>
      <c r="P58" s="4">
        <v>40372</v>
      </c>
      <c r="Q58" s="4">
        <v>0.93330339143718788</v>
      </c>
      <c r="R58" s="4">
        <v>4264</v>
      </c>
      <c r="S58" s="100">
        <f t="shared" si="11"/>
        <v>3725.2058334720077</v>
      </c>
      <c r="T58" s="101">
        <f t="shared" si="21"/>
        <v>538.79416652799227</v>
      </c>
      <c r="U58" s="40">
        <v>40720</v>
      </c>
      <c r="V58" s="95"/>
      <c r="W58" s="95"/>
      <c r="X58" s="95"/>
      <c r="Y58" s="95"/>
      <c r="Z58" s="95"/>
      <c r="AE58" s="93">
        <f t="shared" si="12"/>
        <v>37815.5</v>
      </c>
      <c r="AF58" s="92">
        <f>Logistic2010!Q58</f>
        <v>0.57863147408369076</v>
      </c>
      <c r="AG58" s="4">
        <f t="shared" si="10"/>
        <v>0.93330339143718788</v>
      </c>
      <c r="AH58" s="92">
        <f>Logistic2011!Q58</f>
        <v>0.64307659747584256</v>
      </c>
      <c r="AI58" s="92">
        <f>Logistic2012!Q58</f>
        <v>0.93330339143718788</v>
      </c>
      <c r="AJ58" s="92">
        <f>Logistic2013!L58</f>
        <v>0.7270102102463335</v>
      </c>
      <c r="AK58" s="119">
        <f>Logistic2014!AK58</f>
        <v>0.73230345881884595</v>
      </c>
      <c r="AL58" s="119">
        <f t="shared" si="13"/>
        <v>0.8611210771830885</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17"/>
        <v/>
      </c>
      <c r="E59" s="81"/>
      <c r="F59" s="50" t="str">
        <f t="shared" si="18"/>
        <v/>
      </c>
      <c r="G59" s="16" t="str">
        <f t="shared" si="19"/>
        <v/>
      </c>
      <c r="H59" s="51" t="str">
        <f t="shared" si="20"/>
        <v/>
      </c>
      <c r="I59" s="54"/>
      <c r="J59" s="105">
        <f t="shared" si="7"/>
        <v>37816.5</v>
      </c>
      <c r="K59" s="109">
        <v>51</v>
      </c>
      <c r="L59" s="125">
        <f t="shared" si="5"/>
        <v>0.88616120868558312</v>
      </c>
      <c r="M59" s="46">
        <f t="shared" si="8"/>
        <v>0.85967998350172414</v>
      </c>
      <c r="N59" s="130">
        <v>0.85967998350172414</v>
      </c>
      <c r="O59" s="89">
        <f t="shared" si="6"/>
        <v>0.85967998350172414</v>
      </c>
      <c r="P59" s="4">
        <v>40373</v>
      </c>
      <c r="Q59" s="4">
        <v>0.94907863528681002</v>
      </c>
      <c r="R59" s="4">
        <v>29205</v>
      </c>
      <c r="S59" s="100">
        <f t="shared" si="11"/>
        <v>26187.166285732044</v>
      </c>
      <c r="T59" s="101">
        <f t="shared" si="21"/>
        <v>3017.8337142679557</v>
      </c>
      <c r="U59" s="49">
        <v>40721</v>
      </c>
      <c r="V59" s="95"/>
      <c r="W59" s="95"/>
      <c r="X59" s="95"/>
      <c r="Y59" s="95"/>
      <c r="Z59" s="95"/>
      <c r="AE59" s="93">
        <f t="shared" si="12"/>
        <v>37816.5</v>
      </c>
      <c r="AF59" s="92">
        <f>Logistic2010!Q59</f>
        <v>0.62645177427350185</v>
      </c>
      <c r="AG59" s="4">
        <f t="shared" si="10"/>
        <v>0.94907863528681002</v>
      </c>
      <c r="AH59" s="92">
        <f>Logistic2011!Q59</f>
        <v>0.69856182420049406</v>
      </c>
      <c r="AI59" s="92">
        <f>Logistic2012!Q59</f>
        <v>0.94907863528681002</v>
      </c>
      <c r="AJ59" s="92">
        <f>Logistic2013!L59</f>
        <v>0.76444773045159664</v>
      </c>
      <c r="AK59" s="119">
        <f>Logistic2014!AK59</f>
        <v>0.76807620704019175</v>
      </c>
      <c r="AL59" s="119">
        <f t="shared" si="13"/>
        <v>0.88616120868558312</v>
      </c>
      <c r="AM59" s="114"/>
      <c r="AN59" s="114"/>
      <c r="AO59" s="114"/>
      <c r="AP59" s="114"/>
      <c r="AQ59" s="114"/>
      <c r="AR59" s="110"/>
      <c r="AS59" s="110"/>
      <c r="AT59" s="110"/>
      <c r="AU59" s="110"/>
      <c r="AV59" s="110"/>
      <c r="AW59" s="110"/>
      <c r="AX59" s="110"/>
    </row>
    <row r="60" spans="2:50" ht="16.5" thickBot="1" x14ac:dyDescent="0.3">
      <c r="B60" s="49"/>
      <c r="C60" s="79"/>
      <c r="D60" s="86" t="str">
        <f t="shared" si="17"/>
        <v/>
      </c>
      <c r="E60" s="81"/>
      <c r="F60" s="50" t="str">
        <f t="shared" si="18"/>
        <v/>
      </c>
      <c r="G60" s="16" t="str">
        <f t="shared" si="19"/>
        <v/>
      </c>
      <c r="H60" s="51" t="str">
        <f t="shared" si="20"/>
        <v/>
      </c>
      <c r="I60" s="54"/>
      <c r="J60" s="105">
        <f t="shared" si="7"/>
        <v>37817.5</v>
      </c>
      <c r="K60" s="109">
        <v>52</v>
      </c>
      <c r="L60" s="125">
        <f t="shared" si="5"/>
        <v>0.90717323991787802</v>
      </c>
      <c r="M60" s="46">
        <f t="shared" si="8"/>
        <v>0.8886905657803027</v>
      </c>
      <c r="N60" s="131">
        <v>0.8886905657803027</v>
      </c>
      <c r="O60" s="89">
        <f t="shared" si="6"/>
        <v>0.8886905657803027</v>
      </c>
      <c r="P60" s="4">
        <v>40374</v>
      </c>
      <c r="Q60" s="4">
        <v>0.96127748661561918</v>
      </c>
      <c r="R60" s="4">
        <v>27768</v>
      </c>
      <c r="S60" s="100">
        <f t="shared" si="11"/>
        <v>25432.850090583273</v>
      </c>
      <c r="T60" s="101">
        <f t="shared" si="21"/>
        <v>2335.1499094167266</v>
      </c>
      <c r="U60" s="49">
        <v>40722</v>
      </c>
      <c r="V60" s="95"/>
      <c r="W60" s="95"/>
      <c r="X60" s="95"/>
      <c r="Y60" s="95"/>
      <c r="Z60" s="95"/>
      <c r="AE60" s="93">
        <f t="shared" si="12"/>
        <v>37817.5</v>
      </c>
      <c r="AF60" s="92">
        <f>Logistic2010!Q60</f>
        <v>0.6719221112063114</v>
      </c>
      <c r="AG60" s="4">
        <f t="shared" si="10"/>
        <v>0.96127748661561918</v>
      </c>
      <c r="AH60" s="92">
        <f>Logistic2011!Q60</f>
        <v>0.74879103833236005</v>
      </c>
      <c r="AI60" s="92">
        <f>Logistic2012!Q60</f>
        <v>0.96127748661561918</v>
      </c>
      <c r="AJ60" s="92">
        <f>Logistic2013!L60</f>
        <v>0.79817638699971571</v>
      </c>
      <c r="AK60" s="119">
        <f>Logistic2014!AK60</f>
        <v>0.80037172674720769</v>
      </c>
      <c r="AL60" s="119">
        <f t="shared" si="13"/>
        <v>0.90717323991787802</v>
      </c>
      <c r="AM60" s="113"/>
      <c r="AO60" s="113"/>
      <c r="AP60" s="113"/>
      <c r="AQ60" s="113"/>
      <c r="AR60" s="111" t="s">
        <v>45</v>
      </c>
      <c r="AS60" s="111">
        <v>3.4619470909090904</v>
      </c>
      <c r="AT60" s="111">
        <v>21</v>
      </c>
      <c r="AU60" s="111"/>
      <c r="AV60" s="111"/>
      <c r="AW60" s="111"/>
      <c r="AX60" s="111"/>
    </row>
    <row r="61" spans="2:50" x14ac:dyDescent="0.25">
      <c r="B61" s="49"/>
      <c r="C61" s="79"/>
      <c r="D61" s="86" t="str">
        <f t="shared" si="17"/>
        <v/>
      </c>
      <c r="E61" s="81"/>
      <c r="F61" s="50" t="str">
        <f t="shared" si="18"/>
        <v/>
      </c>
      <c r="G61" s="16" t="str">
        <f t="shared" si="19"/>
        <v/>
      </c>
      <c r="H61" s="51" t="str">
        <f t="shared" si="20"/>
        <v/>
      </c>
      <c r="I61" s="54"/>
      <c r="J61" s="105">
        <f t="shared" si="7"/>
        <v>37818.5</v>
      </c>
      <c r="K61" s="109">
        <v>53</v>
      </c>
      <c r="L61" s="125">
        <f t="shared" si="5"/>
        <v>0.92463676372540005</v>
      </c>
      <c r="M61" s="46">
        <f t="shared" si="8"/>
        <v>0.91231509064301375</v>
      </c>
      <c r="N61" s="130">
        <v>0.91231509064301375</v>
      </c>
      <c r="O61" s="89">
        <f t="shared" si="6"/>
        <v>0.91231509064301375</v>
      </c>
      <c r="P61" s="4">
        <v>40375</v>
      </c>
      <c r="Q61" s="4">
        <v>0.97064434164342128</v>
      </c>
      <c r="R61" s="4">
        <v>21508</v>
      </c>
      <c r="S61" s="100">
        <f t="shared" si="11"/>
        <v>20041.933227544407</v>
      </c>
      <c r="T61" s="101">
        <f t="shared" si="21"/>
        <v>1466.0667724555933</v>
      </c>
      <c r="U61" s="49">
        <v>40723</v>
      </c>
      <c r="V61" s="95"/>
      <c r="W61" s="95"/>
      <c r="X61" s="95"/>
      <c r="Y61" s="95"/>
      <c r="Z61" s="95"/>
      <c r="AC61" s="93">
        <v>37783</v>
      </c>
      <c r="AD61" s="95">
        <v>2.4E-2</v>
      </c>
      <c r="AE61" s="93">
        <f t="shared" si="12"/>
        <v>37818.5</v>
      </c>
      <c r="AF61" s="92">
        <f>Logistic2010!Q61</f>
        <v>0.71438108258813315</v>
      </c>
      <c r="AG61" s="4">
        <f t="shared" si="10"/>
        <v>0.97064434164342128</v>
      </c>
      <c r="AH61" s="92">
        <f>Logistic2011!Q61</f>
        <v>0.79312907861690396</v>
      </c>
      <c r="AI61" s="92">
        <f>Logistic2012!Q61</f>
        <v>0.97064434164342128</v>
      </c>
      <c r="AJ61" s="92">
        <f>Logistic2013!L61</f>
        <v>0.82816108437109193</v>
      </c>
      <c r="AK61" s="119">
        <f>Logistic2014!AK61</f>
        <v>0.82917030340634412</v>
      </c>
      <c r="AL61" s="119">
        <f t="shared" si="13"/>
        <v>0.92463676372540005</v>
      </c>
      <c r="AM61" s="113"/>
      <c r="AN61" s="113"/>
      <c r="AO61" s="113"/>
      <c r="AP61" s="113"/>
      <c r="AQ61" s="113"/>
      <c r="AR61" s="113"/>
      <c r="AS61" s="113"/>
      <c r="AT61" s="114"/>
      <c r="AU61" s="114"/>
    </row>
    <row r="62" spans="2:50" ht="16.5" thickBot="1" x14ac:dyDescent="0.3">
      <c r="B62" s="49"/>
      <c r="C62" s="79"/>
      <c r="D62" s="86" t="str">
        <f t="shared" si="17"/>
        <v/>
      </c>
      <c r="E62" s="81"/>
      <c r="F62" s="50" t="str">
        <f t="shared" si="18"/>
        <v/>
      </c>
      <c r="G62" s="16" t="str">
        <f t="shared" si="19"/>
        <v/>
      </c>
      <c r="H62" s="51" t="str">
        <f t="shared" si="20"/>
        <v/>
      </c>
      <c r="I62" s="54"/>
      <c r="J62" s="105">
        <f t="shared" si="7"/>
        <v>37819.5</v>
      </c>
      <c r="K62" s="109">
        <v>54</v>
      </c>
      <c r="L62" s="125">
        <f t="shared" si="5"/>
        <v>0.93903565840073044</v>
      </c>
      <c r="M62" s="46">
        <f t="shared" si="8"/>
        <v>0.93131304287865924</v>
      </c>
      <c r="N62" s="130">
        <v>0.93131304287865924</v>
      </c>
      <c r="O62" s="89">
        <f t="shared" si="6"/>
        <v>0.93131304287865924</v>
      </c>
      <c r="P62" s="4">
        <v>40376</v>
      </c>
      <c r="Q62" s="4">
        <v>0.97779771637475388</v>
      </c>
      <c r="R62" s="4">
        <v>9686</v>
      </c>
      <c r="S62" s="100">
        <f t="shared" si="11"/>
        <v>9152.6183971550581</v>
      </c>
      <c r="T62" s="101">
        <f t="shared" si="21"/>
        <v>533.38160284494188</v>
      </c>
      <c r="U62" s="49">
        <v>40724</v>
      </c>
      <c r="V62" s="95"/>
      <c r="W62" s="95"/>
      <c r="X62" s="95"/>
      <c r="Y62" s="95"/>
      <c r="Z62" s="95"/>
      <c r="AC62" s="93">
        <v>37810</v>
      </c>
      <c r="AD62" s="95">
        <v>0.90100000000000002</v>
      </c>
      <c r="AE62" s="93">
        <f t="shared" si="12"/>
        <v>37819.5</v>
      </c>
      <c r="AF62" s="92">
        <f>Logistic2010!Q62</f>
        <v>0.75336211213144844</v>
      </c>
      <c r="AG62" s="4">
        <f t="shared" si="10"/>
        <v>0.97779771637475388</v>
      </c>
      <c r="AH62" s="92">
        <f>Logistic2011!Q62</f>
        <v>0.83140351438424964</v>
      </c>
      <c r="AI62" s="92">
        <f>Logistic2012!Q62</f>
        <v>0.97779771637475388</v>
      </c>
      <c r="AJ62" s="92">
        <f>Logistic2013!L62</f>
        <v>0.85450303975835906</v>
      </c>
      <c r="AK62" s="119">
        <f>Logistic2014!AK62</f>
        <v>0.85456925965431629</v>
      </c>
      <c r="AL62" s="119">
        <f t="shared" si="13"/>
        <v>0.93903565840073044</v>
      </c>
      <c r="AM62" s="113"/>
      <c r="AN62" s="113"/>
      <c r="AP62" s="113"/>
      <c r="AQ62" s="113"/>
      <c r="AR62" s="113"/>
      <c r="AS62" s="113"/>
      <c r="AT62" s="114"/>
      <c r="AU62" s="114"/>
    </row>
    <row r="63" spans="2:50" x14ac:dyDescent="0.25">
      <c r="B63" s="49"/>
      <c r="C63" s="79"/>
      <c r="D63" s="86" t="str">
        <f t="shared" si="17"/>
        <v/>
      </c>
      <c r="E63" s="81"/>
      <c r="F63" s="50" t="str">
        <f t="shared" si="18"/>
        <v/>
      </c>
      <c r="G63" s="16" t="str">
        <f t="shared" si="19"/>
        <v/>
      </c>
      <c r="H63" s="51" t="str">
        <f t="shared" si="20"/>
        <v/>
      </c>
      <c r="I63" s="54"/>
      <c r="J63" s="105">
        <f t="shared" si="7"/>
        <v>37820.5</v>
      </c>
      <c r="K63" s="109">
        <v>55</v>
      </c>
      <c r="L63" s="125">
        <f t="shared" si="5"/>
        <v>0.95082979630813969</v>
      </c>
      <c r="M63" s="46">
        <f t="shared" si="8"/>
        <v>0.94643653282667362</v>
      </c>
      <c r="N63" s="130">
        <v>0.94643653282667362</v>
      </c>
      <c r="O63" s="89">
        <f t="shared" si="6"/>
        <v>0.94643653282667362</v>
      </c>
      <c r="P63" s="4">
        <v>40377</v>
      </c>
      <c r="Q63" s="4">
        <v>0.98323806162233796</v>
      </c>
      <c r="R63" s="4">
        <v>3970</v>
      </c>
      <c r="S63" s="100">
        <f t="shared" si="11"/>
        <v>3793.867315226079</v>
      </c>
      <c r="T63" s="101">
        <f t="shared" si="21"/>
        <v>176.13268477392103</v>
      </c>
      <c r="U63" s="40">
        <v>40725</v>
      </c>
      <c r="V63" s="95">
        <v>0.35599999999999998</v>
      </c>
      <c r="W63" s="95"/>
      <c r="X63" s="95"/>
      <c r="Y63" s="95"/>
      <c r="Z63" s="95"/>
      <c r="AC63" s="93">
        <v>37813</v>
      </c>
      <c r="AD63" s="95">
        <v>0.77500000000000002</v>
      </c>
      <c r="AE63" s="93">
        <f t="shared" si="12"/>
        <v>37820.5</v>
      </c>
      <c r="AF63" s="92">
        <f>Logistic2010!Q63</f>
        <v>0.78859738904460508</v>
      </c>
      <c r="AG63" s="4">
        <f t="shared" si="10"/>
        <v>0.98323806162233796</v>
      </c>
      <c r="AH63" s="92">
        <f>Logistic2011!Q63</f>
        <v>0.86381250435994517</v>
      </c>
      <c r="AI63" s="92">
        <f>Logistic2012!Q63</f>
        <v>0.98323806162233796</v>
      </c>
      <c r="AJ63" s="92">
        <f>Logistic2013!L63</f>
        <v>0.87740468827985718</v>
      </c>
      <c r="AK63" s="119">
        <f>Logistic2014!AK63</f>
        <v>0.87675320628420728</v>
      </c>
      <c r="AL63" s="119">
        <f t="shared" si="13"/>
        <v>0.95082979630813969</v>
      </c>
      <c r="AM63" s="115"/>
      <c r="AN63" s="115"/>
      <c r="AO63" s="115"/>
      <c r="AP63" s="115"/>
      <c r="AQ63" s="115"/>
      <c r="AR63" t="s">
        <v>28</v>
      </c>
      <c r="AS63"/>
      <c r="AT63"/>
      <c r="AU63"/>
      <c r="AV63"/>
      <c r="AW63"/>
      <c r="AX63"/>
    </row>
    <row r="64" spans="2:50" ht="16.5" thickBot="1" x14ac:dyDescent="0.3">
      <c r="B64" s="56"/>
      <c r="C64" s="80"/>
      <c r="D64" s="87" t="str">
        <f t="shared" si="17"/>
        <v/>
      </c>
      <c r="E64" s="82"/>
      <c r="F64" s="50" t="str">
        <f t="shared" si="18"/>
        <v/>
      </c>
      <c r="G64" s="16" t="str">
        <f t="shared" si="19"/>
        <v/>
      </c>
      <c r="H64" s="51" t="str">
        <f t="shared" si="20"/>
        <v/>
      </c>
      <c r="I64" s="54"/>
      <c r="J64" s="105">
        <f t="shared" si="7"/>
        <v>37821.5</v>
      </c>
      <c r="K64" s="109">
        <v>56</v>
      </c>
      <c r="L64" s="125">
        <f t="shared" si="5"/>
        <v>0.96043837257149689</v>
      </c>
      <c r="M64" s="46">
        <f t="shared" si="8"/>
        <v>0.95837894884125729</v>
      </c>
      <c r="N64" s="131">
        <v>0.95837894884125729</v>
      </c>
      <c r="O64" s="89">
        <f t="shared" si="6"/>
        <v>0.95837894884125729</v>
      </c>
      <c r="P64" s="4">
        <v>40378</v>
      </c>
      <c r="Q64" s="4">
        <v>0.98736255895680802</v>
      </c>
      <c r="R64" s="4">
        <v>5509</v>
      </c>
      <c r="S64" s="100">
        <f t="shared" si="11"/>
        <v>5312.5226145441229</v>
      </c>
      <c r="T64" s="101">
        <f t="shared" si="21"/>
        <v>196.47738545587708</v>
      </c>
      <c r="U64" s="49">
        <v>40726</v>
      </c>
      <c r="V64" s="95"/>
      <c r="W64" s="95"/>
      <c r="X64" s="95"/>
      <c r="Y64" s="95"/>
      <c r="Z64" s="95"/>
      <c r="AC64" s="93">
        <v>37816</v>
      </c>
      <c r="AD64" s="95">
        <v>0.93</v>
      </c>
      <c r="AE64" s="93">
        <f t="shared" si="12"/>
        <v>37821.5</v>
      </c>
      <c r="AF64" s="92">
        <f>Logistic2010!Q64</f>
        <v>0.82000157910537541</v>
      </c>
      <c r="AG64" s="4">
        <f t="shared" si="10"/>
        <v>0.98736255895680802</v>
      </c>
      <c r="AH64" s="92">
        <f>Logistic2011!Q64</f>
        <v>0.89080976473363638</v>
      </c>
      <c r="AI64" s="92">
        <f>Logistic2012!Q64</f>
        <v>0.98736255895680802</v>
      </c>
      <c r="AJ64" s="92">
        <f>Logistic2013!L64</f>
        <v>0.8971354919418093</v>
      </c>
      <c r="AK64" s="119">
        <f>Logistic2014!AK64</f>
        <v>0.89596518054214846</v>
      </c>
      <c r="AL64" s="119">
        <f t="shared" si="13"/>
        <v>0.96043837257149689</v>
      </c>
      <c r="AM64" s="110"/>
      <c r="AN64" s="110"/>
      <c r="AO64" s="110"/>
      <c r="AP64" s="110"/>
      <c r="AQ64" s="110"/>
      <c r="AR64"/>
      <c r="AS64"/>
      <c r="AT64"/>
      <c r="AU64"/>
      <c r="AV64"/>
      <c r="AW64"/>
      <c r="AX64"/>
    </row>
    <row r="65" spans="2:50" ht="16.5" thickBot="1" x14ac:dyDescent="0.3">
      <c r="B65" s="104"/>
      <c r="C65" s="121"/>
      <c r="D65" s="84"/>
      <c r="E65" s="59"/>
      <c r="F65" s="60"/>
      <c r="G65" s="61"/>
      <c r="H65" s="62"/>
      <c r="I65" s="54"/>
      <c r="J65" s="105">
        <f t="shared" si="7"/>
        <v>37822.5</v>
      </c>
      <c r="K65" s="109">
        <v>57</v>
      </c>
      <c r="L65" s="125">
        <f t="shared" si="5"/>
        <v>0.96823202660952434</v>
      </c>
      <c r="M65" s="46">
        <f t="shared" si="8"/>
        <v>0.96774943709406713</v>
      </c>
      <c r="N65" s="130">
        <v>0.96774943709406713</v>
      </c>
      <c r="O65" s="89">
        <f t="shared" si="6"/>
        <v>0.96774943709406713</v>
      </c>
      <c r="P65" s="4">
        <v>40379</v>
      </c>
      <c r="Q65" s="4">
        <v>0.99048199337810516</v>
      </c>
      <c r="R65" s="4">
        <v>2314</v>
      </c>
      <c r="S65" s="100">
        <f t="shared" si="11"/>
        <v>2247.7768712105344</v>
      </c>
      <c r="T65" s="101">
        <f t="shared" si="21"/>
        <v>66.223128789465591</v>
      </c>
      <c r="U65" s="49">
        <v>40727</v>
      </c>
      <c r="V65" s="95"/>
      <c r="W65" s="95"/>
      <c r="X65" s="95"/>
      <c r="Y65" s="95"/>
      <c r="Z65" s="95"/>
      <c r="AC65" s="93">
        <v>37819</v>
      </c>
      <c r="AD65" s="95">
        <v>0.997</v>
      </c>
      <c r="AE65" s="93">
        <f t="shared" si="12"/>
        <v>37822.5</v>
      </c>
      <c r="AF65" s="92">
        <f>Logistic2010!Q65</f>
        <v>0.84764193896050799</v>
      </c>
      <c r="AG65" s="4">
        <f t="shared" si="10"/>
        <v>0.99048199337810516</v>
      </c>
      <c r="AH65" s="92">
        <f>Logistic2011!Q65</f>
        <v>0.91299424895614467</v>
      </c>
      <c r="AI65" s="92">
        <f>Logistic2012!Q65</f>
        <v>0.99048199337810516</v>
      </c>
      <c r="AJ65" s="92">
        <f>Logistic2013!L65</f>
        <v>0.91400201566045702</v>
      </c>
      <c r="AK65" s="119">
        <f>Logistic2014!AK65</f>
        <v>0.91248129649139764</v>
      </c>
      <c r="AL65" s="119">
        <f t="shared" si="13"/>
        <v>0.96823202660952434</v>
      </c>
      <c r="AM65" s="110"/>
      <c r="AN65" s="110"/>
      <c r="AO65" s="110"/>
      <c r="AP65" s="110"/>
      <c r="AQ65" s="110"/>
      <c r="AR65" t="s">
        <v>29</v>
      </c>
      <c r="AS65"/>
      <c r="AT65"/>
      <c r="AU65"/>
      <c r="AV65"/>
      <c r="AW65"/>
      <c r="AX65"/>
    </row>
    <row r="66" spans="2:50" ht="16.5" thickBot="1" x14ac:dyDescent="0.3">
      <c r="B66" s="104"/>
      <c r="C66" s="121"/>
      <c r="D66" s="84"/>
      <c r="E66" s="59"/>
      <c r="F66" s="60"/>
      <c r="G66" s="61"/>
      <c r="H66" s="62"/>
      <c r="I66" s="68"/>
      <c r="J66" s="105">
        <f t="shared" si="7"/>
        <v>37823.5</v>
      </c>
      <c r="K66" s="109">
        <v>58</v>
      </c>
      <c r="L66" s="125">
        <f t="shared" si="5"/>
        <v>0.97453104271678037</v>
      </c>
      <c r="M66" s="46">
        <f t="shared" si="8"/>
        <v>0.97506515897383861</v>
      </c>
      <c r="N66" s="130">
        <v>0.97506515897383861</v>
      </c>
      <c r="O66" s="89">
        <f t="shared" si="6"/>
        <v>0.97506515897383861</v>
      </c>
      <c r="P66" s="4">
        <v>40380</v>
      </c>
      <c r="Q66" s="4">
        <v>0.99283701063466723</v>
      </c>
      <c r="R66" s="4">
        <v>2271</v>
      </c>
      <c r="S66" s="100">
        <f t="shared" si="11"/>
        <v>2218.9241826548423</v>
      </c>
      <c r="T66" s="101">
        <f t="shared" si="21"/>
        <v>52.075817345157702</v>
      </c>
      <c r="U66" s="49">
        <v>40728</v>
      </c>
      <c r="V66" s="95"/>
      <c r="W66" s="95"/>
      <c r="X66" s="95"/>
      <c r="Y66" s="95"/>
      <c r="Z66" s="95"/>
      <c r="AC66" s="93">
        <v>37823</v>
      </c>
      <c r="AD66" s="95">
        <v>0.99399999999999999</v>
      </c>
      <c r="AE66" s="93">
        <f t="shared" si="12"/>
        <v>37823.5</v>
      </c>
      <c r="AF66" s="92">
        <f>Logistic2010!Q66</f>
        <v>0.8717019610426997</v>
      </c>
      <c r="AG66" s="4">
        <f t="shared" si="10"/>
        <v>0.99283701063466723</v>
      </c>
      <c r="AH66" s="92">
        <f>Logistic2011!Q66</f>
        <v>0.93102046958550611</v>
      </c>
      <c r="AI66" s="92">
        <f>Logistic2012!Q66</f>
        <v>0.99283701063466723</v>
      </c>
      <c r="AJ66" s="92">
        <f>Logistic2013!L66</f>
        <v>0.92832391728718622</v>
      </c>
      <c r="AK66" s="119">
        <f>Logistic2014!AK66</f>
        <v>0.92659021810226538</v>
      </c>
      <c r="AL66" s="119">
        <f t="shared" si="13"/>
        <v>0.97453104271678037</v>
      </c>
      <c r="AM66" s="113"/>
      <c r="AN66" s="113"/>
      <c r="AO66" s="113"/>
      <c r="AP66" s="113"/>
      <c r="AQ66" s="113"/>
      <c r="AR66" s="112" t="s">
        <v>30</v>
      </c>
      <c r="AS66" s="112" t="s">
        <v>31</v>
      </c>
      <c r="AT66" s="112" t="s">
        <v>32</v>
      </c>
      <c r="AU66" s="112" t="s">
        <v>33</v>
      </c>
      <c r="AV66" s="112" t="s">
        <v>34</v>
      </c>
      <c r="AW66"/>
      <c r="AX66"/>
    </row>
    <row r="67" spans="2:50" x14ac:dyDescent="0.25">
      <c r="B67" s="63"/>
      <c r="C67" s="64"/>
      <c r="D67" s="65"/>
      <c r="E67" s="64"/>
      <c r="F67" s="66"/>
      <c r="G67" s="67"/>
      <c r="H67" s="67"/>
      <c r="I67" s="68"/>
      <c r="J67" s="105">
        <f t="shared" si="7"/>
        <v>37824.5</v>
      </c>
      <c r="K67" s="109">
        <v>59</v>
      </c>
      <c r="L67" s="125">
        <f t="shared" si="5"/>
        <v>0.97960738322319518</v>
      </c>
      <c r="M67" s="46">
        <f t="shared" si="8"/>
        <v>0.98075438398529091</v>
      </c>
      <c r="N67" s="131">
        <v>0.98075438398529091</v>
      </c>
      <c r="O67" s="89">
        <f t="shared" si="6"/>
        <v>0.98075438398529091</v>
      </c>
      <c r="P67" s="4">
        <v>40381</v>
      </c>
      <c r="Q67" s="4">
        <v>0.99461250113431077</v>
      </c>
      <c r="R67" s="4">
        <v>2019</v>
      </c>
      <c r="S67" s="100">
        <f t="shared" si="11"/>
        <v>1981.9475662246962</v>
      </c>
      <c r="T67" s="101">
        <f t="shared" si="21"/>
        <v>37.052433775303825</v>
      </c>
      <c r="U67" s="49">
        <v>40729</v>
      </c>
      <c r="V67" s="95">
        <v>0.51500000000000001</v>
      </c>
      <c r="W67" s="95"/>
      <c r="X67" s="95"/>
      <c r="Y67" s="95"/>
      <c r="Z67" s="95"/>
      <c r="AE67" s="93">
        <f t="shared" si="12"/>
        <v>37824.5</v>
      </c>
      <c r="AF67" s="92">
        <f>Logistic2010!Q67</f>
        <v>0.89244459206165738</v>
      </c>
      <c r="AG67" s="4">
        <f t="shared" si="10"/>
        <v>0.99461250113431077</v>
      </c>
      <c r="AH67" s="92">
        <f>Logistic2011!Q67</f>
        <v>0.94553474019587147</v>
      </c>
      <c r="AI67" s="92">
        <f>Logistic2012!Q67</f>
        <v>0.99461250113431077</v>
      </c>
      <c r="AJ67" s="92">
        <f>Logistic2013!L67</f>
        <v>0.94041617027076585</v>
      </c>
      <c r="AK67" s="119">
        <f>Logistic2014!AK67</f>
        <v>0.93857774011739092</v>
      </c>
      <c r="AL67" s="119">
        <f t="shared" si="13"/>
        <v>0.97960738322319518</v>
      </c>
      <c r="AM67" s="113"/>
      <c r="AN67" s="113"/>
      <c r="AO67" s="113"/>
      <c r="AP67" s="113"/>
      <c r="AQ67" s="113"/>
      <c r="AR67" s="110">
        <v>2010</v>
      </c>
      <c r="AS67" s="110">
        <v>11</v>
      </c>
      <c r="AT67" s="110">
        <v>4.5669999999999993</v>
      </c>
      <c r="AU67" s="110">
        <v>0.4151818181818181</v>
      </c>
      <c r="AV67" s="110">
        <v>0.13328476363636368</v>
      </c>
      <c r="AW67"/>
      <c r="AX67"/>
    </row>
    <row r="68" spans="2:50" ht="16.5" thickBot="1" x14ac:dyDescent="0.3">
      <c r="B68" s="63"/>
      <c r="C68" s="64"/>
      <c r="D68" s="65"/>
      <c r="E68" s="64"/>
      <c r="F68" s="69"/>
      <c r="G68" s="67"/>
      <c r="H68" s="67"/>
      <c r="I68" s="68"/>
      <c r="J68" s="105">
        <f t="shared" si="7"/>
        <v>37825.5</v>
      </c>
      <c r="K68" s="109">
        <v>60</v>
      </c>
      <c r="L68" s="125">
        <f t="shared" si="5"/>
        <v>0.98368886860909421</v>
      </c>
      <c r="M68" s="46">
        <f t="shared" si="8"/>
        <v>0.98516528350488675</v>
      </c>
      <c r="N68" s="131">
        <v>0.98516528350488675</v>
      </c>
      <c r="O68" s="89">
        <f t="shared" si="6"/>
        <v>0.98516528350488675</v>
      </c>
      <c r="P68" s="4">
        <v>40382</v>
      </c>
      <c r="Q68" s="4">
        <v>0.99594969608518535</v>
      </c>
      <c r="R68" s="4">
        <v>2115</v>
      </c>
      <c r="S68" s="100">
        <f t="shared" si="11"/>
        <v>2083.9657622462464</v>
      </c>
      <c r="T68" s="101">
        <f t="shared" si="21"/>
        <v>31.034237753753587</v>
      </c>
      <c r="U68" s="49">
        <v>40730</v>
      </c>
      <c r="V68" s="95"/>
      <c r="W68" s="95"/>
      <c r="X68" s="95"/>
      <c r="Y68" s="95"/>
      <c r="Z68" s="95"/>
      <c r="AE68" s="93">
        <f t="shared" si="12"/>
        <v>37825.5</v>
      </c>
      <c r="AF68" s="92">
        <f>Logistic2010!Q68</f>
        <v>0.91017920532930874</v>
      </c>
      <c r="AG68" s="4">
        <f t="shared" si="10"/>
        <v>0.99594969608518535</v>
      </c>
      <c r="AH68" s="92">
        <f>Logistic2011!Q68</f>
        <v>0.95713560982756274</v>
      </c>
      <c r="AI68" s="92">
        <f>Logistic2012!Q68</f>
        <v>0.99594969608518535</v>
      </c>
      <c r="AJ68" s="92">
        <f>Logistic2013!L68</f>
        <v>0.95057698620331765</v>
      </c>
      <c r="AK68" s="119">
        <f>Logistic2014!AK68</f>
        <v>0.94871609038627402</v>
      </c>
      <c r="AL68" s="119">
        <f t="shared" si="13"/>
        <v>0.98368886860909421</v>
      </c>
      <c r="AM68" s="113"/>
      <c r="AN68" s="113"/>
      <c r="AO68" s="113"/>
      <c r="AP68" s="113"/>
      <c r="AQ68" s="113"/>
      <c r="AR68" s="111">
        <v>2012</v>
      </c>
      <c r="AS68" s="111">
        <v>11</v>
      </c>
      <c r="AT68" s="111">
        <v>6.5350000000000001</v>
      </c>
      <c r="AU68" s="111">
        <v>0.59409090909090911</v>
      </c>
      <c r="AV68" s="111">
        <v>0.17708689090909088</v>
      </c>
      <c r="AW68"/>
      <c r="AX68"/>
    </row>
    <row r="69" spans="2:50" x14ac:dyDescent="0.25">
      <c r="B69" s="63"/>
      <c r="C69" s="64"/>
      <c r="D69" s="65"/>
      <c r="E69" s="64"/>
      <c r="F69" s="64"/>
      <c r="G69" s="64"/>
      <c r="H69" s="64"/>
      <c r="I69" s="53"/>
      <c r="J69" s="105">
        <f t="shared" si="7"/>
        <v>37826.5</v>
      </c>
      <c r="K69" s="109">
        <v>61</v>
      </c>
      <c r="L69" s="125">
        <f t="shared" si="5"/>
        <v>0.98696433446064236</v>
      </c>
      <c r="M69" s="46">
        <f t="shared" si="8"/>
        <v>0.9885770241743157</v>
      </c>
      <c r="N69" s="131">
        <v>0.9885770241743157</v>
      </c>
      <c r="O69" s="89">
        <f t="shared" si="6"/>
        <v>0.9885770241743157</v>
      </c>
      <c r="P69" s="4">
        <v>40383</v>
      </c>
      <c r="Q69" s="4">
        <v>0.99695601060889649</v>
      </c>
      <c r="R69" s="4">
        <v>2946</v>
      </c>
      <c r="S69" s="100">
        <f t="shared" si="11"/>
        <v>2911.4630762091283</v>
      </c>
      <c r="T69" s="101">
        <f t="shared" si="21"/>
        <v>34.536923790871697</v>
      </c>
      <c r="U69" s="49">
        <v>40731</v>
      </c>
      <c r="V69" s="95"/>
      <c r="W69" s="95"/>
      <c r="X69" s="95"/>
      <c r="Y69" s="95"/>
      <c r="Z69" s="95"/>
      <c r="AE69" s="93">
        <f t="shared" si="12"/>
        <v>37826.5</v>
      </c>
      <c r="AF69" s="92">
        <f>Logistic2010!Q69</f>
        <v>0.92523457092805417</v>
      </c>
      <c r="AG69" s="4">
        <f t="shared" si="10"/>
        <v>0.99695601060889649</v>
      </c>
      <c r="AH69" s="92">
        <f>Logistic2011!Q69</f>
        <v>0.96635347078003297</v>
      </c>
      <c r="AI69" s="92">
        <f>Logistic2012!Q69</f>
        <v>0.99695601060889649</v>
      </c>
      <c r="AJ69" s="92">
        <f>Logistic2013!L69</f>
        <v>0.95908047510394157</v>
      </c>
      <c r="AK69" s="119">
        <f>Logistic2014!AK69</f>
        <v>0.95725721401262687</v>
      </c>
      <c r="AL69" s="119">
        <f t="shared" si="13"/>
        <v>0.98696433446064236</v>
      </c>
      <c r="AM69" s="115"/>
      <c r="AN69" s="115"/>
      <c r="AO69" s="115"/>
      <c r="AP69" s="115"/>
      <c r="AQ69" s="115"/>
      <c r="AR69"/>
      <c r="AS69"/>
      <c r="AT69"/>
      <c r="AU69"/>
      <c r="AV69"/>
      <c r="AW69"/>
      <c r="AX69"/>
    </row>
    <row r="70" spans="2:50" ht="16.5" thickBot="1" x14ac:dyDescent="0.3">
      <c r="B70" s="63"/>
      <c r="C70" s="64"/>
      <c r="D70" s="65"/>
      <c r="E70" s="64"/>
      <c r="F70" s="64"/>
      <c r="G70" s="64"/>
      <c r="H70" s="64"/>
      <c r="I70" s="53"/>
      <c r="J70" s="105">
        <f t="shared" si="7"/>
        <v>37827.5</v>
      </c>
      <c r="K70" s="109">
        <v>62</v>
      </c>
      <c r="L70" s="125">
        <f t="shared" si="5"/>
        <v>0.9895890098768515</v>
      </c>
      <c r="M70" s="46">
        <f t="shared" si="8"/>
        <v>0.99121112062050309</v>
      </c>
      <c r="N70" s="131">
        <v>0.99121112062050309</v>
      </c>
      <c r="O70" s="89">
        <f t="shared" si="6"/>
        <v>0.99121112062050309</v>
      </c>
      <c r="P70" s="4">
        <v>40384</v>
      </c>
      <c r="Q70" s="4">
        <v>0.99771287634461936</v>
      </c>
      <c r="R70" s="4">
        <v>2623</v>
      </c>
      <c r="S70" s="100">
        <f t="shared" si="11"/>
        <v>2598.4469858834682</v>
      </c>
      <c r="T70" s="101">
        <f t="shared" si="21"/>
        <v>24.553014116531813</v>
      </c>
      <c r="U70" s="49">
        <v>40732</v>
      </c>
      <c r="AE70" s="93">
        <f t="shared" si="12"/>
        <v>37827.5</v>
      </c>
      <c r="AF70" s="92">
        <f>Logistic2010!Q70</f>
        <v>0.93793849093008874</v>
      </c>
      <c r="AG70" s="4">
        <f t="shared" si="10"/>
        <v>0.99771287634461936</v>
      </c>
      <c r="AH70" s="92">
        <f>Logistic2011!Q70</f>
        <v>0.97364364314605079</v>
      </c>
      <c r="AI70" s="92">
        <f>Logistic2012!Q70</f>
        <v>0.99771287634461936</v>
      </c>
      <c r="AJ70" s="92">
        <f>Logistic2013!L70</f>
        <v>0.96617295862288388</v>
      </c>
      <c r="AK70" s="119">
        <f>Logistic2014!AK70</f>
        <v>0.9644291830100955</v>
      </c>
      <c r="AL70" s="119">
        <f t="shared" si="13"/>
        <v>0.9895890098768515</v>
      </c>
      <c r="AM70" s="110"/>
      <c r="AN70" s="110"/>
      <c r="AO70" s="110"/>
      <c r="AP70" s="110"/>
      <c r="AQ70" s="110"/>
      <c r="AR70"/>
      <c r="AS70"/>
      <c r="AT70"/>
      <c r="AU70"/>
      <c r="AV70"/>
      <c r="AW70"/>
      <c r="AX70"/>
    </row>
    <row r="71" spans="2:50" ht="16.5" thickBot="1" x14ac:dyDescent="0.3">
      <c r="B71" s="63"/>
      <c r="C71" s="64"/>
      <c r="D71" s="65"/>
      <c r="E71" s="64"/>
      <c r="F71" s="64"/>
      <c r="G71" s="64"/>
      <c r="H71" s="64"/>
      <c r="I71" s="53"/>
      <c r="J71" s="105">
        <f t="shared" si="7"/>
        <v>37828.5</v>
      </c>
      <c r="K71" s="109">
        <v>63</v>
      </c>
      <c r="L71" s="125">
        <f t="shared" si="5"/>
        <v>0.99168966788408475</v>
      </c>
      <c r="M71" s="46">
        <f t="shared" si="8"/>
        <v>0.99324195641616453</v>
      </c>
      <c r="N71" s="131">
        <v>0.99324195641616453</v>
      </c>
      <c r="O71" s="89">
        <f t="shared" si="6"/>
        <v>0.99324195641616453</v>
      </c>
      <c r="P71" s="4">
        <v>40385</v>
      </c>
      <c r="Q71" s="4">
        <v>0.99828187726084372</v>
      </c>
      <c r="U71" s="40">
        <v>40733</v>
      </c>
      <c r="V71" s="95"/>
      <c r="W71" s="95"/>
      <c r="X71" s="95"/>
      <c r="Y71" s="95"/>
      <c r="Z71" s="95"/>
      <c r="AE71" s="93">
        <f t="shared" si="12"/>
        <v>37828.5</v>
      </c>
      <c r="AF71" s="92">
        <f>Logistic2010!Q71</f>
        <v>0.94860370829645768</v>
      </c>
      <c r="AG71" s="4">
        <f t="shared" si="10"/>
        <v>0.99828187726084372</v>
      </c>
      <c r="AH71" s="92">
        <f>Logistic2011!Q71</f>
        <v>0.97938794995342149</v>
      </c>
      <c r="AI71" s="92">
        <f>Logistic2012!Q71</f>
        <v>0.99828187726084372</v>
      </c>
      <c r="AJ71" s="92">
        <f>Logistic2013!L71</f>
        <v>0.97207191636988943</v>
      </c>
      <c r="AK71" s="119">
        <f>Logistic2014!AK71</f>
        <v>0.97043490859995651</v>
      </c>
      <c r="AL71" s="119">
        <f t="shared" si="13"/>
        <v>0.99168966788408475</v>
      </c>
      <c r="AM71" s="110"/>
      <c r="AN71" s="110"/>
      <c r="AO71" s="110"/>
      <c r="AP71" s="110"/>
      <c r="AQ71" s="110"/>
      <c r="AR71" t="s">
        <v>35</v>
      </c>
      <c r="AS71"/>
      <c r="AT71"/>
      <c r="AU71"/>
      <c r="AV71"/>
      <c r="AW71"/>
      <c r="AX71"/>
    </row>
    <row r="72" spans="2:50" x14ac:dyDescent="0.25">
      <c r="B72" s="63"/>
      <c r="C72" s="64"/>
      <c r="D72" s="65"/>
      <c r="E72" s="64"/>
      <c r="F72" s="64"/>
      <c r="G72" s="64"/>
      <c r="H72" s="64"/>
      <c r="I72" s="53"/>
      <c r="J72" s="105">
        <f t="shared" si="7"/>
        <v>37829.5</v>
      </c>
      <c r="K72" s="109">
        <v>64</v>
      </c>
      <c r="L72" s="125">
        <f t="shared" si="5"/>
        <v>0.99336930958910263</v>
      </c>
      <c r="M72" s="46">
        <f t="shared" si="8"/>
        <v>0.99480598839313295</v>
      </c>
      <c r="N72" s="131">
        <v>0.99480598839313295</v>
      </c>
      <c r="O72" s="89">
        <f t="shared" si="6"/>
        <v>0.99480598839313295</v>
      </c>
      <c r="P72" s="4">
        <v>40386</v>
      </c>
      <c r="Q72" s="4">
        <v>0.99870950266811021</v>
      </c>
      <c r="U72" s="49">
        <v>40734</v>
      </c>
      <c r="V72" s="95"/>
      <c r="W72" s="95"/>
      <c r="X72" s="95"/>
      <c r="Y72" s="95"/>
      <c r="Z72" s="95"/>
      <c r="AE72" s="93">
        <f t="shared" si="12"/>
        <v>37829.5</v>
      </c>
      <c r="AF72" s="92">
        <f>Logistic2010!Q72</f>
        <v>0.95751912825764318</v>
      </c>
      <c r="AG72" s="4">
        <f t="shared" si="10"/>
        <v>0.99870950266811021</v>
      </c>
      <c r="AH72" s="92">
        <f>Logistic2011!Q72</f>
        <v>0.98390099930162234</v>
      </c>
      <c r="AI72" s="92">
        <f>Logistic2012!Q72</f>
        <v>0.99870950266811021</v>
      </c>
      <c r="AJ72" s="92">
        <f>Logistic2013!L72</f>
        <v>0.97696670309022537</v>
      </c>
      <c r="AK72" s="119">
        <f>Logistic2014!AK72</f>
        <v>0.97545244534588094</v>
      </c>
      <c r="AL72" s="119">
        <f t="shared" si="13"/>
        <v>0.99336930958910263</v>
      </c>
      <c r="AM72" s="110"/>
      <c r="AN72" s="110"/>
      <c r="AO72" s="110"/>
      <c r="AP72" s="110"/>
      <c r="AQ72" s="110"/>
      <c r="AR72" s="112" t="s">
        <v>36</v>
      </c>
      <c r="AS72" s="112" t="s">
        <v>37</v>
      </c>
      <c r="AT72" s="112" t="s">
        <v>38</v>
      </c>
      <c r="AU72" s="112" t="s">
        <v>39</v>
      </c>
      <c r="AV72" s="112" t="s">
        <v>40</v>
      </c>
      <c r="AW72" s="112" t="s">
        <v>41</v>
      </c>
      <c r="AX72" s="112" t="s">
        <v>42</v>
      </c>
    </row>
    <row r="73" spans="2:50" x14ac:dyDescent="0.25">
      <c r="B73" s="63"/>
      <c r="C73" s="64"/>
      <c r="D73" s="65"/>
      <c r="E73" s="64"/>
      <c r="F73" s="64"/>
      <c r="G73" s="64"/>
      <c r="H73" s="64"/>
      <c r="I73" s="53"/>
      <c r="J73" s="105">
        <f t="shared" si="7"/>
        <v>37830.5</v>
      </c>
      <c r="K73" s="109">
        <v>65</v>
      </c>
      <c r="L73" s="125">
        <f t="shared" ref="L73:L104" si="22">$G$3/(1+EXP(-$G$4*(K73-$G$5)))</f>
        <v>0.99471128119009955</v>
      </c>
      <c r="M73" s="46">
        <f t="shared" si="8"/>
        <v>0.99600950655454856</v>
      </c>
      <c r="N73" s="132">
        <v>0.99600950655454856</v>
      </c>
      <c r="O73" s="89">
        <f t="shared" ref="O73:O104" si="23">IF(N73=M73,N73,M73)</f>
        <v>0.99600950655454856</v>
      </c>
      <c r="P73" s="4">
        <v>40387</v>
      </c>
      <c r="Q73" s="4">
        <v>0.99903079926177196</v>
      </c>
      <c r="U73" s="49">
        <v>40735</v>
      </c>
      <c r="AE73" s="93">
        <f t="shared" si="12"/>
        <v>37830.5</v>
      </c>
      <c r="AF73" s="92">
        <f>Logistic2010!Q73</f>
        <v>0.96494519123476252</v>
      </c>
      <c r="AG73" s="4">
        <f t="shared" si="10"/>
        <v>0.99903079926177196</v>
      </c>
      <c r="AH73" s="92">
        <f>Logistic2011!Q73</f>
        <v>0.98743858120527517</v>
      </c>
      <c r="AI73" s="92">
        <f>Logistic2012!Q73</f>
        <v>0.99903079926177196</v>
      </c>
      <c r="AJ73" s="92">
        <f>Logistic2013!L73</f>
        <v>0.98102036011876015</v>
      </c>
      <c r="AK73" s="119">
        <f>Logistic2014!AK73</f>
        <v>0.97963631693234787</v>
      </c>
      <c r="AL73" s="119">
        <f t="shared" si="13"/>
        <v>0.99471128119009955</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2:50" x14ac:dyDescent="0.25">
      <c r="B74" s="63"/>
      <c r="C74" s="64"/>
      <c r="D74" s="65"/>
      <c r="E74" s="64"/>
      <c r="F74" s="64"/>
      <c r="G74" s="64"/>
      <c r="H74" s="64"/>
      <c r="I74" s="53"/>
      <c r="J74" s="105">
        <f t="shared" ref="J74:J107" si="24">J73+1</f>
        <v>37831.5</v>
      </c>
      <c r="K74" s="109">
        <v>66</v>
      </c>
      <c r="L74" s="125">
        <f t="shared" si="22"/>
        <v>0.9957828069881377</v>
      </c>
      <c r="M74" s="46">
        <f t="shared" ref="M74:M107" si="25">IF(J75&gt;MAX($B$9:$B$64),L74,N74)</f>
        <v>0.9957828069881377</v>
      </c>
      <c r="N74" s="132">
        <v>0.99693501353750869</v>
      </c>
      <c r="O74" s="89">
        <f t="shared" si="23"/>
        <v>0.9957828069881377</v>
      </c>
      <c r="P74" s="4">
        <v>40388</v>
      </c>
      <c r="Q74" s="4">
        <v>0.99927216057350388</v>
      </c>
      <c r="U74" s="49">
        <v>40736</v>
      </c>
      <c r="V74" s="95"/>
      <c r="W74" s="95"/>
      <c r="X74" s="95"/>
      <c r="Y74" s="95"/>
      <c r="Z74" s="95"/>
      <c r="AE74" s="93">
        <f t="shared" si="12"/>
        <v>37831.5</v>
      </c>
      <c r="AF74" s="92">
        <f>Logistic2010!Q74</f>
        <v>0.97111227157250635</v>
      </c>
      <c r="AG74" s="4">
        <f t="shared" si="10"/>
        <v>0.99927216057350388</v>
      </c>
      <c r="AH74" s="92">
        <f>Logistic2011!Q74</f>
        <v>0.9902065550659539</v>
      </c>
      <c r="AI74" s="92">
        <f>Logistic2012!Q74</f>
        <v>0.99927216057350388</v>
      </c>
      <c r="AJ74" s="92">
        <f>Logistic2013!L74</f>
        <v>0.98437202125506518</v>
      </c>
      <c r="AK74" s="119">
        <f>Logistic2014!AK74</f>
        <v>0.98311943217332176</v>
      </c>
      <c r="AL74" s="119">
        <f t="shared" si="13"/>
        <v>0.9957828069881377</v>
      </c>
      <c r="AR74" s="110" t="s">
        <v>44</v>
      </c>
      <c r="AS74" s="110">
        <v>3.1037165454545459</v>
      </c>
      <c r="AT74" s="110">
        <v>20</v>
      </c>
      <c r="AU74" s="110">
        <v>0.15518582727272728</v>
      </c>
      <c r="AV74" s="110"/>
      <c r="AW74" s="110"/>
      <c r="AX74" s="110"/>
    </row>
    <row r="75" spans="2:50" x14ac:dyDescent="0.25">
      <c r="B75" s="63"/>
      <c r="C75" s="64"/>
      <c r="D75" s="65" t="s">
        <v>46</v>
      </c>
      <c r="E75" s="64"/>
      <c r="F75" s="64"/>
      <c r="G75" s="64"/>
      <c r="H75" s="64"/>
      <c r="I75" s="53"/>
      <c r="J75" s="105">
        <f t="shared" si="24"/>
        <v>37832.5</v>
      </c>
      <c r="K75" s="109">
        <v>67</v>
      </c>
      <c r="L75" s="125">
        <f t="shared" si="22"/>
        <v>0.99663796907346913</v>
      </c>
      <c r="M75" s="46">
        <f t="shared" si="25"/>
        <v>0.99663796907346913</v>
      </c>
      <c r="N75" s="132">
        <v>0.99764637681040835</v>
      </c>
      <c r="O75" s="89">
        <f t="shared" si="23"/>
        <v>0.99663796907346913</v>
      </c>
      <c r="P75" s="4">
        <v>40389</v>
      </c>
      <c r="Q75" s="4">
        <v>0.99945344824920912</v>
      </c>
      <c r="U75" s="49">
        <v>40737</v>
      </c>
      <c r="V75" s="95"/>
      <c r="W75" s="95"/>
      <c r="X75" s="95"/>
      <c r="Y75" s="95"/>
      <c r="Z75" s="95"/>
      <c r="AE75" s="93">
        <f t="shared" si="12"/>
        <v>37832.5</v>
      </c>
      <c r="AF75" s="92">
        <f>Logistic2010!Q75</f>
        <v>0.97622113342645345</v>
      </c>
      <c r="AG75" s="4">
        <f t="shared" si="10"/>
        <v>0.99945344824920912</v>
      </c>
      <c r="AH75" s="92">
        <f>Logistic2011!Q75</f>
        <v>0.99236930496689024</v>
      </c>
      <c r="AI75" s="92">
        <f>Logistic2012!Q75</f>
        <v>0.99945344824920912</v>
      </c>
      <c r="AJ75" s="92">
        <f>Logistic2013!L75</f>
        <v>0.98713956340918307</v>
      </c>
      <c r="AK75" s="119">
        <f>Logistic2014!AK75</f>
        <v>0.98601528129691507</v>
      </c>
      <c r="AL75" s="119">
        <f t="shared" si="13"/>
        <v>0.99663796907346913</v>
      </c>
      <c r="AR75" s="110"/>
      <c r="AS75" s="110"/>
      <c r="AT75" s="110"/>
      <c r="AU75" s="110"/>
      <c r="AV75" s="110"/>
      <c r="AW75" s="110"/>
      <c r="AX75" s="110"/>
    </row>
    <row r="76" spans="2:50" ht="16.5" thickBot="1" x14ac:dyDescent="0.3">
      <c r="B76" s="63"/>
      <c r="C76" s="64"/>
      <c r="D76" s="65">
        <v>4151.6603167552539</v>
      </c>
      <c r="E76" s="64">
        <v>-5.5643801560793964</v>
      </c>
      <c r="F76" s="64"/>
      <c r="G76" s="64"/>
      <c r="H76" s="64"/>
      <c r="I76" s="53"/>
      <c r="J76" s="105">
        <f t="shared" si="24"/>
        <v>37833.5</v>
      </c>
      <c r="K76" s="109">
        <v>68</v>
      </c>
      <c r="L76" s="125">
        <f t="shared" si="22"/>
        <v>0.99732018812816714</v>
      </c>
      <c r="M76" s="46">
        <f t="shared" si="25"/>
        <v>0.99732018812816714</v>
      </c>
      <c r="N76" s="132">
        <v>0.9981929365976735</v>
      </c>
      <c r="O76" s="89">
        <f t="shared" si="23"/>
        <v>0.99732018812816714</v>
      </c>
      <c r="P76" s="4">
        <v>40390</v>
      </c>
      <c r="Q76" s="4">
        <v>0.99958959997534225</v>
      </c>
      <c r="U76" s="49">
        <v>40738</v>
      </c>
      <c r="AE76" s="93">
        <f t="shared" si="12"/>
        <v>37833.5</v>
      </c>
      <c r="AF76" s="92">
        <f>Logistic2010!Q76</f>
        <v>0.98044467529540402</v>
      </c>
      <c r="AG76" s="4">
        <f t="shared" ref="AG76" si="26">AI76</f>
        <v>0.99958959997534225</v>
      </c>
      <c r="AH76" s="92">
        <f>Logistic2011!Q76</f>
        <v>0.99405730717928753</v>
      </c>
      <c r="AI76" s="92">
        <f>Logistic2012!Q76</f>
        <v>0.99958959997534225</v>
      </c>
      <c r="AJ76" s="92">
        <f>Logistic2013!L76</f>
        <v>0.98942227092402102</v>
      </c>
      <c r="AK76" s="119">
        <f>Logistic2014!AK76</f>
        <v>0.98842020100800998</v>
      </c>
      <c r="AL76" s="119">
        <f t="shared" si="13"/>
        <v>0.99732018812816714</v>
      </c>
      <c r="AR76" s="111" t="s">
        <v>45</v>
      </c>
      <c r="AS76" s="111">
        <v>3.2797630909090909</v>
      </c>
      <c r="AT76" s="111">
        <v>21</v>
      </c>
      <c r="AU76" s="111"/>
      <c r="AV76" s="111"/>
      <c r="AW76" s="111"/>
      <c r="AX76" s="111"/>
    </row>
    <row r="77" spans="2:50" ht="16.5" thickBot="1" x14ac:dyDescent="0.3">
      <c r="B77" s="63"/>
      <c r="C77" s="64"/>
      <c r="D77" s="65">
        <v>-5.5643801560793964</v>
      </c>
      <c r="E77" s="64">
        <v>4.8714051609066225</v>
      </c>
      <c r="F77" s="64"/>
      <c r="G77" s="64"/>
      <c r="H77" s="64"/>
      <c r="I77" s="53"/>
      <c r="J77" s="105">
        <f t="shared" si="24"/>
        <v>37834.5</v>
      </c>
      <c r="K77" s="109">
        <v>69</v>
      </c>
      <c r="L77" s="125">
        <f t="shared" si="22"/>
        <v>0.99786426881427837</v>
      </c>
      <c r="M77" s="46">
        <f t="shared" si="25"/>
        <v>0.99786426881427837</v>
      </c>
      <c r="N77" s="132">
        <v>0.99861275043215647</v>
      </c>
      <c r="O77" s="89">
        <f t="shared" si="23"/>
        <v>0.99786426881427837</v>
      </c>
      <c r="P77" s="4">
        <v>40391</v>
      </c>
      <c r="Q77" s="4">
        <v>0.999691845347639</v>
      </c>
      <c r="U77" s="49">
        <v>40739</v>
      </c>
      <c r="V77" s="95"/>
      <c r="W77" s="95"/>
      <c r="X77" s="95"/>
      <c r="Y77" s="95"/>
      <c r="Z77" s="95"/>
    </row>
    <row r="78" spans="2:50" x14ac:dyDescent="0.25">
      <c r="B78" s="63"/>
      <c r="C78" s="64"/>
      <c r="D78" s="65"/>
      <c r="E78" s="64"/>
      <c r="F78" s="64"/>
      <c r="G78" s="64"/>
      <c r="H78" s="64"/>
      <c r="I78" s="53"/>
      <c r="J78" s="105">
        <f t="shared" si="24"/>
        <v>37835.5</v>
      </c>
      <c r="K78" s="109">
        <v>70</v>
      </c>
      <c r="L78" s="125">
        <f t="shared" si="22"/>
        <v>0.99829807361436373</v>
      </c>
      <c r="M78" s="46">
        <f t="shared" si="25"/>
        <v>0.99829807361436373</v>
      </c>
      <c r="N78" s="132">
        <v>0.99893513788942956</v>
      </c>
      <c r="O78" s="89">
        <f t="shared" si="23"/>
        <v>0.99829807361436373</v>
      </c>
      <c r="P78" s="4">
        <v>40392</v>
      </c>
      <c r="Q78" s="4">
        <v>0.99976862362515118</v>
      </c>
      <c r="U78" s="40">
        <v>40740</v>
      </c>
      <c r="V78" s="95"/>
      <c r="W78" s="95"/>
      <c r="X78" s="95"/>
      <c r="Y78" s="95"/>
      <c r="Z78" s="95"/>
    </row>
    <row r="79" spans="2:50" x14ac:dyDescent="0.25">
      <c r="B79" s="63"/>
      <c r="C79" s="64"/>
      <c r="D79" s="65" t="s">
        <v>47</v>
      </c>
      <c r="E79" s="64"/>
      <c r="F79" s="64" t="s">
        <v>8</v>
      </c>
      <c r="G79" s="64"/>
      <c r="H79" s="64"/>
      <c r="I79" s="53"/>
      <c r="J79" s="105">
        <f t="shared" si="24"/>
        <v>37836.5</v>
      </c>
      <c r="K79" s="109">
        <v>71</v>
      </c>
      <c r="L79" s="125">
        <f t="shared" si="22"/>
        <v>0.99864388473018073</v>
      </c>
      <c r="M79" s="46">
        <f t="shared" si="25"/>
        <v>0.99864388473018073</v>
      </c>
      <c r="N79" s="132">
        <v>0.99918266599299976</v>
      </c>
      <c r="O79" s="89">
        <f t="shared" si="23"/>
        <v>0.99864388473018073</v>
      </c>
      <c r="P79" s="4">
        <v>40393</v>
      </c>
      <c r="Q79" s="4">
        <v>0.99982627553397851</v>
      </c>
      <c r="U79" s="49">
        <v>40741</v>
      </c>
    </row>
    <row r="80" spans="2:50" x14ac:dyDescent="0.25">
      <c r="B80" s="63"/>
      <c r="C80" s="64"/>
      <c r="D80" s="65">
        <f t="array" ref="D80:E81">2* 0.611435536720971^2*MINVERSE($D$76:$E$77)</f>
        <v>1.8037440968718963E-4</v>
      </c>
      <c r="E80" s="64">
        <v>2.0603332155216152E-4</v>
      </c>
      <c r="F80" s="64">
        <v>1.3430354041766346E-2</v>
      </c>
      <c r="G80" s="64"/>
      <c r="H80" s="64"/>
      <c r="I80" s="53"/>
      <c r="J80" s="105">
        <f t="shared" si="24"/>
        <v>37837.5</v>
      </c>
      <c r="K80" s="109">
        <v>72</v>
      </c>
      <c r="L80" s="125">
        <f t="shared" si="22"/>
        <v>0.99891950720713352</v>
      </c>
      <c r="M80" s="46">
        <f t="shared" si="25"/>
        <v>0.99891950720713352</v>
      </c>
      <c r="N80" s="132">
        <v>0.99937269211089375</v>
      </c>
      <c r="O80" s="89">
        <f t="shared" si="23"/>
        <v>0.99891950720713352</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24"/>
        <v>37838.5</v>
      </c>
      <c r="K81" s="109">
        <v>73</v>
      </c>
      <c r="L81" s="125">
        <f t="shared" si="22"/>
        <v>0.9991391593203891</v>
      </c>
      <c r="M81" s="46">
        <f t="shared" si="25"/>
        <v>0.9991391593203891</v>
      </c>
      <c r="N81" s="132">
        <v>0.99951855938287282</v>
      </c>
      <c r="O81" s="89">
        <f t="shared" si="23"/>
        <v>0.9991391593203891</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24"/>
        <v>37839.5</v>
      </c>
      <c r="K82" s="109">
        <v>74</v>
      </c>
      <c r="L82" s="125">
        <f t="shared" si="22"/>
        <v>0.99931418926953552</v>
      </c>
      <c r="M82" s="46">
        <f t="shared" si="25"/>
        <v>0.99931418926953552</v>
      </c>
      <c r="N82" s="132">
        <v>0.99963052082493253</v>
      </c>
      <c r="O82" s="89">
        <f t="shared" si="23"/>
        <v>0.99931418926953552</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24"/>
        <v>37840.5</v>
      </c>
      <c r="K83" s="109">
        <v>75</v>
      </c>
      <c r="L83" s="125">
        <f t="shared" si="22"/>
        <v>0.99945365081243531</v>
      </c>
      <c r="M83" s="46">
        <f t="shared" si="25"/>
        <v>0.99945365081243531</v>
      </c>
      <c r="N83" s="132">
        <v>0.99971645245567509</v>
      </c>
      <c r="O83" s="89">
        <f t="shared" si="23"/>
        <v>0.99945365081243531</v>
      </c>
      <c r="P83" s="4">
        <v>40397</v>
      </c>
      <c r="Q83" s="4">
        <v>0.99994479477502707</v>
      </c>
      <c r="U83" s="94">
        <v>40745</v>
      </c>
    </row>
    <row r="84" spans="2:41" x14ac:dyDescent="0.25">
      <c r="B84" s="63"/>
      <c r="C84" s="64"/>
      <c r="D84" s="65">
        <v>1</v>
      </c>
      <c r="E84" s="64">
        <v>3.9127199142977333E-2</v>
      </c>
      <c r="F84" s="71"/>
      <c r="G84" s="64"/>
      <c r="H84" s="64"/>
      <c r="I84" s="53"/>
      <c r="J84" s="105">
        <f t="shared" si="24"/>
        <v>37841.5</v>
      </c>
      <c r="K84" s="109">
        <v>76</v>
      </c>
      <c r="L84" s="125">
        <f t="shared" si="22"/>
        <v>0.99956476480963707</v>
      </c>
      <c r="M84" s="46">
        <f t="shared" si="25"/>
        <v>0.99956476480963707</v>
      </c>
      <c r="N84" s="132">
        <v>0.99978240288510523</v>
      </c>
      <c r="O84" s="89">
        <f t="shared" si="23"/>
        <v>0.99956476480963707</v>
      </c>
      <c r="P84" s="4">
        <v>40398</v>
      </c>
      <c r="Q84" s="4">
        <v>0.99995855204677475</v>
      </c>
    </row>
    <row r="85" spans="2:41" x14ac:dyDescent="0.25">
      <c r="B85" s="63"/>
      <c r="C85" s="64"/>
      <c r="D85" s="65">
        <v>3.9127199142977333E-2</v>
      </c>
      <c r="E85" s="64">
        <v>1</v>
      </c>
      <c r="F85" s="71"/>
      <c r="G85" s="64"/>
      <c r="H85" s="64"/>
      <c r="I85" s="53"/>
      <c r="J85" s="105">
        <f t="shared" si="24"/>
        <v>37842.5</v>
      </c>
      <c r="K85" s="109">
        <v>77</v>
      </c>
      <c r="L85" s="125">
        <f t="shared" si="22"/>
        <v>0.99965328878985427</v>
      </c>
      <c r="M85" s="46">
        <f t="shared" si="25"/>
        <v>0.99965328878985427</v>
      </c>
      <c r="N85" s="132">
        <v>0.99983301644163747</v>
      </c>
      <c r="O85" s="89">
        <f t="shared" si="23"/>
        <v>0.99965328878985427</v>
      </c>
      <c r="P85" s="4">
        <v>40399</v>
      </c>
      <c r="Q85" s="4">
        <v>0.99996888108077731</v>
      </c>
    </row>
    <row r="86" spans="2:41" x14ac:dyDescent="0.25">
      <c r="B86" s="63"/>
      <c r="C86" s="64"/>
      <c r="D86" s="65"/>
      <c r="E86" s="64"/>
      <c r="F86" s="71"/>
      <c r="G86" s="64"/>
      <c r="H86" s="64"/>
      <c r="I86" s="53"/>
      <c r="J86" s="105">
        <f t="shared" si="24"/>
        <v>37843.5</v>
      </c>
      <c r="K86" s="109">
        <v>78</v>
      </c>
      <c r="L86" s="125">
        <f t="shared" si="22"/>
        <v>0.99972381254866705</v>
      </c>
      <c r="M86" s="46">
        <f t="shared" si="25"/>
        <v>0.99972381254866705</v>
      </c>
      <c r="N86" s="132">
        <v>0.99987185868506689</v>
      </c>
      <c r="O86" s="89">
        <f t="shared" si="23"/>
        <v>0.99972381254866705</v>
      </c>
      <c r="P86" s="4">
        <v>40400</v>
      </c>
      <c r="Q86" s="4">
        <v>0.99997663612879639</v>
      </c>
      <c r="AO86" s="4">
        <v>0.96399999999999997</v>
      </c>
    </row>
    <row r="87" spans="2:41" x14ac:dyDescent="0.25">
      <c r="B87" s="63"/>
      <c r="C87" s="64"/>
      <c r="D87" s="65"/>
      <c r="E87" s="64"/>
      <c r="F87" s="71"/>
      <c r="G87" s="64"/>
      <c r="H87" s="64"/>
      <c r="I87" s="53"/>
      <c r="J87" s="105">
        <f t="shared" si="24"/>
        <v>37844.5</v>
      </c>
      <c r="K87" s="109">
        <v>79</v>
      </c>
      <c r="L87" s="125">
        <f t="shared" si="22"/>
        <v>0.99977999438310028</v>
      </c>
      <c r="M87" s="46">
        <f t="shared" si="25"/>
        <v>0.99977999438310028</v>
      </c>
      <c r="N87" s="132">
        <v>0.9999016666768179</v>
      </c>
      <c r="O87" s="89">
        <f t="shared" si="23"/>
        <v>0.99977999438310028</v>
      </c>
      <c r="P87" s="4">
        <v>40401</v>
      </c>
      <c r="Q87" s="4">
        <v>0.99998245859958268</v>
      </c>
    </row>
    <row r="88" spans="2:41" x14ac:dyDescent="0.25">
      <c r="B88" s="63"/>
      <c r="C88" s="64"/>
      <c r="D88" s="65" t="s">
        <v>46</v>
      </c>
      <c r="E88" s="64"/>
      <c r="F88" s="71"/>
      <c r="G88" s="64"/>
      <c r="H88" s="64"/>
      <c r="I88" s="53"/>
      <c r="J88" s="105">
        <f t="shared" si="24"/>
        <v>37845.5</v>
      </c>
      <c r="K88" s="109">
        <v>80</v>
      </c>
      <c r="L88" s="125">
        <f t="shared" si="22"/>
        <v>0.99982474975629265</v>
      </c>
      <c r="M88" s="46">
        <f t="shared" si="25"/>
        <v>0.99982474975629265</v>
      </c>
      <c r="N88" s="132">
        <v>0.99992454131286057</v>
      </c>
      <c r="O88" s="89">
        <f t="shared" si="23"/>
        <v>0.99982474975629265</v>
      </c>
      <c r="P88" s="4">
        <v>40402</v>
      </c>
      <c r="Q88" s="4">
        <v>0.99998683008139233</v>
      </c>
    </row>
    <row r="89" spans="2:41" x14ac:dyDescent="0.25">
      <c r="B89" s="63"/>
      <c r="C89" s="64"/>
      <c r="D89" s="65">
        <v>9.55619890821783</v>
      </c>
      <c r="E89" s="64">
        <v>-6.9767944351029924E-3</v>
      </c>
      <c r="F89" s="71"/>
      <c r="G89" s="64"/>
      <c r="H89" s="64"/>
      <c r="I89" s="53"/>
      <c r="J89" s="105">
        <f t="shared" si="24"/>
        <v>37846.5</v>
      </c>
      <c r="K89" s="109">
        <v>81</v>
      </c>
      <c r="L89" s="125">
        <f t="shared" si="22"/>
        <v>0.99986040189032599</v>
      </c>
      <c r="M89" s="46">
        <f t="shared" si="25"/>
        <v>0.99986040189032599</v>
      </c>
      <c r="N89" s="132">
        <v>0.99994209508049881</v>
      </c>
      <c r="O89" s="89">
        <f t="shared" si="23"/>
        <v>0.99986040189032599</v>
      </c>
      <c r="P89" s="4">
        <v>40403</v>
      </c>
      <c r="Q89" s="4">
        <v>0.99999011215963096</v>
      </c>
    </row>
    <row r="90" spans="2:41" x14ac:dyDescent="0.25">
      <c r="B90" s="63"/>
      <c r="C90" s="64"/>
      <c r="D90" s="65">
        <v>-6.9767944351029924E-3</v>
      </c>
      <c r="E90" s="64">
        <v>1.5680049670732246E-2</v>
      </c>
      <c r="F90" s="71"/>
      <c r="G90" s="64"/>
      <c r="H90" s="64"/>
      <c r="I90" s="53"/>
      <c r="J90" s="105">
        <f t="shared" si="24"/>
        <v>37847.5</v>
      </c>
      <c r="K90" s="109">
        <v>82</v>
      </c>
      <c r="L90" s="125">
        <f t="shared" si="22"/>
        <v>0.9998888019186366</v>
      </c>
      <c r="M90" s="46">
        <f t="shared" si="25"/>
        <v>0.9998888019186366</v>
      </c>
      <c r="N90" s="132">
        <v>0.99995556554007625</v>
      </c>
      <c r="O90" s="89">
        <f t="shared" si="23"/>
        <v>0.9998888019186366</v>
      </c>
      <c r="P90" s="4">
        <v>40404</v>
      </c>
      <c r="Q90" s="4">
        <v>0.9999925763165205</v>
      </c>
    </row>
    <row r="91" spans="2:41" x14ac:dyDescent="0.25">
      <c r="B91" s="63"/>
      <c r="C91" s="64"/>
      <c r="D91" s="65"/>
      <c r="E91" s="64"/>
      <c r="F91" s="71"/>
      <c r="G91" s="64"/>
      <c r="H91" s="64"/>
      <c r="I91" s="53"/>
      <c r="J91" s="105">
        <f t="shared" si="24"/>
        <v>37848.5</v>
      </c>
      <c r="K91" s="109">
        <v>83</v>
      </c>
      <c r="L91" s="125">
        <f t="shared" si="22"/>
        <v>0.99991142471859829</v>
      </c>
      <c r="M91" s="46">
        <f t="shared" si="25"/>
        <v>0.99991142471859829</v>
      </c>
      <c r="N91" s="132">
        <v>0.99996590246462225</v>
      </c>
      <c r="O91" s="89">
        <f t="shared" si="23"/>
        <v>0.99991142471859829</v>
      </c>
      <c r="P91" s="4">
        <v>40405</v>
      </c>
      <c r="Q91" s="4">
        <v>0.99999442638225311</v>
      </c>
    </row>
    <row r="92" spans="2:41" x14ac:dyDescent="0.25">
      <c r="B92" s="63"/>
      <c r="C92" s="64"/>
      <c r="D92" s="65" t="s">
        <v>47</v>
      </c>
      <c r="E92" s="64"/>
      <c r="F92" s="71" t="s">
        <v>8</v>
      </c>
      <c r="G92" s="64"/>
      <c r="H92" s="64"/>
      <c r="I92" s="53"/>
      <c r="J92" s="105">
        <f t="shared" si="24"/>
        <v>37849.5</v>
      </c>
      <c r="K92" s="109">
        <v>84</v>
      </c>
      <c r="L92" s="125">
        <f t="shared" si="22"/>
        <v>0.99992944532616101</v>
      </c>
      <c r="M92" s="46">
        <f t="shared" si="25"/>
        <v>0.99992944532616101</v>
      </c>
      <c r="N92" s="132">
        <v>0.99997383474166435</v>
      </c>
      <c r="O92" s="89">
        <f t="shared" si="23"/>
        <v>0.99992944532616101</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24"/>
        <v>37850.5</v>
      </c>
      <c r="K93" s="109">
        <v>85</v>
      </c>
      <c r="L93" s="125">
        <f t="shared" si="22"/>
        <v>0.9999437998539823</v>
      </c>
      <c r="M93" s="46">
        <f t="shared" si="25"/>
        <v>0.9999437998539823</v>
      </c>
      <c r="N93" s="132">
        <v>0.99997992173121009</v>
      </c>
      <c r="O93" s="89">
        <f t="shared" si="23"/>
        <v>0.9999437998539823</v>
      </c>
      <c r="P93" s="4">
        <v>40407</v>
      </c>
      <c r="Q93" s="4">
        <v>0.99999685824657825</v>
      </c>
    </row>
    <row r="94" spans="2:41" x14ac:dyDescent="0.25">
      <c r="B94" s="63"/>
      <c r="C94" s="64"/>
      <c r="D94" s="65">
        <v>9.2253535765261202E-5</v>
      </c>
      <c r="E94" s="64">
        <v>0.12636077298244341</v>
      </c>
      <c r="F94" s="71">
        <v>0.35547260510824658</v>
      </c>
      <c r="G94" s="64"/>
      <c r="H94" s="64"/>
      <c r="I94" s="53"/>
      <c r="J94" s="105">
        <f t="shared" si="24"/>
        <v>37851.5</v>
      </c>
      <c r="K94" s="109">
        <v>86</v>
      </c>
      <c r="L94" s="125">
        <f t="shared" si="22"/>
        <v>0.99995523404735964</v>
      </c>
      <c r="M94" s="46">
        <f t="shared" si="25"/>
        <v>0.99995523404735964</v>
      </c>
      <c r="N94" s="132">
        <v>0.99998459268769502</v>
      </c>
      <c r="O94" s="89">
        <f t="shared" si="23"/>
        <v>0.99995523404735964</v>
      </c>
      <c r="P94" s="4">
        <v>40408</v>
      </c>
      <c r="Q94" s="4">
        <v>0.99999764120951673</v>
      </c>
    </row>
    <row r="95" spans="2:41" x14ac:dyDescent="0.25">
      <c r="B95" s="63"/>
      <c r="C95" s="64"/>
      <c r="D95" s="65"/>
      <c r="E95" s="64"/>
      <c r="F95" s="71"/>
      <c r="G95" s="64"/>
      <c r="H95" s="64"/>
      <c r="I95" s="53"/>
      <c r="J95" s="105">
        <f t="shared" si="24"/>
        <v>37852.5</v>
      </c>
      <c r="K95" s="109">
        <v>87</v>
      </c>
      <c r="L95" s="125">
        <f t="shared" si="22"/>
        <v>0.9999643419813723</v>
      </c>
      <c r="M95" s="46">
        <f t="shared" si="25"/>
        <v>0.9999643419813723</v>
      </c>
      <c r="N95" s="132">
        <v>0.99998817701780018</v>
      </c>
      <c r="O95" s="89">
        <f t="shared" si="23"/>
        <v>0.9999643419813723</v>
      </c>
      <c r="P95" s="4">
        <v>40409</v>
      </c>
      <c r="Q95" s="4">
        <v>0.99999822904897007</v>
      </c>
    </row>
    <row r="96" spans="2:41" x14ac:dyDescent="0.25">
      <c r="B96" s="63"/>
      <c r="C96" s="64"/>
      <c r="D96" s="65" t="s">
        <v>48</v>
      </c>
      <c r="E96" s="64"/>
      <c r="F96" s="71"/>
      <c r="G96" s="64"/>
      <c r="H96" s="64"/>
      <c r="I96" s="53"/>
      <c r="J96" s="105">
        <f t="shared" si="24"/>
        <v>37853.5</v>
      </c>
      <c r="K96" s="109">
        <v>88</v>
      </c>
      <c r="L96" s="125">
        <f t="shared" si="22"/>
        <v>0.9999715968976155</v>
      </c>
      <c r="M96" s="46">
        <f t="shared" si="25"/>
        <v>0.9999715968976155</v>
      </c>
      <c r="N96" s="132">
        <v>0.99999092750320295</v>
      </c>
      <c r="O96" s="89">
        <f t="shared" si="23"/>
        <v>0.9999715968976155</v>
      </c>
      <c r="P96" s="4">
        <v>40410</v>
      </c>
      <c r="Q96" s="4">
        <v>0.99999867039183277</v>
      </c>
    </row>
    <row r="97" spans="2:17" x14ac:dyDescent="0.25">
      <c r="B97" s="63"/>
      <c r="C97" s="64"/>
      <c r="D97" s="65">
        <v>0.99999999999999989</v>
      </c>
      <c r="E97" s="64">
        <v>1.8023520282993657E-2</v>
      </c>
      <c r="F97" s="71"/>
      <c r="G97" s="64"/>
      <c r="H97" s="64"/>
      <c r="I97" s="53"/>
      <c r="J97" s="105">
        <f t="shared" si="24"/>
        <v>37854.5</v>
      </c>
      <c r="K97" s="109">
        <v>89</v>
      </c>
      <c r="L97" s="125">
        <f t="shared" si="22"/>
        <v>0.99997737577506352</v>
      </c>
      <c r="M97" s="46">
        <f t="shared" si="25"/>
        <v>0.99997737577506352</v>
      </c>
      <c r="N97" s="132">
        <v>0.99999303812320184</v>
      </c>
      <c r="O97" s="89">
        <f t="shared" si="23"/>
        <v>0.99997737577506352</v>
      </c>
      <c r="P97" s="4">
        <v>40411</v>
      </c>
      <c r="Q97" s="4">
        <v>0.99999900174671486</v>
      </c>
    </row>
    <row r="98" spans="2:17" x14ac:dyDescent="0.25">
      <c r="B98" s="63"/>
      <c r="C98" s="64"/>
      <c r="D98" s="65">
        <v>1.8023520282993654E-2</v>
      </c>
      <c r="E98" s="64">
        <v>1</v>
      </c>
      <c r="F98" s="71"/>
      <c r="G98" s="64"/>
      <c r="H98" s="64"/>
      <c r="I98" s="53"/>
      <c r="J98" s="105">
        <f t="shared" si="24"/>
        <v>37855.5</v>
      </c>
      <c r="K98" s="109">
        <v>90</v>
      </c>
      <c r="L98" s="125">
        <f t="shared" si="22"/>
        <v>0.99998197890690921</v>
      </c>
      <c r="M98" s="46">
        <f t="shared" si="25"/>
        <v>0.99998197890690921</v>
      </c>
      <c r="N98" s="132">
        <v>0.99999465773250285</v>
      </c>
      <c r="O98" s="89">
        <f t="shared" si="23"/>
        <v>0.99998197890690921</v>
      </c>
      <c r="P98" s="4">
        <v>40412</v>
      </c>
      <c r="Q98" s="4">
        <v>0.99999925052390337</v>
      </c>
    </row>
    <row r="99" spans="2:17" x14ac:dyDescent="0.25">
      <c r="B99" s="63"/>
      <c r="C99" s="64"/>
      <c r="D99" s="65"/>
      <c r="E99" s="64"/>
      <c r="F99" s="71"/>
      <c r="G99" s="64"/>
      <c r="H99" s="64"/>
      <c r="I99" s="53"/>
      <c r="J99" s="105">
        <f t="shared" si="24"/>
        <v>37856.5</v>
      </c>
      <c r="K99" s="109">
        <v>91</v>
      </c>
      <c r="L99" s="125">
        <f t="shared" si="22"/>
        <v>0.9999856454975613</v>
      </c>
      <c r="M99" s="46">
        <f t="shared" si="25"/>
        <v>0.9999856454975613</v>
      </c>
      <c r="N99" s="132">
        <v>0.99999590055784027</v>
      </c>
      <c r="O99" s="89">
        <f t="shared" si="23"/>
        <v>0.9999856454975613</v>
      </c>
      <c r="P99" s="4">
        <v>40413</v>
      </c>
      <c r="Q99" s="4">
        <v>0.99999943730274388</v>
      </c>
    </row>
    <row r="100" spans="2:17" x14ac:dyDescent="0.25">
      <c r="B100" s="63"/>
      <c r="C100" s="64"/>
      <c r="D100" s="65"/>
      <c r="E100" s="64"/>
      <c r="F100" s="71"/>
      <c r="G100" s="64"/>
      <c r="H100" s="64"/>
      <c r="I100" s="53"/>
      <c r="J100" s="105">
        <f t="shared" si="24"/>
        <v>37857.5</v>
      </c>
      <c r="K100" s="109">
        <v>92</v>
      </c>
      <c r="L100" s="125">
        <f t="shared" si="22"/>
        <v>0.99998856608833298</v>
      </c>
      <c r="M100" s="46">
        <f t="shared" si="25"/>
        <v>0.99998856608833298</v>
      </c>
      <c r="N100" s="132">
        <v>0.99999685425314822</v>
      </c>
      <c r="O100" s="89">
        <f t="shared" si="23"/>
        <v>0.99998856608833298</v>
      </c>
      <c r="P100" s="4">
        <v>40414</v>
      </c>
      <c r="Q100" s="4">
        <v>0.99999957753397495</v>
      </c>
    </row>
    <row r="101" spans="2:17" x14ac:dyDescent="0.25">
      <c r="B101" s="63"/>
      <c r="C101" s="64"/>
      <c r="D101" s="65"/>
      <c r="E101" s="64"/>
      <c r="F101" s="71"/>
      <c r="G101" s="64"/>
      <c r="H101" s="64"/>
      <c r="I101" s="53"/>
      <c r="J101" s="105">
        <f t="shared" si="24"/>
        <v>37858.5</v>
      </c>
      <c r="K101" s="109">
        <v>93</v>
      </c>
      <c r="L101" s="125">
        <f t="shared" si="22"/>
        <v>0.99999089245629502</v>
      </c>
      <c r="M101" s="46">
        <f t="shared" si="25"/>
        <v>0.99999089245629502</v>
      </c>
      <c r="N101" s="132">
        <v>0.99999758608106293</v>
      </c>
      <c r="O101" s="89">
        <f t="shared" si="23"/>
        <v>0.99999089245629502</v>
      </c>
      <c r="P101" s="4">
        <v>40415</v>
      </c>
      <c r="Q101" s="4">
        <v>0.99999968281783125</v>
      </c>
    </row>
    <row r="102" spans="2:17" x14ac:dyDescent="0.25">
      <c r="B102" s="63"/>
      <c r="C102" s="64"/>
      <c r="D102" s="65"/>
      <c r="E102" s="64"/>
      <c r="F102" s="71"/>
      <c r="G102" s="64"/>
      <c r="H102" s="64"/>
      <c r="I102" s="53"/>
      <c r="J102" s="105">
        <f t="shared" si="24"/>
        <v>37859.5</v>
      </c>
      <c r="K102" s="109">
        <v>94</v>
      </c>
      <c r="L102" s="125">
        <f t="shared" si="22"/>
        <v>0.99999274549992245</v>
      </c>
      <c r="M102" s="46">
        <f t="shared" si="25"/>
        <v>0.99999274549992245</v>
      </c>
      <c r="N102" s="132">
        <v>0.99999814765652884</v>
      </c>
      <c r="O102" s="89">
        <f t="shared" si="23"/>
        <v>0.99999274549992245</v>
      </c>
      <c r="P102" s="4">
        <v>40416</v>
      </c>
      <c r="Q102" s="4">
        <v>0.99999976186363015</v>
      </c>
    </row>
    <row r="103" spans="2:17" x14ac:dyDescent="0.25">
      <c r="B103" s="63"/>
      <c r="C103" s="64"/>
      <c r="D103" s="65"/>
      <c r="E103" s="64"/>
      <c r="F103" s="71"/>
      <c r="G103" s="64"/>
      <c r="H103" s="64"/>
      <c r="I103" s="53"/>
      <c r="J103" s="105">
        <f t="shared" si="24"/>
        <v>37860.5</v>
      </c>
      <c r="K103" s="109">
        <v>95</v>
      </c>
      <c r="L103" s="125">
        <f t="shared" si="22"/>
        <v>0.99999422152083617</v>
      </c>
      <c r="M103" s="46">
        <f t="shared" si="25"/>
        <v>0.99999422152083617</v>
      </c>
      <c r="N103" s="132">
        <v>0.99999857858694674</v>
      </c>
      <c r="O103" s="89">
        <f t="shared" si="23"/>
        <v>0.99999422152083617</v>
      </c>
      <c r="P103" s="4">
        <v>40417</v>
      </c>
      <c r="Q103" s="4">
        <v>0.99999982121022213</v>
      </c>
    </row>
    <row r="104" spans="2:17" x14ac:dyDescent="0.25">
      <c r="B104" s="63"/>
      <c r="C104" s="64"/>
      <c r="D104" s="65"/>
      <c r="E104" s="64"/>
      <c r="F104" s="71"/>
      <c r="G104" s="64"/>
      <c r="H104" s="64"/>
      <c r="I104" s="53"/>
      <c r="J104" s="105">
        <f t="shared" si="24"/>
        <v>37861.5</v>
      </c>
      <c r="K104" s="109">
        <v>96</v>
      </c>
      <c r="L104" s="125">
        <f t="shared" si="22"/>
        <v>0.99999539722778097</v>
      </c>
      <c r="M104" s="46">
        <f t="shared" si="25"/>
        <v>0.99999539722778097</v>
      </c>
      <c r="N104" s="132">
        <v>0.99999890926553481</v>
      </c>
      <c r="O104" s="89">
        <f t="shared" si="23"/>
        <v>0.99999539722778097</v>
      </c>
      <c r="P104" s="4">
        <v>40418</v>
      </c>
      <c r="Q104" s="4">
        <v>0.99999986576689559</v>
      </c>
    </row>
    <row r="105" spans="2:17" x14ac:dyDescent="0.25">
      <c r="B105" s="63"/>
      <c r="C105" s="64"/>
      <c r="D105" s="65"/>
      <c r="E105" s="64"/>
      <c r="F105" s="71"/>
      <c r="G105" s="64"/>
      <c r="H105" s="64"/>
      <c r="I105" s="53"/>
      <c r="J105" s="105">
        <f t="shared" si="24"/>
        <v>37862.5</v>
      </c>
      <c r="K105" s="109">
        <v>97</v>
      </c>
      <c r="L105" s="125">
        <f>$G$3/(1+EXP(-$G$4*(K105-$G$5)))</f>
        <v>0.99999633372269225</v>
      </c>
      <c r="M105" s="46">
        <f t="shared" si="25"/>
        <v>0.99999633372269225</v>
      </c>
      <c r="N105" s="132">
        <v>0.99999916301487501</v>
      </c>
      <c r="O105" s="89">
        <f>IF(N105=M105,N105,M105)</f>
        <v>0.99999633372269225</v>
      </c>
      <c r="P105" s="4">
        <v>40419</v>
      </c>
      <c r="Q105" s="4">
        <v>0.99999989921948373</v>
      </c>
    </row>
    <row r="106" spans="2:17" x14ac:dyDescent="0.25">
      <c r="B106" s="63"/>
      <c r="C106" s="64"/>
      <c r="D106" s="65"/>
      <c r="E106" s="64"/>
      <c r="F106" s="71"/>
      <c r="G106" s="64"/>
      <c r="H106" s="64"/>
      <c r="I106" s="53"/>
      <c r="J106" s="105">
        <f t="shared" si="24"/>
        <v>37863.5</v>
      </c>
      <c r="K106" s="109">
        <v>98</v>
      </c>
      <c r="L106" s="125">
        <f>$G$3/(1+EXP(-$G$4*(K106-$G$5)))</f>
        <v>0.99999707967587859</v>
      </c>
      <c r="M106" s="46">
        <f t="shared" si="25"/>
        <v>0.99999707967587859</v>
      </c>
      <c r="N106" s="132">
        <v>0.99999935773180315</v>
      </c>
      <c r="O106" s="89">
        <f>IF(N106=M106,N106,M106)</f>
        <v>0.99999707967587859</v>
      </c>
      <c r="P106" s="4">
        <v>40420</v>
      </c>
      <c r="Q106" s="4">
        <v>0.99999992433526419</v>
      </c>
    </row>
    <row r="107" spans="2:17" x14ac:dyDescent="0.25">
      <c r="B107" s="63"/>
      <c r="C107" s="64"/>
      <c r="D107" s="65"/>
      <c r="E107" s="64"/>
      <c r="F107" s="71"/>
      <c r="G107" s="64"/>
      <c r="H107" s="64"/>
      <c r="I107" s="53"/>
      <c r="J107" s="105">
        <f t="shared" si="24"/>
        <v>37864.5</v>
      </c>
      <c r="K107" s="109">
        <v>99</v>
      </c>
      <c r="L107" s="125">
        <f>$G$3/(1+EXP(-$G$4*(K107-$G$5)))</f>
        <v>0.99999767385525873</v>
      </c>
      <c r="M107" s="46">
        <f t="shared" si="25"/>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v>37766.5</v>
      </c>
      <c r="C132" s="64">
        <v>0</v>
      </c>
      <c r="D132" s="4">
        <v>2.5000000000000001E-2</v>
      </c>
      <c r="E132" s="64">
        <f>1.96*D132</f>
        <v>4.9000000000000002E-2</v>
      </c>
      <c r="F132" s="71">
        <f>1-C132</f>
        <v>1</v>
      </c>
      <c r="G132" s="64"/>
      <c r="H132" s="64"/>
      <c r="I132" s="53"/>
      <c r="J132" s="44"/>
      <c r="K132" s="45"/>
      <c r="L132" s="46"/>
      <c r="M132" s="46"/>
      <c r="N132" s="70"/>
      <c r="O132" s="47"/>
    </row>
    <row r="133" spans="2:15" x14ac:dyDescent="0.25">
      <c r="B133" s="63">
        <v>37797.5</v>
      </c>
      <c r="C133" s="64">
        <v>1.4373661500000001E-2</v>
      </c>
      <c r="D133" s="147">
        <v>2.9294660471095732E-2</v>
      </c>
      <c r="E133" s="64">
        <f t="shared" ref="E133:E139" si="27">1.96*D133</f>
        <v>5.7417534523347635E-2</v>
      </c>
      <c r="F133" s="71">
        <f t="shared" ref="F133:F139" si="28">1-C133</f>
        <v>0.98562633850000003</v>
      </c>
      <c r="G133" s="64"/>
      <c r="H133" s="64"/>
      <c r="I133" s="53"/>
      <c r="J133" s="44"/>
      <c r="K133" s="45"/>
      <c r="L133" s="46"/>
      <c r="M133" s="46"/>
      <c r="N133" s="70"/>
      <c r="O133" s="47"/>
    </row>
    <row r="134" spans="2:15" x14ac:dyDescent="0.25">
      <c r="B134" s="63">
        <v>37803.5</v>
      </c>
      <c r="C134" s="64">
        <v>0.14530426295000001</v>
      </c>
      <c r="D134" s="147">
        <v>4.3768624675588189E-2</v>
      </c>
      <c r="E134" s="64">
        <f t="shared" si="27"/>
        <v>8.5786504364152846E-2</v>
      </c>
      <c r="F134" s="71">
        <f t="shared" si="28"/>
        <v>0.85469573705000002</v>
      </c>
      <c r="G134" s="64"/>
      <c r="H134" s="64"/>
      <c r="I134" s="53"/>
      <c r="J134" s="44"/>
      <c r="K134" s="45"/>
      <c r="L134" s="46"/>
      <c r="M134" s="46"/>
      <c r="N134" s="70"/>
      <c r="O134" s="47"/>
    </row>
    <row r="135" spans="2:15" x14ac:dyDescent="0.25">
      <c r="B135" s="63">
        <v>37809.5</v>
      </c>
      <c r="C135" s="64">
        <v>0.28467891862</v>
      </c>
      <c r="D135" s="147">
        <v>5.482678371741849E-2</v>
      </c>
      <c r="E135" s="64">
        <f t="shared" si="27"/>
        <v>0.10746049608614024</v>
      </c>
      <c r="F135" s="71">
        <f t="shared" si="28"/>
        <v>0.71532108137999995</v>
      </c>
      <c r="G135" s="64"/>
      <c r="H135" s="64"/>
      <c r="I135" s="53"/>
      <c r="J135" s="44"/>
      <c r="K135" s="45"/>
      <c r="L135" s="46"/>
      <c r="M135" s="46"/>
      <c r="N135" s="70"/>
      <c r="O135" s="47"/>
    </row>
    <row r="136" spans="2:15" x14ac:dyDescent="0.25">
      <c r="B136" s="63">
        <v>37815.5</v>
      </c>
      <c r="C136" s="64">
        <v>0.68313881839000001</v>
      </c>
      <c r="D136" s="147">
        <v>5.455329775196275E-2</v>
      </c>
      <c r="E136" s="64">
        <f t="shared" si="27"/>
        <v>0.10692446359384698</v>
      </c>
      <c r="F136" s="71">
        <f t="shared" si="28"/>
        <v>0.31686118160999999</v>
      </c>
      <c r="G136" s="64"/>
      <c r="H136" s="64"/>
      <c r="I136" s="53"/>
      <c r="J136" s="44"/>
      <c r="K136" s="45"/>
      <c r="L136" s="46"/>
      <c r="M136" s="46"/>
      <c r="N136" s="70"/>
      <c r="O136" s="47"/>
    </row>
    <row r="137" spans="2:15" x14ac:dyDescent="0.25">
      <c r="B137" s="63">
        <v>37820.5</v>
      </c>
      <c r="C137" s="64">
        <v>0.58347815381000001</v>
      </c>
      <c r="D137" s="147">
        <v>5.2774119647345311E-2</v>
      </c>
      <c r="E137" s="64">
        <f t="shared" si="27"/>
        <v>0.10343727450879681</v>
      </c>
      <c r="F137" s="71">
        <f t="shared" si="28"/>
        <v>0.41652184618999999</v>
      </c>
      <c r="G137" s="64"/>
      <c r="H137" s="64"/>
      <c r="I137" s="53"/>
      <c r="J137" s="44"/>
      <c r="K137" s="45"/>
      <c r="L137" s="46"/>
      <c r="M137" s="46"/>
      <c r="N137" s="70"/>
      <c r="O137" s="47"/>
    </row>
    <row r="138" spans="2:15" x14ac:dyDescent="0.25">
      <c r="B138" s="63">
        <v>37825.5</v>
      </c>
      <c r="C138" s="64">
        <v>0.57123000782</v>
      </c>
      <c r="D138" s="147">
        <v>5.8738633411898597E-2</v>
      </c>
      <c r="E138" s="64">
        <f t="shared" si="27"/>
        <v>0.11512772148732124</v>
      </c>
      <c r="F138" s="71">
        <f t="shared" si="28"/>
        <v>0.42876999218</v>
      </c>
      <c r="G138" s="64"/>
      <c r="H138" s="64"/>
      <c r="I138" s="53"/>
      <c r="J138" s="44"/>
      <c r="K138" s="45"/>
      <c r="L138" s="46"/>
      <c r="M138" s="46"/>
      <c r="N138" s="70"/>
      <c r="O138" s="47"/>
    </row>
    <row r="139" spans="2:15" x14ac:dyDescent="0.25">
      <c r="B139" s="63">
        <v>37834.5</v>
      </c>
      <c r="C139" s="64">
        <v>1</v>
      </c>
      <c r="D139" s="147">
        <v>2.5000000000000001E-2</v>
      </c>
      <c r="E139" s="64">
        <f t="shared" si="27"/>
        <v>4.9000000000000002E-2</v>
      </c>
      <c r="F139" s="71">
        <f t="shared" si="28"/>
        <v>0</v>
      </c>
      <c r="G139" s="64"/>
      <c r="H139" s="64"/>
      <c r="I139" s="53"/>
      <c r="J139" s="44"/>
      <c r="K139" s="45"/>
      <c r="L139" s="46"/>
      <c r="M139" s="46"/>
      <c r="N139" s="70"/>
      <c r="O139" s="47"/>
    </row>
    <row r="140" spans="2:15" x14ac:dyDescent="0.25">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v>37766.5</v>
      </c>
      <c r="D152" s="65">
        <v>0.99937189731766174</v>
      </c>
      <c r="E152" s="65"/>
      <c r="F152" s="71"/>
      <c r="G152" s="64"/>
      <c r="H152" s="64"/>
      <c r="I152" s="53"/>
      <c r="J152" s="44"/>
      <c r="K152" s="45"/>
      <c r="L152" s="46"/>
      <c r="M152" s="46"/>
      <c r="N152" s="70"/>
      <c r="O152" s="47"/>
    </row>
    <row r="153" spans="2:15" x14ac:dyDescent="0.25">
      <c r="B153" s="63"/>
      <c r="C153" s="64">
        <v>37767.5</v>
      </c>
      <c r="D153" s="65">
        <v>0.99927033440039681</v>
      </c>
      <c r="E153" s="65"/>
      <c r="F153" s="71"/>
      <c r="G153" s="64"/>
      <c r="H153" s="64"/>
      <c r="I153" s="53"/>
      <c r="J153" s="44"/>
      <c r="K153" s="45"/>
      <c r="L153" s="46"/>
      <c r="M153" s="46"/>
      <c r="N153" s="70"/>
      <c r="O153" s="47"/>
    </row>
    <row r="154" spans="2:15" x14ac:dyDescent="0.25">
      <c r="B154" s="63"/>
      <c r="C154" s="64">
        <v>37768.5</v>
      </c>
      <c r="D154" s="65">
        <v>0.99915236289651199</v>
      </c>
      <c r="E154" s="65"/>
      <c r="F154" s="71"/>
      <c r="G154" s="64"/>
      <c r="H154" s="64"/>
      <c r="I154" s="53"/>
      <c r="J154" s="44"/>
      <c r="K154" s="45"/>
      <c r="L154" s="46"/>
      <c r="M154" s="46"/>
      <c r="N154" s="70"/>
      <c r="O154" s="47"/>
    </row>
    <row r="155" spans="2:15" x14ac:dyDescent="0.25">
      <c r="B155" s="63"/>
      <c r="C155" s="64">
        <v>37769.5</v>
      </c>
      <c r="D155" s="65">
        <v>0.9990153366888026</v>
      </c>
      <c r="E155" s="65"/>
      <c r="F155" s="71"/>
      <c r="G155" s="64"/>
      <c r="H155" s="64"/>
      <c r="I155" s="53"/>
      <c r="J155" s="44"/>
      <c r="K155" s="45"/>
      <c r="L155" s="46"/>
      <c r="M155" s="46"/>
      <c r="N155" s="70"/>
      <c r="O155" s="47"/>
    </row>
    <row r="156" spans="2:15" x14ac:dyDescent="0.25">
      <c r="B156" s="63"/>
      <c r="C156" s="64">
        <v>37770.5</v>
      </c>
      <c r="D156" s="65">
        <v>0.99885618463641579</v>
      </c>
      <c r="E156" s="65"/>
      <c r="F156" s="71"/>
      <c r="G156" s="64"/>
      <c r="H156" s="64"/>
      <c r="I156" s="53"/>
      <c r="J156" s="44"/>
      <c r="K156" s="45"/>
      <c r="L156" s="46"/>
      <c r="M156" s="46"/>
      <c r="N156" s="70"/>
      <c r="O156" s="47"/>
    </row>
    <row r="157" spans="2:15" x14ac:dyDescent="0.25">
      <c r="B157" s="63"/>
      <c r="C157" s="64">
        <v>37771.5</v>
      </c>
      <c r="D157" s="65">
        <v>0.9986713429007984</v>
      </c>
      <c r="E157" s="65"/>
      <c r="F157" s="71"/>
      <c r="G157" s="64"/>
      <c r="H157" s="64"/>
      <c r="I157" s="53"/>
      <c r="J157" s="44"/>
      <c r="K157" s="45"/>
      <c r="L157" s="46"/>
      <c r="M157" s="46"/>
      <c r="N157" s="70"/>
      <c r="O157" s="47"/>
    </row>
    <row r="158" spans="2:15" x14ac:dyDescent="0.25">
      <c r="B158" s="63"/>
      <c r="C158" s="64">
        <v>37772.5</v>
      </c>
      <c r="D158" s="65">
        <v>0.9984566767039742</v>
      </c>
      <c r="E158" s="65"/>
      <c r="F158" s="71"/>
      <c r="G158" s="64"/>
      <c r="H158" s="64"/>
      <c r="I158" s="53"/>
      <c r="J158" s="44"/>
      <c r="K158" s="45"/>
      <c r="L158" s="46"/>
      <c r="M158" s="46"/>
      <c r="N158" s="70"/>
      <c r="O158" s="47"/>
    </row>
    <row r="159" spans="2:15" x14ac:dyDescent="0.25">
      <c r="B159" s="63"/>
      <c r="C159" s="64">
        <v>37773.5</v>
      </c>
      <c r="D159" s="65">
        <v>0.99820738994185276</v>
      </c>
      <c r="E159" s="65"/>
      <c r="F159" s="71"/>
      <c r="G159" s="64"/>
      <c r="H159" s="64"/>
      <c r="I159" s="53"/>
      <c r="J159" s="44"/>
      <c r="K159" s="45"/>
      <c r="L159" s="46"/>
      <c r="M159" s="46"/>
      <c r="N159" s="70"/>
      <c r="O159" s="47"/>
    </row>
    <row r="160" spans="2:15" x14ac:dyDescent="0.25">
      <c r="B160" s="63"/>
      <c r="C160" s="64">
        <v>37774.5</v>
      </c>
      <c r="D160" s="65">
        <v>0.99791792086573672</v>
      </c>
      <c r="E160" s="65"/>
      <c r="F160" s="71"/>
      <c r="G160" s="64"/>
      <c r="H160" s="64"/>
      <c r="I160" s="53"/>
      <c r="J160" s="44"/>
      <c r="K160" s="45"/>
      <c r="L160" s="46"/>
      <c r="M160" s="46"/>
      <c r="N160" s="70"/>
      <c r="O160" s="47"/>
    </row>
    <row r="161" spans="2:9" x14ac:dyDescent="0.25">
      <c r="B161" s="63"/>
      <c r="C161" s="64">
        <v>37775.5</v>
      </c>
      <c r="D161" s="65">
        <v>0.99758182181733823</v>
      </c>
      <c r="E161" s="65"/>
      <c r="F161" s="71"/>
      <c r="G161" s="64"/>
      <c r="H161" s="64"/>
      <c r="I161" s="53"/>
    </row>
    <row r="162" spans="2:9" x14ac:dyDescent="0.25">
      <c r="B162" s="63"/>
      <c r="C162" s="64">
        <v>37776.5</v>
      </c>
      <c r="D162" s="65">
        <v>0.99719162075867385</v>
      </c>
      <c r="E162" s="65"/>
      <c r="F162" s="71"/>
      <c r="G162" s="64"/>
      <c r="H162" s="64"/>
      <c r="I162" s="53"/>
    </row>
    <row r="163" spans="2:9" x14ac:dyDescent="0.25">
      <c r="B163" s="63"/>
      <c r="C163" s="64">
        <v>37777.5</v>
      </c>
      <c r="D163" s="65">
        <v>0.99673866208252038</v>
      </c>
      <c r="E163" s="65"/>
      <c r="F163" s="71"/>
      <c r="G163" s="64"/>
      <c r="H163" s="64"/>
      <c r="I163" s="53"/>
    </row>
    <row r="164" spans="2:9" x14ac:dyDescent="0.25">
      <c r="B164" s="63"/>
      <c r="C164" s="64">
        <v>37778.5</v>
      </c>
      <c r="D164" s="65">
        <v>0.99621292392889316</v>
      </c>
      <c r="E164" s="65"/>
      <c r="F164" s="71"/>
      <c r="G164" s="64"/>
      <c r="H164" s="64"/>
      <c r="I164" s="53"/>
    </row>
    <row r="165" spans="2:9" x14ac:dyDescent="0.25">
      <c r="B165" s="63"/>
      <c r="C165" s="64">
        <v>37779.5</v>
      </c>
      <c r="D165" s="65">
        <v>0.99560280897956932</v>
      </c>
      <c r="E165" s="65"/>
      <c r="F165" s="71"/>
      <c r="G165" s="64"/>
      <c r="H165" s="64"/>
      <c r="I165" s="53"/>
    </row>
    <row r="166" spans="2:9" x14ac:dyDescent="0.25">
      <c r="B166" s="63"/>
      <c r="C166" s="64">
        <v>37780.5</v>
      </c>
      <c r="D166" s="65">
        <v>0.9948949054728613</v>
      </c>
      <c r="E166" s="65"/>
      <c r="F166" s="71"/>
      <c r="G166" s="64"/>
      <c r="H166" s="64"/>
      <c r="I166" s="53"/>
    </row>
    <row r="167" spans="2:9" x14ac:dyDescent="0.25">
      <c r="B167" s="63"/>
      <c r="C167" s="64">
        <v>37781.5</v>
      </c>
      <c r="D167" s="65">
        <v>0.99407371499902086</v>
      </c>
      <c r="E167" s="65"/>
      <c r="F167" s="71"/>
      <c r="G167" s="64"/>
      <c r="H167" s="64"/>
      <c r="I167" s="53"/>
    </row>
    <row r="168" spans="2:9" x14ac:dyDescent="0.25">
      <c r="B168" s="63"/>
      <c r="C168" s="64">
        <v>37782.5</v>
      </c>
      <c r="D168" s="65">
        <v>0.99312134353716319</v>
      </c>
      <c r="E168" s="65"/>
      <c r="F168" s="71"/>
      <c r="G168" s="64"/>
      <c r="H168" s="64"/>
      <c r="I168" s="53"/>
    </row>
    <row r="169" spans="2:9" x14ac:dyDescent="0.25">
      <c r="B169" s="63"/>
      <c r="C169" s="64">
        <v>37783.5</v>
      </c>
      <c r="D169" s="65">
        <v>0.99201715222492926</v>
      </c>
      <c r="E169" s="65"/>
      <c r="F169" s="71"/>
      <c r="G169" s="64"/>
      <c r="H169" s="64"/>
      <c r="I169" s="53"/>
    </row>
    <row r="170" spans="2:9" x14ac:dyDescent="0.25">
      <c r="B170" s="63"/>
      <c r="C170" s="64">
        <v>37784.5</v>
      </c>
      <c r="D170" s="65">
        <v>0.99073736457669048</v>
      </c>
      <c r="E170" s="65"/>
      <c r="F170" s="71"/>
      <c r="G170" s="64"/>
      <c r="H170" s="64"/>
      <c r="I170" s="53"/>
    </row>
    <row r="171" spans="2:9" x14ac:dyDescent="0.25">
      <c r="B171" s="63"/>
      <c r="C171" s="64">
        <v>37785.5</v>
      </c>
      <c r="D171" s="65">
        <v>0.9892546273709848</v>
      </c>
      <c r="E171" s="65"/>
      <c r="F171" s="71"/>
      <c r="G171" s="64"/>
      <c r="H171" s="64"/>
      <c r="I171" s="53"/>
    </row>
    <row r="172" spans="2:9" x14ac:dyDescent="0.25">
      <c r="B172" s="63"/>
      <c r="C172" s="64">
        <v>37786.5</v>
      </c>
      <c r="D172" s="65">
        <v>0.98753752332597144</v>
      </c>
      <c r="E172" s="65"/>
      <c r="F172" s="71"/>
      <c r="G172" s="64"/>
      <c r="H172" s="64"/>
      <c r="I172" s="53"/>
    </row>
    <row r="173" spans="2:9" x14ac:dyDescent="0.25">
      <c r="B173" s="63"/>
      <c r="C173" s="64">
        <v>37787.5</v>
      </c>
      <c r="D173" s="65">
        <v>0.98555003511863482</v>
      </c>
      <c r="E173" s="65"/>
      <c r="F173" s="71"/>
      <c r="G173" s="64"/>
      <c r="H173" s="64"/>
      <c r="I173" s="53"/>
    </row>
    <row r="174" spans="2:9" x14ac:dyDescent="0.25">
      <c r="B174" s="63"/>
      <c r="C174" s="64">
        <v>37788.5</v>
      </c>
      <c r="D174" s="65">
        <v>0.98325096246333232</v>
      </c>
      <c r="E174" s="65"/>
      <c r="F174" s="71"/>
      <c r="G174" s="64"/>
      <c r="H174" s="64"/>
      <c r="I174" s="53"/>
    </row>
    <row r="175" spans="2:9" x14ac:dyDescent="0.25">
      <c r="B175" s="63"/>
      <c r="C175" s="64">
        <v>37789.5</v>
      </c>
      <c r="D175" s="65">
        <v>0.98059329707541876</v>
      </c>
      <c r="E175" s="65"/>
      <c r="F175" s="71"/>
      <c r="G175" s="64"/>
      <c r="H175" s="64"/>
      <c r="I175" s="53"/>
    </row>
    <row r="176" spans="2:9" x14ac:dyDescent="0.25">
      <c r="B176" s="63"/>
      <c r="C176" s="64">
        <v>37790.5</v>
      </c>
      <c r="D176" s="65">
        <v>0.97752356467890367</v>
      </c>
      <c r="E176" s="65"/>
      <c r="F176" s="71"/>
      <c r="G176" s="64"/>
      <c r="H176" s="64"/>
      <c r="I176" s="53"/>
    </row>
    <row r="177" spans="2:9" x14ac:dyDescent="0.25">
      <c r="B177" s="63"/>
      <c r="C177" s="64">
        <v>37791.5</v>
      </c>
      <c r="D177" s="65">
        <v>0.97398114908861111</v>
      </c>
      <c r="E177" s="65"/>
      <c r="F177" s="71"/>
      <c r="G177" s="64"/>
      <c r="H177" s="64"/>
      <c r="I177" s="53"/>
    </row>
    <row r="178" spans="2:9" x14ac:dyDescent="0.25">
      <c r="B178" s="63"/>
      <c r="C178" s="64">
        <v>37792.5</v>
      </c>
      <c r="D178" s="65">
        <v>0.96989762115253808</v>
      </c>
      <c r="E178" s="65"/>
      <c r="F178" s="71"/>
      <c r="G178" s="64"/>
      <c r="H178" s="64"/>
      <c r="I178" s="53"/>
    </row>
    <row r="179" spans="2:9" x14ac:dyDescent="0.25">
      <c r="B179" s="63"/>
      <c r="C179" s="64">
        <v>37793.5</v>
      </c>
      <c r="D179" s="65">
        <v>0.96519610532756117</v>
      </c>
      <c r="E179" s="65"/>
      <c r="F179" s="71"/>
      <c r="G179" s="64"/>
      <c r="H179" s="64"/>
      <c r="I179" s="53"/>
    </row>
    <row r="180" spans="2:9" x14ac:dyDescent="0.25">
      <c r="B180" s="63"/>
      <c r="C180" s="64">
        <v>37794.5</v>
      </c>
      <c r="D180" s="65">
        <v>0.95979072918333619</v>
      </c>
      <c r="E180" s="65"/>
      <c r="F180" s="71"/>
      <c r="G180" s="64"/>
      <c r="H180" s="64"/>
      <c r="I180" s="53"/>
    </row>
    <row r="181" spans="2:9" x14ac:dyDescent="0.25">
      <c r="B181" s="63"/>
      <c r="C181" s="64">
        <v>37795.5</v>
      </c>
      <c r="D181" s="65">
        <v>0.95358621635903895</v>
      </c>
      <c r="E181" s="65"/>
      <c r="F181" s="71"/>
      <c r="G181" s="64"/>
      <c r="H181" s="64"/>
      <c r="I181" s="53"/>
    </row>
    <row r="182" spans="2:9" x14ac:dyDescent="0.25">
      <c r="B182" s="63"/>
      <c r="C182" s="64">
        <v>37796.5</v>
      </c>
      <c r="D182" s="65">
        <v>0.94647770135664244</v>
      </c>
      <c r="E182" s="65"/>
      <c r="F182" s="71"/>
      <c r="G182" s="64"/>
      <c r="H182" s="64"/>
      <c r="I182" s="53"/>
    </row>
    <row r="183" spans="2:9" x14ac:dyDescent="0.25">
      <c r="B183" s="63"/>
      <c r="C183" s="64">
        <v>37797.5</v>
      </c>
      <c r="D183" s="65">
        <v>0.93835086453417804</v>
      </c>
      <c r="E183" s="65"/>
      <c r="F183" s="71"/>
      <c r="G183" s="64"/>
      <c r="H183" s="64"/>
      <c r="I183" s="53"/>
    </row>
    <row r="184" spans="2:9" x14ac:dyDescent="0.25">
      <c r="B184" s="63"/>
      <c r="C184" s="64">
        <v>37798.5</v>
      </c>
      <c r="D184" s="65">
        <v>0.92908250659040403</v>
      </c>
      <c r="E184" s="65"/>
      <c r="F184" s="71"/>
      <c r="G184" s="64"/>
      <c r="H184" s="64"/>
      <c r="I184" s="53"/>
    </row>
    <row r="185" spans="2:9" x14ac:dyDescent="0.25">
      <c r="B185" s="63"/>
      <c r="C185" s="64">
        <v>37799.5</v>
      </c>
      <c r="D185" s="65">
        <v>0.91854170158897652</v>
      </c>
      <c r="E185" s="65"/>
      <c r="F185" s="71"/>
      <c r="G185" s="64"/>
      <c r="H185" s="64"/>
      <c r="I185" s="53"/>
    </row>
    <row r="186" spans="2:9" x14ac:dyDescent="0.25">
      <c r="B186" s="63"/>
      <c r="C186" s="64">
        <v>37800.5</v>
      </c>
      <c r="D186" s="65">
        <v>0.90659168278816871</v>
      </c>
      <c r="E186" s="65"/>
      <c r="F186" s="71"/>
      <c r="G186" s="64"/>
      <c r="H186" s="64"/>
      <c r="I186" s="53"/>
    </row>
    <row r="187" spans="2:9" x14ac:dyDescent="0.25">
      <c r="B187" s="63"/>
      <c r="C187" s="64">
        <v>37801.5</v>
      </c>
      <c r="D187" s="65">
        <v>0.89309262135735867</v>
      </c>
      <c r="E187" s="65"/>
      <c r="F187" s="71"/>
      <c r="G187" s="64"/>
      <c r="H187" s="64"/>
      <c r="I187" s="53"/>
    </row>
    <row r="188" spans="2:9" x14ac:dyDescent="0.25">
      <c r="B188" s="63"/>
      <c r="C188" s="64">
        <v>37802.5</v>
      </c>
      <c r="D188" s="65">
        <v>0.87790544803816573</v>
      </c>
      <c r="E188" s="65"/>
      <c r="F188" s="71"/>
      <c r="G188" s="64"/>
      <c r="H188" s="64"/>
      <c r="I188" s="53"/>
    </row>
    <row r="189" spans="2:9" x14ac:dyDescent="0.25">
      <c r="C189" s="4">
        <v>37803.5</v>
      </c>
      <c r="D189" s="65">
        <v>0.86089683421987606</v>
      </c>
      <c r="E189" s="65"/>
      <c r="F189" s="71"/>
      <c r="G189" s="64"/>
      <c r="H189" s="64"/>
      <c r="I189" s="53"/>
    </row>
    <row r="190" spans="2:9" x14ac:dyDescent="0.25">
      <c r="C190" s="4">
        <v>37804.5</v>
      </c>
      <c r="D190" s="65">
        <v>0.84194538359625493</v>
      </c>
      <c r="E190" s="65"/>
      <c r="F190" s="71"/>
      <c r="G190" s="64"/>
      <c r="H190" s="64"/>
      <c r="I190" s="53"/>
    </row>
    <row r="191" spans="2:9" x14ac:dyDescent="0.25">
      <c r="B191" s="63"/>
      <c r="C191" s="64">
        <v>37805.5</v>
      </c>
      <c r="D191" s="65">
        <v>0.82094898166426189</v>
      </c>
      <c r="E191" s="65"/>
      <c r="F191" s="71"/>
      <c r="G191" s="64"/>
      <c r="H191" s="64"/>
      <c r="I191" s="53"/>
    </row>
    <row r="192" spans="2:9" x14ac:dyDescent="0.25">
      <c r="B192" s="63"/>
      <c r="C192" s="64">
        <v>37806.5</v>
      </c>
      <c r="D192" s="65">
        <v>0.79783310480175662</v>
      </c>
      <c r="E192" s="65"/>
      <c r="F192" s="72"/>
      <c r="G192" s="64"/>
      <c r="H192" s="64"/>
      <c r="I192" s="53"/>
    </row>
    <row r="193" spans="2:9" x14ac:dyDescent="0.25">
      <c r="B193" s="72"/>
      <c r="C193" s="64">
        <v>37807.5</v>
      </c>
      <c r="D193" s="64">
        <v>0.7725597077788241</v>
      </c>
      <c r="E193" s="65"/>
      <c r="F193" s="72"/>
      <c r="G193" s="64"/>
      <c r="H193" s="64"/>
      <c r="I193" s="53"/>
    </row>
    <row r="194" spans="2:9" x14ac:dyDescent="0.25">
      <c r="C194" s="9">
        <v>37808.5</v>
      </c>
      <c r="D194" s="9">
        <v>0.74513610338185698</v>
      </c>
      <c r="E194" s="65"/>
      <c r="G194" s="53"/>
      <c r="H194" s="53"/>
      <c r="I194" s="53"/>
    </row>
    <row r="195" spans="2:9" x14ac:dyDescent="0.25">
      <c r="C195" s="9">
        <v>37809.5</v>
      </c>
      <c r="D195" s="9">
        <v>0.71562304867688131</v>
      </c>
      <c r="E195" s="65"/>
      <c r="G195" s="53"/>
      <c r="H195" s="53"/>
      <c r="I195" s="53"/>
    </row>
    <row r="196" spans="2:9" x14ac:dyDescent="0.25">
      <c r="C196" s="9">
        <v>37810.5</v>
      </c>
      <c r="D196" s="9">
        <v>0.68414110046366616</v>
      </c>
      <c r="E196" s="65"/>
      <c r="G196" s="53"/>
      <c r="H196" s="53"/>
      <c r="I196" s="53"/>
    </row>
    <row r="197" spans="2:9" x14ac:dyDescent="0.25">
      <c r="C197" s="9">
        <v>37811.5</v>
      </c>
      <c r="D197" s="9">
        <v>0.65087424661609383</v>
      </c>
      <c r="E197" s="65"/>
      <c r="G197" s="53"/>
      <c r="H197" s="53"/>
      <c r="I197" s="53"/>
    </row>
    <row r="198" spans="2:9" x14ac:dyDescent="0.25">
      <c r="C198" s="9">
        <v>37812.5</v>
      </c>
      <c r="D198" s="9">
        <v>0.61606990640824155</v>
      </c>
      <c r="E198" s="65"/>
      <c r="G198" s="53"/>
      <c r="H198" s="53"/>
      <c r="I198" s="53"/>
    </row>
    <row r="199" spans="2:9" x14ac:dyDescent="0.25">
      <c r="C199" s="9">
        <v>37813.5</v>
      </c>
      <c r="D199" s="9">
        <v>0.58003464995789233</v>
      </c>
      <c r="E199" s="65"/>
      <c r="G199" s="53"/>
      <c r="H199" s="53"/>
      <c r="I199" s="53"/>
    </row>
    <row r="200" spans="2:9" x14ac:dyDescent="0.25">
      <c r="C200" s="9">
        <v>37814.5</v>
      </c>
      <c r="D200" s="9">
        <v>0.54312540973269186</v>
      </c>
      <c r="E200" s="65"/>
      <c r="G200" s="53"/>
      <c r="H200" s="53"/>
      <c r="I200" s="53"/>
    </row>
    <row r="201" spans="2:9" x14ac:dyDescent="0.25">
      <c r="C201" s="9">
        <v>37815.5</v>
      </c>
      <c r="D201" s="9">
        <v>0.50573649787531938</v>
      </c>
      <c r="E201" s="65"/>
      <c r="G201" s="53"/>
      <c r="H201" s="53"/>
      <c r="I201" s="53"/>
    </row>
    <row r="202" spans="2:9" x14ac:dyDescent="0.25">
      <c r="C202" s="9">
        <v>37816.5</v>
      </c>
      <c r="D202" s="9">
        <v>0.46828331346233132</v>
      </c>
      <c r="E202" s="65"/>
      <c r="G202" s="53"/>
      <c r="H202" s="53"/>
      <c r="I202" s="53"/>
    </row>
    <row r="203" spans="2:9" x14ac:dyDescent="0.25">
      <c r="C203" s="9">
        <v>37817.5</v>
      </c>
      <c r="D203" s="9">
        <v>0.43118411183772998</v>
      </c>
      <c r="E203" s="65"/>
      <c r="G203" s="53"/>
      <c r="H203" s="53"/>
      <c r="I203" s="53"/>
    </row>
    <row r="204" spans="2:9" x14ac:dyDescent="0.25">
      <c r="C204" s="9">
        <v>37818.5</v>
      </c>
      <c r="D204" s="9">
        <v>0.39484150763108683</v>
      </c>
      <c r="E204" s="65"/>
      <c r="G204" s="53"/>
      <c r="H204" s="53"/>
      <c r="I204" s="53"/>
    </row>
    <row r="205" spans="2:9" x14ac:dyDescent="0.25">
      <c r="C205" s="9">
        <v>37819.5</v>
      </c>
      <c r="D205" s="9">
        <v>0.35962542496913763</v>
      </c>
      <c r="E205" s="65"/>
      <c r="G205" s="53"/>
      <c r="H205" s="53"/>
      <c r="I205" s="53"/>
    </row>
    <row r="206" spans="2:9" x14ac:dyDescent="0.25">
      <c r="C206" s="9">
        <v>37820.5</v>
      </c>
      <c r="D206" s="9">
        <v>0.32585898285623605</v>
      </c>
      <c r="E206" s="65"/>
      <c r="G206" s="53"/>
      <c r="H206" s="53"/>
      <c r="I206" s="53"/>
    </row>
    <row r="207" spans="2:9" x14ac:dyDescent="0.25">
      <c r="C207" s="9">
        <v>37821.5</v>
      </c>
      <c r="D207" s="9">
        <v>0.29380836323121118</v>
      </c>
      <c r="E207" s="65"/>
      <c r="G207" s="53"/>
      <c r="H207" s="53"/>
      <c r="I207" s="53"/>
    </row>
    <row r="208" spans="2:9" x14ac:dyDescent="0.25">
      <c r="C208" s="9">
        <v>37822.5</v>
      </c>
      <c r="D208" s="9">
        <v>0.26367715178528073</v>
      </c>
      <c r="E208" s="65"/>
      <c r="G208" s="53"/>
      <c r="H208" s="53"/>
      <c r="I208" s="53"/>
    </row>
    <row r="209" spans="3:9" x14ac:dyDescent="0.25">
      <c r="C209" s="9">
        <v>37823.5</v>
      </c>
      <c r="D209" s="9">
        <v>0.23560508082824672</v>
      </c>
      <c r="E209" s="65"/>
      <c r="G209" s="53"/>
      <c r="H209" s="53"/>
      <c r="I209" s="53"/>
    </row>
    <row r="210" spans="3:9" x14ac:dyDescent="0.25">
      <c r="C210" s="9">
        <v>37824.5</v>
      </c>
      <c r="D210" s="9">
        <v>0.20967063743947068</v>
      </c>
      <c r="E210" s="65"/>
      <c r="G210" s="53"/>
      <c r="H210" s="53"/>
      <c r="I210" s="53"/>
    </row>
    <row r="211" spans="3:9" x14ac:dyDescent="0.25">
      <c r="C211" s="9">
        <v>37825.5</v>
      </c>
      <c r="D211" s="9">
        <v>0.18589668998513509</v>
      </c>
      <c r="E211" s="65"/>
      <c r="G211" s="53"/>
      <c r="H211" s="53"/>
      <c r="I211" s="53"/>
    </row>
    <row r="212" spans="3:9" x14ac:dyDescent="0.25">
      <c r="C212" s="9">
        <v>37826.5</v>
      </c>
      <c r="D212" s="9">
        <v>0.16425814922380866</v>
      </c>
      <c r="E212" s="65"/>
      <c r="G212" s="53"/>
      <c r="H212" s="53"/>
      <c r="I212" s="53"/>
    </row>
    <row r="213" spans="3:9" x14ac:dyDescent="0.25">
      <c r="C213" s="9">
        <v>37827.5</v>
      </c>
      <c r="D213" s="9">
        <v>0.14469069694444792</v>
      </c>
      <c r="E213" s="65"/>
      <c r="G213" s="53"/>
      <c r="H213" s="53"/>
      <c r="I213" s="53"/>
    </row>
    <row r="214" spans="3:9" x14ac:dyDescent="0.25">
      <c r="C214" s="9">
        <v>37828.5</v>
      </c>
      <c r="D214" s="9">
        <v>0.12709974296797055</v>
      </c>
      <c r="E214" s="65"/>
      <c r="G214" s="53"/>
      <c r="H214" s="53"/>
      <c r="I214" s="53"/>
    </row>
    <row r="215" spans="3:9" x14ac:dyDescent="0.25">
      <c r="C215" s="9">
        <v>37829.5</v>
      </c>
      <c r="D215" s="9">
        <v>0.11136896093811099</v>
      </c>
      <c r="E215" s="65"/>
      <c r="G215" s="53"/>
      <c r="H215" s="53"/>
      <c r="I215" s="53"/>
    </row>
    <row r="216" spans="3:9" x14ac:dyDescent="0.25">
      <c r="C216" s="9">
        <v>37830.5</v>
      </c>
      <c r="D216" s="9">
        <v>9.7367960303295087E-2</v>
      </c>
      <c r="E216" s="65"/>
      <c r="G216" s="53"/>
      <c r="H216" s="53"/>
      <c r="I216" s="53"/>
    </row>
    <row r="217" spans="3:9" x14ac:dyDescent="0.25">
      <c r="C217" s="9">
        <v>37831.5</v>
      </c>
      <c r="D217" s="9">
        <v>8.4958843777534709E-2</v>
      </c>
      <c r="E217" s="65"/>
      <c r="G217" s="53"/>
      <c r="H217" s="53"/>
      <c r="I217" s="53"/>
    </row>
    <row r="218" spans="3:9" x14ac:dyDescent="0.25">
      <c r="C218" s="9">
        <v>37832.5</v>
      </c>
      <c r="D218" s="9">
        <v>7.4001557409438701E-2</v>
      </c>
      <c r="E218" s="65"/>
      <c r="G218" s="53"/>
      <c r="H218" s="53"/>
      <c r="I218" s="53"/>
    </row>
    <row r="219" spans="3:9" x14ac:dyDescent="0.25">
      <c r="C219" s="9">
        <v>37833.5</v>
      </c>
      <c r="D219" s="9">
        <v>6.4358056974210931E-2</v>
      </c>
      <c r="E219" s="65"/>
      <c r="G219" s="53"/>
      <c r="H219" s="53"/>
      <c r="I219" s="53"/>
    </row>
    <row r="220" spans="3:9" x14ac:dyDescent="0.25">
      <c r="C220" s="9">
        <v>37834.5</v>
      </c>
      <c r="D220" s="9">
        <v>5.5895390906604558E-2</v>
      </c>
      <c r="E220" s="65"/>
      <c r="G220" s="53"/>
      <c r="H220" s="53"/>
      <c r="I220" s="53"/>
    </row>
    <row r="221" spans="3:9" x14ac:dyDescent="0.25">
      <c r="C221" s="9">
        <v>37835.5</v>
      </c>
      <c r="D221" s="9">
        <v>4.8487842437026307E-2</v>
      </c>
      <c r="E221" s="65"/>
      <c r="G221" s="53"/>
      <c r="H221" s="53"/>
      <c r="I221" s="53"/>
    </row>
    <row r="222" spans="3:9" x14ac:dyDescent="0.25">
      <c r="C222" s="9">
        <v>37836.5</v>
      </c>
      <c r="D222" s="9">
        <v>4.2018289963551392E-2</v>
      </c>
      <c r="E222" s="65"/>
      <c r="G222" s="53"/>
      <c r="H222" s="53"/>
      <c r="I222" s="53"/>
    </row>
    <row r="223" spans="3:9" x14ac:dyDescent="0.25">
      <c r="C223" s="9">
        <v>37837.5</v>
      </c>
      <c r="D223" s="9">
        <v>3.6378942971083794E-2</v>
      </c>
      <c r="E223" s="65"/>
      <c r="G223" s="53"/>
      <c r="H223" s="53"/>
      <c r="I223" s="53"/>
    </row>
    <row r="224" spans="3:9" x14ac:dyDescent="0.25">
      <c r="C224" s="9">
        <v>37838.5</v>
      </c>
      <c r="D224" s="9">
        <v>3.147159787810494E-2</v>
      </c>
      <c r="E224" s="65"/>
      <c r="G224" s="53"/>
      <c r="H224" s="53"/>
      <c r="I224" s="53"/>
    </row>
    <row r="225" spans="3:9" x14ac:dyDescent="0.25">
      <c r="C225" s="9">
        <v>37839.5</v>
      </c>
      <c r="D225" s="9">
        <v>2.7207539400781577E-2</v>
      </c>
      <c r="E225" s="65"/>
      <c r="G225" s="53"/>
      <c r="H225" s="53"/>
      <c r="I225" s="53"/>
    </row>
    <row r="226" spans="3:9" x14ac:dyDescent="0.25">
      <c r="C226" s="9">
        <v>37840.5</v>
      </c>
      <c r="D226" s="9">
        <v>2.350719217767816E-2</v>
      </c>
      <c r="E226" s="65"/>
      <c r="G226" s="53"/>
      <c r="H226" s="53"/>
      <c r="I226" s="53"/>
    </row>
    <row r="227" spans="3:9" x14ac:dyDescent="0.25">
      <c r="C227" s="9">
        <v>37841.5</v>
      </c>
      <c r="D227" s="9">
        <v>2.0299606966050265E-2</v>
      </c>
      <c r="E227" s="65"/>
      <c r="G227" s="53"/>
      <c r="H227" s="53"/>
      <c r="I227" s="53"/>
    </row>
    <row r="228" spans="3:9" x14ac:dyDescent="0.25">
      <c r="C228" s="9">
        <v>37842.5</v>
      </c>
      <c r="D228" s="9">
        <v>1.7521847133122215E-2</v>
      </c>
      <c r="E228" s="65"/>
      <c r="G228" s="53"/>
      <c r="H228" s="53"/>
      <c r="I228" s="53"/>
    </row>
    <row r="229" spans="3:9" x14ac:dyDescent="0.25">
      <c r="C229" s="9">
        <v>37843.5</v>
      </c>
      <c r="D229" s="9">
        <v>1.511832510717781E-2</v>
      </c>
      <c r="E229" s="65"/>
      <c r="G229" s="53"/>
      <c r="H229" s="53"/>
      <c r="I229" s="53"/>
    </row>
    <row r="230" spans="3:9" x14ac:dyDescent="0.25">
      <c r="C230" s="9">
        <v>37844.5</v>
      </c>
      <c r="D230" s="9">
        <v>1.3040125112587564E-2</v>
      </c>
      <c r="E230" s="65"/>
      <c r="G230" s="53"/>
      <c r="H230" s="53"/>
      <c r="I230" s="53"/>
    </row>
    <row r="231" spans="3:9" x14ac:dyDescent="0.25">
      <c r="C231" s="9">
        <v>37845.5</v>
      </c>
      <c r="D231" s="9">
        <v>1.1244337778071323E-2</v>
      </c>
      <c r="E231" s="65"/>
      <c r="G231" s="53"/>
      <c r="H231" s="53"/>
      <c r="I231" s="53"/>
    </row>
    <row r="232" spans="3:9" x14ac:dyDescent="0.25">
      <c r="C232" s="9">
        <v>37846.5</v>
      </c>
      <c r="D232" s="9">
        <v>9.6934238053025812E-3</v>
      </c>
      <c r="E232" s="65"/>
      <c r="G232" s="53"/>
      <c r="H232" s="53"/>
      <c r="I232" s="53"/>
    </row>
    <row r="233" spans="3:9" x14ac:dyDescent="0.25">
      <c r="C233" s="9">
        <v>37847.5</v>
      </c>
      <c r="D233" s="9">
        <v>8.3546174745615653E-3</v>
      </c>
      <c r="E233" s="65"/>
      <c r="G233" s="53"/>
      <c r="H233" s="53"/>
      <c r="I233" s="53"/>
    </row>
    <row r="234" spans="3:9" x14ac:dyDescent="0.25">
      <c r="C234" s="9">
        <v>37848.5</v>
      </c>
      <c r="D234" s="9">
        <v>7.1993759954323E-3</v>
      </c>
      <c r="E234" s="65"/>
      <c r="G234" s="53"/>
      <c r="H234" s="53"/>
      <c r="I234" s="53"/>
    </row>
    <row r="235" spans="3:9" x14ac:dyDescent="0.25">
      <c r="C235" s="9">
        <v>37849.5</v>
      </c>
      <c r="D235" s="9">
        <v>6.2028772571940394E-3</v>
      </c>
      <c r="E235" s="65"/>
      <c r="G235" s="53"/>
      <c r="H235" s="53"/>
      <c r="I235" s="53"/>
    </row>
    <row r="236" spans="3:9" x14ac:dyDescent="0.25">
      <c r="C236" s="9">
        <v>37850.5</v>
      </c>
      <c r="D236" s="9">
        <v>5.3435661091475462E-3</v>
      </c>
      <c r="E236" s="65"/>
      <c r="G236" s="53"/>
      <c r="H236" s="53"/>
      <c r="I236" s="53"/>
    </row>
    <row r="237" spans="3:9" x14ac:dyDescent="0.25">
      <c r="C237" s="9">
        <v>37851.5</v>
      </c>
      <c r="D237" s="9">
        <v>4.6027476644416865E-3</v>
      </c>
      <c r="E237" s="65"/>
      <c r="G237" s="53"/>
      <c r="H237" s="53"/>
      <c r="I237" s="53"/>
    </row>
    <row r="238" spans="3:9" x14ac:dyDescent="0.25">
      <c r="C238" s="9">
        <v>37852.5</v>
      </c>
      <c r="D238" s="9">
        <v>3.9642250751049657E-3</v>
      </c>
      <c r="E238" s="65"/>
      <c r="G238" s="53"/>
      <c r="H238" s="53"/>
      <c r="I238" s="53"/>
    </row>
    <row r="239" spans="3:9" x14ac:dyDescent="0.25">
      <c r="C239" s="9">
        <v>37853.5</v>
      </c>
      <c r="D239" s="9">
        <v>3.4139786141772488E-3</v>
      </c>
      <c r="E239" s="65"/>
      <c r="G239" s="53"/>
      <c r="H239" s="53"/>
      <c r="I239" s="53"/>
    </row>
    <row r="240" spans="3:9" x14ac:dyDescent="0.25">
      <c r="C240" s="9">
        <v>37854.5</v>
      </c>
      <c r="D240" s="9">
        <v>2.9398826007416279E-3</v>
      </c>
      <c r="E240" s="65"/>
      <c r="G240" s="53"/>
      <c r="H240" s="53"/>
      <c r="I240" s="53"/>
    </row>
    <row r="241" spans="3:9" x14ac:dyDescent="0.25">
      <c r="C241" s="9">
        <v>37855.5</v>
      </c>
      <c r="D241" s="9">
        <v>2.5314566216378953E-3</v>
      </c>
      <c r="E241" s="65"/>
      <c r="G241" s="53"/>
      <c r="H241" s="53"/>
      <c r="I241" s="53"/>
    </row>
    <row r="242" spans="3:9" x14ac:dyDescent="0.25">
      <c r="C242" s="9">
        <v>37856.5</v>
      </c>
      <c r="D242" s="9">
        <v>2.1796475691444606E-3</v>
      </c>
      <c r="E242" s="65"/>
      <c r="G242" s="53"/>
      <c r="H242" s="53"/>
      <c r="I242" s="53"/>
    </row>
    <row r="243" spans="3:9" x14ac:dyDescent="0.25">
      <c r="C243" s="9">
        <v>37857.5</v>
      </c>
      <c r="D243" s="9">
        <v>1.8766391747334632E-3</v>
      </c>
      <c r="E243" s="65"/>
      <c r="G243" s="53"/>
      <c r="H243" s="53"/>
      <c r="I243" s="53"/>
    </row>
    <row r="244" spans="3:9" x14ac:dyDescent="0.25">
      <c r="C244" s="9">
        <v>37858.5</v>
      </c>
      <c r="D244" s="9">
        <v>1.6156859371333487E-3</v>
      </c>
      <c r="E244" s="65"/>
      <c r="G244" s="53"/>
      <c r="H244" s="53"/>
      <c r="I244" s="53"/>
    </row>
    <row r="245" spans="3:9" x14ac:dyDescent="0.25">
      <c r="C245" s="9">
        <v>37859.5</v>
      </c>
      <c r="D245" s="9">
        <v>1.3909685912373293E-3</v>
      </c>
      <c r="E245" s="65"/>
      <c r="G245" s="53"/>
      <c r="H245" s="53"/>
      <c r="I245" s="53"/>
    </row>
    <row r="246" spans="3:9" x14ac:dyDescent="0.25">
      <c r="C246" s="9">
        <v>37860.5</v>
      </c>
      <c r="D246" s="9">
        <v>1.1974685239601879E-3</v>
      </c>
      <c r="E246" s="65"/>
      <c r="G246" s="53"/>
      <c r="H246" s="53"/>
      <c r="I246" s="53"/>
    </row>
    <row r="247" spans="3:9" x14ac:dyDescent="0.25">
      <c r="C247" s="9">
        <v>37861.5</v>
      </c>
      <c r="D247" s="9">
        <v>1.0308588011587183E-3</v>
      </c>
      <c r="E247" s="65"/>
      <c r="G247" s="53"/>
      <c r="H247" s="53"/>
      <c r="I247" s="53"/>
    </row>
    <row r="248" spans="3:9" x14ac:dyDescent="0.25">
      <c r="C248" s="9">
        <v>37862.5</v>
      </c>
      <c r="D248" s="9">
        <v>8.8740971783596301E-4</v>
      </c>
      <c r="E248" s="65"/>
      <c r="G248" s="53"/>
      <c r="H248" s="53"/>
      <c r="I248" s="53"/>
    </row>
    <row r="249" spans="3:9" x14ac:dyDescent="0.25">
      <c r="C249" s="9">
        <v>37863.5</v>
      </c>
      <c r="D249" s="9">
        <v>7.6390701694539764E-4</v>
      </c>
      <c r="E249" s="65"/>
      <c r="G249" s="53"/>
      <c r="H249" s="53"/>
      <c r="I249" s="53"/>
    </row>
    <row r="250" spans="3:9" x14ac:dyDescent="0.25">
      <c r="C250" s="9">
        <v>37864.5</v>
      </c>
      <c r="D250" s="9">
        <v>6.5758113740532753E-4</v>
      </c>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22"/>
  <sheetViews>
    <sheetView zoomScaleNormal="100" workbookViewId="0">
      <selection activeCell="A3" sqref="A3"/>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2016</v>
      </c>
      <c r="B2" s="6">
        <v>1.3</v>
      </c>
      <c r="C2" s="4" t="s">
        <v>6</v>
      </c>
      <c r="F2" s="3" t="s">
        <v>0</v>
      </c>
      <c r="G2" s="7" t="s">
        <v>7</v>
      </c>
      <c r="H2" s="7" t="s">
        <v>8</v>
      </c>
      <c r="I2" s="96" t="s">
        <v>27</v>
      </c>
      <c r="J2" s="98">
        <v>41459</v>
      </c>
      <c r="K2" s="99">
        <v>41459</v>
      </c>
      <c r="V2" s="4" t="s">
        <v>46</v>
      </c>
      <c r="Z2" s="4" t="s">
        <v>46</v>
      </c>
    </row>
    <row r="3" spans="1:50" ht="21" thickBot="1" x14ac:dyDescent="0.4">
      <c r="A3" s="104">
        <v>37766.5</v>
      </c>
      <c r="C3" s="9"/>
      <c r="F3" s="73" t="s">
        <v>25</v>
      </c>
      <c r="G3" s="126">
        <v>1</v>
      </c>
      <c r="H3" s="11"/>
      <c r="I3">
        <f>G5-(1/G4)*LN((2*G3)-1)</f>
        <v>50.152995983998608</v>
      </c>
      <c r="J3" s="3" t="s">
        <v>9</v>
      </c>
      <c r="V3" s="4">
        <v>14419.592178086223</v>
      </c>
      <c r="W3" s="4">
        <v>18.804596949687852</v>
      </c>
      <c r="Z3" s="4">
        <v>14419.592178086223</v>
      </c>
      <c r="AA3" s="4">
        <v>18.804596949687852</v>
      </c>
    </row>
    <row r="4" spans="1:50" ht="16.5" thickBot="1" x14ac:dyDescent="0.3">
      <c r="A4" s="12" t="s">
        <v>10</v>
      </c>
      <c r="C4" s="4" t="s">
        <v>11</v>
      </c>
      <c r="F4" s="13" t="s">
        <v>1</v>
      </c>
      <c r="G4" s="127">
        <v>0.14998431835838363</v>
      </c>
      <c r="H4" s="15">
        <v>3.7224673371899546E-2</v>
      </c>
      <c r="I4" s="2"/>
      <c r="J4" s="129">
        <f>SUM(H9:H66)</f>
        <v>39.658878340595713</v>
      </c>
      <c r="K4" s="16">
        <f>SUMSQ(G9:G14)</f>
        <v>0.10515459603029109</v>
      </c>
      <c r="L4" s="16"/>
      <c r="M4" s="139"/>
      <c r="N4" s="4">
        <f>1-0.317</f>
        <v>0.68300000000000005</v>
      </c>
      <c r="V4" s="4">
        <v>18.804596949687852</v>
      </c>
      <c r="W4" s="4">
        <v>3.2353858929251813</v>
      </c>
      <c r="Z4" s="4">
        <v>18.804596949687852</v>
      </c>
      <c r="AA4" s="4">
        <v>3.2353858929251813</v>
      </c>
    </row>
    <row r="5" spans="1:50" ht="16.5" thickBot="1" x14ac:dyDescent="0.3">
      <c r="C5" s="104">
        <v>37834.5</v>
      </c>
      <c r="F5" s="17" t="s">
        <v>2</v>
      </c>
      <c r="G5" s="128">
        <v>50.152995983998608</v>
      </c>
      <c r="H5" s="19">
        <v>2.4851026975048112</v>
      </c>
      <c r="I5" s="2"/>
      <c r="J5" s="20" t="s">
        <v>12</v>
      </c>
      <c r="K5" s="21"/>
      <c r="L5" s="21"/>
      <c r="N5" s="30"/>
    </row>
    <row r="6" spans="1:50" ht="16.5" thickBot="1" x14ac:dyDescent="0.3">
      <c r="C6" s="22"/>
      <c r="G6" s="23"/>
      <c r="H6" s="9"/>
      <c r="K6" s="24"/>
      <c r="L6" s="24"/>
      <c r="V6" s="4" t="s">
        <v>47</v>
      </c>
      <c r="X6" s="4" t="s">
        <v>8</v>
      </c>
      <c r="Z6" s="4" t="s">
        <v>47</v>
      </c>
      <c r="AB6" s="4" t="s">
        <v>8</v>
      </c>
    </row>
    <row r="7" spans="1:50" ht="16.5" thickBot="1" x14ac:dyDescent="0.3">
      <c r="E7" s="25"/>
      <c r="F7" s="26"/>
      <c r="G7" s="27"/>
      <c r="H7" s="28"/>
      <c r="J7" s="29"/>
      <c r="M7" s="29"/>
      <c r="O7" s="3" t="s">
        <v>26</v>
      </c>
      <c r="V7" s="4">
        <f t="array" ref="V7:W8">2* 2.57095566993403^2*MINVERSE($V$3:$W$4)</f>
        <v>9.2378420509640501E-4</v>
      </c>
      <c r="W7" s="4">
        <v>-5.3691863104527015E-3</v>
      </c>
      <c r="X7" s="4">
        <v>3.0393818534307351E-2</v>
      </c>
      <c r="Z7" s="4">
        <f t="array" ref="Z7:AA8">2* 3.14876477132683^2*MINVERSE($Z$3:$AA$4)</f>
        <v>1.385676307644607E-3</v>
      </c>
      <c r="AA7" s="4">
        <v>-8.0537794656790496E-3</v>
      </c>
      <c r="AB7" s="4">
        <v>3.7224673371899546E-2</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c r="V8" s="29">
        <v>-5.3691863104527015E-3</v>
      </c>
      <c r="W8" s="29">
        <v>4.1171569447637939</v>
      </c>
      <c r="X8" s="29">
        <v>2.0290778557669475</v>
      </c>
      <c r="Z8" s="29">
        <v>-8.0537794656790496E-3</v>
      </c>
      <c r="AA8" s="29">
        <v>6.17573541714569</v>
      </c>
      <c r="AB8" s="29">
        <v>2.4851026975048112</v>
      </c>
    </row>
    <row r="9" spans="1:50" ht="16.5" thickBot="1" x14ac:dyDescent="0.3">
      <c r="A9" s="120">
        <v>2.9294660471095732E-2</v>
      </c>
      <c r="B9" s="124">
        <v>37797.5</v>
      </c>
      <c r="C9" s="121">
        <f t="shared" ref="C9:C13" si="0">1/(A9^2)</f>
        <v>1165.2606001437034</v>
      </c>
      <c r="D9" s="106">
        <f t="shared" ref="D9:D13" si="1">IF(B9&lt;&gt;0,B9-$A$3+1,"")</f>
        <v>32</v>
      </c>
      <c r="E9" s="81">
        <v>1.4373661500000001E-2</v>
      </c>
      <c r="F9" s="41">
        <f t="shared" ref="F9:F10" si="2">IF(B9&lt;&gt;0,$G$3/(1+EXP(-$G$4*(D9-$G$5))),"")</f>
        <v>6.1649135465821917E-2</v>
      </c>
      <c r="G9" s="42">
        <f t="shared" ref="G9:G10" si="3">IF(B9&lt;&gt;0,E9-F9,"")</f>
        <v>-4.7275473965821914E-2</v>
      </c>
      <c r="H9" s="43">
        <f t="shared" ref="H9:H10" si="4">IF(B9&lt;&gt;0,C9*(G9)^2,"")</f>
        <v>2.604322994694964</v>
      </c>
      <c r="J9" s="105">
        <f>A3</f>
        <v>37766.5</v>
      </c>
      <c r="K9" s="109">
        <v>1</v>
      </c>
      <c r="L9" s="125">
        <f t="shared" ref="L9:L72" si="5">$G$3/(1+EXP(-$G$4*(K9-$G$5)))</f>
        <v>6.2810268233822917E-4</v>
      </c>
      <c r="M9" s="46">
        <f>IF(J10&gt;MAX($B$9:$B$64),L9,N9)</f>
        <v>3.1121623501212576E-7</v>
      </c>
      <c r="N9" s="130">
        <v>3.1121623501212576E-7</v>
      </c>
      <c r="O9" s="89">
        <f t="shared" ref="O9:O72" si="6">IF(N9=M9,N9,M9)</f>
        <v>3.1121623501212576E-7</v>
      </c>
    </row>
    <row r="10" spans="1:50" ht="16.5" thickBot="1" x14ac:dyDescent="0.3">
      <c r="A10" s="120">
        <v>4.3768624675588189E-2</v>
      </c>
      <c r="B10" s="124">
        <v>37803.5</v>
      </c>
      <c r="C10" s="121">
        <f t="shared" si="0"/>
        <v>522.00444323495788</v>
      </c>
      <c r="D10" s="106">
        <f t="shared" si="1"/>
        <v>38</v>
      </c>
      <c r="E10" s="81">
        <v>0.14530426295000001</v>
      </c>
      <c r="F10" s="41">
        <f t="shared" si="2"/>
        <v>0.13910316578012397</v>
      </c>
      <c r="G10" s="42">
        <f t="shared" si="3"/>
        <v>6.2010971698760464E-3</v>
      </c>
      <c r="H10" s="43">
        <f t="shared" si="4"/>
        <v>2.0072953247954665E-2</v>
      </c>
      <c r="I10" s="52"/>
      <c r="J10" s="105">
        <f t="shared" ref="J10:J73" si="7">J9+1</f>
        <v>37767.5</v>
      </c>
      <c r="K10" s="109">
        <v>2</v>
      </c>
      <c r="L10" s="125">
        <f t="shared" si="5"/>
        <v>7.2966559960320053E-4</v>
      </c>
      <c r="M10" s="46">
        <f t="shared" ref="M10:M73" si="8">IF(J11&gt;MAX($B$9:$B$64),L10,N10)</f>
        <v>4.4350593880565207E-7</v>
      </c>
      <c r="N10" s="130">
        <v>4.4350593880565207E-7</v>
      </c>
      <c r="O10" s="89">
        <f t="shared" si="6"/>
        <v>4.4350593880565207E-7</v>
      </c>
      <c r="Q10" s="4" t="s">
        <v>48</v>
      </c>
      <c r="V10" s="4" t="s">
        <v>48</v>
      </c>
      <c r="Z10" s="4" t="s">
        <v>48</v>
      </c>
    </row>
    <row r="11" spans="1:50" ht="16.5" thickBot="1" x14ac:dyDescent="0.3">
      <c r="A11" s="120">
        <v>5.482678371741849E-2</v>
      </c>
      <c r="B11" s="124">
        <v>37809.5</v>
      </c>
      <c r="C11" s="121">
        <f t="shared" si="0"/>
        <v>332.67062984163078</v>
      </c>
      <c r="D11" s="106">
        <f t="shared" si="1"/>
        <v>44</v>
      </c>
      <c r="E11" s="81">
        <v>0.28467891862</v>
      </c>
      <c r="F11" s="41">
        <f t="shared" ref="F11" si="9">IF(B11&lt;&gt;0,$G$3/(1+EXP(-$G$4*(D11-$G$5))),"")</f>
        <v>0.28437695132311863</v>
      </c>
      <c r="G11" s="42">
        <f t="shared" ref="G11" si="10">IF(B11&lt;&gt;0,E11-F11,"")</f>
        <v>3.0196729688136692E-4</v>
      </c>
      <c r="H11" s="43">
        <f t="shared" ref="H11" si="11">IF(B11&lt;&gt;0,C11*(G11)^2,"")</f>
        <v>3.0334321342152961E-5</v>
      </c>
      <c r="J11" s="105">
        <f t="shared" si="7"/>
        <v>37768.5</v>
      </c>
      <c r="K11" s="109">
        <v>3</v>
      </c>
      <c r="L11" s="125">
        <f t="shared" si="5"/>
        <v>8.4763710348795935E-4</v>
      </c>
      <c r="M11" s="46">
        <f t="shared" si="8"/>
        <v>6.3202842450478264E-7</v>
      </c>
      <c r="N11" s="130">
        <v>6.3202842450478264E-7</v>
      </c>
      <c r="O11" s="89">
        <f t="shared" si="6"/>
        <v>6.3202842450478264E-7</v>
      </c>
      <c r="Q11" s="4">
        <v>1</v>
      </c>
      <c r="R11" s="4">
        <v>-0.82806316245865486</v>
      </c>
      <c r="V11" s="4">
        <v>0.99999999999999989</v>
      </c>
      <c r="W11" s="4">
        <v>-8.7061169501291683E-2</v>
      </c>
      <c r="Z11" s="4">
        <v>1</v>
      </c>
      <c r="AA11" s="4">
        <v>-8.7061169501291683E-2</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5.455329775196275E-2</v>
      </c>
      <c r="B12" s="124">
        <v>37815.5</v>
      </c>
      <c r="C12" s="121">
        <f t="shared" si="0"/>
        <v>336.01447169760434</v>
      </c>
      <c r="D12" s="106">
        <f t="shared" si="1"/>
        <v>50</v>
      </c>
      <c r="E12" s="81">
        <v>0.68313881839000001</v>
      </c>
      <c r="F12" s="41">
        <f t="shared" ref="F12" si="12">IF(B12&lt;&gt;0,$G$3/(1+EXP(-$G$4*(D12-$G$5))),"")</f>
        <v>0.49426350212468062</v>
      </c>
      <c r="G12" s="42">
        <f t="shared" ref="G12" si="13">IF(B12&lt;&gt;0,E12-F12,"")</f>
        <v>0.18887531626531939</v>
      </c>
      <c r="H12" s="43">
        <f t="shared" ref="H12" si="14">IF(B12&lt;&gt;0,C12*(G12)^2,"")</f>
        <v>11.986941653370463</v>
      </c>
      <c r="J12" s="105">
        <f t="shared" si="7"/>
        <v>37769.5</v>
      </c>
      <c r="K12" s="109">
        <v>4</v>
      </c>
      <c r="L12" s="125">
        <f t="shared" si="5"/>
        <v>9.8466331119742329E-4</v>
      </c>
      <c r="M12" s="46">
        <f t="shared" si="8"/>
        <v>9.0068669305005554E-7</v>
      </c>
      <c r="N12" s="130">
        <v>9.0068669305005554E-7</v>
      </c>
      <c r="O12" s="89">
        <f t="shared" si="6"/>
        <v>9.0068669305005554E-7</v>
      </c>
      <c r="P12" s="44">
        <v>40326</v>
      </c>
      <c r="Q12" s="1">
        <v>1.3958317686261709E-4</v>
      </c>
      <c r="R12" s="100">
        <v>543</v>
      </c>
      <c r="S12" s="100">
        <f>R12*AVERAGE(L12:L13)</f>
        <v>0.57788196020322435</v>
      </c>
      <c r="T12" s="101">
        <f t="shared" ref="T12:T47" si="15">R12-S12</f>
        <v>542.42211803979683</v>
      </c>
      <c r="V12" s="4">
        <v>-8.7061169501291683E-2</v>
      </c>
      <c r="W12" s="4">
        <v>1</v>
      </c>
      <c r="Z12" s="4">
        <v>-8.7061169501291683E-2</v>
      </c>
      <c r="AA12" s="4">
        <v>1.0000000000000002</v>
      </c>
      <c r="AE12" s="93">
        <f>J12</f>
        <v>37769.5</v>
      </c>
      <c r="AF12" s="92">
        <f>Logistic2010!Q12</f>
        <v>1.3958317686261709E-4</v>
      </c>
      <c r="AG12" s="4">
        <f t="shared" ref="AG12:AG75" si="16">AI12</f>
        <v>1.3958317686261709E-4</v>
      </c>
      <c r="AH12" s="92">
        <f>Logistic2011!Q12</f>
        <v>1.3958317686261709E-4</v>
      </c>
      <c r="AI12" s="92">
        <f>Logistic2012!Q12</f>
        <v>1.3958317686261709E-4</v>
      </c>
      <c r="AJ12" s="92">
        <f>Logistic2013!L12</f>
        <v>2.9882028383729665E-4</v>
      </c>
      <c r="AK12" s="119">
        <f>Logistic2014!AK12</f>
        <v>4.1531400063546034E-4</v>
      </c>
      <c r="AL12" s="119">
        <f>L12</f>
        <v>9.8466331119742329E-4</v>
      </c>
      <c r="AM12" s="113"/>
      <c r="AN12" s="113"/>
      <c r="AO12" s="113"/>
      <c r="AP12" s="113"/>
      <c r="AQ12" s="113"/>
      <c r="AR12" s="113"/>
      <c r="AS12" s="113"/>
      <c r="AT12" s="114"/>
      <c r="AU12" s="114"/>
    </row>
    <row r="13" spans="1:50" ht="16.5" thickBot="1" x14ac:dyDescent="0.3">
      <c r="A13" s="145">
        <v>5.2774119647345311E-2</v>
      </c>
      <c r="B13" s="124">
        <v>37820.5</v>
      </c>
      <c r="C13" s="121">
        <f t="shared" si="0"/>
        <v>359.05254161822131</v>
      </c>
      <c r="D13" s="106">
        <f t="shared" si="1"/>
        <v>55</v>
      </c>
      <c r="E13" s="81">
        <v>0.58347815381000001</v>
      </c>
      <c r="F13" s="41">
        <f t="shared" ref="F13" si="17">IF(B13&lt;&gt;0,$G$3/(1+EXP(-$G$4*(D13-$G$5))),"")</f>
        <v>0.67414101714376395</v>
      </c>
      <c r="G13" s="42">
        <f t="shared" ref="G13" si="18">IF(B13&lt;&gt;0,E13-F13,"")</f>
        <v>-9.0662863333763943E-2</v>
      </c>
      <c r="H13" s="43">
        <f t="shared" ref="H13" si="19">IF(B13&lt;&gt;0,C13*(G13)^2,"")</f>
        <v>2.9513238480656936</v>
      </c>
      <c r="J13" s="105">
        <f t="shared" si="7"/>
        <v>37770.5</v>
      </c>
      <c r="K13" s="109">
        <v>5</v>
      </c>
      <c r="L13" s="125">
        <f t="shared" si="5"/>
        <v>1.14381536358425E-3</v>
      </c>
      <c r="M13" s="46">
        <f t="shared" si="8"/>
        <v>1.2835442124779599E-6</v>
      </c>
      <c r="N13" s="130">
        <v>1.2835442124779599E-6</v>
      </c>
      <c r="O13" s="89">
        <f t="shared" si="6"/>
        <v>1.2835442124779599E-6</v>
      </c>
      <c r="P13" s="48">
        <v>40327</v>
      </c>
      <c r="Q13" s="1">
        <v>1.7045928901654236E-4</v>
      </c>
      <c r="R13" s="100">
        <v>2664</v>
      </c>
      <c r="S13" s="100">
        <f t="shared" ref="S13:S70" si="20">R13*AVERAGE(L13:L14)</f>
        <v>3.2933333204308046</v>
      </c>
      <c r="T13" s="101">
        <f t="shared" si="15"/>
        <v>2660.706666679569</v>
      </c>
      <c r="AE13" s="93">
        <f t="shared" ref="AE13:AE76" si="21">J13</f>
        <v>37770.5</v>
      </c>
      <c r="AF13" s="92">
        <f>Logistic2010!Q13</f>
        <v>1.7045928901654236E-4</v>
      </c>
      <c r="AG13" s="4">
        <f t="shared" si="16"/>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22">L13</f>
        <v>1.14381536358425E-3</v>
      </c>
      <c r="AM13" s="113">
        <v>2011</v>
      </c>
      <c r="AO13" s="113">
        <v>2010</v>
      </c>
      <c r="AP13" s="113">
        <v>2012</v>
      </c>
      <c r="AQ13" s="113"/>
      <c r="AR13" t="s">
        <v>28</v>
      </c>
      <c r="AS13"/>
      <c r="AT13"/>
      <c r="AU13"/>
      <c r="AV13"/>
      <c r="AW13"/>
      <c r="AX13"/>
    </row>
    <row r="14" spans="1:50" x14ac:dyDescent="0.25">
      <c r="A14" s="120">
        <v>5.8738633411898597E-2</v>
      </c>
      <c r="B14" s="124">
        <v>37825.5</v>
      </c>
      <c r="C14" s="121">
        <f t="shared" ref="C14" si="23">1/(A14^2)</f>
        <v>289.83599746648179</v>
      </c>
      <c r="D14" s="106">
        <f t="shared" ref="D14" si="24">IF(B14&lt;&gt;0,B14-$A$3+1,"")</f>
        <v>60</v>
      </c>
      <c r="E14" s="81">
        <v>0.57123000782</v>
      </c>
      <c r="F14" s="41">
        <f t="shared" ref="F14" si="25">IF(B14&lt;&gt;0,$G$3/(1+EXP(-$G$4*(D14-$G$5))),"")</f>
        <v>0.81410331001486491</v>
      </c>
      <c r="G14" s="42">
        <f t="shared" ref="G14" si="26">IF(B14&lt;&gt;0,E14-F14,"")</f>
        <v>-0.24287330219486492</v>
      </c>
      <c r="H14" s="43">
        <f t="shared" ref="H14" si="27">IF(B14&lt;&gt;0,C14*(G14)^2,"")</f>
        <v>17.096683776764593</v>
      </c>
      <c r="J14" s="105">
        <f t="shared" si="7"/>
        <v>37771.5</v>
      </c>
      <c r="K14" s="109">
        <v>6</v>
      </c>
      <c r="L14" s="125">
        <f t="shared" si="5"/>
        <v>1.3286570992016391E-3</v>
      </c>
      <c r="M14" s="46">
        <f t="shared" si="8"/>
        <v>1.8291437965967419E-6</v>
      </c>
      <c r="N14" s="130">
        <v>1.8291437965967419E-6</v>
      </c>
      <c r="O14" s="89">
        <f t="shared" si="6"/>
        <v>1.8291437965967419E-6</v>
      </c>
      <c r="P14" s="48">
        <v>40328</v>
      </c>
      <c r="Q14" s="1">
        <v>0</v>
      </c>
      <c r="R14" s="100">
        <v>963</v>
      </c>
      <c r="S14" s="100">
        <f t="shared" si="20"/>
        <v>1.3828585603019978</v>
      </c>
      <c r="T14" s="101">
        <f t="shared" si="15"/>
        <v>961.617141439698</v>
      </c>
      <c r="AE14" s="93">
        <f t="shared" si="21"/>
        <v>37771.5</v>
      </c>
      <c r="AF14" s="92">
        <f>Logistic2010!Q14</f>
        <v>2.0816384458125417E-4</v>
      </c>
      <c r="AG14" s="4">
        <f t="shared" si="16"/>
        <v>0</v>
      </c>
      <c r="AH14" s="92">
        <f>Logistic2011!Q14</f>
        <v>2.0816384458125417E-4</v>
      </c>
      <c r="AI14" s="92">
        <f>Logistic2012!Q14</f>
        <v>0</v>
      </c>
      <c r="AJ14" s="92">
        <f>Logistic2013!L14</f>
        <v>4.436902928409236E-4</v>
      </c>
      <c r="AK14" s="119">
        <f>Logistic2014!AK14</f>
        <v>6.0857479252525697E-4</v>
      </c>
      <c r="AL14" s="119">
        <f t="shared" si="22"/>
        <v>1.3286570992016391E-3</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7"/>
        <v>37772.5</v>
      </c>
      <c r="K15" s="109">
        <v>7</v>
      </c>
      <c r="L15" s="125">
        <f t="shared" si="5"/>
        <v>1.5433232960257708E-3</v>
      </c>
      <c r="M15" s="46">
        <f t="shared" si="8"/>
        <v>2.6066622560821447E-6</v>
      </c>
      <c r="N15" s="130">
        <v>2.6066622560821447E-6</v>
      </c>
      <c r="O15" s="89">
        <f t="shared" si="6"/>
        <v>2.6066622560821447E-6</v>
      </c>
      <c r="P15" s="48">
        <v>40329</v>
      </c>
      <c r="Q15" s="1">
        <v>6.2104077545281245E-5</v>
      </c>
      <c r="R15" s="100">
        <v>1106</v>
      </c>
      <c r="S15" s="100">
        <f t="shared" si="20"/>
        <v>1.844771144857696</v>
      </c>
      <c r="T15" s="101">
        <f t="shared" si="15"/>
        <v>1104.1552288551422</v>
      </c>
      <c r="AE15" s="93">
        <f t="shared" si="21"/>
        <v>37772.5</v>
      </c>
      <c r="AF15" s="92">
        <f>Logistic2010!Q15</f>
        <v>2.542062975332477E-4</v>
      </c>
      <c r="AG15" s="4">
        <f t="shared" si="16"/>
        <v>6.2104077545281245E-5</v>
      </c>
      <c r="AH15" s="92">
        <f>Logistic2011!Q15</f>
        <v>3.5888786587624556E-5</v>
      </c>
      <c r="AI15" s="92">
        <f>Logistic2012!Q15</f>
        <v>6.2104077545281245E-5</v>
      </c>
      <c r="AJ15" s="92">
        <f>Logistic2013!L15</f>
        <v>5.4063505283763783E-4</v>
      </c>
      <c r="AK15" s="119">
        <f>Logistic2014!AK15</f>
        <v>7.3666320070702633E-4</v>
      </c>
      <c r="AL15" s="119">
        <f t="shared" si="22"/>
        <v>1.5433232960257708E-3</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I16" s="146"/>
      <c r="J16" s="105">
        <f t="shared" si="7"/>
        <v>37773.5</v>
      </c>
      <c r="K16" s="109">
        <v>8</v>
      </c>
      <c r="L16" s="125">
        <f t="shared" si="5"/>
        <v>1.7926100581472778E-3</v>
      </c>
      <c r="M16" s="46">
        <f t="shared" si="8"/>
        <v>3.7146810897353246E-6</v>
      </c>
      <c r="N16" s="130">
        <v>3.7146810897353246E-6</v>
      </c>
      <c r="O16" s="89">
        <f t="shared" si="6"/>
        <v>3.7146810897353246E-6</v>
      </c>
      <c r="P16" s="48">
        <v>40330</v>
      </c>
      <c r="Q16" s="1">
        <v>8.271689671114933E-5</v>
      </c>
      <c r="R16" s="100">
        <v>3668</v>
      </c>
      <c r="S16" s="100">
        <f t="shared" si="20"/>
        <v>7.1061799788809052</v>
      </c>
      <c r="T16" s="101">
        <f t="shared" si="15"/>
        <v>3660.8938200211192</v>
      </c>
      <c r="AE16" s="93">
        <f t="shared" si="21"/>
        <v>37773.5</v>
      </c>
      <c r="AF16" s="92">
        <f>Logistic2010!Q16</f>
        <v>3.1042942936064727E-4</v>
      </c>
      <c r="AG16" s="4">
        <f t="shared" si="16"/>
        <v>8.271689671114933E-5</v>
      </c>
      <c r="AH16" s="92">
        <f>Logistic2011!Q16</f>
        <v>4.6160789501698919E-5</v>
      </c>
      <c r="AI16" s="92">
        <f>Logistic2012!Q16</f>
        <v>8.271689671114933E-5</v>
      </c>
      <c r="AJ16" s="92">
        <f>Logistic2013!L16</f>
        <v>6.5874794022489089E-4</v>
      </c>
      <c r="AK16" s="119">
        <f>Logistic2014!AK16</f>
        <v>8.9168667425910237E-4</v>
      </c>
      <c r="AL16" s="119">
        <f t="shared" si="22"/>
        <v>1.7926100581472778E-3</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28">IF(B17&lt;&gt;0,B17-$A$3+1,"")</f>
        <v/>
      </c>
      <c r="E17" s="81"/>
      <c r="F17" s="50" t="str">
        <f t="shared" ref="F17:F65" si="29">IF(B17&lt;&gt;0,$G$3/(1+EXP(-$G$4*(D17-$G$5))),"")</f>
        <v/>
      </c>
      <c r="G17" s="16" t="str">
        <f t="shared" ref="G17:G65" si="30">IF(B17&lt;&gt;0,E17-F17,"")</f>
        <v/>
      </c>
      <c r="H17" s="51" t="str">
        <f t="shared" ref="H17:H65" si="31">IF(B17&lt;&gt;0,C17*(G17)^2,"")</f>
        <v/>
      </c>
      <c r="J17" s="105">
        <f t="shared" si="7"/>
        <v>37774.5</v>
      </c>
      <c r="K17" s="109">
        <v>9</v>
      </c>
      <c r="L17" s="125">
        <f t="shared" si="5"/>
        <v>2.0820791342632487E-3</v>
      </c>
      <c r="M17" s="46">
        <f t="shared" si="8"/>
        <v>5.2936850821911276E-6</v>
      </c>
      <c r="N17" s="130">
        <v>5.2936850821911276E-6</v>
      </c>
      <c r="O17" s="89">
        <f t="shared" si="6"/>
        <v>5.2936850821911276E-6</v>
      </c>
      <c r="P17" s="48">
        <v>40331</v>
      </c>
      <c r="Q17" s="1">
        <v>1.1017051470513796E-4</v>
      </c>
      <c r="R17" s="100">
        <v>2939</v>
      </c>
      <c r="S17" s="100">
        <f t="shared" si="20"/>
        <v>6.6131281272212927</v>
      </c>
      <c r="T17" s="101">
        <f t="shared" si="15"/>
        <v>2932.3868718727786</v>
      </c>
      <c r="AE17" s="93">
        <f t="shared" si="21"/>
        <v>37774.5</v>
      </c>
      <c r="AF17" s="92">
        <f>Logistic2010!Q17</f>
        <v>3.7908278806435145E-4</v>
      </c>
      <c r="AG17" s="4">
        <f t="shared" si="16"/>
        <v>1.1017051470513796E-4</v>
      </c>
      <c r="AH17" s="92">
        <f>Logistic2011!Q17</f>
        <v>5.9372646030949961E-5</v>
      </c>
      <c r="AI17" s="92">
        <f>Logistic2012!Q17</f>
        <v>1.1017051470513796E-4</v>
      </c>
      <c r="AJ17" s="92">
        <f>Logistic2013!L17</f>
        <v>8.0264430321866907E-4</v>
      </c>
      <c r="AK17" s="119">
        <f>Logistic2014!AK17</f>
        <v>1.0792980661665267E-3</v>
      </c>
      <c r="AL17" s="119">
        <f t="shared" si="22"/>
        <v>2.0820791342632487E-3</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28"/>
        <v/>
      </c>
      <c r="E18" s="81"/>
      <c r="F18" s="50" t="str">
        <f t="shared" si="29"/>
        <v/>
      </c>
      <c r="G18" s="16" t="str">
        <f t="shared" si="30"/>
        <v/>
      </c>
      <c r="H18" s="51" t="str">
        <f t="shared" si="31"/>
        <v/>
      </c>
      <c r="J18" s="105">
        <f t="shared" si="7"/>
        <v>37775.5</v>
      </c>
      <c r="K18" s="109">
        <v>10</v>
      </c>
      <c r="L18" s="125">
        <f t="shared" si="5"/>
        <v>2.4181781826617546E-3</v>
      </c>
      <c r="M18" s="46">
        <f t="shared" si="8"/>
        <v>7.543873151853996E-6</v>
      </c>
      <c r="N18" s="130">
        <v>7.543873151853996E-6</v>
      </c>
      <c r="O18" s="89">
        <f t="shared" si="6"/>
        <v>7.543873151853996E-6</v>
      </c>
      <c r="P18" s="48">
        <v>40332</v>
      </c>
      <c r="Q18" s="1">
        <v>1.4673461154601208E-4</v>
      </c>
      <c r="R18" s="100">
        <v>2148</v>
      </c>
      <c r="S18" s="100">
        <f t="shared" si="20"/>
        <v>5.6133226733629975</v>
      </c>
      <c r="T18" s="101">
        <f t="shared" si="15"/>
        <v>2142.3866773266368</v>
      </c>
      <c r="W18" s="4" t="s">
        <v>48</v>
      </c>
      <c r="AE18" s="93">
        <f t="shared" si="21"/>
        <v>37775.5</v>
      </c>
      <c r="AF18" s="92">
        <f>Logistic2010!Q18</f>
        <v>4.6291222449000769E-4</v>
      </c>
      <c r="AG18" s="4">
        <f t="shared" si="16"/>
        <v>1.4673461154601208E-4</v>
      </c>
      <c r="AH18" s="92">
        <f>Logistic2011!Q18</f>
        <v>7.6365629883993208E-5</v>
      </c>
      <c r="AI18" s="92">
        <f>Logistic2012!Q18</f>
        <v>1.4673461154601208E-4</v>
      </c>
      <c r="AJ18" s="92">
        <f>Logistic2013!L18</f>
        <v>9.7794251088522961E-4</v>
      </c>
      <c r="AK18" s="119">
        <f>Logistic2014!AK18</f>
        <v>1.3063313918701522E-3</v>
      </c>
      <c r="AL18" s="119">
        <f t="shared" si="22"/>
        <v>2.4181781826617546E-3</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28"/>
        <v/>
      </c>
      <c r="E19" s="81"/>
      <c r="F19" s="50" t="str">
        <f t="shared" si="29"/>
        <v/>
      </c>
      <c r="G19" s="16" t="str">
        <f t="shared" si="30"/>
        <v/>
      </c>
      <c r="H19" s="51" t="str">
        <f t="shared" si="31"/>
        <v/>
      </c>
      <c r="J19" s="105">
        <f t="shared" si="7"/>
        <v>37776.5</v>
      </c>
      <c r="K19" s="109">
        <v>11</v>
      </c>
      <c r="L19" s="125">
        <f t="shared" si="5"/>
        <v>2.8083792413261389E-3</v>
      </c>
      <c r="M19" s="46">
        <f t="shared" si="8"/>
        <v>1.0750538956072072E-5</v>
      </c>
      <c r="N19" s="130">
        <v>1.0750538956072072E-5</v>
      </c>
      <c r="O19" s="89">
        <f t="shared" si="6"/>
        <v>1.0750538956072072E-5</v>
      </c>
      <c r="P19" s="48">
        <v>40333</v>
      </c>
      <c r="Q19" s="1">
        <v>1.9543146345089269E-4</v>
      </c>
      <c r="R19" s="100">
        <v>5309</v>
      </c>
      <c r="S19" s="100">
        <f t="shared" si="20"/>
        <v>16.112064198049932</v>
      </c>
      <c r="T19" s="101">
        <f t="shared" si="15"/>
        <v>5292.8879358019503</v>
      </c>
      <c r="W19" s="4">
        <v>1</v>
      </c>
      <c r="X19" s="4">
        <v>0.23502364558685596</v>
      </c>
      <c r="AE19" s="93">
        <f t="shared" si="21"/>
        <v>37776.5</v>
      </c>
      <c r="AF19" s="92">
        <f>Logistic2010!Q19</f>
        <v>5.6526901369757224E-4</v>
      </c>
      <c r="AG19" s="4">
        <f t="shared" si="16"/>
        <v>1.9543146345089269E-4</v>
      </c>
      <c r="AH19" s="92">
        <f>Logistic2011!Q19</f>
        <v>9.8221680405067934E-5</v>
      </c>
      <c r="AI19" s="92">
        <f>Logistic2012!Q19</f>
        <v>1.9543146345089269E-4</v>
      </c>
      <c r="AJ19" s="92">
        <f>Logistic2013!L19</f>
        <v>1.19148034540422E-3</v>
      </c>
      <c r="AK19" s="119">
        <f>Logistic2014!AK19</f>
        <v>1.5810462162153941E-3</v>
      </c>
      <c r="AL19" s="119">
        <f t="shared" si="22"/>
        <v>2.8083792413261389E-3</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28"/>
        <v/>
      </c>
      <c r="E20" s="81"/>
      <c r="F20" s="50" t="str">
        <f t="shared" si="29"/>
        <v/>
      </c>
      <c r="G20" s="16" t="str">
        <f t="shared" si="30"/>
        <v/>
      </c>
      <c r="H20" s="51" t="str">
        <f t="shared" si="31"/>
        <v/>
      </c>
      <c r="J20" s="105">
        <f t="shared" si="7"/>
        <v>37777.5</v>
      </c>
      <c r="K20" s="109">
        <v>12</v>
      </c>
      <c r="L20" s="125">
        <f t="shared" si="5"/>
        <v>3.2613379174796378E-3</v>
      </c>
      <c r="M20" s="46">
        <f t="shared" si="8"/>
        <v>1.5320237759159121E-5</v>
      </c>
      <c r="N20" s="130">
        <v>1.5320237759159121E-5</v>
      </c>
      <c r="O20" s="89">
        <f t="shared" si="6"/>
        <v>1.5320237759159121E-5</v>
      </c>
      <c r="P20" s="48">
        <v>40334</v>
      </c>
      <c r="Q20" s="1">
        <v>2.6028514457293443E-4</v>
      </c>
      <c r="R20" s="100">
        <v>3853</v>
      </c>
      <c r="S20" s="100">
        <f t="shared" si="20"/>
        <v>13.578769549011804</v>
      </c>
      <c r="T20" s="101">
        <f t="shared" si="15"/>
        <v>3839.4212304509883</v>
      </c>
      <c r="U20" s="40">
        <v>40712</v>
      </c>
      <c r="V20" s="92">
        <v>3.5999999999999997E-2</v>
      </c>
      <c r="W20" s="92">
        <v>0.2350236455868559</v>
      </c>
      <c r="X20" s="92">
        <v>1</v>
      </c>
      <c r="Y20" s="92"/>
      <c r="Z20" s="92"/>
      <c r="AE20" s="93">
        <f t="shared" si="21"/>
        <v>37777.5</v>
      </c>
      <c r="AF20" s="92">
        <f>Logistic2010!Q20</f>
        <v>6.9024278465830858E-4</v>
      </c>
      <c r="AG20" s="4">
        <f t="shared" si="16"/>
        <v>2.6028514457293443E-4</v>
      </c>
      <c r="AH20" s="92">
        <f>Logistic2011!Q20</f>
        <v>1.2633220159905076E-4</v>
      </c>
      <c r="AI20" s="92">
        <f>Logistic2012!Q20</f>
        <v>2.6028514457293443E-4</v>
      </c>
      <c r="AJ20" s="92">
        <f>Logistic2013!L20</f>
        <v>1.4515773097888444E-3</v>
      </c>
      <c r="AK20" s="119">
        <f>Logistic2014!AK20</f>
        <v>1.9134214809037675E-3</v>
      </c>
      <c r="AL20" s="119">
        <f t="shared" si="22"/>
        <v>3.2613379174796378E-3</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28"/>
        <v/>
      </c>
      <c r="E21" s="81"/>
      <c r="F21" s="50" t="str">
        <f t="shared" si="29"/>
        <v/>
      </c>
      <c r="G21" s="16" t="str">
        <f t="shared" si="30"/>
        <v/>
      </c>
      <c r="H21" s="51" t="str">
        <f t="shared" si="31"/>
        <v/>
      </c>
      <c r="I21" s="9">
        <f>1-0.15</f>
        <v>0.85</v>
      </c>
      <c r="J21" s="105">
        <f t="shared" si="7"/>
        <v>37778.5</v>
      </c>
      <c r="K21" s="109">
        <v>13</v>
      </c>
      <c r="L21" s="125">
        <f t="shared" si="5"/>
        <v>3.7870760711068165E-3</v>
      </c>
      <c r="M21" s="46">
        <f>IF(J22&gt;MAX($B$9:$B$64),L21,N21)</f>
        <v>2.1832322085948411E-5</v>
      </c>
      <c r="N21" s="130">
        <v>2.1832322085948411E-5</v>
      </c>
      <c r="O21" s="89">
        <f t="shared" si="6"/>
        <v>2.1832322085948411E-5</v>
      </c>
      <c r="P21" s="48">
        <v>40335</v>
      </c>
      <c r="Q21" s="1">
        <v>3.4665297481631412E-4</v>
      </c>
      <c r="R21" s="100">
        <v>10476</v>
      </c>
      <c r="S21" s="100">
        <f t="shared" si="20"/>
        <v>42.86919102547327</v>
      </c>
      <c r="T21" s="101">
        <f t="shared" si="15"/>
        <v>10433.130808974527</v>
      </c>
      <c r="U21" s="49">
        <v>40713</v>
      </c>
      <c r="V21" s="92"/>
      <c r="W21" s="92"/>
      <c r="X21" s="92"/>
      <c r="Y21" s="92"/>
      <c r="Z21" s="92"/>
      <c r="AE21" s="93">
        <f t="shared" si="21"/>
        <v>37778.5</v>
      </c>
      <c r="AF21" s="92">
        <f>Logistic2010!Q21</f>
        <v>8.428233623178356E-4</v>
      </c>
      <c r="AG21" s="4">
        <f t="shared" si="16"/>
        <v>3.4665297481631412E-4</v>
      </c>
      <c r="AH21" s="92">
        <f>Logistic2011!Q21</f>
        <v>1.624864967222617E-4</v>
      </c>
      <c r="AI21" s="92">
        <f>Logistic2012!Q21</f>
        <v>3.4665297481631412E-4</v>
      </c>
      <c r="AJ21" s="92">
        <f>Logistic2013!L21</f>
        <v>1.7683522199292421E-3</v>
      </c>
      <c r="AK21" s="119">
        <f>Logistic2014!AK21</f>
        <v>2.3155082495920514E-3</v>
      </c>
      <c r="AL21" s="119">
        <f t="shared" si="22"/>
        <v>3.7870760711068165E-3</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28"/>
        <v/>
      </c>
      <c r="E22" s="81"/>
      <c r="F22" s="50" t="str">
        <f t="shared" si="29"/>
        <v/>
      </c>
      <c r="G22" s="16" t="str">
        <f t="shared" si="30"/>
        <v/>
      </c>
      <c r="H22" s="51" t="str">
        <f t="shared" si="31"/>
        <v/>
      </c>
      <c r="I22" s="53"/>
      <c r="J22" s="105">
        <f t="shared" si="7"/>
        <v>37779.5</v>
      </c>
      <c r="K22" s="109">
        <v>14</v>
      </c>
      <c r="L22" s="125">
        <f t="shared" si="5"/>
        <v>4.3971910204306536E-3</v>
      </c>
      <c r="M22" s="46">
        <f t="shared" si="8"/>
        <v>3.1112374086324488E-5</v>
      </c>
      <c r="N22" s="130">
        <v>3.1112374086324488E-5</v>
      </c>
      <c r="O22" s="89">
        <f t="shared" si="6"/>
        <v>3.1112374086324488E-5</v>
      </c>
      <c r="P22" s="48">
        <v>40336</v>
      </c>
      <c r="Q22" s="1">
        <v>4.6166614885428784E-4</v>
      </c>
      <c r="R22" s="100">
        <v>15768</v>
      </c>
      <c r="S22" s="100">
        <f t="shared" si="20"/>
        <v>74.916019257036439</v>
      </c>
      <c r="T22" s="101">
        <f t="shared" si="15"/>
        <v>15693.083980742964</v>
      </c>
      <c r="U22" s="49">
        <v>40714</v>
      </c>
      <c r="V22" s="92"/>
      <c r="W22" s="92"/>
      <c r="X22" s="92"/>
      <c r="Y22" s="92"/>
      <c r="Z22" s="92"/>
      <c r="AE22" s="93">
        <f t="shared" si="21"/>
        <v>37779.5</v>
      </c>
      <c r="AF22" s="92">
        <f>Logistic2010!Q22</f>
        <v>1.0290976755680944E-3</v>
      </c>
      <c r="AG22" s="4">
        <f t="shared" si="16"/>
        <v>4.6166614885428784E-4</v>
      </c>
      <c r="AH22" s="92">
        <f>Logistic2011!Q22</f>
        <v>2.0898542158394941E-4</v>
      </c>
      <c r="AI22" s="92">
        <f>Logistic2012!Q22</f>
        <v>4.6166614885428784E-4</v>
      </c>
      <c r="AJ22" s="92">
        <f>Logistic2013!L22</f>
        <v>2.1541071781976768E-3</v>
      </c>
      <c r="AK22" s="119">
        <f>Logistic2014!AK22</f>
        <v>2.801852416196298E-3</v>
      </c>
      <c r="AL22" s="119">
        <f t="shared" si="22"/>
        <v>4.3971910204306536E-3</v>
      </c>
      <c r="AM22" s="110">
        <v>0.69199999999999995</v>
      </c>
      <c r="AO22" s="110">
        <v>0.70699999999999996</v>
      </c>
      <c r="AP22" s="113">
        <v>0.997</v>
      </c>
      <c r="AQ22" s="110"/>
      <c r="AR22" t="s">
        <v>35</v>
      </c>
      <c r="AS22"/>
      <c r="AT22"/>
      <c r="AU22"/>
      <c r="AV22"/>
      <c r="AW22"/>
      <c r="AX22"/>
    </row>
    <row r="23" spans="1:50" x14ac:dyDescent="0.25">
      <c r="A23" s="39"/>
      <c r="B23" s="49"/>
      <c r="C23" s="79"/>
      <c r="D23" s="86" t="str">
        <f t="shared" si="28"/>
        <v/>
      </c>
      <c r="E23" s="81"/>
      <c r="F23" s="50" t="str">
        <f t="shared" si="29"/>
        <v/>
      </c>
      <c r="G23" s="16" t="str">
        <f t="shared" si="30"/>
        <v/>
      </c>
      <c r="H23" s="51" t="str">
        <f t="shared" si="31"/>
        <v/>
      </c>
      <c r="I23" s="53"/>
      <c r="J23" s="105">
        <f t="shared" si="7"/>
        <v>37780.5</v>
      </c>
      <c r="K23" s="109">
        <v>15</v>
      </c>
      <c r="L23" s="125">
        <f t="shared" si="5"/>
        <v>5.1050945271386566E-3</v>
      </c>
      <c r="M23" s="46">
        <f t="shared" si="8"/>
        <v>4.4336832295415093E-5</v>
      </c>
      <c r="N23" s="130">
        <v>4.4336832295415093E-5</v>
      </c>
      <c r="O23" s="89">
        <f t="shared" si="6"/>
        <v>4.4336832295415093E-5</v>
      </c>
      <c r="P23" s="48">
        <v>40337</v>
      </c>
      <c r="Q23" s="1">
        <v>6.1481514040778599E-4</v>
      </c>
      <c r="R23" s="100">
        <v>13548</v>
      </c>
      <c r="S23" s="100">
        <f t="shared" si="20"/>
        <v>74.72656492346988</v>
      </c>
      <c r="T23" s="101">
        <f t="shared" si="15"/>
        <v>13473.273435076529</v>
      </c>
      <c r="U23" s="49">
        <v>40715</v>
      </c>
      <c r="V23" s="92"/>
      <c r="W23" s="92"/>
      <c r="X23" s="92"/>
      <c r="Y23" s="92"/>
      <c r="Z23" s="92"/>
      <c r="AE23" s="93">
        <f t="shared" si="21"/>
        <v>37780.5</v>
      </c>
      <c r="AF23" s="92">
        <f>Logistic2010!Q23</f>
        <v>1.2564891276397731E-3</v>
      </c>
      <c r="AG23" s="4">
        <f t="shared" si="16"/>
        <v>6.1481514040778599E-4</v>
      </c>
      <c r="AH23" s="92">
        <f>Logistic2011!Q23</f>
        <v>2.6878741349269233E-4</v>
      </c>
      <c r="AI23" s="92">
        <f>Logistic2012!Q23</f>
        <v>6.1481514040778599E-4</v>
      </c>
      <c r="AJ23" s="92">
        <f>Logistic2013!L23</f>
        <v>2.6237909806921655E-3</v>
      </c>
      <c r="AK23" s="119">
        <f>Logistic2014!AK23</f>
        <v>3.3900001278880923E-3</v>
      </c>
      <c r="AL23" s="119">
        <f t="shared" si="22"/>
        <v>5.1050945271386566E-3</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28"/>
        <v/>
      </c>
      <c r="E24" s="81"/>
      <c r="F24" s="50" t="str">
        <f t="shared" si="29"/>
        <v/>
      </c>
      <c r="G24" s="16" t="str">
        <f t="shared" si="30"/>
        <v/>
      </c>
      <c r="H24" s="51" t="str">
        <f t="shared" si="31"/>
        <v/>
      </c>
      <c r="I24" s="53"/>
      <c r="J24" s="105">
        <f t="shared" si="7"/>
        <v>37781.5</v>
      </c>
      <c r="K24" s="109">
        <v>16</v>
      </c>
      <c r="L24" s="125">
        <f t="shared" si="5"/>
        <v>5.9262850009791299E-3</v>
      </c>
      <c r="M24" s="46">
        <f t="shared" si="8"/>
        <v>6.3182052340935858E-5</v>
      </c>
      <c r="N24" s="130">
        <v>6.3182052340935858E-5</v>
      </c>
      <c r="O24" s="89">
        <f t="shared" si="6"/>
        <v>6.3182052340935858E-5</v>
      </c>
      <c r="P24" s="48">
        <v>40338</v>
      </c>
      <c r="Q24" s="1">
        <v>8.1872679212602632E-4</v>
      </c>
      <c r="R24" s="100">
        <v>8722</v>
      </c>
      <c r="S24" s="100">
        <f t="shared" si="20"/>
        <v>55.842349723701126</v>
      </c>
      <c r="T24" s="101">
        <f t="shared" si="15"/>
        <v>8666.1576502762982</v>
      </c>
      <c r="U24" s="49">
        <v>40716</v>
      </c>
      <c r="V24" s="92"/>
      <c r="W24" s="92"/>
      <c r="X24" s="92"/>
      <c r="Y24" s="92"/>
      <c r="Z24" s="92"/>
      <c r="AE24" s="93">
        <f t="shared" si="21"/>
        <v>37781.5</v>
      </c>
      <c r="AF24" s="92">
        <f>Logistic2010!Q24</f>
        <v>1.5340482859932569E-3</v>
      </c>
      <c r="AG24" s="4">
        <f t="shared" si="16"/>
        <v>8.1872679212602632E-4</v>
      </c>
      <c r="AH24" s="92">
        <f>Logistic2011!Q24</f>
        <v>3.4569606119318159E-4</v>
      </c>
      <c r="AI24" s="92">
        <f>Logistic2012!Q24</f>
        <v>8.1872679212602632E-4</v>
      </c>
      <c r="AJ24" s="92">
        <f>Logistic2013!L24</f>
        <v>3.1955571705628975E-3</v>
      </c>
      <c r="AK24" s="119">
        <f>Logistic2014!AK24</f>
        <v>4.101100461714453E-3</v>
      </c>
      <c r="AL24" s="119">
        <f t="shared" si="22"/>
        <v>5.9262850009791299E-3</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28"/>
        <v/>
      </c>
      <c r="E25" s="81"/>
      <c r="F25" s="50" t="str">
        <f t="shared" si="29"/>
        <v/>
      </c>
      <c r="G25" s="16" t="str">
        <f t="shared" si="30"/>
        <v/>
      </c>
      <c r="H25" s="51" t="str">
        <f t="shared" si="31"/>
        <v/>
      </c>
      <c r="I25" s="54"/>
      <c r="J25" s="105">
        <f t="shared" si="7"/>
        <v>37782.5</v>
      </c>
      <c r="K25" s="109">
        <v>17</v>
      </c>
      <c r="L25" s="125">
        <f t="shared" si="5"/>
        <v>6.8786564628367675E-3</v>
      </c>
      <c r="M25" s="46">
        <f t="shared" si="8"/>
        <v>9.003664795384782E-5</v>
      </c>
      <c r="N25" s="130">
        <v>9.003664795384782E-5</v>
      </c>
      <c r="O25" s="89">
        <f t="shared" si="6"/>
        <v>9.003664795384782E-5</v>
      </c>
      <c r="P25" s="48">
        <v>40339</v>
      </c>
      <c r="Q25" s="1">
        <v>1.0901946909765959E-3</v>
      </c>
      <c r="R25" s="100">
        <v>10831</v>
      </c>
      <c r="S25" s="100">
        <f t="shared" si="20"/>
        <v>80.482476200387978</v>
      </c>
      <c r="T25" s="101">
        <f t="shared" si="15"/>
        <v>10750.517523799612</v>
      </c>
      <c r="U25" s="49">
        <v>40717</v>
      </c>
      <c r="V25" s="92"/>
      <c r="W25" s="92"/>
      <c r="X25" s="92"/>
      <c r="Y25" s="92"/>
      <c r="Z25" s="92"/>
      <c r="AE25" s="93">
        <f t="shared" si="21"/>
        <v>37782.5</v>
      </c>
      <c r="AF25" s="92">
        <f>Logistic2010!Q25</f>
        <v>1.8728054475450151E-3</v>
      </c>
      <c r="AG25" s="4">
        <f t="shared" si="16"/>
        <v>1.0901946909765959E-3</v>
      </c>
      <c r="AH25" s="92">
        <f>Logistic2011!Q25</f>
        <v>4.4460093825327419E-4</v>
      </c>
      <c r="AI25" s="92">
        <f>Logistic2012!Q25</f>
        <v>1.0901946909765959E-3</v>
      </c>
      <c r="AJ25" s="92">
        <f>Logistic2013!L25</f>
        <v>3.8914342584479623E-3</v>
      </c>
      <c r="AK25" s="119">
        <f>Logistic2014!AK25</f>
        <v>4.960621659003208E-3</v>
      </c>
      <c r="AL25" s="119">
        <f t="shared" si="22"/>
        <v>6.8786564628367675E-3</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28"/>
        <v/>
      </c>
      <c r="E26" s="81"/>
      <c r="F26" s="50" t="str">
        <f t="shared" si="29"/>
        <v/>
      </c>
      <c r="G26" s="16" t="str">
        <f t="shared" si="30"/>
        <v/>
      </c>
      <c r="H26" s="51" t="str">
        <f t="shared" si="31"/>
        <v/>
      </c>
      <c r="I26" s="54"/>
      <c r="J26" s="105">
        <f t="shared" si="7"/>
        <v>37783.5</v>
      </c>
      <c r="K26" s="109">
        <v>18</v>
      </c>
      <c r="L26" s="125">
        <f t="shared" si="5"/>
        <v>7.9828477750707172E-3</v>
      </c>
      <c r="M26" s="46">
        <f t="shared" si="8"/>
        <v>1.2830392713932698E-4</v>
      </c>
      <c r="N26" s="130">
        <v>1.2830392713932698E-4</v>
      </c>
      <c r="O26" s="89">
        <f t="shared" si="6"/>
        <v>1.2830392713932698E-4</v>
      </c>
      <c r="P26" s="48">
        <v>40340</v>
      </c>
      <c r="Q26" s="1">
        <v>1.4515433191966043E-3</v>
      </c>
      <c r="R26" s="100">
        <v>10194</v>
      </c>
      <c r="S26" s="100">
        <f t="shared" si="20"/>
        <v>87.900227862143808</v>
      </c>
      <c r="T26" s="101">
        <f t="shared" si="15"/>
        <v>10106.099772137855</v>
      </c>
      <c r="U26" s="49">
        <v>40718</v>
      </c>
      <c r="V26" s="92"/>
      <c r="W26" s="92"/>
      <c r="X26" s="92"/>
      <c r="Y26" s="92"/>
      <c r="Z26" s="92"/>
      <c r="AE26" s="93">
        <f t="shared" si="21"/>
        <v>37783.5</v>
      </c>
      <c r="AF26" s="92">
        <f>Logistic2010!Q26</f>
        <v>2.2861975841660187E-3</v>
      </c>
      <c r="AG26" s="4">
        <f t="shared" si="16"/>
        <v>1.4515433191966043E-3</v>
      </c>
      <c r="AH26" s="92">
        <f>Logistic2011!Q26</f>
        <v>5.7178666821399956E-4</v>
      </c>
      <c r="AI26" s="92">
        <f>Logistic2012!Q26</f>
        <v>1.4515433191966043E-3</v>
      </c>
      <c r="AJ26" s="92">
        <f>Logistic2013!L26</f>
        <v>4.7381279726284222E-3</v>
      </c>
      <c r="AK26" s="119">
        <f>Logistic2014!AK26</f>
        <v>5.9991987892107617E-3</v>
      </c>
      <c r="AL26" s="119">
        <f t="shared" si="22"/>
        <v>7.9828477750707172E-3</v>
      </c>
      <c r="AM26" s="114"/>
      <c r="AN26" s="114"/>
      <c r="AO26" s="114"/>
      <c r="AP26" s="114"/>
      <c r="AQ26" s="114"/>
      <c r="AR26" s="110"/>
      <c r="AS26" s="110"/>
      <c r="AT26" s="110"/>
      <c r="AU26" s="110"/>
      <c r="AV26" s="110"/>
      <c r="AW26" s="110"/>
      <c r="AX26" s="110"/>
    </row>
    <row r="27" spans="1:50" ht="16.5" thickBot="1" x14ac:dyDescent="0.3">
      <c r="B27" s="49"/>
      <c r="C27" s="79"/>
      <c r="D27" s="86" t="str">
        <f t="shared" si="28"/>
        <v/>
      </c>
      <c r="E27" s="81"/>
      <c r="F27" s="50" t="str">
        <f t="shared" si="29"/>
        <v/>
      </c>
      <c r="G27" s="16" t="str">
        <f t="shared" si="30"/>
        <v/>
      </c>
      <c r="H27" s="51" t="str">
        <f t="shared" si="31"/>
        <v/>
      </c>
      <c r="I27" s="54"/>
      <c r="J27" s="105">
        <f t="shared" si="7"/>
        <v>37784.5</v>
      </c>
      <c r="K27" s="109">
        <v>19</v>
      </c>
      <c r="L27" s="125">
        <f t="shared" si="5"/>
        <v>9.2626354233094708E-3</v>
      </c>
      <c r="M27" s="46">
        <f t="shared" si="8"/>
        <v>1.8283255021357849E-4</v>
      </c>
      <c r="N27" s="130">
        <v>1.8283255021357849E-4</v>
      </c>
      <c r="O27" s="89">
        <f t="shared" si="6"/>
        <v>1.8283255021357849E-4</v>
      </c>
      <c r="P27" s="48">
        <v>40341</v>
      </c>
      <c r="Q27" s="1">
        <v>1.9324304426046567E-3</v>
      </c>
      <c r="R27" s="100">
        <v>4837</v>
      </c>
      <c r="S27" s="100">
        <f t="shared" si="20"/>
        <v>48.389367474547143</v>
      </c>
      <c r="T27" s="101">
        <f t="shared" si="15"/>
        <v>4788.6106325254532</v>
      </c>
      <c r="U27" s="49">
        <v>40719</v>
      </c>
      <c r="V27" s="92">
        <v>7.0000000000000001E-3</v>
      </c>
      <c r="W27" s="92"/>
      <c r="X27" s="92"/>
      <c r="Y27" s="92"/>
      <c r="Z27" s="92"/>
      <c r="AE27" s="93">
        <f t="shared" si="21"/>
        <v>37784.5</v>
      </c>
      <c r="AF27" s="92">
        <f>Logistic2010!Q27</f>
        <v>2.7905843687065831E-3</v>
      </c>
      <c r="AG27" s="4">
        <f t="shared" si="16"/>
        <v>1.9324304426046567E-3</v>
      </c>
      <c r="AH27" s="92">
        <f>Logistic2011!Q27</f>
        <v>7.3532929350053459E-4</v>
      </c>
      <c r="AI27" s="92">
        <f>Logistic2012!Q27</f>
        <v>1.9324304426046567E-3</v>
      </c>
      <c r="AJ27" s="92">
        <f>Logistic2013!L27</f>
        <v>5.7679775716238009E-3</v>
      </c>
      <c r="AK27" s="119">
        <f>Logistic2014!AK27</f>
        <v>7.2536318036214055E-3</v>
      </c>
      <c r="AL27" s="119">
        <f t="shared" si="22"/>
        <v>9.2626354233094708E-3</v>
      </c>
      <c r="AM27" s="114"/>
      <c r="AO27" s="114"/>
      <c r="AP27" s="114"/>
      <c r="AQ27" s="114"/>
      <c r="AR27" s="111" t="s">
        <v>45</v>
      </c>
      <c r="AS27" s="111">
        <v>4.8233989090909093</v>
      </c>
      <c r="AT27" s="111">
        <v>32</v>
      </c>
      <c r="AU27" s="111"/>
      <c r="AV27" s="111"/>
      <c r="AW27" s="111"/>
      <c r="AX27" s="111"/>
    </row>
    <row r="28" spans="1:50" x14ac:dyDescent="0.25">
      <c r="B28" s="49"/>
      <c r="C28" s="79"/>
      <c r="D28" s="86" t="str">
        <f t="shared" si="28"/>
        <v/>
      </c>
      <c r="E28" s="81"/>
      <c r="F28" s="50" t="str">
        <f t="shared" si="29"/>
        <v/>
      </c>
      <c r="G28" s="16" t="str">
        <f t="shared" si="30"/>
        <v/>
      </c>
      <c r="H28" s="51" t="str">
        <f t="shared" si="31"/>
        <v/>
      </c>
      <c r="I28" s="54"/>
      <c r="J28" s="105">
        <f t="shared" si="7"/>
        <v>37785.5</v>
      </c>
      <c r="K28" s="109">
        <v>20</v>
      </c>
      <c r="L28" s="125">
        <f t="shared" si="5"/>
        <v>1.0745372629015171E-2</v>
      </c>
      <c r="M28" s="46">
        <f t="shared" si="8"/>
        <v>2.6052956766402371E-4</v>
      </c>
      <c r="N28" s="130">
        <v>2.6052956766402371E-4</v>
      </c>
      <c r="O28" s="89">
        <f t="shared" si="6"/>
        <v>2.6052956766402371E-4</v>
      </c>
      <c r="P28" s="48">
        <v>40342</v>
      </c>
      <c r="Q28" s="1">
        <v>2.5722220404043386E-3</v>
      </c>
      <c r="R28" s="100">
        <v>8645</v>
      </c>
      <c r="S28" s="100">
        <f t="shared" si="20"/>
        <v>100.31592861240667</v>
      </c>
      <c r="T28" s="101">
        <f t="shared" si="15"/>
        <v>8544.6840713875936</v>
      </c>
      <c r="U28" s="40">
        <v>40720</v>
      </c>
      <c r="V28" s="92"/>
      <c r="W28" s="92"/>
      <c r="X28" s="92"/>
      <c r="Y28" s="92"/>
      <c r="Z28" s="92"/>
      <c r="AE28" s="93">
        <f t="shared" si="21"/>
        <v>37785.5</v>
      </c>
      <c r="AF28" s="92">
        <f>Logistic2010!Q28</f>
        <v>3.4058703908046778E-3</v>
      </c>
      <c r="AG28" s="4">
        <f t="shared" si="16"/>
        <v>2.5722220404043386E-3</v>
      </c>
      <c r="AH28" s="92">
        <f>Logistic2011!Q28</f>
        <v>9.4560418099634688E-4</v>
      </c>
      <c r="AI28" s="92">
        <f>Logistic2012!Q28</f>
        <v>2.5722220404043386E-3</v>
      </c>
      <c r="AJ28" s="92">
        <f>Logistic2013!L28</f>
        <v>7.0200899120878707E-3</v>
      </c>
      <c r="AK28" s="119">
        <f>Logistic2014!AK28</f>
        <v>8.7680531167695416E-3</v>
      </c>
      <c r="AL28" s="119">
        <f t="shared" si="22"/>
        <v>1.0745372629015171E-2</v>
      </c>
      <c r="AM28" s="114"/>
      <c r="AN28" s="114"/>
      <c r="AQ28" s="114"/>
      <c r="AR28" s="114"/>
      <c r="AS28" s="114"/>
      <c r="AT28" s="114"/>
      <c r="AU28" s="114"/>
    </row>
    <row r="29" spans="1:50" x14ac:dyDescent="0.25">
      <c r="B29" s="49"/>
      <c r="C29" s="79"/>
      <c r="D29" s="86" t="str">
        <f t="shared" si="28"/>
        <v/>
      </c>
      <c r="E29" s="81"/>
      <c r="F29" s="50" t="str">
        <f t="shared" si="29"/>
        <v/>
      </c>
      <c r="G29" s="16" t="str">
        <f t="shared" si="30"/>
        <v/>
      </c>
      <c r="H29" s="51" t="str">
        <f t="shared" si="31"/>
        <v/>
      </c>
      <c r="I29" s="54"/>
      <c r="J29" s="105">
        <f t="shared" si="7"/>
        <v>37786.5</v>
      </c>
      <c r="K29" s="109">
        <v>21</v>
      </c>
      <c r="L29" s="125">
        <f t="shared" si="5"/>
        <v>1.2462476674028592E-2</v>
      </c>
      <c r="M29" s="46">
        <f t="shared" si="8"/>
        <v>3.7123266109304417E-4</v>
      </c>
      <c r="N29" s="130">
        <v>3.7123266109304417E-4</v>
      </c>
      <c r="O29" s="89">
        <f t="shared" si="6"/>
        <v>3.7123266109304417E-4</v>
      </c>
      <c r="P29" s="48">
        <v>40343</v>
      </c>
      <c r="Q29" s="1">
        <v>3.4231101794941045E-3</v>
      </c>
      <c r="R29" s="100">
        <v>6148</v>
      </c>
      <c r="S29" s="100">
        <f t="shared" si="20"/>
        <v>82.728845341280348</v>
      </c>
      <c r="T29" s="101">
        <f t="shared" si="15"/>
        <v>6065.2711546587198</v>
      </c>
      <c r="U29" s="49">
        <v>40721</v>
      </c>
      <c r="V29" s="92"/>
      <c r="W29" s="92"/>
      <c r="X29" s="92"/>
      <c r="Y29" s="92"/>
      <c r="Z29" s="92"/>
      <c r="AE29" s="93">
        <f t="shared" si="21"/>
        <v>37786.5</v>
      </c>
      <c r="AF29" s="92">
        <f>Logistic2010!Q29</f>
        <v>4.156253215078223E-3</v>
      </c>
      <c r="AG29" s="4">
        <f t="shared" si="16"/>
        <v>3.4231101794941045E-3</v>
      </c>
      <c r="AH29" s="92">
        <f>Logistic2011!Q29</f>
        <v>1.2159361420781157E-3</v>
      </c>
      <c r="AI29" s="92">
        <f>Logistic2012!Q29</f>
        <v>3.4231101794941045E-3</v>
      </c>
      <c r="AJ29" s="92">
        <f>Logistic2013!L29</f>
        <v>8.5416755801183825E-3</v>
      </c>
      <c r="AK29" s="119">
        <f>Logistic2014!AK29</f>
        <v>1.0595282474405681E-2</v>
      </c>
      <c r="AL29" s="119">
        <f t="shared" si="22"/>
        <v>1.2462476674028592E-2</v>
      </c>
      <c r="AM29" s="113"/>
      <c r="AN29" s="113"/>
      <c r="AP29" s="113"/>
      <c r="AQ29" s="113"/>
      <c r="AR29" s="113"/>
      <c r="AS29" s="113"/>
      <c r="AT29" s="114"/>
      <c r="AU29" s="114"/>
    </row>
    <row r="30" spans="1:50" x14ac:dyDescent="0.25">
      <c r="B30" s="49"/>
      <c r="C30" s="79"/>
      <c r="D30" s="86" t="str">
        <f t="shared" si="28"/>
        <v/>
      </c>
      <c r="E30" s="81"/>
      <c r="F30" s="50" t="str">
        <f t="shared" si="29"/>
        <v/>
      </c>
      <c r="G30" s="16" t="str">
        <f t="shared" si="30"/>
        <v/>
      </c>
      <c r="H30" s="51" t="str">
        <f t="shared" si="31"/>
        <v/>
      </c>
      <c r="I30" s="54"/>
      <c r="J30" s="105">
        <f t="shared" si="7"/>
        <v>37787.5</v>
      </c>
      <c r="K30" s="109">
        <v>22</v>
      </c>
      <c r="L30" s="125">
        <f t="shared" si="5"/>
        <v>1.4449964881365145E-2</v>
      </c>
      <c r="M30" s="46">
        <f t="shared" si="8"/>
        <v>5.2895034459836269E-4</v>
      </c>
      <c r="N30" s="131">
        <v>5.2895034459836269E-4</v>
      </c>
      <c r="O30" s="89">
        <f t="shared" si="6"/>
        <v>5.2895034459836269E-4</v>
      </c>
      <c r="P30" s="48">
        <v>40344</v>
      </c>
      <c r="Q30" s="1">
        <v>4.5541859663405402E-3</v>
      </c>
      <c r="R30" s="100">
        <v>5114</v>
      </c>
      <c r="S30" s="100">
        <f t="shared" si="20"/>
        <v>79.77584918290988</v>
      </c>
      <c r="T30" s="101">
        <f t="shared" si="15"/>
        <v>5034.22415081709</v>
      </c>
      <c r="U30" s="49">
        <v>40722</v>
      </c>
      <c r="V30" s="92"/>
      <c r="W30" s="92"/>
      <c r="X30" s="92"/>
      <c r="Y30" s="92"/>
      <c r="Z30" s="92"/>
      <c r="AE30" s="93">
        <f t="shared" si="21"/>
        <v>37787.5</v>
      </c>
      <c r="AF30" s="92">
        <f>Logistic2010!Q30</f>
        <v>5.0711194585093189E-3</v>
      </c>
      <c r="AG30" s="4">
        <f t="shared" si="16"/>
        <v>4.5541859663405402E-3</v>
      </c>
      <c r="AH30" s="92">
        <f>Logistic2011!Q30</f>
        <v>1.5634304169464023E-3</v>
      </c>
      <c r="AI30" s="92">
        <f>Logistic2012!Q30</f>
        <v>4.5541859663405402E-3</v>
      </c>
      <c r="AJ30" s="92">
        <f>Logistic2013!L30</f>
        <v>1.0389610148679944E-2</v>
      </c>
      <c r="AK30" s="119">
        <f>Logistic2014!AK30</f>
        <v>1.2798382995327439E-2</v>
      </c>
      <c r="AL30" s="119">
        <f t="shared" si="22"/>
        <v>1.4449964881365145E-2</v>
      </c>
      <c r="AM30" s="113"/>
      <c r="AN30" s="113"/>
      <c r="AO30" s="113"/>
      <c r="AP30" s="113"/>
      <c r="AQ30" s="113"/>
      <c r="AR30" s="113"/>
      <c r="AS30" s="113"/>
      <c r="AT30" s="114"/>
      <c r="AU30" s="114"/>
    </row>
    <row r="31" spans="1:50" x14ac:dyDescent="0.25">
      <c r="B31" s="49"/>
      <c r="C31" s="79"/>
      <c r="D31" s="86" t="str">
        <f t="shared" si="28"/>
        <v/>
      </c>
      <c r="E31" s="81"/>
      <c r="F31" s="50" t="str">
        <f t="shared" si="29"/>
        <v/>
      </c>
      <c r="G31" s="16" t="str">
        <f t="shared" si="30"/>
        <v/>
      </c>
      <c r="H31" s="51" t="str">
        <f t="shared" si="31"/>
        <v/>
      </c>
      <c r="I31" s="54"/>
      <c r="J31" s="105">
        <f t="shared" si="7"/>
        <v>37788.5</v>
      </c>
      <c r="K31" s="109">
        <v>23</v>
      </c>
      <c r="L31" s="125">
        <f t="shared" si="5"/>
        <v>1.674903753666766E-2</v>
      </c>
      <c r="M31" s="46">
        <f t="shared" si="8"/>
        <v>7.5362365201523903E-4</v>
      </c>
      <c r="N31" s="131">
        <v>7.5362365201523903E-4</v>
      </c>
      <c r="O31" s="89">
        <f t="shared" si="6"/>
        <v>7.5362365201523903E-4</v>
      </c>
      <c r="P31" s="48">
        <v>40345</v>
      </c>
      <c r="Q31" s="1">
        <v>6.0567243090960737E-3</v>
      </c>
      <c r="R31" s="100">
        <v>7184</v>
      </c>
      <c r="S31" s="100">
        <f t="shared" si="20"/>
        <v>129.87141973680602</v>
      </c>
      <c r="T31" s="101">
        <f t="shared" si="15"/>
        <v>7054.1285802631937</v>
      </c>
      <c r="U31" s="49">
        <v>40723</v>
      </c>
      <c r="V31" s="92"/>
      <c r="W31" s="92"/>
      <c r="X31" s="92"/>
      <c r="Y31" s="92"/>
      <c r="Z31" s="92"/>
      <c r="AE31" s="93">
        <f t="shared" si="21"/>
        <v>37788.5</v>
      </c>
      <c r="AF31" s="92">
        <f>Logistic2010!Q31</f>
        <v>6.18611330154804E-3</v>
      </c>
      <c r="AG31" s="4">
        <f t="shared" si="16"/>
        <v>6.0567243090960737E-3</v>
      </c>
      <c r="AH31" s="92">
        <f>Logistic2011!Q31</f>
        <v>2.0100329059479318E-3</v>
      </c>
      <c r="AI31" s="92">
        <f>Logistic2012!Q31</f>
        <v>6.0567243090960737E-3</v>
      </c>
      <c r="AJ31" s="92">
        <f>Logistic2013!L31</f>
        <v>1.263223931108238E-2</v>
      </c>
      <c r="AK31" s="119">
        <f>Logistic2014!AK31</f>
        <v>1.5452424589650317E-2</v>
      </c>
      <c r="AL31" s="119">
        <f t="shared" si="22"/>
        <v>1.674903753666766E-2</v>
      </c>
      <c r="AM31" s="113"/>
      <c r="AO31" s="113"/>
      <c r="AP31" s="113"/>
      <c r="AQ31" s="113"/>
      <c r="AR31" t="s">
        <v>28</v>
      </c>
      <c r="AS31"/>
      <c r="AT31"/>
      <c r="AU31"/>
      <c r="AV31"/>
      <c r="AW31"/>
      <c r="AX31"/>
    </row>
    <row r="32" spans="1:50" x14ac:dyDescent="0.25">
      <c r="B32" s="49"/>
      <c r="C32" s="79"/>
      <c r="D32" s="86" t="str">
        <f t="shared" si="28"/>
        <v/>
      </c>
      <c r="E32" s="81"/>
      <c r="F32" s="50" t="str">
        <f t="shared" si="29"/>
        <v/>
      </c>
      <c r="G32" s="16" t="str">
        <f t="shared" si="30"/>
        <v/>
      </c>
      <c r="H32" s="51" t="str">
        <f t="shared" si="31"/>
        <v/>
      </c>
      <c r="I32" s="54"/>
      <c r="J32" s="105">
        <f t="shared" si="7"/>
        <v>37789.5</v>
      </c>
      <c r="K32" s="109">
        <v>24</v>
      </c>
      <c r="L32" s="125">
        <f t="shared" si="5"/>
        <v>1.9406702924581232E-2</v>
      </c>
      <c r="M32" s="46">
        <f t="shared" si="8"/>
        <v>1.0736251359755081E-3</v>
      </c>
      <c r="N32" s="131">
        <v>1.0736251359755081E-3</v>
      </c>
      <c r="O32" s="89">
        <f t="shared" si="6"/>
        <v>1.0736251359755081E-3</v>
      </c>
      <c r="P32" s="48">
        <v>40346</v>
      </c>
      <c r="Q32" s="1">
        <v>8.0509778061675936E-3</v>
      </c>
      <c r="R32" s="100">
        <v>8109</v>
      </c>
      <c r="S32" s="100">
        <f t="shared" si="20"/>
        <v>169.81518401709951</v>
      </c>
      <c r="T32" s="101">
        <f t="shared" si="15"/>
        <v>7939.1848159829005</v>
      </c>
      <c r="U32" s="49">
        <v>40724</v>
      </c>
      <c r="V32" s="92"/>
      <c r="W32" s="92"/>
      <c r="X32" s="92"/>
      <c r="Y32" s="92"/>
      <c r="Z32" s="92"/>
      <c r="AE32" s="93">
        <f t="shared" si="21"/>
        <v>37789.5</v>
      </c>
      <c r="AF32" s="92">
        <f>Logistic2010!Q32</f>
        <v>7.5444033609171311E-3</v>
      </c>
      <c r="AG32" s="4">
        <f t="shared" si="16"/>
        <v>8.0509778061675936E-3</v>
      </c>
      <c r="AH32" s="92">
        <f>Logistic2011!Q32</f>
        <v>2.5838796966125908E-3</v>
      </c>
      <c r="AI32" s="92">
        <f>Logistic2012!Q32</f>
        <v>8.0509778061675936E-3</v>
      </c>
      <c r="AJ32" s="92">
        <f>Logistic2013!L32</f>
        <v>1.5351437527105454E-2</v>
      </c>
      <c r="AK32" s="119">
        <f>Logistic2014!AK32</f>
        <v>1.864644764878538E-2</v>
      </c>
      <c r="AL32" s="119">
        <f t="shared" si="22"/>
        <v>1.9406702924581232E-2</v>
      </c>
      <c r="AM32" s="115"/>
      <c r="AN32" s="115"/>
      <c r="AP32" s="115"/>
      <c r="AQ32" s="115"/>
      <c r="AR32"/>
      <c r="AS32"/>
      <c r="AT32"/>
      <c r="AU32"/>
      <c r="AV32"/>
      <c r="AW32"/>
      <c r="AX32"/>
    </row>
    <row r="33" spans="2:50" ht="16.5" thickBot="1" x14ac:dyDescent="0.3">
      <c r="B33" s="49"/>
      <c r="C33" s="79"/>
      <c r="D33" s="86" t="str">
        <f t="shared" si="28"/>
        <v/>
      </c>
      <c r="E33" s="81"/>
      <c r="F33" s="50" t="str">
        <f t="shared" si="29"/>
        <v/>
      </c>
      <c r="G33" s="16" t="str">
        <f t="shared" si="30"/>
        <v/>
      </c>
      <c r="H33" s="51" t="str">
        <f t="shared" si="31"/>
        <v/>
      </c>
      <c r="I33" s="54"/>
      <c r="J33" s="105">
        <f t="shared" si="7"/>
        <v>37790.5</v>
      </c>
      <c r="K33" s="109">
        <v>25</v>
      </c>
      <c r="L33" s="125">
        <f t="shared" si="5"/>
        <v>2.2476435321096288E-2</v>
      </c>
      <c r="M33" s="46">
        <f t="shared" si="8"/>
        <v>1.5292967649937837E-3</v>
      </c>
      <c r="N33" s="131">
        <v>1.5292967649937837E-3</v>
      </c>
      <c r="O33" s="89">
        <f t="shared" si="6"/>
        <v>1.5292967649937837E-3</v>
      </c>
      <c r="P33" s="48">
        <v>40347</v>
      </c>
      <c r="Q33" s="1">
        <v>1.0694799271914295E-2</v>
      </c>
      <c r="R33" s="100">
        <v>18981</v>
      </c>
      <c r="S33" s="100">
        <f t="shared" si="20"/>
        <v>460.24451398940107</v>
      </c>
      <c r="T33" s="101">
        <f t="shared" si="15"/>
        <v>18520.755486010599</v>
      </c>
      <c r="U33" s="49">
        <v>40725</v>
      </c>
      <c r="V33" s="92">
        <v>0.35599999999999998</v>
      </c>
      <c r="W33" s="92"/>
      <c r="X33" s="92"/>
      <c r="Y33" s="92"/>
      <c r="Z33" s="92"/>
      <c r="AE33" s="93">
        <f t="shared" si="21"/>
        <v>37790.5</v>
      </c>
      <c r="AF33" s="92">
        <f>Logistic2010!Q33</f>
        <v>9.1981739546595914E-3</v>
      </c>
      <c r="AG33" s="4">
        <f t="shared" si="16"/>
        <v>1.0694799271914295E-2</v>
      </c>
      <c r="AH33" s="92">
        <f>Logistic2011!Q33</f>
        <v>3.3210095492913049E-3</v>
      </c>
      <c r="AI33" s="92">
        <f>Logistic2012!Q33</f>
        <v>1.0694799271914295E-2</v>
      </c>
      <c r="AJ33" s="92">
        <f>Logistic2013!L33</f>
        <v>1.8644913491254085E-2</v>
      </c>
      <c r="AK33" s="119">
        <f>Logistic2014!AK33</f>
        <v>2.2485598579313124E-2</v>
      </c>
      <c r="AL33" s="119">
        <f t="shared" si="22"/>
        <v>2.2476435321096288E-2</v>
      </c>
      <c r="AM33" s="110"/>
      <c r="AN33" s="110"/>
      <c r="AO33" s="110"/>
      <c r="AP33" s="110"/>
      <c r="AQ33" s="110"/>
      <c r="AR33" t="s">
        <v>29</v>
      </c>
      <c r="AS33"/>
      <c r="AT33"/>
      <c r="AU33"/>
      <c r="AV33"/>
      <c r="AW33"/>
      <c r="AX33"/>
    </row>
    <row r="34" spans="2:50" ht="16.5" thickBot="1" x14ac:dyDescent="0.3">
      <c r="B34" s="49"/>
      <c r="C34" s="79"/>
      <c r="D34" s="86" t="str">
        <f t="shared" si="28"/>
        <v/>
      </c>
      <c r="E34" s="81"/>
      <c r="F34" s="50" t="str">
        <f t="shared" si="29"/>
        <v/>
      </c>
      <c r="G34" s="16" t="str">
        <f t="shared" si="30"/>
        <v/>
      </c>
      <c r="H34" s="51" t="str">
        <f t="shared" si="31"/>
        <v/>
      </c>
      <c r="I34" s="54"/>
      <c r="J34" s="105">
        <f t="shared" si="7"/>
        <v>37791.5</v>
      </c>
      <c r="K34" s="109">
        <v>26</v>
      </c>
      <c r="L34" s="125">
        <f t="shared" si="5"/>
        <v>2.6018850911388943E-2</v>
      </c>
      <c r="M34" s="46">
        <f t="shared" si="8"/>
        <v>2.1779444332849758E-3</v>
      </c>
      <c r="N34" s="131">
        <v>2.1779444332849758E-3</v>
      </c>
      <c r="O34" s="89">
        <f t="shared" si="6"/>
        <v>2.1779444332849758E-3</v>
      </c>
      <c r="P34" s="48">
        <v>40348</v>
      </c>
      <c r="Q34" s="1">
        <v>1.4194388945639416E-2</v>
      </c>
      <c r="R34" s="100">
        <v>7954</v>
      </c>
      <c r="S34" s="100">
        <f t="shared" si="20"/>
        <v>223.19413075094988</v>
      </c>
      <c r="T34" s="101">
        <f t="shared" si="15"/>
        <v>7730.8058692490504</v>
      </c>
      <c r="U34" s="49">
        <v>40726</v>
      </c>
      <c r="V34" s="92"/>
      <c r="W34" s="92"/>
      <c r="X34" s="92"/>
      <c r="Y34" s="92"/>
      <c r="Z34" s="92"/>
      <c r="AE34" s="93">
        <f t="shared" si="21"/>
        <v>37791.5</v>
      </c>
      <c r="AF34" s="92">
        <f>Logistic2010!Q34</f>
        <v>1.1210364440860094E-2</v>
      </c>
      <c r="AG34" s="4">
        <f t="shared" si="16"/>
        <v>1.4194388945639416E-2</v>
      </c>
      <c r="AH34" s="92">
        <f>Logistic2011!Q34</f>
        <v>4.2675282552662704E-3</v>
      </c>
      <c r="AI34" s="92">
        <f>Logistic2012!Q34</f>
        <v>1.4194388945639416E-2</v>
      </c>
      <c r="AJ34" s="92">
        <f>Logistic2013!L34</f>
        <v>2.2628728952144059E-2</v>
      </c>
      <c r="AK34" s="119">
        <f>Logistic2014!AK34</f>
        <v>2.7093376387433324E-2</v>
      </c>
      <c r="AL34" s="119">
        <f t="shared" si="22"/>
        <v>2.6018850911388943E-2</v>
      </c>
      <c r="AM34" s="110"/>
      <c r="AN34" s="110"/>
      <c r="AO34" s="110"/>
      <c r="AQ34" s="110"/>
      <c r="AR34" s="112" t="s">
        <v>30</v>
      </c>
      <c r="AS34" s="112" t="s">
        <v>31</v>
      </c>
      <c r="AT34" s="112" t="s">
        <v>32</v>
      </c>
      <c r="AU34" s="112" t="s">
        <v>33</v>
      </c>
      <c r="AV34" s="112" t="s">
        <v>34</v>
      </c>
      <c r="AW34"/>
      <c r="AX34"/>
    </row>
    <row r="35" spans="2:50" x14ac:dyDescent="0.25">
      <c r="B35" s="49"/>
      <c r="C35" s="79"/>
      <c r="D35" s="86" t="str">
        <f t="shared" si="28"/>
        <v/>
      </c>
      <c r="E35" s="81"/>
      <c r="F35" s="50" t="str">
        <f t="shared" si="29"/>
        <v/>
      </c>
      <c r="G35" s="16" t="str">
        <f t="shared" si="30"/>
        <v/>
      </c>
      <c r="H35" s="51" t="str">
        <f t="shared" si="31"/>
        <v/>
      </c>
      <c r="I35" s="54"/>
      <c r="J35" s="105">
        <f t="shared" si="7"/>
        <v>37792.5</v>
      </c>
      <c r="K35" s="109">
        <v>27</v>
      </c>
      <c r="L35" s="125">
        <f t="shared" si="5"/>
        <v>3.0102378847461919E-2</v>
      </c>
      <c r="M35" s="46">
        <f t="shared" si="8"/>
        <v>3.1008600796789275E-3</v>
      </c>
      <c r="N35" s="131">
        <v>3.1008600796789275E-3</v>
      </c>
      <c r="O35" s="89">
        <f t="shared" si="6"/>
        <v>3.1008600796789275E-3</v>
      </c>
      <c r="P35" s="48">
        <v>40349</v>
      </c>
      <c r="Q35" s="1">
        <v>1.8817345014281332E-2</v>
      </c>
      <c r="R35" s="100">
        <v>10420</v>
      </c>
      <c r="S35" s="100">
        <f t="shared" si="20"/>
        <v>338.16168503868312</v>
      </c>
      <c r="T35" s="101">
        <f t="shared" si="15"/>
        <v>10081.838314961316</v>
      </c>
      <c r="U35" s="40">
        <v>40727</v>
      </c>
      <c r="AE35" s="93">
        <f t="shared" si="21"/>
        <v>37792.5</v>
      </c>
      <c r="AF35" s="92">
        <f>Logistic2010!Q35</f>
        <v>1.3656673980419356E-2</v>
      </c>
      <c r="AG35" s="4">
        <f t="shared" si="16"/>
        <v>1.8817345014281332E-2</v>
      </c>
      <c r="AH35" s="92">
        <f>Logistic2011!Q35</f>
        <v>5.4823297455268887E-3</v>
      </c>
      <c r="AI35" s="92">
        <f>Logistic2012!Q35</f>
        <v>1.8817345014281332E-2</v>
      </c>
      <c r="AJ35" s="92">
        <f>Logistic2013!L35</f>
        <v>2.7439956026617411E-2</v>
      </c>
      <c r="AK35" s="119">
        <f>Logistic2014!AK35</f>
        <v>3.2613882518552371E-2</v>
      </c>
      <c r="AL35" s="119">
        <f t="shared" si="22"/>
        <v>3.0102378847461919E-2</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28"/>
        <v/>
      </c>
      <c r="E36" s="81"/>
      <c r="F36" s="50" t="str">
        <f t="shared" si="29"/>
        <v/>
      </c>
      <c r="G36" s="16" t="str">
        <f t="shared" si="30"/>
        <v/>
      </c>
      <c r="H36" s="51" t="str">
        <f t="shared" si="31"/>
        <v/>
      </c>
      <c r="I36" s="54"/>
      <c r="J36" s="105">
        <f t="shared" si="7"/>
        <v>37793.5</v>
      </c>
      <c r="K36" s="109">
        <v>28</v>
      </c>
      <c r="L36" s="125">
        <f t="shared" si="5"/>
        <v>3.480389467243887E-2</v>
      </c>
      <c r="M36" s="46">
        <f t="shared" si="8"/>
        <v>4.4131364833405974E-3</v>
      </c>
      <c r="N36" s="131">
        <v>4.4131364833405974E-3</v>
      </c>
      <c r="O36" s="89">
        <f t="shared" si="6"/>
        <v>4.4131364833405974E-3</v>
      </c>
      <c r="P36" s="48">
        <v>40350</v>
      </c>
      <c r="Q36" s="1">
        <v>2.4907904460513997E-2</v>
      </c>
      <c r="R36" s="100">
        <v>14984</v>
      </c>
      <c r="S36" s="100">
        <f t="shared" si="20"/>
        <v>561.99863584435695</v>
      </c>
      <c r="T36" s="101">
        <f t="shared" si="15"/>
        <v>14422.001364155643</v>
      </c>
      <c r="U36" s="49">
        <v>40728</v>
      </c>
      <c r="AE36" s="93">
        <f t="shared" si="21"/>
        <v>37793.5</v>
      </c>
      <c r="AF36" s="92">
        <f>Logistic2010!Q36</f>
        <v>1.6627836578475143E-2</v>
      </c>
      <c r="AG36" s="4">
        <f t="shared" si="16"/>
        <v>2.4907904460513997E-2</v>
      </c>
      <c r="AH36" s="92">
        <f>Logistic2011!Q36</f>
        <v>7.0404935024234346E-3</v>
      </c>
      <c r="AI36" s="92">
        <f>Logistic2012!Q36</f>
        <v>2.4907904460513997E-2</v>
      </c>
      <c r="AJ36" s="92">
        <f>Logistic2013!L36</f>
        <v>3.3239337178441269E-2</v>
      </c>
      <c r="AK36" s="119">
        <f>Logistic2014!AK36</f>
        <v>3.9213900655283261E-2</v>
      </c>
      <c r="AL36" s="119">
        <f t="shared" si="22"/>
        <v>3.480389467243887E-2</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28"/>
        <v/>
      </c>
      <c r="E37" s="81"/>
      <c r="F37" s="50" t="str">
        <f t="shared" si="29"/>
        <v/>
      </c>
      <c r="G37" s="16" t="str">
        <f t="shared" si="30"/>
        <v/>
      </c>
      <c r="H37" s="51" t="str">
        <f t="shared" si="31"/>
        <v/>
      </c>
      <c r="I37" s="54"/>
      <c r="J37" s="105">
        <f t="shared" si="7"/>
        <v>37794.5</v>
      </c>
      <c r="K37" s="109">
        <v>29</v>
      </c>
      <c r="L37" s="125">
        <f t="shared" si="5"/>
        <v>4.020927081666377E-2</v>
      </c>
      <c r="M37" s="46">
        <f t="shared" si="8"/>
        <v>6.2772681143683619E-3</v>
      </c>
      <c r="N37" s="131">
        <v>6.2772681143683619E-3</v>
      </c>
      <c r="O37" s="89">
        <f t="shared" si="6"/>
        <v>6.2772681143683619E-3</v>
      </c>
      <c r="P37" s="48">
        <v>40351</v>
      </c>
      <c r="Q37" s="1">
        <v>3.2903671432563369E-2</v>
      </c>
      <c r="R37" s="100">
        <v>16806</v>
      </c>
      <c r="S37" s="100">
        <f t="shared" si="20"/>
        <v>727.89352660742168</v>
      </c>
      <c r="T37" s="101">
        <f t="shared" si="15"/>
        <v>16078.106473392578</v>
      </c>
      <c r="U37" s="49">
        <v>40729</v>
      </c>
      <c r="V37" s="4">
        <v>0.51500000000000001</v>
      </c>
      <c r="AE37" s="93">
        <f t="shared" si="21"/>
        <v>37794.5</v>
      </c>
      <c r="AF37" s="92">
        <f>Logistic2010!Q37</f>
        <v>2.0232149587218227E-2</v>
      </c>
      <c r="AG37" s="4">
        <f t="shared" si="16"/>
        <v>3.2903671432563369E-2</v>
      </c>
      <c r="AH37" s="92">
        <f>Logistic2011!Q37</f>
        <v>9.0374873855469922E-3</v>
      </c>
      <c r="AI37" s="92">
        <f>Logistic2012!Q37</f>
        <v>3.2903671432563369E-2</v>
      </c>
      <c r="AJ37" s="92">
        <f>Logistic2013!L37</f>
        <v>4.0213726080353264E-2</v>
      </c>
      <c r="AK37" s="119">
        <f>Logistic2014!AK37</f>
        <v>4.7084545759597696E-2</v>
      </c>
      <c r="AL37" s="119">
        <f t="shared" si="22"/>
        <v>4.020927081666377E-2</v>
      </c>
      <c r="AM37" s="113"/>
      <c r="AN37" s="113"/>
      <c r="AO37" s="113"/>
      <c r="AP37" s="113"/>
      <c r="AQ37" s="113"/>
      <c r="AR37"/>
      <c r="AS37"/>
      <c r="AT37"/>
      <c r="AU37"/>
      <c r="AV37"/>
      <c r="AW37"/>
      <c r="AX37"/>
    </row>
    <row r="38" spans="2:50" x14ac:dyDescent="0.25">
      <c r="B38" s="49"/>
      <c r="C38" s="79"/>
      <c r="D38" s="86" t="str">
        <f t="shared" si="28"/>
        <v/>
      </c>
      <c r="E38" s="81"/>
      <c r="F38" s="50" t="str">
        <f t="shared" si="29"/>
        <v/>
      </c>
      <c r="G38" s="16" t="str">
        <f t="shared" si="30"/>
        <v/>
      </c>
      <c r="H38" s="51" t="str">
        <f t="shared" si="31"/>
        <v/>
      </c>
      <c r="I38" s="54"/>
      <c r="J38" s="105">
        <f t="shared" si="7"/>
        <v>37795.5</v>
      </c>
      <c r="K38" s="109">
        <v>30</v>
      </c>
      <c r="L38" s="125">
        <f t="shared" si="5"/>
        <v>4.6413783640961097E-2</v>
      </c>
      <c r="M38" s="46">
        <f t="shared" si="8"/>
        <v>8.9217622649491162E-3</v>
      </c>
      <c r="N38" s="131">
        <v>8.9217622649491162E-3</v>
      </c>
      <c r="O38" s="89">
        <f t="shared" si="6"/>
        <v>8.9217622649491162E-3</v>
      </c>
      <c r="P38" s="48">
        <v>40352</v>
      </c>
      <c r="Q38" s="1">
        <v>4.3352069231991391E-2</v>
      </c>
      <c r="R38" s="100">
        <v>28505</v>
      </c>
      <c r="S38" s="100">
        <f t="shared" si="20"/>
        <v>1424.3390127572516</v>
      </c>
      <c r="T38" s="101">
        <f t="shared" si="15"/>
        <v>27080.660987242747</v>
      </c>
      <c r="U38" s="49"/>
      <c r="AE38" s="93">
        <f t="shared" si="21"/>
        <v>37795.5</v>
      </c>
      <c r="AF38" s="92">
        <f>Logistic2010!Q38</f>
        <v>2.4598204014952465E-2</v>
      </c>
      <c r="AG38" s="4">
        <f t="shared" si="16"/>
        <v>4.3352069231991391E-2</v>
      </c>
      <c r="AH38" s="92">
        <f>Logistic2011!Q38</f>
        <v>1.1594302653630432E-2</v>
      </c>
      <c r="AI38" s="92">
        <f>Logistic2012!Q38</f>
        <v>4.3352069231991391E-2</v>
      </c>
      <c r="AJ38" s="92">
        <f>Logistic2013!L38</f>
        <v>4.8577971912167145E-2</v>
      </c>
      <c r="AK38" s="119">
        <f>Logistic2014!AK38</f>
        <v>5.6442110719466705E-2</v>
      </c>
      <c r="AL38" s="119">
        <f t="shared" si="22"/>
        <v>4.6413783640961097E-2</v>
      </c>
      <c r="AM38" s="115"/>
      <c r="AQ38" s="115"/>
      <c r="AR38"/>
      <c r="AS38"/>
      <c r="AT38"/>
      <c r="AU38"/>
      <c r="AV38"/>
      <c r="AW38"/>
      <c r="AX38"/>
    </row>
    <row r="39" spans="2:50" ht="16.5" thickBot="1" x14ac:dyDescent="0.3">
      <c r="B39" s="49"/>
      <c r="C39" s="79"/>
      <c r="D39" s="86" t="str">
        <f t="shared" si="28"/>
        <v/>
      </c>
      <c r="E39" s="81"/>
      <c r="F39" s="50" t="str">
        <f t="shared" si="29"/>
        <v/>
      </c>
      <c r="G39" s="16" t="str">
        <f t="shared" si="30"/>
        <v/>
      </c>
      <c r="H39" s="51" t="str">
        <f t="shared" si="31"/>
        <v/>
      </c>
      <c r="I39" s="54"/>
      <c r="J39" s="105">
        <f t="shared" si="7"/>
        <v>37796.5</v>
      </c>
      <c r="K39" s="109">
        <v>31</v>
      </c>
      <c r="L39" s="125">
        <f t="shared" si="5"/>
        <v>5.3522298643357551E-2</v>
      </c>
      <c r="M39" s="46">
        <f t="shared" si="8"/>
        <v>1.2666131545885561E-2</v>
      </c>
      <c r="N39" s="131">
        <v>1.2666131545885561E-2</v>
      </c>
      <c r="O39" s="89">
        <f t="shared" si="6"/>
        <v>1.2666131545885561E-2</v>
      </c>
      <c r="P39" s="48">
        <v>40353</v>
      </c>
      <c r="Q39" s="1">
        <v>5.6923017026269736E-2</v>
      </c>
      <c r="R39" s="100">
        <v>37919</v>
      </c>
      <c r="S39" s="100">
        <f t="shared" si="20"/>
        <v>2183.592804992988</v>
      </c>
      <c r="T39" s="101">
        <f t="shared" si="15"/>
        <v>35735.407195007014</v>
      </c>
      <c r="U39" s="49"/>
      <c r="AE39" s="93">
        <f t="shared" si="21"/>
        <v>37796.5</v>
      </c>
      <c r="AF39" s="92">
        <f>Logistic2010!Q39</f>
        <v>2.9877711971165448E-2</v>
      </c>
      <c r="AG39" s="4">
        <f t="shared" si="16"/>
        <v>5.6923017026269736E-2</v>
      </c>
      <c r="AH39" s="92">
        <f>Logistic2011!Q39</f>
        <v>1.4863622388293144E-2</v>
      </c>
      <c r="AI39" s="92">
        <f>Logistic2012!Q39</f>
        <v>5.6923017026269736E-2</v>
      </c>
      <c r="AJ39" s="92">
        <f>Logistic2013!L39</f>
        <v>5.8575762266613804E-2</v>
      </c>
      <c r="AK39" s="119">
        <f>Logistic2014!AK39</f>
        <v>6.7527607102486259E-2</v>
      </c>
      <c r="AL39" s="119">
        <f t="shared" si="22"/>
        <v>5.3522298643357551E-2</v>
      </c>
      <c r="AM39" s="110"/>
      <c r="AN39" s="110"/>
      <c r="AP39" s="110"/>
      <c r="AQ39" s="110"/>
      <c r="AR39" t="s">
        <v>35</v>
      </c>
      <c r="AS39"/>
      <c r="AT39"/>
      <c r="AU39"/>
      <c r="AV39"/>
      <c r="AW39"/>
      <c r="AX39"/>
    </row>
    <row r="40" spans="2:50" x14ac:dyDescent="0.25">
      <c r="B40" s="49"/>
      <c r="C40" s="79"/>
      <c r="D40" s="86" t="str">
        <f t="shared" si="28"/>
        <v/>
      </c>
      <c r="E40" s="81"/>
      <c r="F40" s="50" t="str">
        <f t="shared" si="29"/>
        <v/>
      </c>
      <c r="G40" s="16" t="str">
        <f t="shared" si="30"/>
        <v/>
      </c>
      <c r="H40" s="51" t="str">
        <f t="shared" si="31"/>
        <v/>
      </c>
      <c r="I40" s="54"/>
      <c r="J40" s="105">
        <f t="shared" si="7"/>
        <v>37797.5</v>
      </c>
      <c r="K40" s="109">
        <v>32</v>
      </c>
      <c r="L40" s="125">
        <f t="shared" si="5"/>
        <v>6.1649135465821917E-2</v>
      </c>
      <c r="M40" s="46">
        <f t="shared" si="8"/>
        <v>1.7953505605503725E-2</v>
      </c>
      <c r="N40" s="131">
        <v>1.7953505605503725E-2</v>
      </c>
      <c r="O40" s="89">
        <f t="shared" si="6"/>
        <v>1.7953505605503725E-2</v>
      </c>
      <c r="P40" s="48">
        <v>40354</v>
      </c>
      <c r="Q40" s="1">
        <v>7.4411773683001156E-2</v>
      </c>
      <c r="R40" s="100">
        <v>41134</v>
      </c>
      <c r="S40" s="100">
        <f t="shared" si="20"/>
        <v>2726.4978560807199</v>
      </c>
      <c r="T40" s="101">
        <f t="shared" si="15"/>
        <v>38407.502143919279</v>
      </c>
      <c r="U40" s="49"/>
      <c r="AE40" s="93">
        <f t="shared" si="21"/>
        <v>37797.5</v>
      </c>
      <c r="AF40" s="92">
        <f>Logistic2010!Q40</f>
        <v>3.624824956962025E-2</v>
      </c>
      <c r="AG40" s="4">
        <f t="shared" si="16"/>
        <v>7.4411773683001156E-2</v>
      </c>
      <c r="AH40" s="92">
        <f>Logistic2011!Q40</f>
        <v>1.9037057560494706E-2</v>
      </c>
      <c r="AI40" s="92">
        <f>Logistic2012!Q40</f>
        <v>7.4411773683001156E-2</v>
      </c>
      <c r="AJ40" s="92">
        <f>Logistic2013!L40</f>
        <v>7.0478765060004542E-2</v>
      </c>
      <c r="AK40" s="119">
        <f>Logistic2014!AK40</f>
        <v>8.060435401777398E-2</v>
      </c>
      <c r="AL40" s="119">
        <f t="shared" si="22"/>
        <v>6.1649135465821917E-2</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28"/>
        <v/>
      </c>
      <c r="E41" s="81"/>
      <c r="F41" s="50" t="str">
        <f t="shared" si="29"/>
        <v/>
      </c>
      <c r="G41" s="16" t="str">
        <f t="shared" si="30"/>
        <v/>
      </c>
      <c r="H41" s="51" t="str">
        <f t="shared" si="31"/>
        <v/>
      </c>
      <c r="I41" s="54"/>
      <c r="J41" s="105">
        <f t="shared" si="7"/>
        <v>37798.5</v>
      </c>
      <c r="K41" s="109">
        <v>33</v>
      </c>
      <c r="L41" s="125">
        <f t="shared" si="5"/>
        <v>7.091749340959598E-2</v>
      </c>
      <c r="M41" s="46">
        <f t="shared" si="8"/>
        <v>2.5391289272607597E-2</v>
      </c>
      <c r="N41" s="131">
        <v>2.5391289272607597E-2</v>
      </c>
      <c r="O41" s="89">
        <f t="shared" si="6"/>
        <v>2.5391289272607597E-2</v>
      </c>
      <c r="P41" s="48">
        <v>40355</v>
      </c>
      <c r="Q41" s="1">
        <v>9.6722617460862401E-2</v>
      </c>
      <c r="R41" s="100">
        <v>21594</v>
      </c>
      <c r="S41" s="100">
        <f t="shared" si="20"/>
        <v>1645.2014242872285</v>
      </c>
      <c r="T41" s="101">
        <f t="shared" si="15"/>
        <v>19948.798575712772</v>
      </c>
      <c r="U41" s="49"/>
      <c r="AE41" s="93">
        <f t="shared" si="21"/>
        <v>37798.5</v>
      </c>
      <c r="AF41" s="92">
        <f>Logistic2010!Q41</f>
        <v>4.3915626721520266E-2</v>
      </c>
      <c r="AG41" s="4">
        <f t="shared" si="16"/>
        <v>9.6722617460862401E-2</v>
      </c>
      <c r="AH41" s="92">
        <f>Logistic2011!Q41</f>
        <v>2.4353349085554369E-2</v>
      </c>
      <c r="AI41" s="92">
        <f>Logistic2012!Q41</f>
        <v>9.6722617460862401E-2</v>
      </c>
      <c r="AJ41" s="92">
        <f>Logistic2013!L41</f>
        <v>8.458322376954866E-2</v>
      </c>
      <c r="AK41" s="119">
        <f>Logistic2014!AK41</f>
        <v>9.5952838664410234E-2</v>
      </c>
      <c r="AL41" s="119">
        <f t="shared" si="22"/>
        <v>7.091749340959598E-2</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28"/>
        <v/>
      </c>
      <c r="E42" s="81"/>
      <c r="F42" s="50" t="str">
        <f t="shared" si="29"/>
        <v/>
      </c>
      <c r="G42" s="16" t="str">
        <f t="shared" si="30"/>
        <v/>
      </c>
      <c r="H42" s="51" t="str">
        <f t="shared" si="31"/>
        <v/>
      </c>
      <c r="I42" s="54"/>
      <c r="J42" s="105">
        <f t="shared" si="7"/>
        <v>37799.5</v>
      </c>
      <c r="K42" s="109">
        <v>34</v>
      </c>
      <c r="L42" s="125">
        <f t="shared" si="5"/>
        <v>8.1458298411023491E-2</v>
      </c>
      <c r="M42" s="46">
        <f t="shared" si="8"/>
        <v>3.5798078010252969E-2</v>
      </c>
      <c r="N42" s="131">
        <v>3.5798078010252969E-2</v>
      </c>
      <c r="O42" s="89">
        <f t="shared" si="6"/>
        <v>3.5798078010252969E-2</v>
      </c>
      <c r="P42" s="48">
        <v>40356</v>
      </c>
      <c r="Q42" s="1">
        <v>0.12482080008468176</v>
      </c>
      <c r="R42" s="100">
        <v>17704</v>
      </c>
      <c r="S42" s="100">
        <f t="shared" si="20"/>
        <v>1547.9192814935104</v>
      </c>
      <c r="T42" s="101">
        <f t="shared" si="15"/>
        <v>16156.08071850649</v>
      </c>
      <c r="AE42" s="93">
        <f t="shared" si="21"/>
        <v>37799.5</v>
      </c>
      <c r="AF42" s="92">
        <f>Logistic2010!Q42</f>
        <v>5.3115454143665003E-2</v>
      </c>
      <c r="AG42" s="4">
        <f t="shared" si="16"/>
        <v>0.12482080008468176</v>
      </c>
      <c r="AH42" s="92">
        <f>Logistic2011!Q42</f>
        <v>3.1107190112750017E-2</v>
      </c>
      <c r="AI42" s="92">
        <f>Logistic2012!Q42</f>
        <v>0.12482080008468176</v>
      </c>
      <c r="AJ42" s="92">
        <f>Logistic2013!L42</f>
        <v>0.1012029979928537</v>
      </c>
      <c r="AK42" s="119">
        <f>Logistic2014!AK42</f>
        <v>0.11386199412717302</v>
      </c>
      <c r="AL42" s="119">
        <f t="shared" si="22"/>
        <v>8.1458298411023491E-2</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28"/>
        <v/>
      </c>
      <c r="E43" s="81"/>
      <c r="F43" s="50" t="str">
        <f t="shared" si="29"/>
        <v/>
      </c>
      <c r="G43" s="16" t="str">
        <f t="shared" si="30"/>
        <v/>
      </c>
      <c r="H43" s="51" t="str">
        <f t="shared" si="31"/>
        <v/>
      </c>
      <c r="I43" s="54"/>
      <c r="J43" s="105">
        <f t="shared" si="7"/>
        <v>37800.5</v>
      </c>
      <c r="K43" s="109">
        <v>35</v>
      </c>
      <c r="L43" s="125">
        <f t="shared" si="5"/>
        <v>9.3408317211831279E-2</v>
      </c>
      <c r="M43" s="46">
        <f t="shared" si="8"/>
        <v>5.0250242425127004E-2</v>
      </c>
      <c r="N43" s="131">
        <v>5.0250242425127004E-2</v>
      </c>
      <c r="O43" s="89">
        <f t="shared" si="6"/>
        <v>5.0250242425127004E-2</v>
      </c>
      <c r="P43" s="48">
        <v>40357</v>
      </c>
      <c r="Q43" s="1">
        <v>0.15963897994445775</v>
      </c>
      <c r="R43" s="100">
        <v>13702</v>
      </c>
      <c r="S43" s="100">
        <f t="shared" si="20"/>
        <v>1372.3628322989916</v>
      </c>
      <c r="T43" s="101">
        <f t="shared" si="15"/>
        <v>12329.637167701008</v>
      </c>
      <c r="U43" s="40">
        <v>40705</v>
      </c>
      <c r="AE43" s="93">
        <f t="shared" si="21"/>
        <v>37800.5</v>
      </c>
      <c r="AF43" s="92">
        <f>Logistic2010!Q43</f>
        <v>6.4113302836932173E-2</v>
      </c>
      <c r="AG43" s="4">
        <f t="shared" si="16"/>
        <v>0.15963897994445775</v>
      </c>
      <c r="AH43" s="92">
        <f>Logistic2011!Q43</f>
        <v>3.9657919254324193E-2</v>
      </c>
      <c r="AI43" s="92">
        <f>Logistic2012!Q43</f>
        <v>0.15963897994445775</v>
      </c>
      <c r="AJ43" s="92">
        <f>Logistic2013!L43</f>
        <v>0.12065796431808783</v>
      </c>
      <c r="AK43" s="119">
        <f>Logistic2014!AK43</f>
        <v>0.13461607593232877</v>
      </c>
      <c r="AL43" s="119">
        <f t="shared" si="22"/>
        <v>9.3408317211831279E-2</v>
      </c>
      <c r="AM43" s="114"/>
      <c r="AN43" s="114"/>
      <c r="AP43" s="114"/>
      <c r="AQ43" s="114"/>
      <c r="AR43" s="110"/>
      <c r="AS43" s="110"/>
      <c r="AT43" s="110"/>
      <c r="AU43" s="110"/>
      <c r="AV43" s="110"/>
      <c r="AW43" s="110"/>
      <c r="AX43" s="110"/>
    </row>
    <row r="44" spans="2:50" ht="16.5" thickBot="1" x14ac:dyDescent="0.3">
      <c r="B44" s="49"/>
      <c r="C44" s="79"/>
      <c r="D44" s="86" t="str">
        <f t="shared" si="28"/>
        <v/>
      </c>
      <c r="E44" s="81"/>
      <c r="F44" s="50" t="str">
        <f t="shared" si="29"/>
        <v/>
      </c>
      <c r="G44" s="16" t="str">
        <f t="shared" si="30"/>
        <v/>
      </c>
      <c r="H44" s="51" t="str">
        <f t="shared" si="31"/>
        <v/>
      </c>
      <c r="I44" s="54"/>
      <c r="J44" s="105">
        <f t="shared" si="7"/>
        <v>37801.5</v>
      </c>
      <c r="K44" s="109">
        <v>36</v>
      </c>
      <c r="L44" s="125">
        <f t="shared" si="5"/>
        <v>0.10690737864264127</v>
      </c>
      <c r="M44" s="46">
        <f t="shared" si="8"/>
        <v>7.0112677039206914E-2</v>
      </c>
      <c r="N44" s="131">
        <v>7.0112677039206914E-2</v>
      </c>
      <c r="O44" s="89">
        <f t="shared" si="6"/>
        <v>7.0112677039206914E-2</v>
      </c>
      <c r="P44" s="48">
        <v>40358</v>
      </c>
      <c r="Q44" s="1">
        <v>0.20192861027500136</v>
      </c>
      <c r="R44" s="100">
        <v>6021</v>
      </c>
      <c r="S44" s="100">
        <f t="shared" si="20"/>
        <v>689.41031208477364</v>
      </c>
      <c r="T44" s="101">
        <f t="shared" si="15"/>
        <v>5331.589687915226</v>
      </c>
      <c r="U44" s="49">
        <v>40706</v>
      </c>
      <c r="V44" s="95"/>
      <c r="W44" s="95"/>
      <c r="X44" s="95"/>
      <c r="Y44" s="95"/>
      <c r="Z44" s="95"/>
      <c r="AE44" s="93">
        <f t="shared" si="21"/>
        <v>37801.5</v>
      </c>
      <c r="AF44" s="92">
        <f>Logistic2010!Q44</f>
        <v>7.72026520734653E-2</v>
      </c>
      <c r="AG44" s="4">
        <f t="shared" si="16"/>
        <v>0.20192861027500136</v>
      </c>
      <c r="AH44" s="92">
        <f>Logistic2011!Q44</f>
        <v>5.0436715072649276E-2</v>
      </c>
      <c r="AI44" s="92">
        <f>Logistic2012!Q44</f>
        <v>0.20192861027500136</v>
      </c>
      <c r="AJ44" s="92">
        <f>Logistic2013!L44</f>
        <v>0.14325679323024673</v>
      </c>
      <c r="AK44" s="119">
        <f>Logistic2014!AK44</f>
        <v>0.15847654981878281</v>
      </c>
      <c r="AL44" s="119">
        <f t="shared" si="22"/>
        <v>0.10690737864264127</v>
      </c>
      <c r="AM44" s="113"/>
      <c r="AQ44" s="113"/>
      <c r="AR44" s="111" t="s">
        <v>45</v>
      </c>
      <c r="AS44" s="111">
        <v>2.7416072727272724</v>
      </c>
      <c r="AT44" s="111">
        <v>21</v>
      </c>
      <c r="AU44" s="111"/>
      <c r="AV44" s="111"/>
      <c r="AW44" s="111"/>
      <c r="AX44" s="111"/>
    </row>
    <row r="45" spans="2:50" x14ac:dyDescent="0.25">
      <c r="B45" s="49"/>
      <c r="C45" s="79"/>
      <c r="D45" s="86" t="str">
        <f t="shared" si="28"/>
        <v/>
      </c>
      <c r="E45" s="81"/>
      <c r="F45" s="50" t="str">
        <f t="shared" si="29"/>
        <v/>
      </c>
      <c r="G45" s="16" t="str">
        <f t="shared" si="30"/>
        <v/>
      </c>
      <c r="H45" s="51" t="str">
        <f t="shared" si="31"/>
        <v/>
      </c>
      <c r="I45" s="54"/>
      <c r="J45" s="105">
        <f t="shared" si="7"/>
        <v>37802.5</v>
      </c>
      <c r="K45" s="109">
        <v>37</v>
      </c>
      <c r="L45" s="125">
        <f t="shared" si="5"/>
        <v>0.12209455196183429</v>
      </c>
      <c r="M45" s="46">
        <f t="shared" si="8"/>
        <v>9.7024102357607847E-2</v>
      </c>
      <c r="N45" s="131">
        <v>9.7024102357607847E-2</v>
      </c>
      <c r="O45" s="89">
        <f t="shared" si="6"/>
        <v>9.7024102357607847E-2</v>
      </c>
      <c r="P45" s="48">
        <v>40359</v>
      </c>
      <c r="Q45" s="1">
        <v>0.25206087357123486</v>
      </c>
      <c r="R45" s="100">
        <v>4676</v>
      </c>
      <c r="S45" s="100">
        <f t="shared" si="20"/>
        <v>610.68026408069841</v>
      </c>
      <c r="T45" s="101">
        <f t="shared" si="15"/>
        <v>4065.3197359193018</v>
      </c>
      <c r="U45" s="49">
        <v>40707</v>
      </c>
      <c r="V45" s="95"/>
      <c r="W45" s="95"/>
      <c r="X45" s="95"/>
      <c r="Y45" s="95"/>
      <c r="Z45" s="95"/>
      <c r="AE45" s="93">
        <f t="shared" si="21"/>
        <v>37802.5</v>
      </c>
      <c r="AF45" s="92">
        <f>Logistic2010!Q45</f>
        <v>9.2699625095272714E-2</v>
      </c>
      <c r="AG45" s="4">
        <f t="shared" si="16"/>
        <v>0.25206087357123486</v>
      </c>
      <c r="AH45" s="92">
        <f>Logistic2011!Q45</f>
        <v>6.3950040299436198E-2</v>
      </c>
      <c r="AI45" s="92">
        <f>Logistic2012!Q45</f>
        <v>0.25206087357123486</v>
      </c>
      <c r="AJ45" s="92">
        <f>Logistic2013!L45</f>
        <v>0.16927351386641812</v>
      </c>
      <c r="AK45" s="119">
        <f>Logistic2014!AK45</f>
        <v>0.18565891661671166</v>
      </c>
      <c r="AL45" s="119">
        <f t="shared" si="22"/>
        <v>0.12209455196183429</v>
      </c>
      <c r="AM45" s="113"/>
      <c r="AN45" s="113"/>
      <c r="AP45" s="113"/>
      <c r="AQ45" s="113"/>
      <c r="AR45" s="113"/>
      <c r="AS45" s="113"/>
      <c r="AT45" s="114"/>
      <c r="AU45" s="114"/>
    </row>
    <row r="46" spans="2:50" x14ac:dyDescent="0.25">
      <c r="B46" s="49"/>
      <c r="C46" s="79"/>
      <c r="D46" s="86" t="str">
        <f t="shared" si="28"/>
        <v/>
      </c>
      <c r="E46" s="81"/>
      <c r="F46" s="50" t="str">
        <f t="shared" si="29"/>
        <v/>
      </c>
      <c r="G46" s="16" t="str">
        <f t="shared" si="30"/>
        <v/>
      </c>
      <c r="H46" s="51" t="str">
        <f t="shared" si="31"/>
        <v/>
      </c>
      <c r="I46" s="54"/>
      <c r="J46" s="105">
        <f t="shared" si="7"/>
        <v>37803.5</v>
      </c>
      <c r="K46" s="109">
        <v>38</v>
      </c>
      <c r="L46" s="125">
        <f t="shared" si="5"/>
        <v>0.13910316578012397</v>
      </c>
      <c r="M46" s="46">
        <f t="shared" si="8"/>
        <v>0.13278990299316346</v>
      </c>
      <c r="N46" s="131">
        <v>0.13278990299316346</v>
      </c>
      <c r="O46" s="89">
        <f t="shared" si="6"/>
        <v>0.13278990299316346</v>
      </c>
      <c r="P46" s="48">
        <v>40360</v>
      </c>
      <c r="Q46" s="1">
        <v>0.30980777704027063</v>
      </c>
      <c r="R46" s="100">
        <v>3828</v>
      </c>
      <c r="S46" s="100">
        <f t="shared" si="20"/>
        <v>568.75999509992528</v>
      </c>
      <c r="T46" s="101">
        <f t="shared" si="15"/>
        <v>3259.2400049000748</v>
      </c>
      <c r="U46" s="49">
        <v>40708</v>
      </c>
      <c r="V46" s="95"/>
      <c r="W46" s="95"/>
      <c r="X46" s="95"/>
      <c r="Y46" s="95"/>
      <c r="Z46" s="95"/>
      <c r="AE46" s="93">
        <f t="shared" si="21"/>
        <v>37803.5</v>
      </c>
      <c r="AF46" s="92">
        <f>Logistic2010!Q46</f>
        <v>0.11093336918210217</v>
      </c>
      <c r="AG46" s="4">
        <f t="shared" si="16"/>
        <v>0.30980777704027063</v>
      </c>
      <c r="AH46" s="92">
        <f>Logistic2011!Q46</f>
        <v>8.0775952050874497E-2</v>
      </c>
      <c r="AI46" s="92">
        <f>Logistic2012!Q46</f>
        <v>0.30980777704027063</v>
      </c>
      <c r="AJ46" s="92">
        <f>Logistic2013!L46</f>
        <v>0.19891808737150862</v>
      </c>
      <c r="AK46" s="119">
        <f>Logistic2014!AK46</f>
        <v>0.21630525971395512</v>
      </c>
      <c r="AL46" s="119">
        <f t="shared" si="22"/>
        <v>0.13910316578012397</v>
      </c>
      <c r="AM46" s="113"/>
      <c r="AN46" s="113"/>
      <c r="AP46" s="113"/>
      <c r="AQ46" s="113"/>
      <c r="AR46" s="113"/>
      <c r="AS46" s="113"/>
      <c r="AT46" s="114"/>
      <c r="AU46" s="114"/>
    </row>
    <row r="47" spans="2:50" x14ac:dyDescent="0.25">
      <c r="B47" s="49"/>
      <c r="C47" s="79"/>
      <c r="D47" s="86" t="str">
        <f t="shared" si="28"/>
        <v/>
      </c>
      <c r="E47" s="81"/>
      <c r="F47" s="50" t="str">
        <f t="shared" si="29"/>
        <v/>
      </c>
      <c r="G47" s="16" t="str">
        <f t="shared" si="30"/>
        <v/>
      </c>
      <c r="H47" s="51" t="str">
        <f t="shared" si="31"/>
        <v/>
      </c>
      <c r="I47" s="54"/>
      <c r="J47" s="105">
        <f t="shared" si="7"/>
        <v>37804.5</v>
      </c>
      <c r="K47" s="109">
        <v>39</v>
      </c>
      <c r="L47" s="125">
        <f t="shared" si="5"/>
        <v>0.15805461640374502</v>
      </c>
      <c r="M47" s="46">
        <f t="shared" si="8"/>
        <v>0.17912459589298799</v>
      </c>
      <c r="N47" s="131">
        <v>0.17912459589298799</v>
      </c>
      <c r="O47" s="89">
        <f t="shared" si="6"/>
        <v>0.17912459589298799</v>
      </c>
      <c r="P47" s="48">
        <v>40361</v>
      </c>
      <c r="Q47" s="1">
        <v>0.37416608438208854</v>
      </c>
      <c r="R47" s="100">
        <v>3893</v>
      </c>
      <c r="S47" s="100">
        <f t="shared" si="20"/>
        <v>656.17611802040403</v>
      </c>
      <c r="T47" s="101">
        <f t="shared" si="15"/>
        <v>3236.8238819795961</v>
      </c>
      <c r="U47" s="49">
        <v>40709</v>
      </c>
      <c r="V47" s="95"/>
      <c r="W47" s="95"/>
      <c r="X47" s="95"/>
      <c r="Y47" s="95"/>
      <c r="Z47" s="95"/>
      <c r="AE47" s="93">
        <f t="shared" si="21"/>
        <v>37804.5</v>
      </c>
      <c r="AF47" s="92">
        <f>Logistic2010!Q47</f>
        <v>0.13223093333791724</v>
      </c>
      <c r="AG47" s="4">
        <f t="shared" si="16"/>
        <v>0.37416608438208854</v>
      </c>
      <c r="AH47" s="92">
        <f>Logistic2011!Q47</f>
        <v>0.10154865709169383</v>
      </c>
      <c r="AI47" s="92">
        <f>Logistic2012!Q47</f>
        <v>0.37416608438208854</v>
      </c>
      <c r="AJ47" s="92">
        <f>Logistic2013!L47</f>
        <v>0.23230249502167508</v>
      </c>
      <c r="AK47" s="119">
        <f>Logistic2014!AK47</f>
        <v>0.25045449624933086</v>
      </c>
      <c r="AL47" s="119">
        <f t="shared" si="22"/>
        <v>0.15805461640374502</v>
      </c>
      <c r="AM47" s="115"/>
      <c r="AN47" s="115"/>
      <c r="AQ47" s="115"/>
      <c r="AR47" t="s">
        <v>28</v>
      </c>
      <c r="AS47"/>
      <c r="AT47"/>
      <c r="AU47"/>
      <c r="AV47"/>
      <c r="AW47"/>
      <c r="AX47"/>
    </row>
    <row r="48" spans="2:50" x14ac:dyDescent="0.25">
      <c r="B48" s="49"/>
      <c r="C48" s="79"/>
      <c r="D48" s="86" t="str">
        <f t="shared" si="28"/>
        <v/>
      </c>
      <c r="E48" s="81"/>
      <c r="F48" s="50" t="str">
        <f t="shared" si="29"/>
        <v/>
      </c>
      <c r="G48" s="16" t="str">
        <f t="shared" si="30"/>
        <v/>
      </c>
      <c r="H48" s="51" t="str">
        <f t="shared" si="31"/>
        <v/>
      </c>
      <c r="I48" s="54"/>
      <c r="J48" s="105">
        <f t="shared" si="7"/>
        <v>37805.5</v>
      </c>
      <c r="K48" s="109">
        <v>40</v>
      </c>
      <c r="L48" s="125">
        <f t="shared" si="5"/>
        <v>0.17905101833573814</v>
      </c>
      <c r="M48" s="46">
        <f t="shared" si="8"/>
        <v>0.23720467988333704</v>
      </c>
      <c r="N48" s="131">
        <v>0.23720467988333704</v>
      </c>
      <c r="O48" s="89">
        <f t="shared" si="6"/>
        <v>0.23720467988333704</v>
      </c>
      <c r="P48" s="48">
        <v>40362</v>
      </c>
      <c r="Q48" s="1">
        <v>0.44330675299696459</v>
      </c>
      <c r="R48" s="100">
        <v>3621</v>
      </c>
      <c r="S48" s="100">
        <f t="shared" si="20"/>
        <v>690.19503245327348</v>
      </c>
      <c r="T48" s="101">
        <f>R48-S48</f>
        <v>2930.8049675467264</v>
      </c>
      <c r="U48" s="49">
        <v>40710</v>
      </c>
      <c r="V48" s="95"/>
      <c r="W48" s="95"/>
      <c r="X48" s="95"/>
      <c r="Y48" s="95"/>
      <c r="Z48" s="95"/>
      <c r="AE48" s="93">
        <f t="shared" si="21"/>
        <v>37805.5</v>
      </c>
      <c r="AF48" s="92">
        <f>Logistic2010!Q48</f>
        <v>0.15689575096130998</v>
      </c>
      <c r="AG48" s="4">
        <f t="shared" si="16"/>
        <v>0.44330675299696459</v>
      </c>
      <c r="AH48" s="92">
        <f>Logistic2011!Q48</f>
        <v>0.12692574439278323</v>
      </c>
      <c r="AI48" s="92">
        <f>Logistic2012!Q48</f>
        <v>0.44330675299696459</v>
      </c>
      <c r="AJ48" s="92">
        <f>Logistic2013!L48</f>
        <v>0.26940553732402189</v>
      </c>
      <c r="AK48" s="119">
        <f>Logistic2014!AK48</f>
        <v>0.28801370069768495</v>
      </c>
      <c r="AL48" s="119">
        <f t="shared" si="22"/>
        <v>0.17905101833573814</v>
      </c>
      <c r="AM48" s="110"/>
      <c r="AP48" s="110"/>
      <c r="AQ48" s="110"/>
      <c r="AR48"/>
      <c r="AS48"/>
      <c r="AT48"/>
      <c r="AU48"/>
      <c r="AV48"/>
      <c r="AW48"/>
      <c r="AX48"/>
    </row>
    <row r="49" spans="2:50" ht="16.5" thickBot="1" x14ac:dyDescent="0.3">
      <c r="B49" s="49"/>
      <c r="C49" s="79"/>
      <c r="D49" s="86" t="str">
        <f t="shared" si="28"/>
        <v/>
      </c>
      <c r="E49" s="81"/>
      <c r="F49" s="50" t="str">
        <f t="shared" si="29"/>
        <v/>
      </c>
      <c r="G49" s="16" t="str">
        <f t="shared" si="30"/>
        <v/>
      </c>
      <c r="H49" s="51" t="str">
        <f t="shared" si="31"/>
        <v/>
      </c>
      <c r="I49" s="54"/>
      <c r="J49" s="105">
        <f t="shared" si="7"/>
        <v>37806.5</v>
      </c>
      <c r="K49" s="109">
        <v>41</v>
      </c>
      <c r="L49" s="143">
        <f t="shared" si="5"/>
        <v>0.20216689519824338</v>
      </c>
      <c r="M49" s="46">
        <f t="shared" si="8"/>
        <v>0.30707218568713457</v>
      </c>
      <c r="N49" s="131">
        <v>0.30707218568713457</v>
      </c>
      <c r="O49" s="89">
        <f t="shared" si="6"/>
        <v>0.30707218568713457</v>
      </c>
      <c r="P49" s="4">
        <v>40363</v>
      </c>
      <c r="Q49" s="4">
        <v>0.51471586655781365</v>
      </c>
      <c r="R49" s="4">
        <v>2271</v>
      </c>
      <c r="S49" s="100">
        <f t="shared" si="20"/>
        <v>487.8189613147506</v>
      </c>
      <c r="T49" s="101">
        <f t="shared" ref="T49:T70" si="32">R49-S49</f>
        <v>1783.1810386852494</v>
      </c>
      <c r="U49" s="49">
        <v>40711</v>
      </c>
      <c r="V49" s="95"/>
      <c r="W49" s="95"/>
      <c r="X49" s="95"/>
      <c r="Y49" s="95"/>
      <c r="Z49" s="95"/>
      <c r="AE49" s="93">
        <f t="shared" si="21"/>
        <v>37806.5</v>
      </c>
      <c r="AF49" s="92">
        <f>Logistic2010!Q49</f>
        <v>0.1851794824455581</v>
      </c>
      <c r="AG49" s="4">
        <f t="shared" si="16"/>
        <v>0.51471586655781365</v>
      </c>
      <c r="AH49" s="92">
        <f>Logistic2011!Q49</f>
        <v>0.15753263507351994</v>
      </c>
      <c r="AI49" s="92">
        <f>Logistic2012!Q49</f>
        <v>0.51471586655781365</v>
      </c>
      <c r="AJ49" s="92">
        <f>Logistic2013!L49</f>
        <v>0.31004134142241851</v>
      </c>
      <c r="AK49" s="119">
        <f>Logistic2014!AK49</f>
        <v>0.32873512727698778</v>
      </c>
      <c r="AL49" s="119">
        <f t="shared" si="22"/>
        <v>0.20216689519824338</v>
      </c>
      <c r="AM49" s="110"/>
      <c r="AN49" s="110"/>
      <c r="AO49" s="110"/>
      <c r="AP49" s="110"/>
      <c r="AQ49" s="110"/>
      <c r="AR49" t="s">
        <v>29</v>
      </c>
      <c r="AS49"/>
      <c r="AT49"/>
      <c r="AU49"/>
      <c r="AV49"/>
      <c r="AW49"/>
      <c r="AX49"/>
    </row>
    <row r="50" spans="2:50" ht="16.5" thickBot="1" x14ac:dyDescent="0.3">
      <c r="B50" s="49"/>
      <c r="C50" s="79"/>
      <c r="D50" s="86" t="str">
        <f t="shared" si="28"/>
        <v/>
      </c>
      <c r="E50" s="81"/>
      <c r="F50" s="50" t="str">
        <f t="shared" si="29"/>
        <v/>
      </c>
      <c r="G50" s="16" t="str">
        <f t="shared" si="30"/>
        <v/>
      </c>
      <c r="H50" s="51" t="str">
        <f t="shared" si="31"/>
        <v/>
      </c>
      <c r="I50" s="54"/>
      <c r="J50" s="105">
        <f t="shared" si="7"/>
        <v>37807.5</v>
      </c>
      <c r="K50" s="109">
        <v>42</v>
      </c>
      <c r="L50" s="125">
        <f t="shared" si="5"/>
        <v>0.22744029222117593</v>
      </c>
      <c r="M50" s="46">
        <f t="shared" si="8"/>
        <v>0.38707606622199253</v>
      </c>
      <c r="N50" s="131">
        <v>0.38707606622199253</v>
      </c>
      <c r="O50" s="89">
        <f t="shared" si="6"/>
        <v>0.38707606622199253</v>
      </c>
      <c r="P50" s="4">
        <v>40364</v>
      </c>
      <c r="Q50" s="4">
        <v>0.58552915257129856</v>
      </c>
      <c r="R50" s="4">
        <v>2403</v>
      </c>
      <c r="S50" s="100">
        <f t="shared" si="20"/>
        <v>579.48848289044167</v>
      </c>
      <c r="T50" s="101">
        <f t="shared" si="32"/>
        <v>1823.5115171095583</v>
      </c>
      <c r="U50" s="49">
        <v>40712</v>
      </c>
      <c r="V50" s="95">
        <v>3.5999999999999997E-2</v>
      </c>
      <c r="W50" s="95"/>
      <c r="X50" s="95"/>
      <c r="Y50" s="95"/>
      <c r="Z50" s="95"/>
      <c r="AE50" s="93">
        <f t="shared" si="21"/>
        <v>37807.5</v>
      </c>
      <c r="AF50" s="92">
        <f>Logistic2010!Q50</f>
        <v>0.21724812306999194</v>
      </c>
      <c r="AG50" s="4">
        <f t="shared" si="16"/>
        <v>0.58552915257129856</v>
      </c>
      <c r="AH50" s="92">
        <f>Logistic2011!Q50</f>
        <v>0.19388109788722835</v>
      </c>
      <c r="AI50" s="92">
        <f>Logistic2012!Q50</f>
        <v>0.58552915257129856</v>
      </c>
      <c r="AJ50" s="92">
        <f>Logistic2013!L50</f>
        <v>0.35383793526166868</v>
      </c>
      <c r="AK50" s="119">
        <f>Logistic2014!AK50</f>
        <v>0.37220420551064748</v>
      </c>
      <c r="AL50" s="119">
        <f t="shared" si="22"/>
        <v>0.22744029222117593</v>
      </c>
      <c r="AM50" s="113"/>
      <c r="AN50" s="113"/>
      <c r="AO50" s="113"/>
      <c r="AQ50" s="113"/>
      <c r="AR50" s="112" t="s">
        <v>30</v>
      </c>
      <c r="AS50" s="112" t="s">
        <v>31</v>
      </c>
      <c r="AT50" s="112" t="s">
        <v>32</v>
      </c>
      <c r="AU50" s="112" t="s">
        <v>33</v>
      </c>
      <c r="AV50" s="112" t="s">
        <v>34</v>
      </c>
      <c r="AW50"/>
      <c r="AX50"/>
    </row>
    <row r="51" spans="2:50" x14ac:dyDescent="0.25">
      <c r="B51" s="49"/>
      <c r="C51" s="79"/>
      <c r="D51" s="86" t="str">
        <f t="shared" si="28"/>
        <v/>
      </c>
      <c r="E51" s="81"/>
      <c r="F51" s="50" t="str">
        <f t="shared" si="29"/>
        <v/>
      </c>
      <c r="G51" s="16" t="str">
        <f t="shared" si="30"/>
        <v/>
      </c>
      <c r="H51" s="51" t="str">
        <f t="shared" si="31"/>
        <v/>
      </c>
      <c r="I51" s="54"/>
      <c r="J51" s="105">
        <f t="shared" si="7"/>
        <v>37808.5</v>
      </c>
      <c r="K51" s="109">
        <v>43</v>
      </c>
      <c r="L51" s="125">
        <f t="shared" si="5"/>
        <v>0.25486389661814302</v>
      </c>
      <c r="M51" s="46">
        <f t="shared" si="8"/>
        <v>0.47367530224191001</v>
      </c>
      <c r="N51" s="131">
        <v>0.47367530224191001</v>
      </c>
      <c r="O51" s="89">
        <f t="shared" si="6"/>
        <v>0.47367530224191001</v>
      </c>
      <c r="P51" s="4">
        <v>40365</v>
      </c>
      <c r="Q51" s="4">
        <v>0.65297594566306583</v>
      </c>
      <c r="R51" s="4">
        <v>2644</v>
      </c>
      <c r="S51" s="100">
        <f t="shared" si="20"/>
        <v>712.87640097834787</v>
      </c>
      <c r="T51" s="101">
        <f t="shared" si="32"/>
        <v>1931.1235990216521</v>
      </c>
      <c r="U51" s="40">
        <v>40713</v>
      </c>
      <c r="V51" s="95"/>
      <c r="W51" s="95"/>
      <c r="X51" s="95"/>
      <c r="Y51" s="95"/>
      <c r="Z51" s="95"/>
      <c r="AE51" s="93">
        <f t="shared" si="21"/>
        <v>37808.5</v>
      </c>
      <c r="AF51" s="92">
        <f>Logistic2010!Q51</f>
        <v>0.25314493902860469</v>
      </c>
      <c r="AG51" s="4">
        <f t="shared" si="16"/>
        <v>0.65297594566306583</v>
      </c>
      <c r="AH51" s="92">
        <f>Logistic2011!Q51</f>
        <v>0.2362644112915534</v>
      </c>
      <c r="AI51" s="92">
        <f>Logistic2012!Q51</f>
        <v>0.65297594566306583</v>
      </c>
      <c r="AJ51" s="92">
        <f>Logistic2013!L51</f>
        <v>0.40023244913820061</v>
      </c>
      <c r="AK51" s="119">
        <f>Logistic2014!AK51</f>
        <v>0.41784330704514244</v>
      </c>
      <c r="AL51" s="119">
        <f t="shared" si="22"/>
        <v>0.25486389661814302</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28"/>
        <v/>
      </c>
      <c r="E52" s="81"/>
      <c r="F52" s="50" t="str">
        <f t="shared" si="29"/>
        <v/>
      </c>
      <c r="G52" s="16" t="str">
        <f t="shared" si="30"/>
        <v/>
      </c>
      <c r="H52" s="51" t="str">
        <f t="shared" si="31"/>
        <v/>
      </c>
      <c r="I52" s="54"/>
      <c r="J52" s="105">
        <f t="shared" si="7"/>
        <v>37809.5</v>
      </c>
      <c r="K52" s="109">
        <v>44</v>
      </c>
      <c r="L52" s="125">
        <f t="shared" si="5"/>
        <v>0.28437695132311863</v>
      </c>
      <c r="M52" s="46">
        <f t="shared" si="8"/>
        <v>0.56188779335925654</v>
      </c>
      <c r="N52" s="131">
        <v>0.56188779335925654</v>
      </c>
      <c r="O52" s="89">
        <f t="shared" si="6"/>
        <v>0.56188779335925654</v>
      </c>
      <c r="P52" s="4">
        <v>40366</v>
      </c>
      <c r="Q52" s="4">
        <v>0.71479326435445212</v>
      </c>
      <c r="R52" s="4">
        <v>1901</v>
      </c>
      <c r="S52" s="100">
        <f t="shared" si="20"/>
        <v>570.52417624190957</v>
      </c>
      <c r="T52" s="101">
        <f t="shared" si="32"/>
        <v>1330.4758237580904</v>
      </c>
      <c r="U52" s="49">
        <v>40714</v>
      </c>
      <c r="V52" s="95"/>
      <c r="W52" s="95"/>
      <c r="X52" s="95"/>
      <c r="Y52" s="95"/>
      <c r="Z52" s="95"/>
      <c r="AE52" s="93">
        <f t="shared" si="21"/>
        <v>37809.5</v>
      </c>
      <c r="AF52" s="92">
        <f>Logistic2010!Q52</f>
        <v>0.29275475741502793</v>
      </c>
      <c r="AG52" s="4">
        <f t="shared" si="16"/>
        <v>0.71479326435445212</v>
      </c>
      <c r="AH52" s="92">
        <f>Logistic2011!Q52</f>
        <v>0.28464136726106892</v>
      </c>
      <c r="AI52" s="92">
        <f>Logistic2012!Q52</f>
        <v>0.71479326435445212</v>
      </c>
      <c r="AJ52" s="92">
        <f>Logistic2013!L52</f>
        <v>0.44848792399421938</v>
      </c>
      <c r="AK52" s="119">
        <f>Logistic2014!AK52</f>
        <v>0.46493416339222882</v>
      </c>
      <c r="AL52" s="119">
        <f t="shared" si="22"/>
        <v>0.28437695132311863</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28"/>
        <v/>
      </c>
      <c r="E53" s="81"/>
      <c r="F53" s="50" t="str">
        <f t="shared" si="29"/>
        <v/>
      </c>
      <c r="G53" s="16" t="str">
        <f t="shared" si="30"/>
        <v/>
      </c>
      <c r="H53" s="51" t="str">
        <f t="shared" si="31"/>
        <v/>
      </c>
      <c r="I53" s="54"/>
      <c r="J53" s="105">
        <f t="shared" si="7"/>
        <v>37810.5</v>
      </c>
      <c r="K53" s="109">
        <v>45</v>
      </c>
      <c r="L53" s="125">
        <f t="shared" si="5"/>
        <v>0.31585889953633389</v>
      </c>
      <c r="M53" s="46">
        <f t="shared" si="8"/>
        <v>0.64635389784882469</v>
      </c>
      <c r="N53" s="130">
        <v>0.64635389784882469</v>
      </c>
      <c r="O53" s="89">
        <f t="shared" si="6"/>
        <v>0.64635389784882469</v>
      </c>
      <c r="P53" s="4">
        <v>40367</v>
      </c>
      <c r="Q53" s="4">
        <v>0.76948613379160047</v>
      </c>
      <c r="R53" s="4">
        <v>2421</v>
      </c>
      <c r="S53" s="100">
        <f t="shared" si="20"/>
        <v>804.96392235995063</v>
      </c>
      <c r="T53" s="101">
        <f t="shared" si="32"/>
        <v>1616.0360776400494</v>
      </c>
      <c r="U53" s="49">
        <v>40715</v>
      </c>
      <c r="V53" s="95"/>
      <c r="W53" s="95"/>
      <c r="X53" s="95"/>
      <c r="Y53" s="95"/>
      <c r="Z53" s="95"/>
      <c r="AE53" s="93">
        <f t="shared" si="21"/>
        <v>37810.5</v>
      </c>
      <c r="AF53" s="92">
        <f>Logistic2010!Q53</f>
        <v>0.33577592018640684</v>
      </c>
      <c r="AG53" s="4">
        <f t="shared" si="16"/>
        <v>0.76948613379160047</v>
      </c>
      <c r="AH53" s="92">
        <f>Logistic2011!Q53</f>
        <v>0.33853314511451504</v>
      </c>
      <c r="AI53" s="92">
        <f>Logistic2012!Q53</f>
        <v>0.76948613379160047</v>
      </c>
      <c r="AJ53" s="92">
        <f>Logistic2013!L53</f>
        <v>0.49773319182267894</v>
      </c>
      <c r="AK53" s="119">
        <f>Logistic2014!AK53</f>
        <v>0.51265858710560919</v>
      </c>
      <c r="AL53" s="119">
        <f t="shared" si="22"/>
        <v>0.31585889953633389</v>
      </c>
      <c r="AM53" s="115"/>
      <c r="AO53" s="115"/>
      <c r="AP53" s="115"/>
      <c r="AQ53" s="115"/>
      <c r="AR53"/>
      <c r="AS53"/>
      <c r="AT53"/>
      <c r="AU53"/>
      <c r="AV53"/>
      <c r="AW53"/>
      <c r="AX53"/>
    </row>
    <row r="54" spans="2:50" x14ac:dyDescent="0.25">
      <c r="B54" s="49"/>
      <c r="C54" s="79"/>
      <c r="D54" s="86" t="str">
        <f t="shared" si="28"/>
        <v/>
      </c>
      <c r="E54" s="81"/>
      <c r="F54" s="50" t="str">
        <f t="shared" si="29"/>
        <v/>
      </c>
      <c r="G54" s="16" t="str">
        <f t="shared" si="30"/>
        <v/>
      </c>
      <c r="H54" s="51" t="str">
        <f t="shared" si="31"/>
        <v/>
      </c>
      <c r="I54" s="54"/>
      <c r="J54" s="105">
        <f t="shared" si="7"/>
        <v>37811.5</v>
      </c>
      <c r="K54" s="109">
        <v>46</v>
      </c>
      <c r="L54" s="125">
        <f t="shared" si="5"/>
        <v>0.34912575338390617</v>
      </c>
      <c r="M54" s="46">
        <f t="shared" si="8"/>
        <v>0.72257565187378159</v>
      </c>
      <c r="N54" s="130">
        <v>0.72257565187378159</v>
      </c>
      <c r="O54" s="89">
        <f t="shared" si="6"/>
        <v>0.72257565187378159</v>
      </c>
      <c r="P54" s="4">
        <v>40368</v>
      </c>
      <c r="Q54" s="4">
        <v>0.81638498403003179</v>
      </c>
      <c r="R54" s="4">
        <v>2560</v>
      </c>
      <c r="S54" s="100">
        <f t="shared" si="20"/>
        <v>938.31148412885068</v>
      </c>
      <c r="T54" s="101">
        <f t="shared" si="32"/>
        <v>1621.6885158711493</v>
      </c>
      <c r="U54" s="49">
        <v>40716</v>
      </c>
      <c r="V54" s="95"/>
      <c r="W54" s="95"/>
      <c r="X54" s="95"/>
      <c r="Y54" s="95"/>
      <c r="Z54" s="95"/>
      <c r="AE54" s="93">
        <f t="shared" si="21"/>
        <v>37811.5</v>
      </c>
      <c r="AF54" s="92">
        <f>Logistic2010!Q54</f>
        <v>0.3817070776941604</v>
      </c>
      <c r="AG54" s="4">
        <f t="shared" si="16"/>
        <v>0.81638498403003179</v>
      </c>
      <c r="AH54" s="92">
        <f>Logistic2011!Q54</f>
        <v>0.39696628169175319</v>
      </c>
      <c r="AI54" s="92">
        <f>Logistic2012!Q54</f>
        <v>0.81638498403003179</v>
      </c>
      <c r="AJ54" s="92">
        <f>Logistic2013!L54</f>
        <v>0.54702247769245926</v>
      </c>
      <c r="AK54" s="119">
        <f>Logistic2014!AK54</f>
        <v>0.56015332200960266</v>
      </c>
      <c r="AL54" s="119">
        <f t="shared" si="22"/>
        <v>0.34912575338390617</v>
      </c>
      <c r="AM54" s="110"/>
      <c r="AN54" s="110"/>
      <c r="AO54" s="110"/>
      <c r="AQ54" s="110"/>
      <c r="AR54"/>
      <c r="AS54"/>
      <c r="AT54"/>
      <c r="AU54"/>
      <c r="AV54"/>
      <c r="AW54"/>
      <c r="AX54"/>
    </row>
    <row r="55" spans="2:50" ht="16.5" thickBot="1" x14ac:dyDescent="0.3">
      <c r="B55" s="49"/>
      <c r="C55" s="79"/>
      <c r="D55" s="86" t="str">
        <f t="shared" si="28"/>
        <v/>
      </c>
      <c r="E55" s="81"/>
      <c r="F55" s="50" t="str">
        <f t="shared" si="29"/>
        <v/>
      </c>
      <c r="G55" s="16" t="str">
        <f t="shared" si="30"/>
        <v/>
      </c>
      <c r="H55" s="51" t="str">
        <f t="shared" si="31"/>
        <v/>
      </c>
      <c r="I55" s="54"/>
      <c r="J55" s="105">
        <f t="shared" si="7"/>
        <v>37812.5</v>
      </c>
      <c r="K55" s="109">
        <v>47</v>
      </c>
      <c r="L55" s="125">
        <f t="shared" si="5"/>
        <v>0.38393009359175845</v>
      </c>
      <c r="M55" s="46">
        <f t="shared" si="8"/>
        <v>0.67992615512835608</v>
      </c>
      <c r="N55" s="131">
        <v>0.67992615512835608</v>
      </c>
      <c r="O55" s="89">
        <f t="shared" si="6"/>
        <v>0.67992615512835608</v>
      </c>
      <c r="P55" s="4">
        <v>40369</v>
      </c>
      <c r="Q55" s="4">
        <v>0.85553350414652685</v>
      </c>
      <c r="R55" s="4">
        <v>3011</v>
      </c>
      <c r="S55" s="100">
        <f t="shared" si="20"/>
        <v>1210.2645903907855</v>
      </c>
      <c r="T55" s="101">
        <f t="shared" si="32"/>
        <v>1800.7354096092145</v>
      </c>
      <c r="U55" s="49">
        <v>40717</v>
      </c>
      <c r="V55" s="95"/>
      <c r="W55" s="95"/>
      <c r="X55" s="95"/>
      <c r="Y55" s="95"/>
      <c r="Z55" s="95"/>
      <c r="AE55" s="93">
        <f t="shared" si="21"/>
        <v>37812.5</v>
      </c>
      <c r="AF55" s="92">
        <f>Logistic2010!Q55</f>
        <v>0.42985515834963317</v>
      </c>
      <c r="AG55" s="4">
        <f t="shared" si="16"/>
        <v>0.85553350414652685</v>
      </c>
      <c r="AH55" s="92">
        <f>Logistic2011!Q55</f>
        <v>0.45849431667616858</v>
      </c>
      <c r="AI55" s="92">
        <f>Logistic2012!Q55</f>
        <v>0.85553350414652685</v>
      </c>
      <c r="AJ55" s="92">
        <f>Logistic2013!L55</f>
        <v>0.59540663680406558</v>
      </c>
      <c r="AK55" s="119">
        <f>Logistic2014!AK55</f>
        <v>0.60657155343516</v>
      </c>
      <c r="AL55" s="119">
        <f t="shared" si="22"/>
        <v>0.38393009359175845</v>
      </c>
      <c r="AM55" s="110"/>
      <c r="AN55" s="110"/>
      <c r="AP55" s="110"/>
      <c r="AQ55" s="110"/>
      <c r="AR55" t="s">
        <v>35</v>
      </c>
      <c r="AS55"/>
      <c r="AT55"/>
      <c r="AU55"/>
      <c r="AV55"/>
      <c r="AW55"/>
      <c r="AX55"/>
    </row>
    <row r="56" spans="2:50" x14ac:dyDescent="0.25">
      <c r="B56" s="49"/>
      <c r="C56" s="79"/>
      <c r="D56" s="86" t="str">
        <f t="shared" si="28"/>
        <v/>
      </c>
      <c r="E56" s="81"/>
      <c r="F56" s="50" t="str">
        <f t="shared" si="29"/>
        <v/>
      </c>
      <c r="G56" s="16" t="str">
        <f t="shared" si="30"/>
        <v/>
      </c>
      <c r="H56" s="51" t="str">
        <f t="shared" si="31"/>
        <v/>
      </c>
      <c r="I56" s="54"/>
      <c r="J56" s="105">
        <f t="shared" si="7"/>
        <v>37813.5</v>
      </c>
      <c r="K56" s="109">
        <v>48</v>
      </c>
      <c r="L56" s="125">
        <f t="shared" si="5"/>
        <v>0.41996535004210772</v>
      </c>
      <c r="M56" s="46">
        <f t="shared" si="8"/>
        <v>0.73462826392623781</v>
      </c>
      <c r="N56" s="131">
        <v>0.73462826392623781</v>
      </c>
      <c r="O56" s="89">
        <f t="shared" si="6"/>
        <v>0.73462826392623781</v>
      </c>
      <c r="P56" s="4">
        <v>40370</v>
      </c>
      <c r="Q56" s="4">
        <v>0.88748554172196392</v>
      </c>
      <c r="R56" s="4">
        <v>582</v>
      </c>
      <c r="S56" s="100">
        <f t="shared" si="20"/>
        <v>255.16042263003999</v>
      </c>
      <c r="T56" s="101">
        <f t="shared" si="32"/>
        <v>326.83957736996001</v>
      </c>
      <c r="U56" s="49">
        <v>40718</v>
      </c>
      <c r="V56" s="95"/>
      <c r="W56" s="95"/>
      <c r="X56" s="95"/>
      <c r="Y56" s="95"/>
      <c r="Z56" s="95"/>
      <c r="AE56" s="93">
        <f t="shared" si="21"/>
        <v>37813.5</v>
      </c>
      <c r="AF56" s="92">
        <f>Logistic2010!Q56</f>
        <v>0.47936786629286093</v>
      </c>
      <c r="AG56" s="4">
        <f t="shared" si="16"/>
        <v>0.88748554172196392</v>
      </c>
      <c r="AH56" s="92">
        <f>Logistic2011!Q56</f>
        <v>0.52131468367366807</v>
      </c>
      <c r="AI56" s="92">
        <f>Logistic2012!Q56</f>
        <v>0.88748554172196392</v>
      </c>
      <c r="AJ56" s="92">
        <f>Logistic2013!L56</f>
        <v>0.64200492795904929</v>
      </c>
      <c r="AK56" s="119">
        <f>Logistic2014!AK56</f>
        <v>0.65114196868570062</v>
      </c>
      <c r="AL56" s="119">
        <f t="shared" si="22"/>
        <v>0.41996535004210772</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28"/>
        <v/>
      </c>
      <c r="E57" s="81"/>
      <c r="F57" s="50" t="str">
        <f t="shared" si="29"/>
        <v/>
      </c>
      <c r="G57" s="16" t="str">
        <f t="shared" si="30"/>
        <v/>
      </c>
      <c r="H57" s="51" t="str">
        <f t="shared" si="31"/>
        <v/>
      </c>
      <c r="I57" s="54"/>
      <c r="J57" s="105">
        <f t="shared" si="7"/>
        <v>37814.5</v>
      </c>
      <c r="K57" s="109">
        <v>49</v>
      </c>
      <c r="L57" s="125">
        <f t="shared" si="5"/>
        <v>0.45687459026730809</v>
      </c>
      <c r="M57" s="46">
        <f t="shared" si="8"/>
        <v>0.78296570483334704</v>
      </c>
      <c r="N57" s="131">
        <v>0.78296570483334704</v>
      </c>
      <c r="O57" s="89">
        <f t="shared" si="6"/>
        <v>0.78296570483334704</v>
      </c>
      <c r="P57" s="4">
        <v>40371</v>
      </c>
      <c r="Q57" s="4">
        <v>0.91308857223820117</v>
      </c>
      <c r="R57" s="4">
        <v>2638</v>
      </c>
      <c r="S57" s="100">
        <f t="shared" si="20"/>
        <v>1254.5511438650333</v>
      </c>
      <c r="T57" s="101">
        <f t="shared" si="32"/>
        <v>1383.4488561349667</v>
      </c>
      <c r="U57" s="49">
        <v>40719</v>
      </c>
      <c r="V57" s="95">
        <v>7.0000000000000001E-3</v>
      </c>
      <c r="W57" s="95"/>
      <c r="X57" s="95"/>
      <c r="Y57" s="95"/>
      <c r="Z57" s="95"/>
      <c r="AE57" s="93">
        <f t="shared" si="21"/>
        <v>37814.5</v>
      </c>
      <c r="AF57" s="92">
        <f>Logistic2010!Q57</f>
        <v>0.52928924873066352</v>
      </c>
      <c r="AG57" s="4">
        <f t="shared" si="16"/>
        <v>0.91308857223820117</v>
      </c>
      <c r="AH57" s="92">
        <f>Logistic2011!Q57</f>
        <v>0.58346805352827824</v>
      </c>
      <c r="AI57" s="92">
        <f>Logistic2012!Q57</f>
        <v>0.91308857223820117</v>
      </c>
      <c r="AJ57" s="92">
        <f>Logistic2013!L57</f>
        <v>0.68606608243321232</v>
      </c>
      <c r="AK57" s="119">
        <f>Logistic2014!AK57</f>
        <v>0.69321686759508971</v>
      </c>
      <c r="AL57" s="119">
        <f t="shared" si="22"/>
        <v>0.45687459026730809</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28"/>
        <v/>
      </c>
      <c r="E58" s="81"/>
      <c r="F58" s="50" t="str">
        <f t="shared" si="29"/>
        <v/>
      </c>
      <c r="G58" s="16" t="str">
        <f t="shared" si="30"/>
        <v/>
      </c>
      <c r="H58" s="51" t="str">
        <f t="shared" si="31"/>
        <v/>
      </c>
      <c r="I58" s="54"/>
      <c r="J58" s="105">
        <f t="shared" si="7"/>
        <v>37815.5</v>
      </c>
      <c r="K58" s="109">
        <v>50</v>
      </c>
      <c r="L58" s="125">
        <f t="shared" si="5"/>
        <v>0.49426350212468062</v>
      </c>
      <c r="M58" s="46">
        <f t="shared" si="8"/>
        <v>0.82460067927314873</v>
      </c>
      <c r="N58" s="130">
        <v>0.82460067927314873</v>
      </c>
      <c r="O58" s="89">
        <f t="shared" si="6"/>
        <v>0.82460067927314873</v>
      </c>
      <c r="P58" s="4">
        <v>40372</v>
      </c>
      <c r="Q58" s="4">
        <v>0.93330339143718788</v>
      </c>
      <c r="R58" s="4">
        <v>4264</v>
      </c>
      <c r="S58" s="100">
        <f t="shared" si="20"/>
        <v>2187.3897622281288</v>
      </c>
      <c r="T58" s="101">
        <f t="shared" si="32"/>
        <v>2076.6102377718712</v>
      </c>
      <c r="U58" s="40">
        <v>40720</v>
      </c>
      <c r="V58" s="95"/>
      <c r="W58" s="95"/>
      <c r="X58" s="95"/>
      <c r="Y58" s="95"/>
      <c r="Z58" s="95"/>
      <c r="AE58" s="93">
        <f t="shared" si="21"/>
        <v>37815.5</v>
      </c>
      <c r="AF58" s="92">
        <f>Logistic2010!Q58</f>
        <v>0.57863147408369076</v>
      </c>
      <c r="AG58" s="4">
        <f t="shared" si="16"/>
        <v>0.93330339143718788</v>
      </c>
      <c r="AH58" s="92">
        <f>Logistic2011!Q58</f>
        <v>0.64307659747584256</v>
      </c>
      <c r="AI58" s="92">
        <f>Logistic2012!Q58</f>
        <v>0.93330339143718788</v>
      </c>
      <c r="AJ58" s="92">
        <f>Logistic2013!L58</f>
        <v>0.7270102102463335</v>
      </c>
      <c r="AK58" s="119">
        <f>Logistic2014!AK58</f>
        <v>0.73230345881884595</v>
      </c>
      <c r="AL58" s="119">
        <f t="shared" si="22"/>
        <v>0.49426350212468062</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28"/>
        <v/>
      </c>
      <c r="E59" s="81"/>
      <c r="F59" s="50" t="str">
        <f t="shared" si="29"/>
        <v/>
      </c>
      <c r="G59" s="16" t="str">
        <f t="shared" si="30"/>
        <v/>
      </c>
      <c r="H59" s="51" t="str">
        <f t="shared" si="31"/>
        <v/>
      </c>
      <c r="I59" s="54"/>
      <c r="J59" s="105">
        <f t="shared" si="7"/>
        <v>37816.5</v>
      </c>
      <c r="K59" s="109">
        <v>51</v>
      </c>
      <c r="L59" s="125">
        <f t="shared" si="5"/>
        <v>0.53171668653766868</v>
      </c>
      <c r="M59" s="46">
        <f t="shared" si="8"/>
        <v>0.85967998350172414</v>
      </c>
      <c r="N59" s="130">
        <v>0.85967998350172414</v>
      </c>
      <c r="O59" s="89">
        <f t="shared" si="6"/>
        <v>0.85967998350172414</v>
      </c>
      <c r="P59" s="4">
        <v>40373</v>
      </c>
      <c r="Q59" s="4">
        <v>0.94907863528681002</v>
      </c>
      <c r="R59" s="4">
        <v>29205</v>
      </c>
      <c r="S59" s="100">
        <f t="shared" si="20"/>
        <v>16070.526922055853</v>
      </c>
      <c r="T59" s="101">
        <f t="shared" si="32"/>
        <v>13134.473077944147</v>
      </c>
      <c r="U59" s="49">
        <v>40721</v>
      </c>
      <c r="V59" s="95"/>
      <c r="W59" s="95"/>
      <c r="X59" s="95"/>
      <c r="Y59" s="95"/>
      <c r="Z59" s="95"/>
      <c r="AE59" s="93">
        <f t="shared" si="21"/>
        <v>37816.5</v>
      </c>
      <c r="AF59" s="92">
        <f>Logistic2010!Q59</f>
        <v>0.62645177427350185</v>
      </c>
      <c r="AG59" s="4">
        <f t="shared" si="16"/>
        <v>0.94907863528681002</v>
      </c>
      <c r="AH59" s="92">
        <f>Logistic2011!Q59</f>
        <v>0.69856182420049406</v>
      </c>
      <c r="AI59" s="92">
        <f>Logistic2012!Q59</f>
        <v>0.94907863528681002</v>
      </c>
      <c r="AJ59" s="92">
        <f>Logistic2013!L59</f>
        <v>0.76444773045159664</v>
      </c>
      <c r="AK59" s="119">
        <f>Logistic2014!AK59</f>
        <v>0.76807620704019175</v>
      </c>
      <c r="AL59" s="119">
        <f t="shared" si="22"/>
        <v>0.53171668653766868</v>
      </c>
      <c r="AM59" s="114"/>
      <c r="AN59" s="114"/>
      <c r="AO59" s="114"/>
      <c r="AP59" s="114"/>
      <c r="AQ59" s="114"/>
      <c r="AR59" s="110"/>
      <c r="AS59" s="110"/>
      <c r="AT59" s="110"/>
      <c r="AU59" s="110"/>
      <c r="AV59" s="110"/>
      <c r="AW59" s="110"/>
      <c r="AX59" s="110"/>
    </row>
    <row r="60" spans="2:50" ht="16.5" thickBot="1" x14ac:dyDescent="0.3">
      <c r="B60" s="49"/>
      <c r="C60" s="79"/>
      <c r="D60" s="86" t="str">
        <f t="shared" si="28"/>
        <v/>
      </c>
      <c r="E60" s="81"/>
      <c r="F60" s="50" t="str">
        <f t="shared" si="29"/>
        <v/>
      </c>
      <c r="G60" s="16" t="str">
        <f t="shared" si="30"/>
        <v/>
      </c>
      <c r="H60" s="51" t="str">
        <f t="shared" si="31"/>
        <v/>
      </c>
      <c r="I60" s="54"/>
      <c r="J60" s="105">
        <f t="shared" si="7"/>
        <v>37817.5</v>
      </c>
      <c r="K60" s="109">
        <v>52</v>
      </c>
      <c r="L60" s="125">
        <f t="shared" si="5"/>
        <v>0.56881588816227002</v>
      </c>
      <c r="M60" s="46">
        <f t="shared" si="8"/>
        <v>0.8886905657803027</v>
      </c>
      <c r="N60" s="131">
        <v>0.8886905657803027</v>
      </c>
      <c r="O60" s="89">
        <f t="shared" si="6"/>
        <v>0.8886905657803027</v>
      </c>
      <c r="P60" s="4">
        <v>40374</v>
      </c>
      <c r="Q60" s="4">
        <v>0.96127748661561918</v>
      </c>
      <c r="R60" s="4">
        <v>27768</v>
      </c>
      <c r="S60" s="100">
        <f t="shared" si="20"/>
        <v>16299.460299294949</v>
      </c>
      <c r="T60" s="101">
        <f t="shared" si="32"/>
        <v>11468.539700705051</v>
      </c>
      <c r="U60" s="49">
        <v>40722</v>
      </c>
      <c r="V60" s="95"/>
      <c r="W60" s="95"/>
      <c r="X60" s="95"/>
      <c r="Y60" s="95"/>
      <c r="Z60" s="95"/>
      <c r="AE60" s="93">
        <f t="shared" si="21"/>
        <v>37817.5</v>
      </c>
      <c r="AF60" s="92">
        <f>Logistic2010!Q60</f>
        <v>0.6719221112063114</v>
      </c>
      <c r="AG60" s="4">
        <f t="shared" si="16"/>
        <v>0.96127748661561918</v>
      </c>
      <c r="AH60" s="92">
        <f>Logistic2011!Q60</f>
        <v>0.74879103833236005</v>
      </c>
      <c r="AI60" s="92">
        <f>Logistic2012!Q60</f>
        <v>0.96127748661561918</v>
      </c>
      <c r="AJ60" s="92">
        <f>Logistic2013!L60</f>
        <v>0.79817638699971571</v>
      </c>
      <c r="AK60" s="119">
        <f>Logistic2014!AK60</f>
        <v>0.80037172674720769</v>
      </c>
      <c r="AL60" s="119">
        <f t="shared" si="22"/>
        <v>0.56881588816227002</v>
      </c>
      <c r="AM60" s="113"/>
      <c r="AO60" s="113"/>
      <c r="AP60" s="113"/>
      <c r="AQ60" s="113"/>
      <c r="AR60" s="111" t="s">
        <v>45</v>
      </c>
      <c r="AS60" s="111">
        <v>3.4619470909090904</v>
      </c>
      <c r="AT60" s="111">
        <v>21</v>
      </c>
      <c r="AU60" s="111"/>
      <c r="AV60" s="111"/>
      <c r="AW60" s="111"/>
      <c r="AX60" s="111"/>
    </row>
    <row r="61" spans="2:50" x14ac:dyDescent="0.25">
      <c r="B61" s="49"/>
      <c r="C61" s="79"/>
      <c r="D61" s="86" t="str">
        <f t="shared" si="28"/>
        <v/>
      </c>
      <c r="E61" s="81"/>
      <c r="F61" s="50" t="str">
        <f t="shared" si="29"/>
        <v/>
      </c>
      <c r="G61" s="16" t="str">
        <f t="shared" si="30"/>
        <v/>
      </c>
      <c r="H61" s="51" t="str">
        <f t="shared" si="31"/>
        <v/>
      </c>
      <c r="I61" s="54"/>
      <c r="J61" s="105">
        <f t="shared" si="7"/>
        <v>37818.5</v>
      </c>
      <c r="K61" s="109">
        <v>53</v>
      </c>
      <c r="L61" s="125">
        <f t="shared" si="5"/>
        <v>0.60515849236891317</v>
      </c>
      <c r="M61" s="46">
        <f t="shared" si="8"/>
        <v>0.91231509064301375</v>
      </c>
      <c r="N61" s="130">
        <v>0.91231509064301375</v>
      </c>
      <c r="O61" s="89">
        <f t="shared" si="6"/>
        <v>0.91231509064301375</v>
      </c>
      <c r="P61" s="4">
        <v>40375</v>
      </c>
      <c r="Q61" s="4">
        <v>0.97064434164342128</v>
      </c>
      <c r="R61" s="4">
        <v>21508</v>
      </c>
      <c r="S61" s="100">
        <f t="shared" si="20"/>
        <v>13394.462606817186</v>
      </c>
      <c r="T61" s="101">
        <f t="shared" si="32"/>
        <v>8113.5373931828144</v>
      </c>
      <c r="U61" s="49">
        <v>40723</v>
      </c>
      <c r="V61" s="95"/>
      <c r="W61" s="95"/>
      <c r="X61" s="95"/>
      <c r="Y61" s="95"/>
      <c r="Z61" s="95"/>
      <c r="AC61" s="93">
        <v>37783</v>
      </c>
      <c r="AD61" s="95">
        <v>2.4E-2</v>
      </c>
      <c r="AE61" s="93">
        <f t="shared" si="21"/>
        <v>37818.5</v>
      </c>
      <c r="AF61" s="92">
        <f>Logistic2010!Q61</f>
        <v>0.71438108258813315</v>
      </c>
      <c r="AG61" s="4">
        <f t="shared" si="16"/>
        <v>0.97064434164342128</v>
      </c>
      <c r="AH61" s="92">
        <f>Logistic2011!Q61</f>
        <v>0.79312907861690396</v>
      </c>
      <c r="AI61" s="92">
        <f>Logistic2012!Q61</f>
        <v>0.97064434164342128</v>
      </c>
      <c r="AJ61" s="92">
        <f>Logistic2013!L61</f>
        <v>0.82816108437109193</v>
      </c>
      <c r="AK61" s="119">
        <f>Logistic2014!AK61</f>
        <v>0.82917030340634412</v>
      </c>
      <c r="AL61" s="119">
        <f t="shared" si="22"/>
        <v>0.60515849236891317</v>
      </c>
      <c r="AM61" s="113"/>
      <c r="AN61" s="113"/>
      <c r="AO61" s="113"/>
      <c r="AP61" s="113"/>
      <c r="AQ61" s="113"/>
      <c r="AR61" s="113"/>
      <c r="AS61" s="113"/>
      <c r="AT61" s="114"/>
      <c r="AU61" s="114"/>
    </row>
    <row r="62" spans="2:50" ht="16.5" thickBot="1" x14ac:dyDescent="0.3">
      <c r="B62" s="49"/>
      <c r="C62" s="79"/>
      <c r="D62" s="86" t="str">
        <f t="shared" si="28"/>
        <v/>
      </c>
      <c r="E62" s="81"/>
      <c r="F62" s="50" t="str">
        <f t="shared" si="29"/>
        <v/>
      </c>
      <c r="G62" s="16" t="str">
        <f t="shared" si="30"/>
        <v/>
      </c>
      <c r="H62" s="51" t="str">
        <f t="shared" si="31"/>
        <v/>
      </c>
      <c r="I62" s="54"/>
      <c r="J62" s="105">
        <f t="shared" si="7"/>
        <v>37819.5</v>
      </c>
      <c r="K62" s="109">
        <v>54</v>
      </c>
      <c r="L62" s="125">
        <f t="shared" si="5"/>
        <v>0.64037457503086237</v>
      </c>
      <c r="M62" s="46">
        <f t="shared" si="8"/>
        <v>0.93131304287865924</v>
      </c>
      <c r="N62" s="130">
        <v>0.93131304287865924</v>
      </c>
      <c r="O62" s="89">
        <f t="shared" si="6"/>
        <v>0.93131304287865924</v>
      </c>
      <c r="P62" s="4">
        <v>40376</v>
      </c>
      <c r="Q62" s="4">
        <v>0.97779771637475388</v>
      </c>
      <c r="R62" s="4">
        <v>9686</v>
      </c>
      <c r="S62" s="100">
        <f t="shared" si="20"/>
        <v>6366.1990129017149</v>
      </c>
      <c r="T62" s="101">
        <f t="shared" si="32"/>
        <v>3319.8009870982851</v>
      </c>
      <c r="U62" s="49">
        <v>40724</v>
      </c>
      <c r="V62" s="95"/>
      <c r="W62" s="95"/>
      <c r="X62" s="95"/>
      <c r="Y62" s="95"/>
      <c r="Z62" s="95"/>
      <c r="AC62" s="93">
        <v>37810</v>
      </c>
      <c r="AD62" s="95">
        <v>0.90100000000000002</v>
      </c>
      <c r="AE62" s="93">
        <f t="shared" si="21"/>
        <v>37819.5</v>
      </c>
      <c r="AF62" s="92">
        <f>Logistic2010!Q62</f>
        <v>0.75336211213144844</v>
      </c>
      <c r="AG62" s="4">
        <f t="shared" si="16"/>
        <v>0.97779771637475388</v>
      </c>
      <c r="AH62" s="92">
        <f>Logistic2011!Q62</f>
        <v>0.83140351438424964</v>
      </c>
      <c r="AI62" s="92">
        <f>Logistic2012!Q62</f>
        <v>0.97779771637475388</v>
      </c>
      <c r="AJ62" s="92">
        <f>Logistic2013!L62</f>
        <v>0.85450303975835906</v>
      </c>
      <c r="AK62" s="119">
        <f>Logistic2014!AK62</f>
        <v>0.85456925965431629</v>
      </c>
      <c r="AL62" s="119">
        <f t="shared" si="22"/>
        <v>0.64037457503086237</v>
      </c>
      <c r="AM62" s="113"/>
      <c r="AN62" s="113"/>
      <c r="AP62" s="113"/>
      <c r="AQ62" s="113"/>
      <c r="AR62" s="113"/>
      <c r="AS62" s="113"/>
      <c r="AT62" s="114"/>
      <c r="AU62" s="114"/>
    </row>
    <row r="63" spans="2:50" x14ac:dyDescent="0.25">
      <c r="B63" s="49"/>
      <c r="C63" s="79"/>
      <c r="D63" s="86" t="str">
        <f t="shared" si="28"/>
        <v/>
      </c>
      <c r="E63" s="81"/>
      <c r="F63" s="50" t="str">
        <f t="shared" si="29"/>
        <v/>
      </c>
      <c r="G63" s="16" t="str">
        <f t="shared" si="30"/>
        <v/>
      </c>
      <c r="H63" s="51" t="str">
        <f t="shared" si="31"/>
        <v/>
      </c>
      <c r="I63" s="54"/>
      <c r="J63" s="105">
        <f t="shared" si="7"/>
        <v>37820.5</v>
      </c>
      <c r="K63" s="109">
        <v>55</v>
      </c>
      <c r="L63" s="125">
        <f t="shared" si="5"/>
        <v>0.67414101714376395</v>
      </c>
      <c r="M63" s="46">
        <f t="shared" si="8"/>
        <v>0.94643653282667362</v>
      </c>
      <c r="N63" s="130">
        <v>0.94643653282667362</v>
      </c>
      <c r="O63" s="89">
        <f t="shared" si="6"/>
        <v>0.94643653282667362</v>
      </c>
      <c r="P63" s="4">
        <v>40377</v>
      </c>
      <c r="Q63" s="4">
        <v>0.98323806162233796</v>
      </c>
      <c r="R63" s="4">
        <v>3970</v>
      </c>
      <c r="S63" s="100">
        <f t="shared" si="20"/>
        <v>2739.9603180164172</v>
      </c>
      <c r="T63" s="101">
        <f t="shared" si="32"/>
        <v>1230.0396819835828</v>
      </c>
      <c r="U63" s="40">
        <v>40725</v>
      </c>
      <c r="V63" s="95">
        <v>0.35599999999999998</v>
      </c>
      <c r="W63" s="95"/>
      <c r="X63" s="95"/>
      <c r="Y63" s="95"/>
      <c r="Z63" s="95"/>
      <c r="AC63" s="93">
        <v>37813</v>
      </c>
      <c r="AD63" s="95">
        <v>0.77500000000000002</v>
      </c>
      <c r="AE63" s="93">
        <f t="shared" si="21"/>
        <v>37820.5</v>
      </c>
      <c r="AF63" s="92">
        <f>Logistic2010!Q63</f>
        <v>0.78859738904460508</v>
      </c>
      <c r="AG63" s="4">
        <f t="shared" si="16"/>
        <v>0.98323806162233796</v>
      </c>
      <c r="AH63" s="92">
        <f>Logistic2011!Q63</f>
        <v>0.86381250435994517</v>
      </c>
      <c r="AI63" s="92">
        <f>Logistic2012!Q63</f>
        <v>0.98323806162233796</v>
      </c>
      <c r="AJ63" s="92">
        <f>Logistic2013!L63</f>
        <v>0.87740468827985718</v>
      </c>
      <c r="AK63" s="119">
        <f>Logistic2014!AK63</f>
        <v>0.87675320628420728</v>
      </c>
      <c r="AL63" s="119">
        <f t="shared" si="22"/>
        <v>0.67414101714376395</v>
      </c>
      <c r="AM63" s="115"/>
      <c r="AN63" s="115"/>
      <c r="AO63" s="115"/>
      <c r="AP63" s="115"/>
      <c r="AQ63" s="115"/>
      <c r="AR63" t="s">
        <v>28</v>
      </c>
      <c r="AS63"/>
      <c r="AT63"/>
      <c r="AU63"/>
      <c r="AV63"/>
      <c r="AW63"/>
      <c r="AX63"/>
    </row>
    <row r="64" spans="2:50" ht="16.5" thickBot="1" x14ac:dyDescent="0.3">
      <c r="B64" s="56"/>
      <c r="C64" s="80"/>
      <c r="D64" s="87" t="str">
        <f t="shared" si="28"/>
        <v/>
      </c>
      <c r="E64" s="82"/>
      <c r="F64" s="50" t="str">
        <f t="shared" si="29"/>
        <v/>
      </c>
      <c r="G64" s="16" t="str">
        <f t="shared" si="30"/>
        <v/>
      </c>
      <c r="H64" s="51" t="str">
        <f t="shared" si="31"/>
        <v/>
      </c>
      <c r="I64" s="54"/>
      <c r="J64" s="105">
        <f t="shared" si="7"/>
        <v>37821.5</v>
      </c>
      <c r="K64" s="109">
        <v>56</v>
      </c>
      <c r="L64" s="125">
        <f t="shared" si="5"/>
        <v>0.70619163676878882</v>
      </c>
      <c r="M64" s="46">
        <f t="shared" si="8"/>
        <v>0.95837894884125729</v>
      </c>
      <c r="N64" s="131">
        <v>0.95837894884125729</v>
      </c>
      <c r="O64" s="89">
        <f t="shared" si="6"/>
        <v>0.95837894884125729</v>
      </c>
      <c r="P64" s="4">
        <v>40378</v>
      </c>
      <c r="Q64" s="4">
        <v>0.98736255895680802</v>
      </c>
      <c r="R64" s="4">
        <v>5509</v>
      </c>
      <c r="S64" s="100">
        <f t="shared" si="20"/>
        <v>3973.406148887073</v>
      </c>
      <c r="T64" s="101">
        <f t="shared" si="32"/>
        <v>1535.593851112927</v>
      </c>
      <c r="U64" s="49">
        <v>40726</v>
      </c>
      <c r="V64" s="95"/>
      <c r="W64" s="95"/>
      <c r="X64" s="95"/>
      <c r="Y64" s="95"/>
      <c r="Z64" s="95"/>
      <c r="AC64" s="93">
        <v>37816</v>
      </c>
      <c r="AD64" s="95">
        <v>0.93</v>
      </c>
      <c r="AE64" s="93">
        <f t="shared" si="21"/>
        <v>37821.5</v>
      </c>
      <c r="AF64" s="92">
        <f>Logistic2010!Q64</f>
        <v>0.82000157910537541</v>
      </c>
      <c r="AG64" s="4">
        <f t="shared" si="16"/>
        <v>0.98736255895680802</v>
      </c>
      <c r="AH64" s="92">
        <f>Logistic2011!Q64</f>
        <v>0.89080976473363638</v>
      </c>
      <c r="AI64" s="92">
        <f>Logistic2012!Q64</f>
        <v>0.98736255895680802</v>
      </c>
      <c r="AJ64" s="92">
        <f>Logistic2013!L64</f>
        <v>0.8971354919418093</v>
      </c>
      <c r="AK64" s="119">
        <f>Logistic2014!AK64</f>
        <v>0.89596518054214846</v>
      </c>
      <c r="AL64" s="119">
        <f t="shared" si="22"/>
        <v>0.70619163676878882</v>
      </c>
      <c r="AM64" s="110"/>
      <c r="AN64" s="110"/>
      <c r="AO64" s="110"/>
      <c r="AP64" s="110"/>
      <c r="AQ64" s="110"/>
      <c r="AR64"/>
      <c r="AS64"/>
      <c r="AT64"/>
      <c r="AU64"/>
      <c r="AV64"/>
      <c r="AW64"/>
      <c r="AX64"/>
    </row>
    <row r="65" spans="1:50" ht="16.5" thickBot="1" x14ac:dyDescent="0.3">
      <c r="A65" s="4">
        <v>2.5000000000000001E-2</v>
      </c>
      <c r="B65" s="104">
        <f>C5</f>
        <v>37834.5</v>
      </c>
      <c r="C65" s="121">
        <f t="shared" ref="C65" si="33">1/(A65^2)</f>
        <v>1599.9999999999998</v>
      </c>
      <c r="D65" s="84">
        <f t="shared" si="28"/>
        <v>69</v>
      </c>
      <c r="E65" s="59">
        <v>1</v>
      </c>
      <c r="F65" s="60">
        <f t="shared" si="29"/>
        <v>0.94410460909339544</v>
      </c>
      <c r="G65" s="61">
        <f t="shared" si="30"/>
        <v>5.5895390906604558E-2</v>
      </c>
      <c r="H65" s="62">
        <f t="shared" si="31"/>
        <v>4.9988715593634092</v>
      </c>
      <c r="I65" s="54"/>
      <c r="J65" s="105">
        <f t="shared" si="7"/>
        <v>37822.5</v>
      </c>
      <c r="K65" s="109">
        <v>57</v>
      </c>
      <c r="L65" s="125">
        <f t="shared" si="5"/>
        <v>0.73632284821471927</v>
      </c>
      <c r="M65" s="46">
        <f t="shared" si="8"/>
        <v>0.96774943709406713</v>
      </c>
      <c r="N65" s="130">
        <v>0.96774943709406713</v>
      </c>
      <c r="O65" s="89">
        <f t="shared" si="6"/>
        <v>0.96774943709406713</v>
      </c>
      <c r="P65" s="4">
        <v>40379</v>
      </c>
      <c r="Q65" s="4">
        <v>0.99048199337810516</v>
      </c>
      <c r="R65" s="4">
        <v>2314</v>
      </c>
      <c r="S65" s="100">
        <f t="shared" si="20"/>
        <v>1736.3304568661486</v>
      </c>
      <c r="T65" s="101">
        <f t="shared" si="32"/>
        <v>577.66954313385145</v>
      </c>
      <c r="U65" s="49">
        <v>40727</v>
      </c>
      <c r="V65" s="95"/>
      <c r="W65" s="95"/>
      <c r="X65" s="95"/>
      <c r="Y65" s="95"/>
      <c r="Z65" s="95"/>
      <c r="AC65" s="93">
        <v>37819</v>
      </c>
      <c r="AD65" s="95">
        <v>0.997</v>
      </c>
      <c r="AE65" s="93">
        <f t="shared" si="21"/>
        <v>37822.5</v>
      </c>
      <c r="AF65" s="92">
        <f>Logistic2010!Q65</f>
        <v>0.84764193896050799</v>
      </c>
      <c r="AG65" s="4">
        <f t="shared" si="16"/>
        <v>0.99048199337810516</v>
      </c>
      <c r="AH65" s="92">
        <f>Logistic2011!Q65</f>
        <v>0.91299424895614467</v>
      </c>
      <c r="AI65" s="92">
        <f>Logistic2012!Q65</f>
        <v>0.99048199337810516</v>
      </c>
      <c r="AJ65" s="92">
        <f>Logistic2013!L65</f>
        <v>0.91400201566045702</v>
      </c>
      <c r="AK65" s="119">
        <f>Logistic2014!AK65</f>
        <v>0.91248129649139764</v>
      </c>
      <c r="AL65" s="119">
        <f t="shared" si="22"/>
        <v>0.73632284821471927</v>
      </c>
      <c r="AM65" s="110"/>
      <c r="AN65" s="110"/>
      <c r="AO65" s="110"/>
      <c r="AP65" s="110"/>
      <c r="AQ65" s="110"/>
      <c r="AR65" t="s">
        <v>29</v>
      </c>
      <c r="AS65"/>
      <c r="AT65"/>
      <c r="AU65"/>
      <c r="AV65"/>
      <c r="AW65"/>
      <c r="AX65"/>
    </row>
    <row r="66" spans="1:50" ht="16.5" thickBot="1" x14ac:dyDescent="0.3">
      <c r="A66" s="4">
        <v>2.5000000000000001E-2</v>
      </c>
      <c r="B66" s="104">
        <f>A3</f>
        <v>37766.5</v>
      </c>
      <c r="C66" s="121">
        <f>C65</f>
        <v>1599.9999999999998</v>
      </c>
      <c r="D66" s="84">
        <f>IF(B66&lt;&gt;0,B66-$A$3+1,"")</f>
        <v>1</v>
      </c>
      <c r="E66" s="59">
        <v>0</v>
      </c>
      <c r="F66" s="60">
        <f>IF(B66&lt;&gt;0,$G$3/(1+EXP(-$G$4*(D66-$G$5))),"")</f>
        <v>6.2810268233822917E-4</v>
      </c>
      <c r="G66" s="61">
        <f>IF(B66&lt;&gt;0,E66-F66,"")</f>
        <v>-6.2810268233822917E-4</v>
      </c>
      <c r="H66" s="62">
        <f>IF(B66&lt;&gt;0,C66*(G66)^2,"")</f>
        <v>6.3122076729676545E-4</v>
      </c>
      <c r="I66" s="68"/>
      <c r="J66" s="105">
        <f t="shared" si="7"/>
        <v>37823.5</v>
      </c>
      <c r="K66" s="109">
        <v>58</v>
      </c>
      <c r="L66" s="125">
        <f t="shared" si="5"/>
        <v>0.76439491917175328</v>
      </c>
      <c r="M66" s="46">
        <f t="shared" si="8"/>
        <v>0.97506515897383861</v>
      </c>
      <c r="N66" s="130">
        <v>0.97506515897383861</v>
      </c>
      <c r="O66" s="89">
        <f t="shared" si="6"/>
        <v>0.97506515897383861</v>
      </c>
      <c r="P66" s="4">
        <v>40380</v>
      </c>
      <c r="Q66" s="4">
        <v>0.99283701063466723</v>
      </c>
      <c r="R66" s="4">
        <v>2271</v>
      </c>
      <c r="S66" s="100">
        <f t="shared" si="20"/>
        <v>1765.3894219070069</v>
      </c>
      <c r="T66" s="101">
        <f t="shared" si="32"/>
        <v>505.61057809299314</v>
      </c>
      <c r="U66" s="49">
        <v>40728</v>
      </c>
      <c r="V66" s="95"/>
      <c r="W66" s="95"/>
      <c r="X66" s="95"/>
      <c r="Y66" s="95"/>
      <c r="Z66" s="95"/>
      <c r="AC66" s="93">
        <v>37823</v>
      </c>
      <c r="AD66" s="95">
        <v>0.99399999999999999</v>
      </c>
      <c r="AE66" s="93">
        <f t="shared" si="21"/>
        <v>37823.5</v>
      </c>
      <c r="AF66" s="92">
        <f>Logistic2010!Q66</f>
        <v>0.8717019610426997</v>
      </c>
      <c r="AG66" s="4">
        <f t="shared" si="16"/>
        <v>0.99283701063466723</v>
      </c>
      <c r="AH66" s="92">
        <f>Logistic2011!Q66</f>
        <v>0.93102046958550611</v>
      </c>
      <c r="AI66" s="92">
        <f>Logistic2012!Q66</f>
        <v>0.99283701063466723</v>
      </c>
      <c r="AJ66" s="92">
        <f>Logistic2013!L66</f>
        <v>0.92832391728718622</v>
      </c>
      <c r="AK66" s="119">
        <f>Logistic2014!AK66</f>
        <v>0.92659021810226538</v>
      </c>
      <c r="AL66" s="119">
        <f t="shared" si="22"/>
        <v>0.76439491917175328</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7"/>
        <v>37824.5</v>
      </c>
      <c r="K67" s="109">
        <v>59</v>
      </c>
      <c r="L67" s="125">
        <f t="shared" si="5"/>
        <v>0.79032936256052932</v>
      </c>
      <c r="M67" s="46">
        <f t="shared" si="8"/>
        <v>0.98075438398529091</v>
      </c>
      <c r="N67" s="131">
        <v>0.98075438398529091</v>
      </c>
      <c r="O67" s="89">
        <f t="shared" si="6"/>
        <v>0.98075438398529091</v>
      </c>
      <c r="P67" s="4">
        <v>40381</v>
      </c>
      <c r="Q67" s="4">
        <v>0.99461250113431077</v>
      </c>
      <c r="R67" s="4">
        <v>2019</v>
      </c>
      <c r="S67" s="100">
        <f t="shared" si="20"/>
        <v>1619.6747829648605</v>
      </c>
      <c r="T67" s="101">
        <f t="shared" si="32"/>
        <v>399.32521703513953</v>
      </c>
      <c r="U67" s="49">
        <v>40729</v>
      </c>
      <c r="V67" s="95">
        <v>0.51500000000000001</v>
      </c>
      <c r="W67" s="95"/>
      <c r="X67" s="95"/>
      <c r="Y67" s="95"/>
      <c r="Z67" s="95"/>
      <c r="AE67" s="93">
        <f t="shared" si="21"/>
        <v>37824.5</v>
      </c>
      <c r="AF67" s="92">
        <f>Logistic2010!Q67</f>
        <v>0.89244459206165738</v>
      </c>
      <c r="AG67" s="4">
        <f t="shared" si="16"/>
        <v>0.99461250113431077</v>
      </c>
      <c r="AH67" s="92">
        <f>Logistic2011!Q67</f>
        <v>0.94553474019587147</v>
      </c>
      <c r="AI67" s="92">
        <f>Logistic2012!Q67</f>
        <v>0.99461250113431077</v>
      </c>
      <c r="AJ67" s="92">
        <f>Logistic2013!L67</f>
        <v>0.94041617027076585</v>
      </c>
      <c r="AK67" s="119">
        <f>Logistic2014!AK67</f>
        <v>0.93857774011739092</v>
      </c>
      <c r="AL67" s="119">
        <f t="shared" si="22"/>
        <v>0.79032936256052932</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7"/>
        <v>37825.5</v>
      </c>
      <c r="K68" s="109">
        <v>60</v>
      </c>
      <c r="L68" s="125">
        <f t="shared" si="5"/>
        <v>0.81410331001486491</v>
      </c>
      <c r="M68" s="46">
        <f t="shared" si="8"/>
        <v>0.81410331001486491</v>
      </c>
      <c r="N68" s="131">
        <v>0.98516528350488675</v>
      </c>
      <c r="O68" s="89">
        <f t="shared" si="6"/>
        <v>0.81410331001486491</v>
      </c>
      <c r="P68" s="4">
        <v>40382</v>
      </c>
      <c r="Q68" s="4">
        <v>0.99594969608518535</v>
      </c>
      <c r="R68" s="4">
        <v>2115</v>
      </c>
      <c r="S68" s="100">
        <f t="shared" si="20"/>
        <v>1744.711257536542</v>
      </c>
      <c r="T68" s="101">
        <f t="shared" si="32"/>
        <v>370.28874246345799</v>
      </c>
      <c r="U68" s="49">
        <v>40730</v>
      </c>
      <c r="V68" s="95"/>
      <c r="W68" s="95"/>
      <c r="X68" s="95"/>
      <c r="Y68" s="95"/>
      <c r="Z68" s="95"/>
      <c r="AE68" s="93">
        <f t="shared" si="21"/>
        <v>37825.5</v>
      </c>
      <c r="AF68" s="92">
        <f>Logistic2010!Q68</f>
        <v>0.91017920532930874</v>
      </c>
      <c r="AG68" s="4">
        <f t="shared" si="16"/>
        <v>0.99594969608518535</v>
      </c>
      <c r="AH68" s="92">
        <f>Logistic2011!Q68</f>
        <v>0.95713560982756274</v>
      </c>
      <c r="AI68" s="92">
        <f>Logistic2012!Q68</f>
        <v>0.99594969608518535</v>
      </c>
      <c r="AJ68" s="92">
        <f>Logistic2013!L68</f>
        <v>0.95057698620331765</v>
      </c>
      <c r="AK68" s="119">
        <f>Logistic2014!AK68</f>
        <v>0.94871609038627402</v>
      </c>
      <c r="AL68" s="119">
        <f t="shared" si="22"/>
        <v>0.81410331001486491</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7"/>
        <v>37826.5</v>
      </c>
      <c r="K69" s="109">
        <v>61</v>
      </c>
      <c r="L69" s="125">
        <f t="shared" si="5"/>
        <v>0.83574185077619134</v>
      </c>
      <c r="M69" s="46">
        <f t="shared" si="8"/>
        <v>0.83574185077619134</v>
      </c>
      <c r="N69" s="131">
        <v>0.9885770241743157</v>
      </c>
      <c r="O69" s="89">
        <f t="shared" si="6"/>
        <v>0.83574185077619134</v>
      </c>
      <c r="P69" s="4">
        <v>40383</v>
      </c>
      <c r="Q69" s="4">
        <v>0.99695601060889649</v>
      </c>
      <c r="R69" s="4">
        <v>2946</v>
      </c>
      <c r="S69" s="100">
        <f t="shared" si="20"/>
        <v>2490.9183495941579</v>
      </c>
      <c r="T69" s="101">
        <f t="shared" si="32"/>
        <v>455.08165040584208</v>
      </c>
      <c r="U69" s="49">
        <v>40731</v>
      </c>
      <c r="V69" s="95"/>
      <c r="W69" s="95"/>
      <c r="X69" s="95"/>
      <c r="Y69" s="95"/>
      <c r="Z69" s="95"/>
      <c r="AE69" s="93">
        <f t="shared" si="21"/>
        <v>37826.5</v>
      </c>
      <c r="AF69" s="92">
        <f>Logistic2010!Q69</f>
        <v>0.92523457092805417</v>
      </c>
      <c r="AG69" s="4">
        <f t="shared" si="16"/>
        <v>0.99695601060889649</v>
      </c>
      <c r="AH69" s="92">
        <f>Logistic2011!Q69</f>
        <v>0.96635347078003297</v>
      </c>
      <c r="AI69" s="92">
        <f>Logistic2012!Q69</f>
        <v>0.99695601060889649</v>
      </c>
      <c r="AJ69" s="92">
        <f>Logistic2013!L69</f>
        <v>0.95908047510394157</v>
      </c>
      <c r="AK69" s="119">
        <f>Logistic2014!AK69</f>
        <v>0.95725721401262687</v>
      </c>
      <c r="AL69" s="119">
        <f t="shared" si="22"/>
        <v>0.83574185077619134</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7"/>
        <v>37827.5</v>
      </c>
      <c r="K70" s="109">
        <v>62</v>
      </c>
      <c r="L70" s="125">
        <f t="shared" si="5"/>
        <v>0.85530930305555208</v>
      </c>
      <c r="M70" s="46">
        <f t="shared" si="8"/>
        <v>0.85530930305555208</v>
      </c>
      <c r="N70" s="131">
        <v>0.99121112062050309</v>
      </c>
      <c r="O70" s="89">
        <f t="shared" si="6"/>
        <v>0.85530930305555208</v>
      </c>
      <c r="P70" s="4">
        <v>40384</v>
      </c>
      <c r="Q70" s="4">
        <v>0.99771287634461936</v>
      </c>
      <c r="R70" s="4">
        <v>2623</v>
      </c>
      <c r="S70" s="100">
        <f t="shared" si="20"/>
        <v>2266.5468380548632</v>
      </c>
      <c r="T70" s="101">
        <f t="shared" si="32"/>
        <v>356.4531619451368</v>
      </c>
      <c r="U70" s="49">
        <v>40732</v>
      </c>
      <c r="AE70" s="93">
        <f t="shared" si="21"/>
        <v>37827.5</v>
      </c>
      <c r="AF70" s="92">
        <f>Logistic2010!Q70</f>
        <v>0.93793849093008874</v>
      </c>
      <c r="AG70" s="4">
        <f t="shared" si="16"/>
        <v>0.99771287634461936</v>
      </c>
      <c r="AH70" s="92">
        <f>Logistic2011!Q70</f>
        <v>0.97364364314605079</v>
      </c>
      <c r="AI70" s="92">
        <f>Logistic2012!Q70</f>
        <v>0.99771287634461936</v>
      </c>
      <c r="AJ70" s="92">
        <f>Logistic2013!L70</f>
        <v>0.96617295862288388</v>
      </c>
      <c r="AK70" s="119">
        <f>Logistic2014!AK70</f>
        <v>0.9644291830100955</v>
      </c>
      <c r="AL70" s="119">
        <f t="shared" si="22"/>
        <v>0.85530930305555208</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7"/>
        <v>37828.5</v>
      </c>
      <c r="K71" s="109">
        <v>63</v>
      </c>
      <c r="L71" s="125">
        <f t="shared" si="5"/>
        <v>0.87290025703202945</v>
      </c>
      <c r="M71" s="46">
        <f t="shared" si="8"/>
        <v>0.87290025703202945</v>
      </c>
      <c r="N71" s="131">
        <v>0.99324195641616453</v>
      </c>
      <c r="O71" s="89">
        <f t="shared" si="6"/>
        <v>0.87290025703202945</v>
      </c>
      <c r="P71" s="4">
        <v>40385</v>
      </c>
      <c r="Q71" s="4">
        <v>0.99828187726084372</v>
      </c>
      <c r="U71" s="40">
        <v>40733</v>
      </c>
      <c r="V71" s="95"/>
      <c r="W71" s="95"/>
      <c r="X71" s="95"/>
      <c r="Y71" s="95"/>
      <c r="Z71" s="95"/>
      <c r="AE71" s="93">
        <f t="shared" si="21"/>
        <v>37828.5</v>
      </c>
      <c r="AF71" s="92">
        <f>Logistic2010!Q71</f>
        <v>0.94860370829645768</v>
      </c>
      <c r="AG71" s="4">
        <f t="shared" si="16"/>
        <v>0.99828187726084372</v>
      </c>
      <c r="AH71" s="92">
        <f>Logistic2011!Q71</f>
        <v>0.97938794995342149</v>
      </c>
      <c r="AI71" s="92">
        <f>Logistic2012!Q71</f>
        <v>0.99828187726084372</v>
      </c>
      <c r="AJ71" s="92">
        <f>Logistic2013!L71</f>
        <v>0.97207191636988943</v>
      </c>
      <c r="AK71" s="119">
        <f>Logistic2014!AK71</f>
        <v>0.97043490859995651</v>
      </c>
      <c r="AL71" s="119">
        <f t="shared" si="22"/>
        <v>0.87290025703202945</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7"/>
        <v>37829.5</v>
      </c>
      <c r="K72" s="109">
        <v>64</v>
      </c>
      <c r="L72" s="125">
        <f t="shared" si="5"/>
        <v>0.88863103906188901</v>
      </c>
      <c r="M72" s="46">
        <f t="shared" si="8"/>
        <v>0.88863103906188901</v>
      </c>
      <c r="N72" s="131">
        <v>0.99480598839313295</v>
      </c>
      <c r="O72" s="89">
        <f t="shared" si="6"/>
        <v>0.88863103906188901</v>
      </c>
      <c r="P72" s="4">
        <v>40386</v>
      </c>
      <c r="Q72" s="4">
        <v>0.99870950266811021</v>
      </c>
      <c r="U72" s="49">
        <v>40734</v>
      </c>
      <c r="V72" s="95"/>
      <c r="W72" s="95"/>
      <c r="X72" s="95"/>
      <c r="Y72" s="95"/>
      <c r="Z72" s="95"/>
      <c r="AE72" s="93">
        <f t="shared" si="21"/>
        <v>37829.5</v>
      </c>
      <c r="AF72" s="92">
        <f>Logistic2010!Q72</f>
        <v>0.95751912825764318</v>
      </c>
      <c r="AG72" s="4">
        <f t="shared" si="16"/>
        <v>0.99870950266811021</v>
      </c>
      <c r="AH72" s="92">
        <f>Logistic2011!Q72</f>
        <v>0.98390099930162234</v>
      </c>
      <c r="AI72" s="92">
        <f>Logistic2012!Q72</f>
        <v>0.99870950266811021</v>
      </c>
      <c r="AJ72" s="92">
        <f>Logistic2013!L72</f>
        <v>0.97696670309022537</v>
      </c>
      <c r="AK72" s="119">
        <f>Logistic2014!AK72</f>
        <v>0.97545244534588094</v>
      </c>
      <c r="AL72" s="119">
        <f t="shared" si="22"/>
        <v>0.88863103906188901</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7"/>
        <v>37830.5</v>
      </c>
      <c r="K73" s="109">
        <v>65</v>
      </c>
      <c r="L73" s="125">
        <f t="shared" ref="L73:L104" si="34">$G$3/(1+EXP(-$G$4*(K73-$G$5)))</f>
        <v>0.90263203969670491</v>
      </c>
      <c r="M73" s="46">
        <f t="shared" si="8"/>
        <v>0.90263203969670491</v>
      </c>
      <c r="N73" s="132">
        <v>0.99600950655454856</v>
      </c>
      <c r="O73" s="89">
        <f t="shared" ref="O73:O104" si="35">IF(N73=M73,N73,M73)</f>
        <v>0.90263203969670491</v>
      </c>
      <c r="P73" s="4">
        <v>40387</v>
      </c>
      <c r="Q73" s="4">
        <v>0.99903079926177196</v>
      </c>
      <c r="U73" s="49">
        <v>40735</v>
      </c>
      <c r="AE73" s="93">
        <f t="shared" si="21"/>
        <v>37830.5</v>
      </c>
      <c r="AF73" s="92">
        <f>Logistic2010!Q73</f>
        <v>0.96494519123476252</v>
      </c>
      <c r="AG73" s="4">
        <f t="shared" si="16"/>
        <v>0.99903079926177196</v>
      </c>
      <c r="AH73" s="92">
        <f>Logistic2011!Q73</f>
        <v>0.98743858120527517</v>
      </c>
      <c r="AI73" s="92">
        <f>Logistic2012!Q73</f>
        <v>0.99903079926177196</v>
      </c>
      <c r="AJ73" s="92">
        <f>Logistic2013!L73</f>
        <v>0.98102036011876015</v>
      </c>
      <c r="AK73" s="119">
        <f>Logistic2014!AK73</f>
        <v>0.97963631693234787</v>
      </c>
      <c r="AL73" s="119">
        <f t="shared" si="22"/>
        <v>0.90263203969670491</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36">J73+1</f>
        <v>37831.5</v>
      </c>
      <c r="K74" s="109">
        <v>66</v>
      </c>
      <c r="L74" s="125">
        <f t="shared" si="34"/>
        <v>0.91504115622246529</v>
      </c>
      <c r="M74" s="46">
        <f t="shared" ref="M74:M107" si="37">IF(J75&gt;MAX($B$9:$B$64),L74,N74)</f>
        <v>0.91504115622246529</v>
      </c>
      <c r="N74" s="132">
        <v>0.99693501353750869</v>
      </c>
      <c r="O74" s="89">
        <f t="shared" si="35"/>
        <v>0.91504115622246529</v>
      </c>
      <c r="P74" s="4">
        <v>40388</v>
      </c>
      <c r="Q74" s="4">
        <v>0.99927216057350388</v>
      </c>
      <c r="U74" s="49">
        <v>40736</v>
      </c>
      <c r="V74" s="95"/>
      <c r="W74" s="95"/>
      <c r="X74" s="95"/>
      <c r="Y74" s="95"/>
      <c r="Z74" s="95"/>
      <c r="AE74" s="93">
        <f t="shared" si="21"/>
        <v>37831.5</v>
      </c>
      <c r="AF74" s="92">
        <f>Logistic2010!Q74</f>
        <v>0.97111227157250635</v>
      </c>
      <c r="AG74" s="4">
        <f t="shared" si="16"/>
        <v>0.99927216057350388</v>
      </c>
      <c r="AH74" s="92">
        <f>Logistic2011!Q74</f>
        <v>0.9902065550659539</v>
      </c>
      <c r="AI74" s="92">
        <f>Logistic2012!Q74</f>
        <v>0.99927216057350388</v>
      </c>
      <c r="AJ74" s="92">
        <f>Logistic2013!L74</f>
        <v>0.98437202125506518</v>
      </c>
      <c r="AK74" s="119">
        <f>Logistic2014!AK74</f>
        <v>0.98311943217332176</v>
      </c>
      <c r="AL74" s="119">
        <f t="shared" si="22"/>
        <v>0.91504115622246529</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36"/>
        <v>37832.5</v>
      </c>
      <c r="K75" s="109">
        <v>67</v>
      </c>
      <c r="L75" s="125">
        <f t="shared" si="34"/>
        <v>0.9259984425905613</v>
      </c>
      <c r="M75" s="46">
        <f t="shared" si="37"/>
        <v>0.9259984425905613</v>
      </c>
      <c r="N75" s="132">
        <v>0.99764637681040835</v>
      </c>
      <c r="O75" s="89">
        <f t="shared" si="35"/>
        <v>0.9259984425905613</v>
      </c>
      <c r="P75" s="4">
        <v>40389</v>
      </c>
      <c r="Q75" s="4">
        <v>0.99945344824920912</v>
      </c>
      <c r="U75" s="49">
        <v>40737</v>
      </c>
      <c r="V75" s="95"/>
      <c r="W75" s="95"/>
      <c r="X75" s="95"/>
      <c r="Y75" s="95"/>
      <c r="Z75" s="95"/>
      <c r="AE75" s="93">
        <f t="shared" si="21"/>
        <v>37832.5</v>
      </c>
      <c r="AF75" s="92">
        <f>Logistic2010!Q75</f>
        <v>0.97622113342645345</v>
      </c>
      <c r="AG75" s="4">
        <f t="shared" si="16"/>
        <v>0.99945344824920912</v>
      </c>
      <c r="AH75" s="92">
        <f>Logistic2011!Q75</f>
        <v>0.99236930496689024</v>
      </c>
      <c r="AI75" s="92">
        <f>Logistic2012!Q75</f>
        <v>0.99945344824920912</v>
      </c>
      <c r="AJ75" s="92">
        <f>Logistic2013!L75</f>
        <v>0.98713956340918307</v>
      </c>
      <c r="AK75" s="119">
        <f>Logistic2014!AK75</f>
        <v>0.98601528129691507</v>
      </c>
      <c r="AL75" s="119">
        <f t="shared" si="22"/>
        <v>0.9259984425905613</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36"/>
        <v>37833.5</v>
      </c>
      <c r="K76" s="109">
        <v>68</v>
      </c>
      <c r="L76" s="125">
        <f t="shared" si="34"/>
        <v>0.93564194302578907</v>
      </c>
      <c r="M76" s="46">
        <f t="shared" si="37"/>
        <v>0.93564194302578907</v>
      </c>
      <c r="N76" s="132">
        <v>0.9981929365976735</v>
      </c>
      <c r="O76" s="89">
        <f t="shared" si="35"/>
        <v>0.93564194302578907</v>
      </c>
      <c r="P76" s="4">
        <v>40390</v>
      </c>
      <c r="Q76" s="4">
        <v>0.99958959997534225</v>
      </c>
      <c r="U76" s="49">
        <v>40738</v>
      </c>
      <c r="AE76" s="93">
        <f t="shared" si="21"/>
        <v>37833.5</v>
      </c>
      <c r="AF76" s="92">
        <f>Logistic2010!Q76</f>
        <v>0.98044467529540402</v>
      </c>
      <c r="AG76" s="4">
        <f t="shared" ref="AG76" si="38">AI76</f>
        <v>0.99958959997534225</v>
      </c>
      <c r="AH76" s="92">
        <f>Logistic2011!Q76</f>
        <v>0.99405730717928753</v>
      </c>
      <c r="AI76" s="92">
        <f>Logistic2012!Q76</f>
        <v>0.99958959997534225</v>
      </c>
      <c r="AJ76" s="92">
        <f>Logistic2013!L76</f>
        <v>0.98942227092402102</v>
      </c>
      <c r="AK76" s="119">
        <f>Logistic2014!AK76</f>
        <v>0.98842020100800998</v>
      </c>
      <c r="AL76" s="119">
        <f t="shared" si="22"/>
        <v>0.93564194302578907</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36"/>
        <v>37834.5</v>
      </c>
      <c r="K77" s="109">
        <v>69</v>
      </c>
      <c r="L77" s="125">
        <f t="shared" si="34"/>
        <v>0.94410460909339544</v>
      </c>
      <c r="M77" s="46">
        <f t="shared" si="37"/>
        <v>0.94410460909339544</v>
      </c>
      <c r="N77" s="132">
        <v>0.99861275043215647</v>
      </c>
      <c r="O77" s="89">
        <f t="shared" si="35"/>
        <v>0.94410460909339544</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36"/>
        <v>37835.5</v>
      </c>
      <c r="K78" s="109">
        <v>70</v>
      </c>
      <c r="L78" s="125">
        <f t="shared" si="34"/>
        <v>0.95151215756297369</v>
      </c>
      <c r="M78" s="46">
        <f t="shared" si="37"/>
        <v>0.95151215756297369</v>
      </c>
      <c r="N78" s="132">
        <v>0.99893513788942956</v>
      </c>
      <c r="O78" s="89">
        <f t="shared" si="35"/>
        <v>0.95151215756297369</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36"/>
        <v>37836.5</v>
      </c>
      <c r="K79" s="109">
        <v>71</v>
      </c>
      <c r="L79" s="125">
        <f t="shared" si="34"/>
        <v>0.95798171003644861</v>
      </c>
      <c r="M79" s="46">
        <f t="shared" si="37"/>
        <v>0.95798171003644861</v>
      </c>
      <c r="N79" s="132">
        <v>0.99918266599299976</v>
      </c>
      <c r="O79" s="89">
        <f t="shared" si="35"/>
        <v>0.95798171003644861</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36"/>
        <v>37837.5</v>
      </c>
      <c r="K80" s="109">
        <v>72</v>
      </c>
      <c r="L80" s="125">
        <f t="shared" si="34"/>
        <v>0.96362105702891621</v>
      </c>
      <c r="M80" s="46">
        <f t="shared" si="37"/>
        <v>0.96362105702891621</v>
      </c>
      <c r="N80" s="132">
        <v>0.99937269211089375</v>
      </c>
      <c r="O80" s="89">
        <f t="shared" si="35"/>
        <v>0.96362105702891621</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36"/>
        <v>37838.5</v>
      </c>
      <c r="K81" s="109">
        <v>73</v>
      </c>
      <c r="L81" s="125">
        <f t="shared" si="34"/>
        <v>0.96852840212189506</v>
      </c>
      <c r="M81" s="46">
        <f t="shared" si="37"/>
        <v>0.96852840212189506</v>
      </c>
      <c r="N81" s="132">
        <v>0.99951855938287282</v>
      </c>
      <c r="O81" s="89">
        <f t="shared" si="35"/>
        <v>0.96852840212189506</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36"/>
        <v>37839.5</v>
      </c>
      <c r="K82" s="109">
        <v>74</v>
      </c>
      <c r="L82" s="125">
        <f t="shared" si="34"/>
        <v>0.97279246059921842</v>
      </c>
      <c r="M82" s="46">
        <f t="shared" si="37"/>
        <v>0.97279246059921842</v>
      </c>
      <c r="N82" s="132">
        <v>0.99963052082493253</v>
      </c>
      <c r="O82" s="89">
        <f t="shared" si="35"/>
        <v>0.97279246059921842</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36"/>
        <v>37840.5</v>
      </c>
      <c r="K83" s="109">
        <v>75</v>
      </c>
      <c r="L83" s="125">
        <f t="shared" si="34"/>
        <v>0.97649280782232184</v>
      </c>
      <c r="M83" s="46">
        <f t="shared" si="37"/>
        <v>0.97649280782232184</v>
      </c>
      <c r="N83" s="132">
        <v>0.99971645245567509</v>
      </c>
      <c r="O83" s="89">
        <f t="shared" si="35"/>
        <v>0.97649280782232184</v>
      </c>
      <c r="P83" s="4">
        <v>40397</v>
      </c>
      <c r="Q83" s="4">
        <v>0.99994479477502707</v>
      </c>
      <c r="U83" s="94">
        <v>40745</v>
      </c>
    </row>
    <row r="84" spans="2:41" x14ac:dyDescent="0.25">
      <c r="B84" s="63"/>
      <c r="C84" s="64"/>
      <c r="D84" s="65">
        <v>1</v>
      </c>
      <c r="E84" s="64">
        <v>3.9127199142977333E-2</v>
      </c>
      <c r="F84" s="71"/>
      <c r="G84" s="64"/>
      <c r="H84" s="64"/>
      <c r="I84" s="53"/>
      <c r="J84" s="105">
        <f t="shared" si="36"/>
        <v>37841.5</v>
      </c>
      <c r="K84" s="109">
        <v>76</v>
      </c>
      <c r="L84" s="125">
        <f t="shared" si="34"/>
        <v>0.97970039303394973</v>
      </c>
      <c r="M84" s="46">
        <f t="shared" si="37"/>
        <v>0.97970039303394973</v>
      </c>
      <c r="N84" s="132">
        <v>0.99978240288510523</v>
      </c>
      <c r="O84" s="89">
        <f t="shared" si="35"/>
        <v>0.97970039303394973</v>
      </c>
      <c r="P84" s="4">
        <v>40398</v>
      </c>
      <c r="Q84" s="4">
        <v>0.99995855204677475</v>
      </c>
    </row>
    <row r="85" spans="2:41" x14ac:dyDescent="0.25">
      <c r="B85" s="63"/>
      <c r="C85" s="64"/>
      <c r="D85" s="65">
        <v>3.9127199142977333E-2</v>
      </c>
      <c r="E85" s="64">
        <v>1</v>
      </c>
      <c r="F85" s="71"/>
      <c r="G85" s="64"/>
      <c r="H85" s="64"/>
      <c r="I85" s="53"/>
      <c r="J85" s="105">
        <f t="shared" si="36"/>
        <v>37842.5</v>
      </c>
      <c r="K85" s="109">
        <v>77</v>
      </c>
      <c r="L85" s="125">
        <f t="shared" si="34"/>
        <v>0.98247815286687779</v>
      </c>
      <c r="M85" s="46">
        <f t="shared" si="37"/>
        <v>0.98247815286687779</v>
      </c>
      <c r="N85" s="132">
        <v>0.99983301644163747</v>
      </c>
      <c r="O85" s="89">
        <f t="shared" si="35"/>
        <v>0.98247815286687779</v>
      </c>
      <c r="P85" s="4">
        <v>40399</v>
      </c>
      <c r="Q85" s="4">
        <v>0.99996888108077731</v>
      </c>
    </row>
    <row r="86" spans="2:41" x14ac:dyDescent="0.25">
      <c r="B86" s="63"/>
      <c r="C86" s="64"/>
      <c r="D86" s="65"/>
      <c r="E86" s="64"/>
      <c r="F86" s="71"/>
      <c r="G86" s="64"/>
      <c r="H86" s="64"/>
      <c r="I86" s="53"/>
      <c r="J86" s="105">
        <f t="shared" si="36"/>
        <v>37843.5</v>
      </c>
      <c r="K86" s="109">
        <v>78</v>
      </c>
      <c r="L86" s="125">
        <f t="shared" si="34"/>
        <v>0.98488167489282219</v>
      </c>
      <c r="M86" s="46">
        <f t="shared" si="37"/>
        <v>0.98488167489282219</v>
      </c>
      <c r="N86" s="132">
        <v>0.99987185868506689</v>
      </c>
      <c r="O86" s="89">
        <f t="shared" si="35"/>
        <v>0.98488167489282219</v>
      </c>
      <c r="P86" s="4">
        <v>40400</v>
      </c>
      <c r="Q86" s="4">
        <v>0.99997663612879639</v>
      </c>
      <c r="AO86" s="4">
        <v>0.96399999999999997</v>
      </c>
    </row>
    <row r="87" spans="2:41" x14ac:dyDescent="0.25">
      <c r="B87" s="63"/>
      <c r="C87" s="64"/>
      <c r="D87" s="65"/>
      <c r="E87" s="64"/>
      <c r="F87" s="71"/>
      <c r="G87" s="64"/>
      <c r="H87" s="64"/>
      <c r="I87" s="53"/>
      <c r="J87" s="105">
        <f t="shared" si="36"/>
        <v>37844.5</v>
      </c>
      <c r="K87" s="109">
        <v>79</v>
      </c>
      <c r="L87" s="125">
        <f t="shared" si="34"/>
        <v>0.98695987488741244</v>
      </c>
      <c r="M87" s="46">
        <f t="shared" si="37"/>
        <v>0.98695987488741244</v>
      </c>
      <c r="N87" s="132">
        <v>0.9999016666768179</v>
      </c>
      <c r="O87" s="89">
        <f t="shared" si="35"/>
        <v>0.98695987488741244</v>
      </c>
      <c r="P87" s="4">
        <v>40401</v>
      </c>
      <c r="Q87" s="4">
        <v>0.99998245859958268</v>
      </c>
    </row>
    <row r="88" spans="2:41" x14ac:dyDescent="0.25">
      <c r="B88" s="63"/>
      <c r="C88" s="64"/>
      <c r="D88" s="65" t="s">
        <v>46</v>
      </c>
      <c r="E88" s="64"/>
      <c r="F88" s="71"/>
      <c r="G88" s="64"/>
      <c r="H88" s="64"/>
      <c r="I88" s="53"/>
      <c r="J88" s="105">
        <f t="shared" si="36"/>
        <v>37845.5</v>
      </c>
      <c r="K88" s="109">
        <v>80</v>
      </c>
      <c r="L88" s="125">
        <f t="shared" si="34"/>
        <v>0.98875566222192868</v>
      </c>
      <c r="M88" s="46">
        <f t="shared" si="37"/>
        <v>0.98875566222192868</v>
      </c>
      <c r="N88" s="132">
        <v>0.99992454131286057</v>
      </c>
      <c r="O88" s="89">
        <f t="shared" si="35"/>
        <v>0.98875566222192868</v>
      </c>
      <c r="P88" s="4">
        <v>40402</v>
      </c>
      <c r="Q88" s="4">
        <v>0.99998683008139233</v>
      </c>
    </row>
    <row r="89" spans="2:41" x14ac:dyDescent="0.25">
      <c r="B89" s="63"/>
      <c r="C89" s="64"/>
      <c r="D89" s="65">
        <v>9.55619890821783</v>
      </c>
      <c r="E89" s="64">
        <v>-6.9767944351029924E-3</v>
      </c>
      <c r="F89" s="71"/>
      <c r="G89" s="64"/>
      <c r="H89" s="64"/>
      <c r="I89" s="53"/>
      <c r="J89" s="105">
        <f t="shared" si="36"/>
        <v>37846.5</v>
      </c>
      <c r="K89" s="109">
        <v>81</v>
      </c>
      <c r="L89" s="125">
        <f t="shared" si="34"/>
        <v>0.99030657619469742</v>
      </c>
      <c r="M89" s="46">
        <f t="shared" si="37"/>
        <v>0.99030657619469742</v>
      </c>
      <c r="N89" s="132">
        <v>0.99994209508049881</v>
      </c>
      <c r="O89" s="89">
        <f t="shared" si="35"/>
        <v>0.99030657619469742</v>
      </c>
      <c r="P89" s="4">
        <v>40403</v>
      </c>
      <c r="Q89" s="4">
        <v>0.99999011215963096</v>
      </c>
    </row>
    <row r="90" spans="2:41" x14ac:dyDescent="0.25">
      <c r="B90" s="63"/>
      <c r="C90" s="64"/>
      <c r="D90" s="65">
        <v>-6.9767944351029924E-3</v>
      </c>
      <c r="E90" s="64">
        <v>1.5680049670732246E-2</v>
      </c>
      <c r="F90" s="71"/>
      <c r="G90" s="64"/>
      <c r="H90" s="64"/>
      <c r="I90" s="53"/>
      <c r="J90" s="105">
        <f t="shared" si="36"/>
        <v>37847.5</v>
      </c>
      <c r="K90" s="109">
        <v>82</v>
      </c>
      <c r="L90" s="125">
        <f t="shared" si="34"/>
        <v>0.99164538252543843</v>
      </c>
      <c r="M90" s="46">
        <f t="shared" si="37"/>
        <v>0.99164538252543843</v>
      </c>
      <c r="N90" s="132">
        <v>0.99995556554007625</v>
      </c>
      <c r="O90" s="89">
        <f t="shared" si="35"/>
        <v>0.99164538252543843</v>
      </c>
      <c r="P90" s="4">
        <v>40404</v>
      </c>
      <c r="Q90" s="4">
        <v>0.9999925763165205</v>
      </c>
    </row>
    <row r="91" spans="2:41" x14ac:dyDescent="0.25">
      <c r="B91" s="63"/>
      <c r="C91" s="64"/>
      <c r="D91" s="65"/>
      <c r="E91" s="64"/>
      <c r="F91" s="71"/>
      <c r="G91" s="64"/>
      <c r="H91" s="64"/>
      <c r="I91" s="53"/>
      <c r="J91" s="105">
        <f t="shared" si="36"/>
        <v>37848.5</v>
      </c>
      <c r="K91" s="109">
        <v>83</v>
      </c>
      <c r="L91" s="125">
        <f t="shared" si="34"/>
        <v>0.9928006240045677</v>
      </c>
      <c r="M91" s="46">
        <f t="shared" si="37"/>
        <v>0.9928006240045677</v>
      </c>
      <c r="N91" s="132">
        <v>0.99996590246462225</v>
      </c>
      <c r="O91" s="89">
        <f t="shared" si="35"/>
        <v>0.9928006240045677</v>
      </c>
      <c r="P91" s="4">
        <v>40405</v>
      </c>
      <c r="Q91" s="4">
        <v>0.99999442638225311</v>
      </c>
    </row>
    <row r="92" spans="2:41" x14ac:dyDescent="0.25">
      <c r="B92" s="63"/>
      <c r="C92" s="64"/>
      <c r="D92" s="65" t="s">
        <v>47</v>
      </c>
      <c r="E92" s="64"/>
      <c r="F92" s="71" t="s">
        <v>8</v>
      </c>
      <c r="G92" s="64"/>
      <c r="H92" s="64"/>
      <c r="I92" s="53"/>
      <c r="J92" s="105">
        <f t="shared" si="36"/>
        <v>37849.5</v>
      </c>
      <c r="K92" s="109">
        <v>84</v>
      </c>
      <c r="L92" s="125">
        <f t="shared" si="34"/>
        <v>0.99379712274280596</v>
      </c>
      <c r="M92" s="46">
        <f t="shared" si="37"/>
        <v>0.99379712274280596</v>
      </c>
      <c r="N92" s="132">
        <v>0.99997383474166435</v>
      </c>
      <c r="O92" s="89">
        <f t="shared" si="35"/>
        <v>0.99379712274280596</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36"/>
        <v>37850.5</v>
      </c>
      <c r="K93" s="109">
        <v>85</v>
      </c>
      <c r="L93" s="125">
        <f t="shared" si="34"/>
        <v>0.99465643389085245</v>
      </c>
      <c r="M93" s="46">
        <f t="shared" si="37"/>
        <v>0.99465643389085245</v>
      </c>
      <c r="N93" s="132">
        <v>0.99997992173121009</v>
      </c>
      <c r="O93" s="89">
        <f t="shared" si="35"/>
        <v>0.99465643389085245</v>
      </c>
      <c r="P93" s="4">
        <v>40407</v>
      </c>
      <c r="Q93" s="4">
        <v>0.99999685824657825</v>
      </c>
    </row>
    <row r="94" spans="2:41" x14ac:dyDescent="0.25">
      <c r="B94" s="63"/>
      <c r="C94" s="64"/>
      <c r="D94" s="65">
        <v>9.2253535765261202E-5</v>
      </c>
      <c r="E94" s="64">
        <v>0.12636077298244341</v>
      </c>
      <c r="F94" s="71">
        <v>0.35547260510824658</v>
      </c>
      <c r="G94" s="64"/>
      <c r="H94" s="64"/>
      <c r="I94" s="53"/>
      <c r="J94" s="105">
        <f t="shared" si="36"/>
        <v>37851.5</v>
      </c>
      <c r="K94" s="109">
        <v>86</v>
      </c>
      <c r="L94" s="125">
        <f t="shared" si="34"/>
        <v>0.99539725233555831</v>
      </c>
      <c r="M94" s="46">
        <f t="shared" si="37"/>
        <v>0.99539725233555831</v>
      </c>
      <c r="N94" s="132">
        <v>0.99998459268769502</v>
      </c>
      <c r="O94" s="89">
        <f t="shared" si="35"/>
        <v>0.99539725233555831</v>
      </c>
      <c r="P94" s="4">
        <v>40408</v>
      </c>
      <c r="Q94" s="4">
        <v>0.99999764120951673</v>
      </c>
    </row>
    <row r="95" spans="2:41" x14ac:dyDescent="0.25">
      <c r="B95" s="63"/>
      <c r="C95" s="64"/>
      <c r="D95" s="65"/>
      <c r="E95" s="64"/>
      <c r="F95" s="71"/>
      <c r="G95" s="64"/>
      <c r="H95" s="64"/>
      <c r="I95" s="53"/>
      <c r="J95" s="105">
        <f t="shared" si="36"/>
        <v>37852.5</v>
      </c>
      <c r="K95" s="109">
        <v>87</v>
      </c>
      <c r="L95" s="125">
        <f t="shared" si="34"/>
        <v>0.99603577492489503</v>
      </c>
      <c r="M95" s="46">
        <f t="shared" si="37"/>
        <v>0.99603577492489503</v>
      </c>
      <c r="N95" s="132">
        <v>0.99998817701780018</v>
      </c>
      <c r="O95" s="89">
        <f t="shared" si="35"/>
        <v>0.99603577492489503</v>
      </c>
      <c r="P95" s="4">
        <v>40409</v>
      </c>
      <c r="Q95" s="4">
        <v>0.99999822904897007</v>
      </c>
    </row>
    <row r="96" spans="2:41" x14ac:dyDescent="0.25">
      <c r="B96" s="63"/>
      <c r="C96" s="64"/>
      <c r="D96" s="65" t="s">
        <v>48</v>
      </c>
      <c r="E96" s="64"/>
      <c r="F96" s="71"/>
      <c r="G96" s="64"/>
      <c r="H96" s="64"/>
      <c r="I96" s="53"/>
      <c r="J96" s="105">
        <f t="shared" si="36"/>
        <v>37853.5</v>
      </c>
      <c r="K96" s="109">
        <v>88</v>
      </c>
      <c r="L96" s="125">
        <f t="shared" si="34"/>
        <v>0.99658602138582275</v>
      </c>
      <c r="M96" s="46">
        <f t="shared" si="37"/>
        <v>0.99658602138582275</v>
      </c>
      <c r="N96" s="132">
        <v>0.99999092750320295</v>
      </c>
      <c r="O96" s="89">
        <f t="shared" si="35"/>
        <v>0.99658602138582275</v>
      </c>
      <c r="P96" s="4">
        <v>40410</v>
      </c>
      <c r="Q96" s="4">
        <v>0.99999867039183277</v>
      </c>
    </row>
    <row r="97" spans="2:17" x14ac:dyDescent="0.25">
      <c r="B97" s="63"/>
      <c r="C97" s="64"/>
      <c r="D97" s="65">
        <v>0.99999999999999989</v>
      </c>
      <c r="E97" s="64">
        <v>1.8023520282993657E-2</v>
      </c>
      <c r="F97" s="71"/>
      <c r="G97" s="64"/>
      <c r="H97" s="64"/>
      <c r="I97" s="53"/>
      <c r="J97" s="105">
        <f t="shared" si="36"/>
        <v>37854.5</v>
      </c>
      <c r="K97" s="109">
        <v>89</v>
      </c>
      <c r="L97" s="125">
        <f t="shared" si="34"/>
        <v>0.99706011739925837</v>
      </c>
      <c r="M97" s="46">
        <f t="shared" si="37"/>
        <v>0.99706011739925837</v>
      </c>
      <c r="N97" s="132">
        <v>0.99999303812320184</v>
      </c>
      <c r="O97" s="89">
        <f t="shared" si="35"/>
        <v>0.99706011739925837</v>
      </c>
      <c r="P97" s="4">
        <v>40411</v>
      </c>
      <c r="Q97" s="4">
        <v>0.99999900174671486</v>
      </c>
    </row>
    <row r="98" spans="2:17" x14ac:dyDescent="0.25">
      <c r="B98" s="63"/>
      <c r="C98" s="64"/>
      <c r="D98" s="65">
        <v>1.8023520282993654E-2</v>
      </c>
      <c r="E98" s="64">
        <v>1</v>
      </c>
      <c r="F98" s="71"/>
      <c r="G98" s="64"/>
      <c r="H98" s="64"/>
      <c r="I98" s="53"/>
      <c r="J98" s="105">
        <f t="shared" si="36"/>
        <v>37855.5</v>
      </c>
      <c r="K98" s="109">
        <v>90</v>
      </c>
      <c r="L98" s="125">
        <f t="shared" si="34"/>
        <v>0.9974685433783621</v>
      </c>
      <c r="M98" s="46">
        <f t="shared" si="37"/>
        <v>0.9974685433783621</v>
      </c>
      <c r="N98" s="132">
        <v>0.99999465773250285</v>
      </c>
      <c r="O98" s="89">
        <f t="shared" si="35"/>
        <v>0.9974685433783621</v>
      </c>
      <c r="P98" s="4">
        <v>40412</v>
      </c>
      <c r="Q98" s="4">
        <v>0.99999925052390337</v>
      </c>
    </row>
    <row r="99" spans="2:17" x14ac:dyDescent="0.25">
      <c r="B99" s="63"/>
      <c r="C99" s="64"/>
      <c r="D99" s="65"/>
      <c r="E99" s="64"/>
      <c r="F99" s="71"/>
      <c r="G99" s="64"/>
      <c r="H99" s="64"/>
      <c r="I99" s="53"/>
      <c r="J99" s="105">
        <f t="shared" si="36"/>
        <v>37856.5</v>
      </c>
      <c r="K99" s="109">
        <v>91</v>
      </c>
      <c r="L99" s="125">
        <f t="shared" si="34"/>
        <v>0.99782035243085554</v>
      </c>
      <c r="M99" s="46">
        <f t="shared" si="37"/>
        <v>0.99782035243085554</v>
      </c>
      <c r="N99" s="132">
        <v>0.99999590055784027</v>
      </c>
      <c r="O99" s="89">
        <f t="shared" si="35"/>
        <v>0.99782035243085554</v>
      </c>
      <c r="P99" s="4">
        <v>40413</v>
      </c>
      <c r="Q99" s="4">
        <v>0.99999943730274388</v>
      </c>
    </row>
    <row r="100" spans="2:17" x14ac:dyDescent="0.25">
      <c r="B100" s="63"/>
      <c r="C100" s="64"/>
      <c r="D100" s="65"/>
      <c r="E100" s="64"/>
      <c r="F100" s="71"/>
      <c r="G100" s="64"/>
      <c r="H100" s="64"/>
      <c r="I100" s="53"/>
      <c r="J100" s="105">
        <f t="shared" si="36"/>
        <v>37857.5</v>
      </c>
      <c r="K100" s="109">
        <v>92</v>
      </c>
      <c r="L100" s="125">
        <f t="shared" si="34"/>
        <v>0.99812336082526654</v>
      </c>
      <c r="M100" s="46">
        <f t="shared" si="37"/>
        <v>0.99812336082526654</v>
      </c>
      <c r="N100" s="132">
        <v>0.99999685425314822</v>
      </c>
      <c r="O100" s="89">
        <f t="shared" si="35"/>
        <v>0.99812336082526654</v>
      </c>
      <c r="P100" s="4">
        <v>40414</v>
      </c>
      <c r="Q100" s="4">
        <v>0.99999957753397495</v>
      </c>
    </row>
    <row r="101" spans="2:17" x14ac:dyDescent="0.25">
      <c r="B101" s="63"/>
      <c r="C101" s="64"/>
      <c r="D101" s="65"/>
      <c r="E101" s="64"/>
      <c r="F101" s="71"/>
      <c r="G101" s="64"/>
      <c r="H101" s="64"/>
      <c r="I101" s="53"/>
      <c r="J101" s="105">
        <f t="shared" si="36"/>
        <v>37858.5</v>
      </c>
      <c r="K101" s="109">
        <v>93</v>
      </c>
      <c r="L101" s="125">
        <f t="shared" si="34"/>
        <v>0.99838431406286665</v>
      </c>
      <c r="M101" s="46">
        <f t="shared" si="37"/>
        <v>0.99838431406286665</v>
      </c>
      <c r="N101" s="132">
        <v>0.99999758608106293</v>
      </c>
      <c r="O101" s="89">
        <f t="shared" si="35"/>
        <v>0.99838431406286665</v>
      </c>
      <c r="P101" s="4">
        <v>40415</v>
      </c>
      <c r="Q101" s="4">
        <v>0.99999968281783125</v>
      </c>
    </row>
    <row r="102" spans="2:17" x14ac:dyDescent="0.25">
      <c r="B102" s="63"/>
      <c r="C102" s="64"/>
      <c r="D102" s="65"/>
      <c r="E102" s="64"/>
      <c r="F102" s="71"/>
      <c r="G102" s="64"/>
      <c r="H102" s="64"/>
      <c r="I102" s="53"/>
      <c r="J102" s="105">
        <f t="shared" si="36"/>
        <v>37859.5</v>
      </c>
      <c r="K102" s="109">
        <v>94</v>
      </c>
      <c r="L102" s="125">
        <f t="shared" si="34"/>
        <v>0.99860903140876267</v>
      </c>
      <c r="M102" s="46">
        <f t="shared" si="37"/>
        <v>0.99860903140876267</v>
      </c>
      <c r="N102" s="132">
        <v>0.99999814765652884</v>
      </c>
      <c r="O102" s="89">
        <f t="shared" si="35"/>
        <v>0.99860903140876267</v>
      </c>
      <c r="P102" s="4">
        <v>40416</v>
      </c>
      <c r="Q102" s="4">
        <v>0.99999976186363015</v>
      </c>
    </row>
    <row r="103" spans="2:17" x14ac:dyDescent="0.25">
      <c r="B103" s="63"/>
      <c r="C103" s="64"/>
      <c r="D103" s="65"/>
      <c r="E103" s="64"/>
      <c r="F103" s="71"/>
      <c r="G103" s="64"/>
      <c r="H103" s="64"/>
      <c r="I103" s="53"/>
      <c r="J103" s="105">
        <f t="shared" si="36"/>
        <v>37860.5</v>
      </c>
      <c r="K103" s="109">
        <v>95</v>
      </c>
      <c r="L103" s="125">
        <f t="shared" si="34"/>
        <v>0.99880253147603981</v>
      </c>
      <c r="M103" s="46">
        <f t="shared" si="37"/>
        <v>0.99880253147603981</v>
      </c>
      <c r="N103" s="132">
        <v>0.99999857858694674</v>
      </c>
      <c r="O103" s="89">
        <f t="shared" si="35"/>
        <v>0.99880253147603981</v>
      </c>
      <c r="P103" s="4">
        <v>40417</v>
      </c>
      <c r="Q103" s="4">
        <v>0.99999982121022213</v>
      </c>
    </row>
    <row r="104" spans="2:17" x14ac:dyDescent="0.25">
      <c r="B104" s="63"/>
      <c r="C104" s="64"/>
      <c r="D104" s="65"/>
      <c r="E104" s="64"/>
      <c r="F104" s="71"/>
      <c r="G104" s="64"/>
      <c r="H104" s="64"/>
      <c r="I104" s="53"/>
      <c r="J104" s="105">
        <f t="shared" si="36"/>
        <v>37861.5</v>
      </c>
      <c r="K104" s="109">
        <v>96</v>
      </c>
      <c r="L104" s="125">
        <f t="shared" si="34"/>
        <v>0.99896914119884128</v>
      </c>
      <c r="M104" s="46">
        <f t="shared" si="37"/>
        <v>0.99896914119884128</v>
      </c>
      <c r="N104" s="132">
        <v>0.99999890926553481</v>
      </c>
      <c r="O104" s="89">
        <f t="shared" si="35"/>
        <v>0.99896914119884128</v>
      </c>
      <c r="P104" s="4">
        <v>40418</v>
      </c>
      <c r="Q104" s="4">
        <v>0.99999986576689559</v>
      </c>
    </row>
    <row r="105" spans="2:17" x14ac:dyDescent="0.25">
      <c r="B105" s="63"/>
      <c r="C105" s="64"/>
      <c r="D105" s="65"/>
      <c r="E105" s="64"/>
      <c r="F105" s="71"/>
      <c r="G105" s="64"/>
      <c r="H105" s="64"/>
      <c r="I105" s="53"/>
      <c r="J105" s="105">
        <f t="shared" si="36"/>
        <v>37862.5</v>
      </c>
      <c r="K105" s="109">
        <v>97</v>
      </c>
      <c r="L105" s="125">
        <f>$G$3/(1+EXP(-$G$4*(K105-$G$5)))</f>
        <v>0.99911259028216404</v>
      </c>
      <c r="M105" s="46">
        <f t="shared" si="37"/>
        <v>0.99911259028216404</v>
      </c>
      <c r="N105" s="132">
        <v>0.99999916301487501</v>
      </c>
      <c r="O105" s="89">
        <f>IF(N105=M105,N105,M105)</f>
        <v>0.99911259028216404</v>
      </c>
      <c r="P105" s="4">
        <v>40419</v>
      </c>
      <c r="Q105" s="4">
        <v>0.99999989921948373</v>
      </c>
    </row>
    <row r="106" spans="2:17" x14ac:dyDescent="0.25">
      <c r="B106" s="63"/>
      <c r="C106" s="64"/>
      <c r="D106" s="65"/>
      <c r="E106" s="64"/>
      <c r="F106" s="71"/>
      <c r="G106" s="64"/>
      <c r="H106" s="64"/>
      <c r="I106" s="53"/>
      <c r="J106" s="105">
        <f t="shared" si="36"/>
        <v>37863.5</v>
      </c>
      <c r="K106" s="109">
        <v>98</v>
      </c>
      <c r="L106" s="125">
        <f>$G$3/(1+EXP(-$G$4*(K106-$G$5)))</f>
        <v>0.9992360929830546</v>
      </c>
      <c r="M106" s="46">
        <f t="shared" si="37"/>
        <v>0.9992360929830546</v>
      </c>
      <c r="N106" s="132">
        <v>0.99999935773180315</v>
      </c>
      <c r="O106" s="89">
        <f>IF(N106=M106,N106,M106)</f>
        <v>0.9992360929830546</v>
      </c>
      <c r="P106" s="4">
        <v>40420</v>
      </c>
      <c r="Q106" s="4">
        <v>0.99999992433526419</v>
      </c>
    </row>
    <row r="107" spans="2:17" x14ac:dyDescent="0.25">
      <c r="B107" s="63"/>
      <c r="C107" s="64"/>
      <c r="D107" s="65"/>
      <c r="E107" s="64"/>
      <c r="F107" s="71"/>
      <c r="G107" s="64"/>
      <c r="H107" s="64"/>
      <c r="I107" s="53"/>
      <c r="J107" s="105">
        <f t="shared" si="36"/>
        <v>37864.5</v>
      </c>
      <c r="K107" s="109">
        <v>99</v>
      </c>
      <c r="L107" s="125">
        <f>$G$3/(1+EXP(-$G$4*(K107-$G$5)))</f>
        <v>0.99934241886259467</v>
      </c>
      <c r="M107" s="46">
        <f t="shared" si="37"/>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v>37766.5</v>
      </c>
      <c r="C132" s="64">
        <v>0</v>
      </c>
      <c r="D132" s="4">
        <v>2.5000000000000001E-2</v>
      </c>
      <c r="E132" s="64">
        <f>1.96*D132</f>
        <v>4.9000000000000002E-2</v>
      </c>
      <c r="F132" s="71">
        <f>1-C132</f>
        <v>1</v>
      </c>
      <c r="G132" s="64"/>
      <c r="H132" s="64"/>
      <c r="I132" s="53"/>
      <c r="J132" s="44"/>
      <c r="K132" s="45"/>
      <c r="L132" s="46"/>
      <c r="M132" s="46"/>
      <c r="N132" s="70"/>
      <c r="O132" s="47"/>
    </row>
    <row r="133" spans="2:15" x14ac:dyDescent="0.25">
      <c r="B133" s="63">
        <v>37797.5</v>
      </c>
      <c r="C133" s="64">
        <v>1.4373661500000001E-2</v>
      </c>
      <c r="D133" s="147">
        <v>2.9294660471095732E-2</v>
      </c>
      <c r="E133" s="64">
        <f t="shared" ref="E133:E139" si="39">1.96*D133</f>
        <v>5.7417534523347635E-2</v>
      </c>
      <c r="F133" s="71">
        <f t="shared" ref="F133:F139" si="40">1-C133</f>
        <v>0.98562633850000003</v>
      </c>
      <c r="G133" s="64"/>
      <c r="H133" s="64"/>
      <c r="I133" s="53"/>
      <c r="J133" s="44"/>
      <c r="K133" s="45"/>
      <c r="L133" s="46"/>
      <c r="M133" s="46"/>
      <c r="N133" s="70"/>
      <c r="O133" s="47"/>
    </row>
    <row r="134" spans="2:15" x14ac:dyDescent="0.25">
      <c r="B134" s="63">
        <v>37803.5</v>
      </c>
      <c r="C134" s="64">
        <v>0.14530426295000001</v>
      </c>
      <c r="D134" s="147">
        <v>4.3768624675588189E-2</v>
      </c>
      <c r="E134" s="64">
        <f t="shared" si="39"/>
        <v>8.5786504364152846E-2</v>
      </c>
      <c r="F134" s="71">
        <f t="shared" si="40"/>
        <v>0.85469573705000002</v>
      </c>
      <c r="G134" s="64"/>
      <c r="H134" s="64"/>
      <c r="I134" s="53"/>
      <c r="J134" s="44"/>
      <c r="K134" s="45"/>
      <c r="L134" s="46"/>
      <c r="M134" s="46"/>
      <c r="N134" s="70"/>
      <c r="O134" s="47"/>
    </row>
    <row r="135" spans="2:15" x14ac:dyDescent="0.25">
      <c r="B135" s="63">
        <v>37809.5</v>
      </c>
      <c r="C135" s="64">
        <v>0.28467891862</v>
      </c>
      <c r="D135" s="147">
        <v>5.482678371741849E-2</v>
      </c>
      <c r="E135" s="64">
        <f t="shared" si="39"/>
        <v>0.10746049608614024</v>
      </c>
      <c r="F135" s="71">
        <f t="shared" si="40"/>
        <v>0.71532108137999995</v>
      </c>
      <c r="G135" s="64"/>
      <c r="H135" s="64"/>
      <c r="I135" s="53"/>
      <c r="J135" s="44"/>
      <c r="K135" s="45"/>
      <c r="L135" s="46"/>
      <c r="M135" s="46"/>
      <c r="N135" s="70"/>
      <c r="O135" s="47"/>
    </row>
    <row r="136" spans="2:15" x14ac:dyDescent="0.25">
      <c r="B136" s="63">
        <v>37815.5</v>
      </c>
      <c r="C136" s="64">
        <v>0.68313881839000001</v>
      </c>
      <c r="D136" s="147">
        <v>5.455329775196275E-2</v>
      </c>
      <c r="E136" s="64">
        <f t="shared" si="39"/>
        <v>0.10692446359384698</v>
      </c>
      <c r="F136" s="71">
        <f t="shared" si="40"/>
        <v>0.31686118160999999</v>
      </c>
      <c r="G136" s="64"/>
      <c r="H136" s="64"/>
      <c r="I136" s="53"/>
      <c r="J136" s="44"/>
      <c r="K136" s="45"/>
      <c r="L136" s="46"/>
      <c r="M136" s="46"/>
      <c r="N136" s="70"/>
      <c r="O136" s="47"/>
    </row>
    <row r="137" spans="2:15" x14ac:dyDescent="0.25">
      <c r="B137" s="63">
        <v>37820.5</v>
      </c>
      <c r="C137" s="64">
        <v>0.58347815381000001</v>
      </c>
      <c r="D137" s="147">
        <v>5.2774119647345311E-2</v>
      </c>
      <c r="E137" s="64">
        <f t="shared" si="39"/>
        <v>0.10343727450879681</v>
      </c>
      <c r="F137" s="71">
        <f t="shared" si="40"/>
        <v>0.41652184618999999</v>
      </c>
      <c r="G137" s="64"/>
      <c r="H137" s="64"/>
      <c r="I137" s="53"/>
      <c r="J137" s="44"/>
      <c r="K137" s="45"/>
      <c r="L137" s="46"/>
      <c r="M137" s="46"/>
      <c r="N137" s="70"/>
      <c r="O137" s="47"/>
    </row>
    <row r="138" spans="2:15" x14ac:dyDescent="0.25">
      <c r="B138" s="63">
        <v>37825.5</v>
      </c>
      <c r="C138" s="64">
        <v>0.57123000782</v>
      </c>
      <c r="D138" s="147">
        <v>5.8738633411898597E-2</v>
      </c>
      <c r="E138" s="64">
        <f t="shared" si="39"/>
        <v>0.11512772148732124</v>
      </c>
      <c r="F138" s="71">
        <f t="shared" si="40"/>
        <v>0.42876999218</v>
      </c>
      <c r="G138" s="64"/>
      <c r="H138" s="64"/>
      <c r="I138" s="53"/>
      <c r="J138" s="44"/>
      <c r="K138" s="45"/>
      <c r="L138" s="46"/>
      <c r="M138" s="46"/>
      <c r="N138" s="70"/>
      <c r="O138" s="47"/>
    </row>
    <row r="139" spans="2:15" x14ac:dyDescent="0.25">
      <c r="B139" s="63">
        <v>37834.5</v>
      </c>
      <c r="C139" s="64">
        <v>1</v>
      </c>
      <c r="D139" s="147">
        <v>2.5000000000000001E-2</v>
      </c>
      <c r="E139" s="64">
        <f t="shared" si="39"/>
        <v>4.9000000000000002E-2</v>
      </c>
      <c r="F139" s="71">
        <f t="shared" si="40"/>
        <v>0</v>
      </c>
      <c r="G139" s="64"/>
      <c r="H139" s="64"/>
      <c r="I139" s="53"/>
      <c r="J139" s="44"/>
      <c r="K139" s="45"/>
      <c r="L139" s="46"/>
      <c r="M139" s="46"/>
      <c r="N139" s="70"/>
      <c r="O139" s="47"/>
    </row>
    <row r="140" spans="2:15" x14ac:dyDescent="0.25">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v>37766.5</v>
      </c>
      <c r="D152" s="65">
        <v>0.99937189731766174</v>
      </c>
      <c r="E152" s="65"/>
      <c r="F152" s="71"/>
      <c r="G152" s="64"/>
      <c r="H152" s="64"/>
      <c r="I152" s="53"/>
      <c r="J152" s="44"/>
      <c r="K152" s="45"/>
      <c r="L152" s="46"/>
      <c r="M152" s="46"/>
      <c r="N152" s="70"/>
      <c r="O152" s="47"/>
    </row>
    <row r="153" spans="2:15" x14ac:dyDescent="0.25">
      <c r="B153" s="63"/>
      <c r="C153" s="64">
        <v>37767.5</v>
      </c>
      <c r="D153" s="65">
        <v>0.99927033440039681</v>
      </c>
      <c r="E153" s="65"/>
      <c r="F153" s="71"/>
      <c r="G153" s="64"/>
      <c r="H153" s="64"/>
      <c r="I153" s="53"/>
      <c r="J153" s="44"/>
      <c r="K153" s="45"/>
      <c r="L153" s="46"/>
      <c r="M153" s="46"/>
      <c r="N153" s="70"/>
      <c r="O153" s="47"/>
    </row>
    <row r="154" spans="2:15" x14ac:dyDescent="0.25">
      <c r="B154" s="63"/>
      <c r="C154" s="64">
        <v>37768.5</v>
      </c>
      <c r="D154" s="65">
        <v>0.99915236289651199</v>
      </c>
      <c r="E154" s="65"/>
      <c r="F154" s="71"/>
      <c r="G154" s="64"/>
      <c r="H154" s="64"/>
      <c r="I154" s="53"/>
      <c r="J154" s="44"/>
      <c r="K154" s="45"/>
      <c r="L154" s="46"/>
      <c r="M154" s="46"/>
      <c r="N154" s="70"/>
      <c r="O154" s="47"/>
    </row>
    <row r="155" spans="2:15" x14ac:dyDescent="0.25">
      <c r="B155" s="63"/>
      <c r="C155" s="64">
        <v>37769.5</v>
      </c>
      <c r="D155" s="65">
        <v>0.9990153366888026</v>
      </c>
      <c r="E155" s="65"/>
      <c r="F155" s="71"/>
      <c r="G155" s="64"/>
      <c r="H155" s="64"/>
      <c r="I155" s="53"/>
      <c r="J155" s="44"/>
      <c r="K155" s="45"/>
      <c r="L155" s="46"/>
      <c r="M155" s="46"/>
      <c r="N155" s="70"/>
      <c r="O155" s="47"/>
    </row>
    <row r="156" spans="2:15" x14ac:dyDescent="0.25">
      <c r="B156" s="63"/>
      <c r="C156" s="64">
        <v>37770.5</v>
      </c>
      <c r="D156" s="65">
        <v>0.99885618463641579</v>
      </c>
      <c r="E156" s="65"/>
      <c r="F156" s="71"/>
      <c r="G156" s="64"/>
      <c r="H156" s="64"/>
      <c r="I156" s="53"/>
      <c r="J156" s="44"/>
      <c r="K156" s="45"/>
      <c r="L156" s="46"/>
      <c r="M156" s="46"/>
      <c r="N156" s="70"/>
      <c r="O156" s="47"/>
    </row>
    <row r="157" spans="2:15" x14ac:dyDescent="0.25">
      <c r="B157" s="63"/>
      <c r="C157" s="64">
        <v>37771.5</v>
      </c>
      <c r="D157" s="65">
        <v>0.9986713429007984</v>
      </c>
      <c r="E157" s="65"/>
      <c r="F157" s="71"/>
      <c r="G157" s="64"/>
      <c r="H157" s="64"/>
      <c r="I157" s="53"/>
      <c r="J157" s="44"/>
      <c r="K157" s="45"/>
      <c r="L157" s="46"/>
      <c r="M157" s="46"/>
      <c r="N157" s="70"/>
      <c r="O157" s="47"/>
    </row>
    <row r="158" spans="2:15" x14ac:dyDescent="0.25">
      <c r="B158" s="63"/>
      <c r="C158" s="64">
        <v>37772.5</v>
      </c>
      <c r="D158" s="65">
        <v>0.9984566767039742</v>
      </c>
      <c r="E158" s="65"/>
      <c r="F158" s="71"/>
      <c r="G158" s="64"/>
      <c r="H158" s="64"/>
      <c r="I158" s="53"/>
      <c r="J158" s="44"/>
      <c r="K158" s="45"/>
      <c r="L158" s="46"/>
      <c r="M158" s="46"/>
      <c r="N158" s="70"/>
      <c r="O158" s="47"/>
    </row>
    <row r="159" spans="2:15" x14ac:dyDescent="0.25">
      <c r="B159" s="63"/>
      <c r="C159" s="64">
        <v>37773.5</v>
      </c>
      <c r="D159" s="65">
        <v>0.99820738994185276</v>
      </c>
      <c r="E159" s="65"/>
      <c r="F159" s="71"/>
      <c r="G159" s="64"/>
      <c r="H159" s="64"/>
      <c r="I159" s="53"/>
      <c r="J159" s="44"/>
      <c r="K159" s="45"/>
      <c r="L159" s="46"/>
      <c r="M159" s="46"/>
      <c r="N159" s="70"/>
      <c r="O159" s="47"/>
    </row>
    <row r="160" spans="2:15" x14ac:dyDescent="0.25">
      <c r="B160" s="63"/>
      <c r="C160" s="64">
        <v>37774.5</v>
      </c>
      <c r="D160" s="65">
        <v>0.99791792086573672</v>
      </c>
      <c r="E160" s="65"/>
      <c r="F160" s="71"/>
      <c r="G160" s="64"/>
      <c r="H160" s="64"/>
      <c r="I160" s="53"/>
      <c r="J160" s="44"/>
      <c r="K160" s="45"/>
      <c r="L160" s="46"/>
      <c r="M160" s="46"/>
      <c r="N160" s="70"/>
      <c r="O160" s="47"/>
    </row>
    <row r="161" spans="2:9" x14ac:dyDescent="0.25">
      <c r="B161" s="63"/>
      <c r="C161" s="64">
        <v>37775.5</v>
      </c>
      <c r="D161" s="65">
        <v>0.99758182181733823</v>
      </c>
      <c r="E161" s="65"/>
      <c r="F161" s="71"/>
      <c r="G161" s="64"/>
      <c r="H161" s="64"/>
      <c r="I161" s="53"/>
    </row>
    <row r="162" spans="2:9" x14ac:dyDescent="0.25">
      <c r="B162" s="63"/>
      <c r="C162" s="64">
        <v>37776.5</v>
      </c>
      <c r="D162" s="65">
        <v>0.99719162075867385</v>
      </c>
      <c r="E162" s="65"/>
      <c r="F162" s="71"/>
      <c r="G162" s="64"/>
      <c r="H162" s="64"/>
      <c r="I162" s="53"/>
    </row>
    <row r="163" spans="2:9" x14ac:dyDescent="0.25">
      <c r="B163" s="63"/>
      <c r="C163" s="64">
        <v>37777.5</v>
      </c>
      <c r="D163" s="65">
        <v>0.99673866208252038</v>
      </c>
      <c r="E163" s="65"/>
      <c r="F163" s="71"/>
      <c r="G163" s="64"/>
      <c r="H163" s="64"/>
      <c r="I163" s="53"/>
    </row>
    <row r="164" spans="2:9" x14ac:dyDescent="0.25">
      <c r="B164" s="63"/>
      <c r="C164" s="64">
        <v>37778.5</v>
      </c>
      <c r="D164" s="65">
        <v>0.99621292392889316</v>
      </c>
      <c r="E164" s="65"/>
      <c r="F164" s="71"/>
      <c r="G164" s="64"/>
      <c r="H164" s="64"/>
      <c r="I164" s="53"/>
    </row>
    <row r="165" spans="2:9" x14ac:dyDescent="0.25">
      <c r="B165" s="63"/>
      <c r="C165" s="64">
        <v>37779.5</v>
      </c>
      <c r="D165" s="65">
        <v>0.99560280897956932</v>
      </c>
      <c r="E165" s="65"/>
      <c r="F165" s="71"/>
      <c r="G165" s="64"/>
      <c r="H165" s="64"/>
      <c r="I165" s="53"/>
    </row>
    <row r="166" spans="2:9" x14ac:dyDescent="0.25">
      <c r="B166" s="63"/>
      <c r="C166" s="64">
        <v>37780.5</v>
      </c>
      <c r="D166" s="65">
        <v>0.9948949054728613</v>
      </c>
      <c r="E166" s="65"/>
      <c r="F166" s="71"/>
      <c r="G166" s="64"/>
      <c r="H166" s="64"/>
      <c r="I166" s="53"/>
    </row>
    <row r="167" spans="2:9" x14ac:dyDescent="0.25">
      <c r="B167" s="63"/>
      <c r="C167" s="64">
        <v>37781.5</v>
      </c>
      <c r="D167" s="65">
        <v>0.99407371499902086</v>
      </c>
      <c r="E167" s="65"/>
      <c r="F167" s="71"/>
      <c r="G167" s="64"/>
      <c r="H167" s="64"/>
      <c r="I167" s="53"/>
    </row>
    <row r="168" spans="2:9" x14ac:dyDescent="0.25">
      <c r="B168" s="63"/>
      <c r="C168" s="64">
        <v>37782.5</v>
      </c>
      <c r="D168" s="65">
        <v>0.99312134353716319</v>
      </c>
      <c r="E168" s="65"/>
      <c r="F168" s="71"/>
      <c r="G168" s="64"/>
      <c r="H168" s="64"/>
      <c r="I168" s="53"/>
    </row>
    <row r="169" spans="2:9" x14ac:dyDescent="0.25">
      <c r="B169" s="63"/>
      <c r="C169" s="64">
        <v>37783.5</v>
      </c>
      <c r="D169" s="65">
        <v>0.99201715222492926</v>
      </c>
      <c r="E169" s="65"/>
      <c r="F169" s="71"/>
      <c r="G169" s="64"/>
      <c r="H169" s="64"/>
      <c r="I169" s="53"/>
    </row>
    <row r="170" spans="2:9" x14ac:dyDescent="0.25">
      <c r="B170" s="63"/>
      <c r="C170" s="64">
        <v>37784.5</v>
      </c>
      <c r="D170" s="65">
        <v>0.99073736457669048</v>
      </c>
      <c r="E170" s="65"/>
      <c r="F170" s="71"/>
      <c r="G170" s="64"/>
      <c r="H170" s="64"/>
      <c r="I170" s="53"/>
    </row>
    <row r="171" spans="2:9" x14ac:dyDescent="0.25">
      <c r="B171" s="63"/>
      <c r="C171" s="64">
        <v>37785.5</v>
      </c>
      <c r="D171" s="65">
        <v>0.9892546273709848</v>
      </c>
      <c r="E171" s="65"/>
      <c r="F171" s="71"/>
      <c r="G171" s="64"/>
      <c r="H171" s="64"/>
      <c r="I171" s="53"/>
    </row>
    <row r="172" spans="2:9" x14ac:dyDescent="0.25">
      <c r="B172" s="63"/>
      <c r="C172" s="64">
        <v>37786.5</v>
      </c>
      <c r="D172" s="65">
        <v>0.98753752332597144</v>
      </c>
      <c r="E172" s="65"/>
      <c r="F172" s="71"/>
      <c r="G172" s="64"/>
      <c r="H172" s="64"/>
      <c r="I172" s="53"/>
    </row>
    <row r="173" spans="2:9" x14ac:dyDescent="0.25">
      <c r="B173" s="63"/>
      <c r="C173" s="64">
        <v>37787.5</v>
      </c>
      <c r="D173" s="65">
        <v>0.98555003511863482</v>
      </c>
      <c r="E173" s="65"/>
      <c r="F173" s="71"/>
      <c r="G173" s="64"/>
      <c r="H173" s="64"/>
      <c r="I173" s="53"/>
    </row>
    <row r="174" spans="2:9" x14ac:dyDescent="0.25">
      <c r="B174" s="63"/>
      <c r="C174" s="64">
        <v>37788.5</v>
      </c>
      <c r="D174" s="65">
        <v>0.98325096246333232</v>
      </c>
      <c r="E174" s="65"/>
      <c r="F174" s="71"/>
      <c r="G174" s="64"/>
      <c r="H174" s="64"/>
      <c r="I174" s="53"/>
    </row>
    <row r="175" spans="2:9" x14ac:dyDescent="0.25">
      <c r="B175" s="63"/>
      <c r="C175" s="64">
        <v>37789.5</v>
      </c>
      <c r="D175" s="65">
        <v>0.98059329707541876</v>
      </c>
      <c r="E175" s="65"/>
      <c r="F175" s="71"/>
      <c r="G175" s="64"/>
      <c r="H175" s="64"/>
      <c r="I175" s="53"/>
    </row>
    <row r="176" spans="2:9" x14ac:dyDescent="0.25">
      <c r="B176" s="63"/>
      <c r="C176" s="64">
        <v>37790.5</v>
      </c>
      <c r="D176" s="65">
        <v>0.97752356467890367</v>
      </c>
      <c r="E176" s="65"/>
      <c r="F176" s="71"/>
      <c r="G176" s="64"/>
      <c r="H176" s="64"/>
      <c r="I176" s="53"/>
    </row>
    <row r="177" spans="2:9" x14ac:dyDescent="0.25">
      <c r="B177" s="63"/>
      <c r="C177" s="64">
        <v>37791.5</v>
      </c>
      <c r="D177" s="65">
        <v>0.97398114908861111</v>
      </c>
      <c r="E177" s="65"/>
      <c r="F177" s="71"/>
      <c r="G177" s="64"/>
      <c r="H177" s="64"/>
      <c r="I177" s="53"/>
    </row>
    <row r="178" spans="2:9" x14ac:dyDescent="0.25">
      <c r="B178" s="63"/>
      <c r="C178" s="64">
        <v>37792.5</v>
      </c>
      <c r="D178" s="65">
        <v>0.96989762115253808</v>
      </c>
      <c r="E178" s="65"/>
      <c r="F178" s="71"/>
      <c r="G178" s="64"/>
      <c r="H178" s="64"/>
      <c r="I178" s="53"/>
    </row>
    <row r="179" spans="2:9" x14ac:dyDescent="0.25">
      <c r="B179" s="63"/>
      <c r="C179" s="64">
        <v>37793.5</v>
      </c>
      <c r="D179" s="65">
        <v>0.96519610532756117</v>
      </c>
      <c r="E179" s="65"/>
      <c r="F179" s="71"/>
      <c r="G179" s="64"/>
      <c r="H179" s="64"/>
      <c r="I179" s="53"/>
    </row>
    <row r="180" spans="2:9" x14ac:dyDescent="0.25">
      <c r="B180" s="63"/>
      <c r="C180" s="64">
        <v>37794.5</v>
      </c>
      <c r="D180" s="65">
        <v>0.95979072918333619</v>
      </c>
      <c r="E180" s="65"/>
      <c r="F180" s="71"/>
      <c r="G180" s="64"/>
      <c r="H180" s="64"/>
      <c r="I180" s="53"/>
    </row>
    <row r="181" spans="2:9" x14ac:dyDescent="0.25">
      <c r="B181" s="63"/>
      <c r="C181" s="64">
        <v>37795.5</v>
      </c>
      <c r="D181" s="65">
        <v>0.95358621635903895</v>
      </c>
      <c r="E181" s="65"/>
      <c r="F181" s="71"/>
      <c r="G181" s="64"/>
      <c r="H181" s="64"/>
      <c r="I181" s="53"/>
    </row>
    <row r="182" spans="2:9" x14ac:dyDescent="0.25">
      <c r="B182" s="63"/>
      <c r="C182" s="64">
        <v>37796.5</v>
      </c>
      <c r="D182" s="65">
        <v>0.94647770135664244</v>
      </c>
      <c r="E182" s="65"/>
      <c r="F182" s="71"/>
      <c r="G182" s="64"/>
      <c r="H182" s="64"/>
      <c r="I182" s="53"/>
    </row>
    <row r="183" spans="2:9" x14ac:dyDescent="0.25">
      <c r="B183" s="63"/>
      <c r="C183" s="64">
        <v>37797.5</v>
      </c>
      <c r="D183" s="65">
        <v>0.93835086453417804</v>
      </c>
      <c r="E183" s="65"/>
      <c r="F183" s="71"/>
      <c r="G183" s="64"/>
      <c r="H183" s="64"/>
      <c r="I183" s="53"/>
    </row>
    <row r="184" spans="2:9" x14ac:dyDescent="0.25">
      <c r="B184" s="63"/>
      <c r="C184" s="64">
        <v>37798.5</v>
      </c>
      <c r="D184" s="65">
        <v>0.92908250659040403</v>
      </c>
      <c r="E184" s="65"/>
      <c r="F184" s="71"/>
      <c r="G184" s="64"/>
      <c r="H184" s="64"/>
      <c r="I184" s="53"/>
    </row>
    <row r="185" spans="2:9" x14ac:dyDescent="0.25">
      <c r="B185" s="63"/>
      <c r="C185" s="64">
        <v>37799.5</v>
      </c>
      <c r="D185" s="65">
        <v>0.91854170158897652</v>
      </c>
      <c r="E185" s="65"/>
      <c r="F185" s="71"/>
      <c r="G185" s="64"/>
      <c r="H185" s="64"/>
      <c r="I185" s="53"/>
    </row>
    <row r="186" spans="2:9" x14ac:dyDescent="0.25">
      <c r="B186" s="63"/>
      <c r="C186" s="64">
        <v>37800.5</v>
      </c>
      <c r="D186" s="65">
        <v>0.90659168278816871</v>
      </c>
      <c r="E186" s="65"/>
      <c r="F186" s="71"/>
      <c r="G186" s="64"/>
      <c r="H186" s="64"/>
      <c r="I186" s="53"/>
    </row>
    <row r="187" spans="2:9" x14ac:dyDescent="0.25">
      <c r="B187" s="63"/>
      <c r="C187" s="64">
        <v>37801.5</v>
      </c>
      <c r="D187" s="65">
        <v>0.89309262135735867</v>
      </c>
      <c r="E187" s="65"/>
      <c r="F187" s="71"/>
      <c r="G187" s="64"/>
      <c r="H187" s="64"/>
      <c r="I187" s="53"/>
    </row>
    <row r="188" spans="2:9" x14ac:dyDescent="0.25">
      <c r="B188" s="63"/>
      <c r="C188" s="64">
        <v>37802.5</v>
      </c>
      <c r="D188" s="65">
        <v>0.87790544803816573</v>
      </c>
      <c r="E188" s="65"/>
      <c r="F188" s="71"/>
      <c r="G188" s="64"/>
      <c r="H188" s="64"/>
      <c r="I188" s="53"/>
    </row>
    <row r="189" spans="2:9" x14ac:dyDescent="0.25">
      <c r="C189" s="4">
        <v>37803.5</v>
      </c>
      <c r="D189" s="65">
        <v>0.86089683421987606</v>
      </c>
      <c r="E189" s="65"/>
      <c r="F189" s="71"/>
      <c r="G189" s="64"/>
      <c r="H189" s="64"/>
      <c r="I189" s="53"/>
    </row>
    <row r="190" spans="2:9" x14ac:dyDescent="0.25">
      <c r="C190" s="4">
        <v>37804.5</v>
      </c>
      <c r="D190" s="65">
        <v>0.84194538359625493</v>
      </c>
      <c r="E190" s="65"/>
      <c r="F190" s="71"/>
      <c r="G190" s="64"/>
      <c r="H190" s="64"/>
      <c r="I190" s="53"/>
    </row>
    <row r="191" spans="2:9" x14ac:dyDescent="0.25">
      <c r="B191" s="63"/>
      <c r="C191" s="64">
        <v>37805.5</v>
      </c>
      <c r="D191" s="65">
        <v>0.82094898166426189</v>
      </c>
      <c r="E191" s="65"/>
      <c r="F191" s="71"/>
      <c r="G191" s="64"/>
      <c r="H191" s="64"/>
      <c r="I191" s="53"/>
    </row>
    <row r="192" spans="2:9" x14ac:dyDescent="0.25">
      <c r="B192" s="63"/>
      <c r="C192" s="64">
        <v>37806.5</v>
      </c>
      <c r="D192" s="65">
        <v>0.79783310480175662</v>
      </c>
      <c r="E192" s="65"/>
      <c r="F192" s="72"/>
      <c r="G192" s="64"/>
      <c r="H192" s="64"/>
      <c r="I192" s="53"/>
    </row>
    <row r="193" spans="2:9" x14ac:dyDescent="0.25">
      <c r="B193" s="72"/>
      <c r="C193" s="64">
        <v>37807.5</v>
      </c>
      <c r="D193" s="64">
        <v>0.7725597077788241</v>
      </c>
      <c r="E193" s="65"/>
      <c r="F193" s="72"/>
      <c r="G193" s="64"/>
      <c r="H193" s="64"/>
      <c r="I193" s="53"/>
    </row>
    <row r="194" spans="2:9" x14ac:dyDescent="0.25">
      <c r="C194" s="9">
        <v>37808.5</v>
      </c>
      <c r="D194" s="9">
        <v>0.74513610338185698</v>
      </c>
      <c r="E194" s="65"/>
      <c r="G194" s="53"/>
      <c r="H194" s="53"/>
      <c r="I194" s="53"/>
    </row>
    <row r="195" spans="2:9" x14ac:dyDescent="0.25">
      <c r="C195" s="9">
        <v>37809.5</v>
      </c>
      <c r="D195" s="9">
        <v>0.71562304867688131</v>
      </c>
      <c r="E195" s="65"/>
      <c r="G195" s="53"/>
      <c r="H195" s="53"/>
      <c r="I195" s="53"/>
    </row>
    <row r="196" spans="2:9" x14ac:dyDescent="0.25">
      <c r="C196" s="9">
        <v>37810.5</v>
      </c>
      <c r="D196" s="9">
        <v>0.68414110046366616</v>
      </c>
      <c r="E196" s="65"/>
      <c r="G196" s="53"/>
      <c r="H196" s="53"/>
      <c r="I196" s="53"/>
    </row>
    <row r="197" spans="2:9" x14ac:dyDescent="0.25">
      <c r="C197" s="9">
        <v>37811.5</v>
      </c>
      <c r="D197" s="9">
        <v>0.65087424661609383</v>
      </c>
      <c r="E197" s="65"/>
      <c r="G197" s="53"/>
      <c r="H197" s="53"/>
      <c r="I197" s="53"/>
    </row>
    <row r="198" spans="2:9" x14ac:dyDescent="0.25">
      <c r="C198" s="9">
        <v>37812.5</v>
      </c>
      <c r="D198" s="9">
        <v>0.61606990640824155</v>
      </c>
      <c r="E198" s="65"/>
      <c r="G198" s="53"/>
      <c r="H198" s="53"/>
      <c r="I198" s="53"/>
    </row>
    <row r="199" spans="2:9" x14ac:dyDescent="0.25">
      <c r="C199" s="9">
        <v>37813.5</v>
      </c>
      <c r="D199" s="9">
        <v>0.58003464995789233</v>
      </c>
      <c r="E199" s="65"/>
      <c r="G199" s="53"/>
      <c r="H199" s="53"/>
      <c r="I199" s="53"/>
    </row>
    <row r="200" spans="2:9" x14ac:dyDescent="0.25">
      <c r="C200" s="9">
        <v>37814.5</v>
      </c>
      <c r="D200" s="9">
        <v>0.54312540973269186</v>
      </c>
      <c r="E200" s="65"/>
      <c r="G200" s="53"/>
      <c r="H200" s="53"/>
      <c r="I200" s="53"/>
    </row>
    <row r="201" spans="2:9" x14ac:dyDescent="0.25">
      <c r="C201" s="9">
        <v>37815.5</v>
      </c>
      <c r="D201" s="9">
        <v>0.50573649787531938</v>
      </c>
      <c r="E201" s="65"/>
      <c r="G201" s="53"/>
      <c r="H201" s="53"/>
      <c r="I201" s="53"/>
    </row>
    <row r="202" spans="2:9" x14ac:dyDescent="0.25">
      <c r="C202" s="9">
        <v>37816.5</v>
      </c>
      <c r="D202" s="9">
        <v>0.46828331346233132</v>
      </c>
      <c r="E202" s="65"/>
      <c r="G202" s="53"/>
      <c r="H202" s="53"/>
      <c r="I202" s="53"/>
    </row>
    <row r="203" spans="2:9" x14ac:dyDescent="0.25">
      <c r="C203" s="9">
        <v>37817.5</v>
      </c>
      <c r="D203" s="9">
        <v>0.43118411183772998</v>
      </c>
      <c r="E203" s="65"/>
      <c r="G203" s="53"/>
      <c r="H203" s="53"/>
      <c r="I203" s="53"/>
    </row>
    <row r="204" spans="2:9" x14ac:dyDescent="0.25">
      <c r="C204" s="9">
        <v>37818.5</v>
      </c>
      <c r="D204" s="9">
        <v>0.39484150763108683</v>
      </c>
      <c r="E204" s="65"/>
      <c r="G204" s="53"/>
      <c r="H204" s="53"/>
      <c r="I204" s="53"/>
    </row>
    <row r="205" spans="2:9" x14ac:dyDescent="0.25">
      <c r="C205" s="9">
        <v>37819.5</v>
      </c>
      <c r="D205" s="9">
        <v>0.35962542496913763</v>
      </c>
      <c r="E205" s="65"/>
      <c r="G205" s="53"/>
      <c r="H205" s="53"/>
      <c r="I205" s="53"/>
    </row>
    <row r="206" spans="2:9" x14ac:dyDescent="0.25">
      <c r="C206" s="9">
        <v>37820.5</v>
      </c>
      <c r="D206" s="9">
        <v>0.32585898285623605</v>
      </c>
      <c r="E206" s="65"/>
      <c r="G206" s="53"/>
      <c r="H206" s="53"/>
      <c r="I206" s="53"/>
    </row>
    <row r="207" spans="2:9" x14ac:dyDescent="0.25">
      <c r="C207" s="9">
        <v>37821.5</v>
      </c>
      <c r="D207" s="9">
        <v>0.29380836323121118</v>
      </c>
      <c r="E207" s="65"/>
      <c r="G207" s="53"/>
      <c r="H207" s="53"/>
      <c r="I207" s="53"/>
    </row>
    <row r="208" spans="2:9" x14ac:dyDescent="0.25">
      <c r="C208" s="9">
        <v>37822.5</v>
      </c>
      <c r="D208" s="9">
        <v>0.26367715178528073</v>
      </c>
      <c r="E208" s="65"/>
      <c r="G208" s="53"/>
      <c r="H208" s="53"/>
      <c r="I208" s="53"/>
    </row>
    <row r="209" spans="3:9" x14ac:dyDescent="0.25">
      <c r="C209" s="9">
        <v>37823.5</v>
      </c>
      <c r="D209" s="9">
        <v>0.23560508082824672</v>
      </c>
      <c r="E209" s="65"/>
      <c r="G209" s="53"/>
      <c r="H209" s="53"/>
      <c r="I209" s="53"/>
    </row>
    <row r="210" spans="3:9" x14ac:dyDescent="0.25">
      <c r="C210" s="9">
        <v>37824.5</v>
      </c>
      <c r="D210" s="9">
        <v>0.20967063743947068</v>
      </c>
      <c r="E210" s="65"/>
      <c r="G210" s="53"/>
      <c r="H210" s="53"/>
      <c r="I210" s="53"/>
    </row>
    <row r="211" spans="3:9" x14ac:dyDescent="0.25">
      <c r="C211" s="9">
        <v>37825.5</v>
      </c>
      <c r="D211" s="9">
        <v>0.18589668998513509</v>
      </c>
      <c r="E211" s="65"/>
      <c r="G211" s="53"/>
      <c r="H211" s="53"/>
      <c r="I211" s="53"/>
    </row>
    <row r="212" spans="3:9" x14ac:dyDescent="0.25">
      <c r="C212" s="9">
        <v>37826.5</v>
      </c>
      <c r="D212" s="9">
        <v>0.16425814922380866</v>
      </c>
      <c r="E212" s="65"/>
      <c r="G212" s="53"/>
      <c r="H212" s="53"/>
      <c r="I212" s="53"/>
    </row>
    <row r="213" spans="3:9" x14ac:dyDescent="0.25">
      <c r="C213" s="9">
        <v>37827.5</v>
      </c>
      <c r="D213" s="9">
        <v>0.14469069694444792</v>
      </c>
      <c r="E213" s="65"/>
      <c r="G213" s="53"/>
      <c r="H213" s="53"/>
      <c r="I213" s="53"/>
    </row>
    <row r="214" spans="3:9" x14ac:dyDescent="0.25">
      <c r="C214" s="9">
        <v>37828.5</v>
      </c>
      <c r="D214" s="9">
        <v>0.12709974296797055</v>
      </c>
      <c r="E214" s="65"/>
      <c r="G214" s="53"/>
      <c r="H214" s="53"/>
      <c r="I214" s="53"/>
    </row>
    <row r="215" spans="3:9" x14ac:dyDescent="0.25">
      <c r="C215" s="9">
        <v>37829.5</v>
      </c>
      <c r="D215" s="9">
        <v>0.11136896093811099</v>
      </c>
      <c r="E215" s="65"/>
      <c r="G215" s="53"/>
      <c r="H215" s="53"/>
      <c r="I215" s="53"/>
    </row>
    <row r="216" spans="3:9" x14ac:dyDescent="0.25">
      <c r="C216" s="9">
        <v>37830.5</v>
      </c>
      <c r="D216" s="9">
        <v>9.7367960303295087E-2</v>
      </c>
      <c r="E216" s="65"/>
      <c r="G216" s="53"/>
      <c r="H216" s="53"/>
      <c r="I216" s="53"/>
    </row>
    <row r="217" spans="3:9" x14ac:dyDescent="0.25">
      <c r="C217" s="9">
        <v>37831.5</v>
      </c>
      <c r="D217" s="9">
        <v>8.4958843777534709E-2</v>
      </c>
      <c r="E217" s="65"/>
      <c r="G217" s="53"/>
      <c r="H217" s="53"/>
      <c r="I217" s="53"/>
    </row>
    <row r="218" spans="3:9" x14ac:dyDescent="0.25">
      <c r="C218" s="9">
        <v>37832.5</v>
      </c>
      <c r="D218" s="9">
        <v>7.4001557409438701E-2</v>
      </c>
      <c r="E218" s="65"/>
      <c r="G218" s="53"/>
      <c r="H218" s="53"/>
      <c r="I218" s="53"/>
    </row>
    <row r="219" spans="3:9" x14ac:dyDescent="0.25">
      <c r="C219" s="9">
        <v>37833.5</v>
      </c>
      <c r="D219" s="9">
        <v>6.4358056974210931E-2</v>
      </c>
      <c r="E219" s="65"/>
      <c r="G219" s="53"/>
      <c r="H219" s="53"/>
      <c r="I219" s="53"/>
    </row>
    <row r="220" spans="3:9" x14ac:dyDescent="0.25">
      <c r="C220" s="9">
        <v>37834.5</v>
      </c>
      <c r="D220" s="9">
        <v>5.5895390906604558E-2</v>
      </c>
      <c r="E220" s="65"/>
      <c r="G220" s="53"/>
      <c r="H220" s="53"/>
      <c r="I220" s="53"/>
    </row>
    <row r="221" spans="3:9" x14ac:dyDescent="0.25">
      <c r="C221" s="9">
        <v>37835.5</v>
      </c>
      <c r="D221" s="9">
        <v>4.8487842437026307E-2</v>
      </c>
      <c r="E221" s="65"/>
      <c r="G221" s="53"/>
      <c r="H221" s="53"/>
      <c r="I221" s="53"/>
    </row>
    <row r="222" spans="3:9" x14ac:dyDescent="0.25">
      <c r="C222" s="9">
        <v>37836.5</v>
      </c>
      <c r="D222" s="9">
        <v>4.2018289963551392E-2</v>
      </c>
      <c r="E222" s="65"/>
      <c r="G222" s="53"/>
      <c r="H222" s="53"/>
      <c r="I222" s="53"/>
    </row>
    <row r="223" spans="3:9" x14ac:dyDescent="0.25">
      <c r="C223" s="9">
        <v>37837.5</v>
      </c>
      <c r="D223" s="9">
        <v>3.6378942971083794E-2</v>
      </c>
      <c r="E223" s="65"/>
      <c r="G223" s="53"/>
      <c r="H223" s="53"/>
      <c r="I223" s="53"/>
    </row>
    <row r="224" spans="3:9" x14ac:dyDescent="0.25">
      <c r="C224" s="9">
        <v>37838.5</v>
      </c>
      <c r="D224" s="9">
        <v>3.147159787810494E-2</v>
      </c>
      <c r="E224" s="65"/>
      <c r="G224" s="53"/>
      <c r="H224" s="53"/>
      <c r="I224" s="53"/>
    </row>
    <row r="225" spans="3:9" x14ac:dyDescent="0.25">
      <c r="C225" s="9">
        <v>37839.5</v>
      </c>
      <c r="D225" s="9">
        <v>2.7207539400781577E-2</v>
      </c>
      <c r="E225" s="65"/>
      <c r="G225" s="53"/>
      <c r="H225" s="53"/>
      <c r="I225" s="53"/>
    </row>
    <row r="226" spans="3:9" x14ac:dyDescent="0.25">
      <c r="C226" s="9">
        <v>37840.5</v>
      </c>
      <c r="D226" s="9">
        <v>2.350719217767816E-2</v>
      </c>
      <c r="E226" s="65"/>
      <c r="G226" s="53"/>
      <c r="H226" s="53"/>
      <c r="I226" s="53"/>
    </row>
    <row r="227" spans="3:9" x14ac:dyDescent="0.25">
      <c r="C227" s="9">
        <v>37841.5</v>
      </c>
      <c r="D227" s="9">
        <v>2.0299606966050265E-2</v>
      </c>
      <c r="E227" s="65"/>
      <c r="G227" s="53"/>
      <c r="H227" s="53"/>
      <c r="I227" s="53"/>
    </row>
    <row r="228" spans="3:9" x14ac:dyDescent="0.25">
      <c r="C228" s="9">
        <v>37842.5</v>
      </c>
      <c r="D228" s="9">
        <v>1.7521847133122215E-2</v>
      </c>
      <c r="E228" s="65"/>
      <c r="G228" s="53"/>
      <c r="H228" s="53"/>
      <c r="I228" s="53"/>
    </row>
    <row r="229" spans="3:9" x14ac:dyDescent="0.25">
      <c r="C229" s="9">
        <v>37843.5</v>
      </c>
      <c r="D229" s="9">
        <v>1.511832510717781E-2</v>
      </c>
      <c r="E229" s="65"/>
      <c r="G229" s="53"/>
      <c r="H229" s="53"/>
      <c r="I229" s="53"/>
    </row>
    <row r="230" spans="3:9" x14ac:dyDescent="0.25">
      <c r="C230" s="9">
        <v>37844.5</v>
      </c>
      <c r="D230" s="9">
        <v>1.3040125112587564E-2</v>
      </c>
      <c r="E230" s="65"/>
      <c r="G230" s="53"/>
      <c r="H230" s="53"/>
      <c r="I230" s="53"/>
    </row>
    <row r="231" spans="3:9" x14ac:dyDescent="0.25">
      <c r="C231" s="9">
        <v>37845.5</v>
      </c>
      <c r="D231" s="9">
        <v>1.1244337778071323E-2</v>
      </c>
      <c r="E231" s="65"/>
      <c r="G231" s="53"/>
      <c r="H231" s="53"/>
      <c r="I231" s="53"/>
    </row>
    <row r="232" spans="3:9" x14ac:dyDescent="0.25">
      <c r="C232" s="9">
        <v>37846.5</v>
      </c>
      <c r="D232" s="9">
        <v>9.6934238053025812E-3</v>
      </c>
      <c r="E232" s="65"/>
      <c r="G232" s="53"/>
      <c r="H232" s="53"/>
      <c r="I232" s="53"/>
    </row>
    <row r="233" spans="3:9" x14ac:dyDescent="0.25">
      <c r="C233" s="9">
        <v>37847.5</v>
      </c>
      <c r="D233" s="9">
        <v>8.3546174745615653E-3</v>
      </c>
      <c r="E233" s="65"/>
      <c r="G233" s="53"/>
      <c r="H233" s="53"/>
      <c r="I233" s="53"/>
    </row>
    <row r="234" spans="3:9" x14ac:dyDescent="0.25">
      <c r="C234" s="9">
        <v>37848.5</v>
      </c>
      <c r="D234" s="9">
        <v>7.1993759954323E-3</v>
      </c>
      <c r="E234" s="65"/>
      <c r="G234" s="53"/>
      <c r="H234" s="53"/>
      <c r="I234" s="53"/>
    </row>
    <row r="235" spans="3:9" x14ac:dyDescent="0.25">
      <c r="C235" s="9">
        <v>37849.5</v>
      </c>
      <c r="D235" s="9">
        <v>6.2028772571940394E-3</v>
      </c>
      <c r="E235" s="65"/>
      <c r="G235" s="53"/>
      <c r="H235" s="53"/>
      <c r="I235" s="53"/>
    </row>
    <row r="236" spans="3:9" x14ac:dyDescent="0.25">
      <c r="C236" s="9">
        <v>37850.5</v>
      </c>
      <c r="D236" s="9">
        <v>5.3435661091475462E-3</v>
      </c>
      <c r="E236" s="65"/>
      <c r="G236" s="53"/>
      <c r="H236" s="53"/>
      <c r="I236" s="53"/>
    </row>
    <row r="237" spans="3:9" x14ac:dyDescent="0.25">
      <c r="C237" s="9">
        <v>37851.5</v>
      </c>
      <c r="D237" s="9">
        <v>4.6027476644416865E-3</v>
      </c>
      <c r="E237" s="65"/>
      <c r="G237" s="53"/>
      <c r="H237" s="53"/>
      <c r="I237" s="53"/>
    </row>
    <row r="238" spans="3:9" x14ac:dyDescent="0.25">
      <c r="C238" s="9">
        <v>37852.5</v>
      </c>
      <c r="D238" s="9">
        <v>3.9642250751049657E-3</v>
      </c>
      <c r="E238" s="65"/>
      <c r="G238" s="53"/>
      <c r="H238" s="53"/>
      <c r="I238" s="53"/>
    </row>
    <row r="239" spans="3:9" x14ac:dyDescent="0.25">
      <c r="C239" s="9">
        <v>37853.5</v>
      </c>
      <c r="D239" s="9">
        <v>3.4139786141772488E-3</v>
      </c>
      <c r="E239" s="65"/>
      <c r="G239" s="53"/>
      <c r="H239" s="53"/>
      <c r="I239" s="53"/>
    </row>
    <row r="240" spans="3:9" x14ac:dyDescent="0.25">
      <c r="C240" s="9">
        <v>37854.5</v>
      </c>
      <c r="D240" s="9">
        <v>2.9398826007416279E-3</v>
      </c>
      <c r="E240" s="65"/>
      <c r="G240" s="53"/>
      <c r="H240" s="53"/>
      <c r="I240" s="53"/>
    </row>
    <row r="241" spans="3:9" x14ac:dyDescent="0.25">
      <c r="C241" s="9">
        <v>37855.5</v>
      </c>
      <c r="D241" s="9">
        <v>2.5314566216378953E-3</v>
      </c>
      <c r="E241" s="65"/>
      <c r="G241" s="53"/>
      <c r="H241" s="53"/>
      <c r="I241" s="53"/>
    </row>
    <row r="242" spans="3:9" x14ac:dyDescent="0.25">
      <c r="C242" s="9">
        <v>37856.5</v>
      </c>
      <c r="D242" s="9">
        <v>2.1796475691444606E-3</v>
      </c>
      <c r="E242" s="65"/>
      <c r="G242" s="53"/>
      <c r="H242" s="53"/>
      <c r="I242" s="53"/>
    </row>
    <row r="243" spans="3:9" x14ac:dyDescent="0.25">
      <c r="C243" s="9">
        <v>37857.5</v>
      </c>
      <c r="D243" s="9">
        <v>1.8766391747334632E-3</v>
      </c>
      <c r="E243" s="65"/>
      <c r="G243" s="53"/>
      <c r="H243" s="53"/>
      <c r="I243" s="53"/>
    </row>
    <row r="244" spans="3:9" x14ac:dyDescent="0.25">
      <c r="C244" s="9">
        <v>37858.5</v>
      </c>
      <c r="D244" s="9">
        <v>1.6156859371333487E-3</v>
      </c>
      <c r="E244" s="65"/>
      <c r="G244" s="53"/>
      <c r="H244" s="53"/>
      <c r="I244" s="53"/>
    </row>
    <row r="245" spans="3:9" x14ac:dyDescent="0.25">
      <c r="C245" s="9">
        <v>37859.5</v>
      </c>
      <c r="D245" s="9">
        <v>1.3909685912373293E-3</v>
      </c>
      <c r="E245" s="65"/>
      <c r="G245" s="53"/>
      <c r="H245" s="53"/>
      <c r="I245" s="53"/>
    </row>
    <row r="246" spans="3:9" x14ac:dyDescent="0.25">
      <c r="C246" s="9">
        <v>37860.5</v>
      </c>
      <c r="D246" s="9">
        <v>1.1974685239601879E-3</v>
      </c>
      <c r="E246" s="65"/>
      <c r="G246" s="53"/>
      <c r="H246" s="53"/>
      <c r="I246" s="53"/>
    </row>
    <row r="247" spans="3:9" x14ac:dyDescent="0.25">
      <c r="C247" s="9">
        <v>37861.5</v>
      </c>
      <c r="D247" s="9">
        <v>1.0308588011587183E-3</v>
      </c>
      <c r="E247" s="65"/>
      <c r="G247" s="53"/>
      <c r="H247" s="53"/>
      <c r="I247" s="53"/>
    </row>
    <row r="248" spans="3:9" x14ac:dyDescent="0.25">
      <c r="C248" s="9">
        <v>37862.5</v>
      </c>
      <c r="D248" s="9">
        <v>8.8740971783596301E-4</v>
      </c>
      <c r="E248" s="65"/>
      <c r="G248" s="53"/>
      <c r="H248" s="53"/>
      <c r="I248" s="53"/>
    </row>
    <row r="249" spans="3:9" x14ac:dyDescent="0.25">
      <c r="C249" s="9">
        <v>37863.5</v>
      </c>
      <c r="D249" s="9">
        <v>7.6390701694539764E-4</v>
      </c>
      <c r="E249" s="65"/>
      <c r="G249" s="53"/>
      <c r="H249" s="53"/>
      <c r="I249" s="53"/>
    </row>
    <row r="250" spans="3:9" x14ac:dyDescent="0.25">
      <c r="C250" s="9">
        <v>37864.5</v>
      </c>
      <c r="D250" s="9">
        <v>6.5758113740532753E-4</v>
      </c>
      <c r="E250" s="65"/>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AX1022"/>
  <sheetViews>
    <sheetView zoomScaleNormal="100" workbookViewId="0">
      <selection activeCell="F10" sqref="F10"/>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0" width="9" style="4" customWidth="1"/>
    <col min="21"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c r="Y1" s="4" t="s">
        <v>46</v>
      </c>
    </row>
    <row r="2" spans="1:50" ht="19.5" thickBot="1" x14ac:dyDescent="0.4">
      <c r="A2" s="5">
        <v>2016</v>
      </c>
      <c r="B2" s="6">
        <v>1.3</v>
      </c>
      <c r="C2" s="4" t="s">
        <v>6</v>
      </c>
      <c r="F2" s="3" t="s">
        <v>0</v>
      </c>
      <c r="G2" s="7" t="s">
        <v>7</v>
      </c>
      <c r="H2" s="7" t="s">
        <v>8</v>
      </c>
      <c r="I2" s="96" t="s">
        <v>27</v>
      </c>
      <c r="J2" s="98">
        <v>41459</v>
      </c>
      <c r="K2" s="99">
        <v>41459</v>
      </c>
      <c r="Y2" s="4">
        <v>5074.9228967137806</v>
      </c>
      <c r="Z2" s="4">
        <v>35.132912941067957</v>
      </c>
    </row>
    <row r="3" spans="1:50" ht="21" thickBot="1" x14ac:dyDescent="0.4">
      <c r="A3" s="104">
        <v>37766.5</v>
      </c>
      <c r="C3" s="9"/>
      <c r="F3" s="73" t="s">
        <v>25</v>
      </c>
      <c r="G3" s="126">
        <v>1</v>
      </c>
      <c r="H3" s="11"/>
      <c r="I3">
        <f>G5-(1/G4)*LN((2*G3)-1)</f>
        <v>47.558702469884452</v>
      </c>
      <c r="J3" s="3" t="s">
        <v>9</v>
      </c>
      <c r="Y3" s="4">
        <v>35.132912941067957</v>
      </c>
      <c r="Z3" s="4">
        <v>5.5802689182621226</v>
      </c>
    </row>
    <row r="4" spans="1:50" ht="16.5" thickBot="1" x14ac:dyDescent="0.3">
      <c r="A4" s="12" t="s">
        <v>10</v>
      </c>
      <c r="C4" s="4" t="s">
        <v>11</v>
      </c>
      <c r="F4" s="13" t="s">
        <v>1</v>
      </c>
      <c r="G4" s="127">
        <v>0.210831186539502</v>
      </c>
      <c r="H4" s="15">
        <v>3.5699516017165409E-2</v>
      </c>
      <c r="I4" s="2"/>
      <c r="J4" s="129">
        <f>SUM(H9:H66)</f>
        <v>12.371722627916393</v>
      </c>
      <c r="K4" s="16">
        <f>SUMSQ(G9:G14)</f>
        <v>1.8027531499590729E-2</v>
      </c>
      <c r="L4" s="16"/>
      <c r="M4" s="139"/>
    </row>
    <row r="5" spans="1:50" ht="16.5" thickBot="1" x14ac:dyDescent="0.3">
      <c r="C5" s="104">
        <v>37834.5</v>
      </c>
      <c r="F5" s="17" t="s">
        <v>2</v>
      </c>
      <c r="G5" s="128">
        <v>47.558702469884452</v>
      </c>
      <c r="H5" s="19">
        <v>1.0765878849857156</v>
      </c>
      <c r="I5" s="2"/>
      <c r="J5" s="20" t="s">
        <v>12</v>
      </c>
      <c r="K5" s="21"/>
      <c r="L5" s="21"/>
      <c r="N5" s="30"/>
      <c r="Y5" s="4" t="s">
        <v>47</v>
      </c>
      <c r="AA5" s="4" t="s">
        <v>8</v>
      </c>
    </row>
    <row r="6" spans="1:50" ht="16.5" thickBot="1" x14ac:dyDescent="0.3">
      <c r="C6" s="22"/>
      <c r="G6" s="23"/>
      <c r="H6" s="9"/>
      <c r="K6" s="24"/>
      <c r="L6" s="24"/>
      <c r="Y6" s="4">
        <f t="array" ref="Y6:Z7">2* 1.75867298181871^2*MINVERSE($Y$2:$Z$3)</f>
        <v>1.2744554438598493E-3</v>
      </c>
      <c r="Z6" s="4">
        <v>-8.0238663785297849E-3</v>
      </c>
      <c r="AA6" s="4">
        <v>3.5699516017165409E-2</v>
      </c>
    </row>
    <row r="7" spans="1:50" ht="16.5" thickBot="1" x14ac:dyDescent="0.3">
      <c r="E7" s="25"/>
      <c r="F7" s="26"/>
      <c r="G7" s="27"/>
      <c r="H7" s="28"/>
      <c r="J7" s="29"/>
      <c r="M7" s="29"/>
      <c r="O7" s="3" t="s">
        <v>26</v>
      </c>
      <c r="Y7" s="4">
        <v>-8.0238663785297849E-3</v>
      </c>
      <c r="Z7" s="4">
        <v>1.1590414740980164</v>
      </c>
      <c r="AA7" s="4">
        <v>1.0765878849857156</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row>
    <row r="9" spans="1:50" ht="16.5" thickBot="1" x14ac:dyDescent="0.3">
      <c r="A9" s="120">
        <v>2.2306030704631285E-2</v>
      </c>
      <c r="B9" s="124">
        <v>37799.5</v>
      </c>
      <c r="C9" s="121">
        <f t="shared" ref="C9:C13" si="0">1/(A9^2)</f>
        <v>2009.81187829227</v>
      </c>
      <c r="D9" s="106">
        <f t="shared" ref="D9:D13" si="1">IF(B9&lt;&gt;0,B9-$A$3+1,"")</f>
        <v>34</v>
      </c>
      <c r="E9" s="81">
        <v>1.211964382E-2</v>
      </c>
      <c r="F9" s="41">
        <f t="shared" ref="F9" si="2">IF(B9&lt;&gt;0,$G$3/(1+EXP(-$G$4*(D9-$G$5))),"")</f>
        <v>5.4238607982524778E-2</v>
      </c>
      <c r="G9" s="42">
        <f t="shared" ref="G9" si="3">IF(B9&lt;&gt;0,E9-F9,"")</f>
        <v>-4.211896416252478E-2</v>
      </c>
      <c r="H9" s="43">
        <f t="shared" ref="H9" si="4">IF(B9&lt;&gt;0,C9*(G9)^2,"")</f>
        <v>3.5654206264162323</v>
      </c>
      <c r="J9" s="105">
        <f>A3</f>
        <v>37766.5</v>
      </c>
      <c r="K9" s="109">
        <v>1</v>
      </c>
      <c r="L9" s="125">
        <f t="shared" ref="L9:L72" si="5">$G$3/(1+EXP(-$G$4*(K9-$G$5)))</f>
        <v>5.4567010890120445E-5</v>
      </c>
      <c r="M9" s="46">
        <f>IF(J10&gt;MAX($B$9:$B$64),L9,N9)</f>
        <v>3.1121623501212576E-7</v>
      </c>
      <c r="N9" s="130">
        <v>3.1121623501212576E-7</v>
      </c>
      <c r="O9" s="89">
        <f t="shared" ref="O9:O72" si="6">IF(N9=M9,N9,M9)</f>
        <v>3.1121623501212576E-7</v>
      </c>
      <c r="Y9" s="4" t="s">
        <v>48</v>
      </c>
    </row>
    <row r="10" spans="1:50" ht="16.5" thickBot="1" x14ac:dyDescent="0.3">
      <c r="A10" s="120">
        <v>6.1367809777639719E-2</v>
      </c>
      <c r="B10" s="124">
        <v>37804.5</v>
      </c>
      <c r="C10" s="121">
        <f t="shared" si="0"/>
        <v>265.53315329635154</v>
      </c>
      <c r="D10" s="106">
        <f t="shared" si="1"/>
        <v>39</v>
      </c>
      <c r="E10" s="81">
        <v>0.20070242641</v>
      </c>
      <c r="F10" s="41">
        <f t="shared" ref="F10:F11" si="7">IF(B10&lt;&gt;0,$G$3/(1+EXP(-$G$4*(D10-$G$5))),"")</f>
        <v>0.14131127609750577</v>
      </c>
      <c r="G10" s="42">
        <f t="shared" ref="G10" si="8">IF(B10&lt;&gt;0,E10-F10,"")</f>
        <v>5.9391150312494229E-2</v>
      </c>
      <c r="H10" s="43">
        <f t="shared" ref="H10" si="9">IF(B10&lt;&gt;0,C10*(G10)^2,"")</f>
        <v>0.93661741117149022</v>
      </c>
      <c r="I10" s="52"/>
      <c r="J10" s="105">
        <f t="shared" ref="J10:J73" si="10">J9+1</f>
        <v>37767.5</v>
      </c>
      <c r="K10" s="109">
        <v>2</v>
      </c>
      <c r="L10" s="125">
        <f t="shared" si="5"/>
        <v>6.7373238456564966E-5</v>
      </c>
      <c r="M10" s="46">
        <f t="shared" ref="M10:M73" si="11">IF(J11&gt;MAX($B$9:$B$64),L10,N10)</f>
        <v>4.4350593880565207E-7</v>
      </c>
      <c r="N10" s="130">
        <v>4.4350593880565207E-7</v>
      </c>
      <c r="O10" s="89">
        <f t="shared" si="6"/>
        <v>4.4350593880565207E-7</v>
      </c>
      <c r="Q10" s="4" t="s">
        <v>48</v>
      </c>
      <c r="Y10" s="4">
        <v>0.99999999999999978</v>
      </c>
      <c r="Z10" s="4">
        <v>-0.20877181702752276</v>
      </c>
    </row>
    <row r="11" spans="1:50" ht="16.5" thickBot="1" x14ac:dyDescent="0.3">
      <c r="A11" s="120">
        <v>5.4968620490916976E-2</v>
      </c>
      <c r="B11" s="124">
        <v>37809.5</v>
      </c>
      <c r="C11" s="121">
        <f t="shared" si="0"/>
        <v>330.95604969809995</v>
      </c>
      <c r="D11" s="106">
        <f t="shared" si="1"/>
        <v>44</v>
      </c>
      <c r="E11" s="81">
        <v>0.37352882179000002</v>
      </c>
      <c r="F11" s="41">
        <f t="shared" si="7"/>
        <v>0.32075910277177222</v>
      </c>
      <c r="G11" s="42">
        <f t="shared" ref="G11" si="12">IF(B11&lt;&gt;0,E11-F11,"")</f>
        <v>5.2769719018227801E-2</v>
      </c>
      <c r="H11" s="43">
        <f t="shared" ref="H11" si="13">IF(B11&lt;&gt;0,C11*(G11)^2,"")</f>
        <v>0.9215945282706447</v>
      </c>
      <c r="J11" s="105">
        <f t="shared" si="10"/>
        <v>37768.5</v>
      </c>
      <c r="K11" s="109">
        <v>3</v>
      </c>
      <c r="L11" s="125">
        <f t="shared" si="5"/>
        <v>8.3184685088893813E-5</v>
      </c>
      <c r="M11" s="46">
        <f t="shared" si="11"/>
        <v>6.3202842450478264E-7</v>
      </c>
      <c r="N11" s="130">
        <v>6.3202842450478264E-7</v>
      </c>
      <c r="O11" s="89">
        <f t="shared" si="6"/>
        <v>6.3202842450478264E-7</v>
      </c>
      <c r="Q11" s="4">
        <v>1</v>
      </c>
      <c r="R11" s="4">
        <v>-0.82806316245865486</v>
      </c>
      <c r="Y11" s="4">
        <v>-0.20877181702752276</v>
      </c>
      <c r="Z11" s="4">
        <v>1</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5.0799557339914404E-2</v>
      </c>
      <c r="B12" s="124">
        <v>37814.5</v>
      </c>
      <c r="C12" s="121">
        <f t="shared" si="0"/>
        <v>387.50752828376591</v>
      </c>
      <c r="D12" s="106">
        <f t="shared" si="1"/>
        <v>49</v>
      </c>
      <c r="E12" s="81">
        <v>0.57831060958000002</v>
      </c>
      <c r="F12" s="41">
        <f t="shared" ref="F12" si="14">IF(B12&lt;&gt;0,$G$3/(1+EXP(-$G$4*(D12-$G$5))),"")</f>
        <v>0.57538841127072926</v>
      </c>
      <c r="G12" s="42">
        <f t="shared" ref="G12" si="15">IF(B12&lt;&gt;0,E12-F12,"")</f>
        <v>2.9221983092707626E-3</v>
      </c>
      <c r="H12" s="43">
        <f t="shared" ref="H12" si="16">IF(B12&lt;&gt;0,C12*(G12)^2,"")</f>
        <v>3.3090209323422891E-3</v>
      </c>
      <c r="J12" s="105">
        <f t="shared" si="10"/>
        <v>37769.5</v>
      </c>
      <c r="K12" s="109">
        <v>4</v>
      </c>
      <c r="L12" s="125">
        <f t="shared" si="5"/>
        <v>1.0270645011768952E-4</v>
      </c>
      <c r="M12" s="46">
        <f t="shared" si="11"/>
        <v>9.0068669305005554E-7</v>
      </c>
      <c r="N12" s="130">
        <v>9.0068669305005554E-7</v>
      </c>
      <c r="O12" s="89">
        <f t="shared" si="6"/>
        <v>9.0068669305005554E-7</v>
      </c>
      <c r="P12" s="44">
        <v>40326</v>
      </c>
      <c r="Q12" s="1">
        <v>1.3958317686261709E-4</v>
      </c>
      <c r="R12" s="100">
        <v>543</v>
      </c>
      <c r="S12" s="100">
        <f>R12*AVERAGE(L12:L13)</f>
        <v>6.2313444163519575E-2</v>
      </c>
      <c r="T12" s="101">
        <f t="shared" ref="T12:T47" si="17">R12-S12</f>
        <v>542.93768655583654</v>
      </c>
      <c r="AE12" s="93">
        <f>J12</f>
        <v>37769.5</v>
      </c>
      <c r="AF12" s="92">
        <f>Logistic2010!Q12</f>
        <v>1.3958317686261709E-4</v>
      </c>
      <c r="AG12" s="4">
        <f t="shared" ref="AG12:AG75" si="18">AI12</f>
        <v>1.3958317686261709E-4</v>
      </c>
      <c r="AH12" s="92">
        <f>Logistic2011!Q12</f>
        <v>1.3958317686261709E-4</v>
      </c>
      <c r="AI12" s="92">
        <f>Logistic2012!Q12</f>
        <v>1.3958317686261709E-4</v>
      </c>
      <c r="AJ12" s="92">
        <f>Logistic2013!L12</f>
        <v>2.9882028383729665E-4</v>
      </c>
      <c r="AK12" s="119">
        <f>Logistic2014!AK12</f>
        <v>4.1531400063546034E-4</v>
      </c>
      <c r="AL12" s="119">
        <f>L12</f>
        <v>1.0270645011768952E-4</v>
      </c>
      <c r="AM12" s="113"/>
      <c r="AN12" s="113"/>
      <c r="AO12" s="113"/>
      <c r="AP12" s="113"/>
      <c r="AQ12" s="113"/>
      <c r="AR12" s="113"/>
      <c r="AS12" s="113"/>
      <c r="AT12" s="114"/>
      <c r="AU12" s="114"/>
    </row>
    <row r="13" spans="1:50" ht="16.5" thickBot="1" x14ac:dyDescent="0.3">
      <c r="A13" s="120">
        <v>4.3091575806431977E-2</v>
      </c>
      <c r="B13" s="124">
        <v>37819.5</v>
      </c>
      <c r="C13" s="121">
        <f t="shared" si="0"/>
        <v>538.53662959112614</v>
      </c>
      <c r="D13" s="106">
        <f t="shared" si="1"/>
        <v>54</v>
      </c>
      <c r="E13" s="81">
        <v>0.80114727205000003</v>
      </c>
      <c r="F13" s="41">
        <f t="shared" ref="F13" si="19">IF(B13&lt;&gt;0,$G$3/(1+EXP(-$G$4*(D13-$G$5))),"")</f>
        <v>0.79543874895142319</v>
      </c>
      <c r="G13" s="42">
        <f t="shared" ref="G13" si="20">IF(B13&lt;&gt;0,E13-F13,"")</f>
        <v>5.7085230985768343E-3</v>
      </c>
      <c r="H13" s="43">
        <f t="shared" ref="H13" si="21">IF(B13&lt;&gt;0,C13*(G13)^2,"")</f>
        <v>1.7549420225350967E-2</v>
      </c>
      <c r="J13" s="105">
        <f t="shared" si="10"/>
        <v>37770.5</v>
      </c>
      <c r="K13" s="109">
        <v>5</v>
      </c>
      <c r="L13" s="125">
        <f t="shared" si="5"/>
        <v>1.2680899799840468E-4</v>
      </c>
      <c r="M13" s="46">
        <f t="shared" si="11"/>
        <v>1.2835442124779599E-6</v>
      </c>
      <c r="N13" s="130">
        <v>1.2835442124779599E-6</v>
      </c>
      <c r="O13" s="89">
        <f t="shared" si="6"/>
        <v>1.2835442124779599E-6</v>
      </c>
      <c r="P13" s="48">
        <v>40327</v>
      </c>
      <c r="Q13" s="1">
        <v>1.7045928901654236E-4</v>
      </c>
      <c r="R13" s="100">
        <v>2664</v>
      </c>
      <c r="S13" s="100">
        <f t="shared" ref="S13:S70" si="22">R13*AVERAGE(L13:L14)</f>
        <v>0.37745670267327053</v>
      </c>
      <c r="T13" s="101">
        <f t="shared" si="17"/>
        <v>2663.622543297327</v>
      </c>
      <c r="AE13" s="93">
        <f t="shared" ref="AE13:AE76" si="23">J13</f>
        <v>37770.5</v>
      </c>
      <c r="AF13" s="92">
        <f>Logistic2010!Q13</f>
        <v>1.7045928901654236E-4</v>
      </c>
      <c r="AG13" s="4">
        <f t="shared" si="18"/>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24">L13</f>
        <v>1.2680899799840468E-4</v>
      </c>
      <c r="AM13" s="113">
        <v>2011</v>
      </c>
      <c r="AO13" s="113">
        <v>2010</v>
      </c>
      <c r="AP13" s="113">
        <v>2012</v>
      </c>
      <c r="AQ13" s="113"/>
      <c r="AR13" t="s">
        <v>28</v>
      </c>
      <c r="AS13"/>
      <c r="AT13"/>
      <c r="AU13"/>
      <c r="AV13"/>
      <c r="AW13"/>
      <c r="AX13"/>
    </row>
    <row r="14" spans="1:50" x14ac:dyDescent="0.25">
      <c r="A14" s="120">
        <v>3.8321344060627781E-2</v>
      </c>
      <c r="B14" s="124">
        <v>37828.684027777781</v>
      </c>
      <c r="C14" s="121">
        <f t="shared" ref="C14" si="25">1/(A14^2)</f>
        <v>680.95518999740443</v>
      </c>
      <c r="D14" s="10">
        <f t="shared" ref="D14" si="26">IF(B14&lt;&gt;0,B14-$A$3+1,"")</f>
        <v>63.184027777781012</v>
      </c>
      <c r="E14" s="81">
        <v>0.86473196691999998</v>
      </c>
      <c r="F14" s="41">
        <f t="shared" ref="F14" si="27">IF(B14&lt;&gt;0,$G$3/(1+EXP(-$G$4*(D14-$G$5))),"")</f>
        <v>0.96423295132637155</v>
      </c>
      <c r="G14" s="42">
        <f t="shared" ref="G14" si="28">IF(B14&lt;&gt;0,E14-F14,"")</f>
        <v>-9.9500984406371562E-2</v>
      </c>
      <c r="H14" s="43">
        <f t="shared" ref="H14" si="29">IF(B14&lt;&gt;0,C14*(G14)^2,"")</f>
        <v>6.7417600174206154</v>
      </c>
      <c r="J14" s="105">
        <f t="shared" si="10"/>
        <v>37771.5</v>
      </c>
      <c r="K14" s="109">
        <v>6</v>
      </c>
      <c r="L14" s="125">
        <f t="shared" si="5"/>
        <v>1.5656690490945612E-4</v>
      </c>
      <c r="M14" s="46">
        <f t="shared" si="11"/>
        <v>1.8291437965967419E-6</v>
      </c>
      <c r="N14" s="130">
        <v>1.8291437965967419E-6</v>
      </c>
      <c r="O14" s="89">
        <f t="shared" si="6"/>
        <v>1.8291437965967419E-6</v>
      </c>
      <c r="P14" s="48">
        <v>40328</v>
      </c>
      <c r="Q14" s="1">
        <v>0</v>
      </c>
      <c r="R14" s="100">
        <v>963</v>
      </c>
      <c r="S14" s="100">
        <f t="shared" si="22"/>
        <v>0.1684641239748815</v>
      </c>
      <c r="T14" s="101">
        <f t="shared" si="17"/>
        <v>962.8315358760251</v>
      </c>
      <c r="AE14" s="93">
        <f t="shared" si="23"/>
        <v>37771.5</v>
      </c>
      <c r="AF14" s="92">
        <f>Logistic2010!Q14</f>
        <v>2.0816384458125417E-4</v>
      </c>
      <c r="AG14" s="4">
        <f t="shared" si="18"/>
        <v>0</v>
      </c>
      <c r="AH14" s="92">
        <f>Logistic2011!Q14</f>
        <v>2.0816384458125417E-4</v>
      </c>
      <c r="AI14" s="92">
        <f>Logistic2012!Q14</f>
        <v>0</v>
      </c>
      <c r="AJ14" s="92">
        <f>Logistic2013!L14</f>
        <v>4.436902928409236E-4</v>
      </c>
      <c r="AK14" s="119">
        <f>Logistic2014!AK14</f>
        <v>6.0857479252525697E-4</v>
      </c>
      <c r="AL14" s="119">
        <f t="shared" si="24"/>
        <v>1.5656690490945612E-4</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10"/>
        <v>37772.5</v>
      </c>
      <c r="K15" s="109">
        <v>7</v>
      </c>
      <c r="L15" s="125">
        <f t="shared" si="5"/>
        <v>1.9330666513183464E-4</v>
      </c>
      <c r="M15" s="46">
        <f t="shared" si="11"/>
        <v>2.6066622560821447E-6</v>
      </c>
      <c r="N15" s="130">
        <v>2.6066622560821447E-6</v>
      </c>
      <c r="O15" s="89">
        <f t="shared" si="6"/>
        <v>2.6066622560821447E-6</v>
      </c>
      <c r="P15" s="48">
        <v>40329</v>
      </c>
      <c r="Q15" s="1">
        <v>6.2104077545281245E-5</v>
      </c>
      <c r="R15" s="100">
        <v>1106</v>
      </c>
      <c r="S15" s="100">
        <f t="shared" si="22"/>
        <v>0.23888069892825869</v>
      </c>
      <c r="T15" s="101">
        <f t="shared" si="17"/>
        <v>1105.7611193010716</v>
      </c>
      <c r="AE15" s="93">
        <f t="shared" si="23"/>
        <v>37772.5</v>
      </c>
      <c r="AF15" s="92">
        <f>Logistic2010!Q15</f>
        <v>2.542062975332477E-4</v>
      </c>
      <c r="AG15" s="4">
        <f t="shared" si="18"/>
        <v>6.2104077545281245E-5</v>
      </c>
      <c r="AH15" s="92">
        <f>Logistic2011!Q15</f>
        <v>3.5888786587624556E-5</v>
      </c>
      <c r="AI15" s="92">
        <f>Logistic2012!Q15</f>
        <v>6.2104077545281245E-5</v>
      </c>
      <c r="AJ15" s="92">
        <f>Logistic2013!L15</f>
        <v>5.4063505283763783E-4</v>
      </c>
      <c r="AK15" s="119">
        <f>Logistic2014!AK15</f>
        <v>7.3666320070702633E-4</v>
      </c>
      <c r="AL15" s="119">
        <f t="shared" si="24"/>
        <v>1.9330666513183464E-4</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J16" s="105">
        <f t="shared" si="10"/>
        <v>37773.5</v>
      </c>
      <c r="K16" s="109">
        <v>8</v>
      </c>
      <c r="L16" s="125">
        <f t="shared" si="5"/>
        <v>2.3866566566067658E-4</v>
      </c>
      <c r="M16" s="46">
        <f t="shared" si="11"/>
        <v>3.7146810897353246E-6</v>
      </c>
      <c r="N16" s="130">
        <v>3.7146810897353246E-6</v>
      </c>
      <c r="O16" s="89">
        <f t="shared" si="6"/>
        <v>3.7146810897353246E-6</v>
      </c>
      <c r="P16" s="48">
        <v>40330</v>
      </c>
      <c r="Q16" s="1">
        <v>8.271689671114933E-5</v>
      </c>
      <c r="R16" s="100">
        <v>3668</v>
      </c>
      <c r="S16" s="100">
        <f t="shared" si="22"/>
        <v>0.97812829957043257</v>
      </c>
      <c r="T16" s="101">
        <f t="shared" si="17"/>
        <v>3667.0218717004295</v>
      </c>
      <c r="AE16" s="93">
        <f t="shared" si="23"/>
        <v>37773.5</v>
      </c>
      <c r="AF16" s="92">
        <f>Logistic2010!Q16</f>
        <v>3.1042942936064727E-4</v>
      </c>
      <c r="AG16" s="4">
        <f t="shared" si="18"/>
        <v>8.271689671114933E-5</v>
      </c>
      <c r="AH16" s="92">
        <f>Logistic2011!Q16</f>
        <v>4.6160789501698919E-5</v>
      </c>
      <c r="AI16" s="92">
        <f>Logistic2012!Q16</f>
        <v>8.271689671114933E-5</v>
      </c>
      <c r="AJ16" s="92">
        <f>Logistic2013!L16</f>
        <v>6.5874794022489089E-4</v>
      </c>
      <c r="AK16" s="119">
        <f>Logistic2014!AK16</f>
        <v>8.9168667425910237E-4</v>
      </c>
      <c r="AL16" s="119">
        <f t="shared" si="24"/>
        <v>2.3866566566067658E-4</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30">IF(B17&lt;&gt;0,B17-$A$3+1,"")</f>
        <v/>
      </c>
      <c r="E17" s="81"/>
      <c r="F17" s="50" t="str">
        <f t="shared" ref="F17:F65" si="31">IF(B17&lt;&gt;0,$G$3/(1+EXP(-$G$4*(D17-$G$5))),"")</f>
        <v/>
      </c>
      <c r="G17" s="16" t="str">
        <f t="shared" ref="G17:G65" si="32">IF(B17&lt;&gt;0,E17-F17,"")</f>
        <v/>
      </c>
      <c r="H17" s="51" t="str">
        <f t="shared" ref="H17:H65" si="33">IF(B17&lt;&gt;0,C17*(G17)^2,"")</f>
        <v/>
      </c>
      <c r="J17" s="105">
        <f t="shared" si="10"/>
        <v>37774.5</v>
      </c>
      <c r="K17" s="109">
        <v>9</v>
      </c>
      <c r="L17" s="125">
        <f t="shared" si="5"/>
        <v>2.9466492298187109E-4</v>
      </c>
      <c r="M17" s="46">
        <f t="shared" si="11"/>
        <v>5.2936850821911276E-6</v>
      </c>
      <c r="N17" s="130">
        <v>5.2936850821911276E-6</v>
      </c>
      <c r="O17" s="89">
        <f t="shared" si="6"/>
        <v>5.2936850821911276E-6</v>
      </c>
      <c r="P17" s="48">
        <v>40331</v>
      </c>
      <c r="Q17" s="1">
        <v>1.1017051470513796E-4</v>
      </c>
      <c r="R17" s="100">
        <v>2939</v>
      </c>
      <c r="S17" s="100">
        <f t="shared" si="22"/>
        <v>0.96761239752829653</v>
      </c>
      <c r="T17" s="101">
        <f t="shared" si="17"/>
        <v>2938.0323876024718</v>
      </c>
      <c r="AE17" s="93">
        <f t="shared" si="23"/>
        <v>37774.5</v>
      </c>
      <c r="AF17" s="92">
        <f>Logistic2010!Q17</f>
        <v>3.7908278806435145E-4</v>
      </c>
      <c r="AG17" s="4">
        <f t="shared" si="18"/>
        <v>1.1017051470513796E-4</v>
      </c>
      <c r="AH17" s="92">
        <f>Logistic2011!Q17</f>
        <v>5.9372646030949961E-5</v>
      </c>
      <c r="AI17" s="92">
        <f>Logistic2012!Q17</f>
        <v>1.1017051470513796E-4</v>
      </c>
      <c r="AJ17" s="92">
        <f>Logistic2013!L17</f>
        <v>8.0264430321866907E-4</v>
      </c>
      <c r="AK17" s="119">
        <f>Logistic2014!AK17</f>
        <v>1.0792980661665267E-3</v>
      </c>
      <c r="AL17" s="119">
        <f t="shared" si="24"/>
        <v>2.9466492298187109E-4</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30"/>
        <v/>
      </c>
      <c r="E18" s="81"/>
      <c r="F18" s="50" t="str">
        <f t="shared" si="31"/>
        <v/>
      </c>
      <c r="G18" s="16" t="str">
        <f t="shared" si="32"/>
        <v/>
      </c>
      <c r="H18" s="51" t="str">
        <f t="shared" si="33"/>
        <v/>
      </c>
      <c r="J18" s="105">
        <f t="shared" si="10"/>
        <v>37775.5</v>
      </c>
      <c r="K18" s="109">
        <v>10</v>
      </c>
      <c r="L18" s="125">
        <f t="shared" si="5"/>
        <v>3.637987704705253E-4</v>
      </c>
      <c r="M18" s="46">
        <f t="shared" si="11"/>
        <v>7.543873151853996E-6</v>
      </c>
      <c r="N18" s="130">
        <v>7.543873151853996E-6</v>
      </c>
      <c r="O18" s="89">
        <f t="shared" si="6"/>
        <v>7.543873151853996E-6</v>
      </c>
      <c r="P18" s="48">
        <v>40332</v>
      </c>
      <c r="Q18" s="1">
        <v>1.4673461154601208E-4</v>
      </c>
      <c r="R18" s="100">
        <v>2148</v>
      </c>
      <c r="S18" s="100">
        <f t="shared" si="22"/>
        <v>0.87310205140107566</v>
      </c>
      <c r="T18" s="101">
        <f t="shared" si="17"/>
        <v>2147.126897948599</v>
      </c>
      <c r="AE18" s="93">
        <f t="shared" si="23"/>
        <v>37775.5</v>
      </c>
      <c r="AF18" s="92">
        <f>Logistic2010!Q18</f>
        <v>4.6291222449000769E-4</v>
      </c>
      <c r="AG18" s="4">
        <f t="shared" si="18"/>
        <v>1.4673461154601208E-4</v>
      </c>
      <c r="AH18" s="92">
        <f>Logistic2011!Q18</f>
        <v>7.6365629883993208E-5</v>
      </c>
      <c r="AI18" s="92">
        <f>Logistic2012!Q18</f>
        <v>1.4673461154601208E-4</v>
      </c>
      <c r="AJ18" s="92">
        <f>Logistic2013!L18</f>
        <v>9.7794251088522961E-4</v>
      </c>
      <c r="AK18" s="119">
        <f>Logistic2014!AK18</f>
        <v>1.3063313918701522E-3</v>
      </c>
      <c r="AL18" s="119">
        <f t="shared" si="24"/>
        <v>3.637987704705253E-4</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30"/>
        <v/>
      </c>
      <c r="E19" s="81"/>
      <c r="F19" s="50" t="str">
        <f t="shared" si="31"/>
        <v/>
      </c>
      <c r="G19" s="16" t="str">
        <f t="shared" si="32"/>
        <v/>
      </c>
      <c r="H19" s="51" t="str">
        <f t="shared" si="33"/>
        <v/>
      </c>
      <c r="J19" s="105">
        <f t="shared" si="10"/>
        <v>37776.5</v>
      </c>
      <c r="K19" s="109">
        <v>11</v>
      </c>
      <c r="L19" s="125">
        <f t="shared" si="5"/>
        <v>4.4914541146716158E-4</v>
      </c>
      <c r="M19" s="46">
        <f t="shared" si="11"/>
        <v>1.0750538956072072E-5</v>
      </c>
      <c r="N19" s="130">
        <v>1.0750538956072072E-5</v>
      </c>
      <c r="O19" s="89">
        <f t="shared" si="6"/>
        <v>1.0750538956072072E-5</v>
      </c>
      <c r="P19" s="48">
        <v>40333</v>
      </c>
      <c r="Q19" s="1">
        <v>1.9543146345089269E-4</v>
      </c>
      <c r="R19" s="100">
        <v>5309</v>
      </c>
      <c r="S19" s="100">
        <f t="shared" si="22"/>
        <v>2.6641850768774291</v>
      </c>
      <c r="T19" s="101">
        <f t="shared" si="17"/>
        <v>5306.3358149231226</v>
      </c>
      <c r="W19" s="4">
        <v>1</v>
      </c>
      <c r="X19" s="4">
        <v>0.23502364558685596</v>
      </c>
      <c r="AE19" s="93">
        <f t="shared" si="23"/>
        <v>37776.5</v>
      </c>
      <c r="AF19" s="92">
        <f>Logistic2010!Q19</f>
        <v>5.6526901369757224E-4</v>
      </c>
      <c r="AG19" s="4">
        <f t="shared" si="18"/>
        <v>1.9543146345089269E-4</v>
      </c>
      <c r="AH19" s="92">
        <f>Logistic2011!Q19</f>
        <v>9.8221680405067934E-5</v>
      </c>
      <c r="AI19" s="92">
        <f>Logistic2012!Q19</f>
        <v>1.9543146345089269E-4</v>
      </c>
      <c r="AJ19" s="92">
        <f>Logistic2013!L19</f>
        <v>1.19148034540422E-3</v>
      </c>
      <c r="AK19" s="119">
        <f>Logistic2014!AK19</f>
        <v>1.5810462162153941E-3</v>
      </c>
      <c r="AL19" s="119">
        <f t="shared" si="24"/>
        <v>4.4914541146716158E-4</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30"/>
        <v/>
      </c>
      <c r="E20" s="81"/>
      <c r="F20" s="50" t="str">
        <f t="shared" si="31"/>
        <v/>
      </c>
      <c r="G20" s="16" t="str">
        <f t="shared" si="32"/>
        <v/>
      </c>
      <c r="H20" s="51" t="str">
        <f t="shared" si="33"/>
        <v/>
      </c>
      <c r="J20" s="105">
        <f t="shared" si="10"/>
        <v>37777.5</v>
      </c>
      <c r="K20" s="109">
        <v>12</v>
      </c>
      <c r="L20" s="125">
        <f t="shared" si="5"/>
        <v>5.5450313887280044E-4</v>
      </c>
      <c r="M20" s="46">
        <f t="shared" si="11"/>
        <v>1.5320237759159121E-5</v>
      </c>
      <c r="N20" s="130">
        <v>1.5320237759159121E-5</v>
      </c>
      <c r="O20" s="89">
        <f t="shared" si="6"/>
        <v>1.5320237759159121E-5</v>
      </c>
      <c r="P20" s="48">
        <v>40334</v>
      </c>
      <c r="Q20" s="1">
        <v>2.6028514457293443E-4</v>
      </c>
      <c r="R20" s="100">
        <v>3853</v>
      </c>
      <c r="S20" s="100">
        <f t="shared" si="22"/>
        <v>2.3870514738622424</v>
      </c>
      <c r="T20" s="101">
        <f t="shared" si="17"/>
        <v>3850.6129485261376</v>
      </c>
      <c r="U20" s="40">
        <v>40712</v>
      </c>
      <c r="V20" s="92">
        <v>3.5999999999999997E-2</v>
      </c>
      <c r="W20" s="92">
        <v>0.2350236455868559</v>
      </c>
      <c r="X20" s="92">
        <v>1</v>
      </c>
      <c r="Y20" s="92"/>
      <c r="Z20" s="92"/>
      <c r="AE20" s="93">
        <f t="shared" si="23"/>
        <v>37777.5</v>
      </c>
      <c r="AF20" s="92">
        <f>Logistic2010!Q20</f>
        <v>6.9024278465830858E-4</v>
      </c>
      <c r="AG20" s="4">
        <f t="shared" si="18"/>
        <v>2.6028514457293443E-4</v>
      </c>
      <c r="AH20" s="92">
        <f>Logistic2011!Q20</f>
        <v>1.2633220159905076E-4</v>
      </c>
      <c r="AI20" s="92">
        <f>Logistic2012!Q20</f>
        <v>2.6028514457293443E-4</v>
      </c>
      <c r="AJ20" s="92">
        <f>Logistic2013!L20</f>
        <v>1.4515773097888444E-3</v>
      </c>
      <c r="AK20" s="119">
        <f>Logistic2014!AK20</f>
        <v>1.9134214809037675E-3</v>
      </c>
      <c r="AL20" s="119">
        <f t="shared" si="24"/>
        <v>5.5450313887280044E-4</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30"/>
        <v/>
      </c>
      <c r="E21" s="81"/>
      <c r="F21" s="50" t="str">
        <f t="shared" si="31"/>
        <v/>
      </c>
      <c r="G21" s="16" t="str">
        <f t="shared" si="32"/>
        <v/>
      </c>
      <c r="H21" s="51" t="str">
        <f t="shared" si="33"/>
        <v/>
      </c>
      <c r="I21" s="9">
        <f>1-0.15</f>
        <v>0.85</v>
      </c>
      <c r="J21" s="105">
        <f t="shared" si="10"/>
        <v>37778.5</v>
      </c>
      <c r="K21" s="109">
        <v>13</v>
      </c>
      <c r="L21" s="125">
        <f t="shared" si="5"/>
        <v>6.8455809853298325E-4</v>
      </c>
      <c r="M21" s="46">
        <f>IF(J22&gt;MAX($B$9:$B$64),L21,N21)</f>
        <v>2.1832322085948411E-5</v>
      </c>
      <c r="N21" s="130">
        <v>2.1832322085948411E-5</v>
      </c>
      <c r="O21" s="89">
        <f t="shared" si="6"/>
        <v>2.1832322085948411E-5</v>
      </c>
      <c r="P21" s="48">
        <v>40335</v>
      </c>
      <c r="Q21" s="1">
        <v>3.4665297481631412E-4</v>
      </c>
      <c r="R21" s="100">
        <v>10476</v>
      </c>
      <c r="S21" s="100">
        <f t="shared" si="22"/>
        <v>8.0123008076329771</v>
      </c>
      <c r="T21" s="101">
        <f t="shared" si="17"/>
        <v>10467.987699192367</v>
      </c>
      <c r="U21" s="49">
        <v>40713</v>
      </c>
      <c r="V21" s="92"/>
      <c r="W21" s="92"/>
      <c r="X21" s="92"/>
      <c r="Y21" s="92"/>
      <c r="Z21" s="92"/>
      <c r="AE21" s="93">
        <f t="shared" si="23"/>
        <v>37778.5</v>
      </c>
      <c r="AF21" s="92">
        <f>Logistic2010!Q21</f>
        <v>8.428233623178356E-4</v>
      </c>
      <c r="AG21" s="4">
        <f t="shared" si="18"/>
        <v>3.4665297481631412E-4</v>
      </c>
      <c r="AH21" s="92">
        <f>Logistic2011!Q21</f>
        <v>1.624864967222617E-4</v>
      </c>
      <c r="AI21" s="92">
        <f>Logistic2012!Q21</f>
        <v>3.4665297481631412E-4</v>
      </c>
      <c r="AJ21" s="92">
        <f>Logistic2013!L21</f>
        <v>1.7683522199292421E-3</v>
      </c>
      <c r="AK21" s="119">
        <f>Logistic2014!AK21</f>
        <v>2.3155082495920514E-3</v>
      </c>
      <c r="AL21" s="119">
        <f t="shared" si="24"/>
        <v>6.8455809853298325E-4</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30"/>
        <v/>
      </c>
      <c r="E22" s="81"/>
      <c r="F22" s="50" t="str">
        <f t="shared" si="31"/>
        <v/>
      </c>
      <c r="G22" s="16" t="str">
        <f t="shared" si="32"/>
        <v/>
      </c>
      <c r="H22" s="51" t="str">
        <f t="shared" si="33"/>
        <v/>
      </c>
      <c r="I22" s="53"/>
      <c r="J22" s="105">
        <f t="shared" si="10"/>
        <v>37779.5</v>
      </c>
      <c r="K22" s="109">
        <v>14</v>
      </c>
      <c r="L22" s="125">
        <f t="shared" si="5"/>
        <v>8.4509077654013206E-4</v>
      </c>
      <c r="M22" s="46">
        <f t="shared" si="11"/>
        <v>3.1112374086324488E-5</v>
      </c>
      <c r="N22" s="130">
        <v>3.1112374086324488E-5</v>
      </c>
      <c r="O22" s="89">
        <f t="shared" si="6"/>
        <v>3.1112374086324488E-5</v>
      </c>
      <c r="P22" s="48">
        <v>40336</v>
      </c>
      <c r="Q22" s="1">
        <v>4.6166614885428784E-4</v>
      </c>
      <c r="R22" s="100">
        <v>15768</v>
      </c>
      <c r="S22" s="100">
        <f t="shared" si="22"/>
        <v>14.887520682475543</v>
      </c>
      <c r="T22" s="101">
        <f t="shared" si="17"/>
        <v>15753.112479317524</v>
      </c>
      <c r="U22" s="49">
        <v>40714</v>
      </c>
      <c r="V22" s="92"/>
      <c r="W22" s="92"/>
      <c r="X22" s="92"/>
      <c r="Y22" s="92"/>
      <c r="Z22" s="92"/>
      <c r="AE22" s="93">
        <f t="shared" si="23"/>
        <v>37779.5</v>
      </c>
      <c r="AF22" s="92">
        <f>Logistic2010!Q22</f>
        <v>1.0290976755680944E-3</v>
      </c>
      <c r="AG22" s="4">
        <f t="shared" si="18"/>
        <v>4.6166614885428784E-4</v>
      </c>
      <c r="AH22" s="92">
        <f>Logistic2011!Q22</f>
        <v>2.0898542158394941E-4</v>
      </c>
      <c r="AI22" s="92">
        <f>Logistic2012!Q22</f>
        <v>4.6166614885428784E-4</v>
      </c>
      <c r="AJ22" s="92">
        <f>Logistic2013!L22</f>
        <v>2.1541071781976768E-3</v>
      </c>
      <c r="AK22" s="119">
        <f>Logistic2014!AK22</f>
        <v>2.801852416196298E-3</v>
      </c>
      <c r="AL22" s="119">
        <f t="shared" si="24"/>
        <v>8.4509077654013206E-4</v>
      </c>
      <c r="AM22" s="110">
        <v>0.69199999999999995</v>
      </c>
      <c r="AO22" s="110">
        <v>0.70699999999999996</v>
      </c>
      <c r="AP22" s="113">
        <v>0.997</v>
      </c>
      <c r="AQ22" s="110"/>
      <c r="AR22" t="s">
        <v>35</v>
      </c>
      <c r="AS22"/>
      <c r="AT22"/>
      <c r="AU22"/>
      <c r="AV22"/>
      <c r="AW22"/>
      <c r="AX22"/>
    </row>
    <row r="23" spans="1:50" x14ac:dyDescent="0.25">
      <c r="A23" s="39"/>
      <c r="B23" s="49"/>
      <c r="C23" s="79"/>
      <c r="D23" s="86" t="str">
        <f t="shared" si="30"/>
        <v/>
      </c>
      <c r="E23" s="81"/>
      <c r="F23" s="50" t="str">
        <f t="shared" si="31"/>
        <v/>
      </c>
      <c r="G23" s="16" t="str">
        <f t="shared" si="32"/>
        <v/>
      </c>
      <c r="H23" s="51" t="str">
        <f t="shared" si="33"/>
        <v/>
      </c>
      <c r="I23" s="53"/>
      <c r="J23" s="105">
        <f t="shared" si="10"/>
        <v>37780.5</v>
      </c>
      <c r="K23" s="109">
        <v>15</v>
      </c>
      <c r="L23" s="125">
        <f t="shared" si="5"/>
        <v>1.0432299594410378E-3</v>
      </c>
      <c r="M23" s="46">
        <f t="shared" si="11"/>
        <v>4.4336832295415093E-5</v>
      </c>
      <c r="N23" s="130">
        <v>4.4336832295415093E-5</v>
      </c>
      <c r="O23" s="89">
        <f t="shared" si="6"/>
        <v>4.4336832295415093E-5</v>
      </c>
      <c r="P23" s="48">
        <v>40337</v>
      </c>
      <c r="Q23" s="1">
        <v>6.1481514040778599E-4</v>
      </c>
      <c r="R23" s="100">
        <v>13548</v>
      </c>
      <c r="S23" s="100">
        <f t="shared" si="22"/>
        <v>15.790158453548992</v>
      </c>
      <c r="T23" s="101">
        <f t="shared" si="17"/>
        <v>13532.209841546452</v>
      </c>
      <c r="U23" s="49">
        <v>40715</v>
      </c>
      <c r="V23" s="92"/>
      <c r="W23" s="92"/>
      <c r="X23" s="92"/>
      <c r="Y23" s="92"/>
      <c r="Z23" s="92"/>
      <c r="AE23" s="93">
        <f t="shared" si="23"/>
        <v>37780.5</v>
      </c>
      <c r="AF23" s="92">
        <f>Logistic2010!Q23</f>
        <v>1.2564891276397731E-3</v>
      </c>
      <c r="AG23" s="4">
        <f t="shared" si="18"/>
        <v>6.1481514040778599E-4</v>
      </c>
      <c r="AH23" s="92">
        <f>Logistic2011!Q23</f>
        <v>2.6878741349269233E-4</v>
      </c>
      <c r="AI23" s="92">
        <f>Logistic2012!Q23</f>
        <v>6.1481514040778599E-4</v>
      </c>
      <c r="AJ23" s="92">
        <f>Logistic2013!L23</f>
        <v>2.6237909806921655E-3</v>
      </c>
      <c r="AK23" s="119">
        <f>Logistic2014!AK23</f>
        <v>3.3900001278880923E-3</v>
      </c>
      <c r="AL23" s="119">
        <f t="shared" si="24"/>
        <v>1.0432299594410378E-3</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30"/>
        <v/>
      </c>
      <c r="E24" s="81"/>
      <c r="F24" s="50" t="str">
        <f t="shared" si="31"/>
        <v/>
      </c>
      <c r="G24" s="16" t="str">
        <f t="shared" si="32"/>
        <v/>
      </c>
      <c r="H24" s="51" t="str">
        <f t="shared" si="33"/>
        <v/>
      </c>
      <c r="I24" s="53"/>
      <c r="J24" s="105">
        <f t="shared" si="10"/>
        <v>37781.5</v>
      </c>
      <c r="K24" s="109">
        <v>16</v>
      </c>
      <c r="L24" s="125">
        <f t="shared" si="5"/>
        <v>1.2877647930757902E-3</v>
      </c>
      <c r="M24" s="46">
        <f t="shared" si="11"/>
        <v>6.3182052340935858E-5</v>
      </c>
      <c r="N24" s="130">
        <v>6.3182052340935858E-5</v>
      </c>
      <c r="O24" s="89">
        <f t="shared" si="6"/>
        <v>6.3182052340935858E-5</v>
      </c>
      <c r="P24" s="48">
        <v>40338</v>
      </c>
      <c r="Q24" s="1">
        <v>8.1872679212602632E-4</v>
      </c>
      <c r="R24" s="100">
        <v>8722</v>
      </c>
      <c r="S24" s="100">
        <f t="shared" si="22"/>
        <v>12.54787296183855</v>
      </c>
      <c r="T24" s="101">
        <f t="shared" si="17"/>
        <v>8709.4521270381611</v>
      </c>
      <c r="U24" s="49">
        <v>40716</v>
      </c>
      <c r="V24" s="92"/>
      <c r="W24" s="92"/>
      <c r="X24" s="92"/>
      <c r="Y24" s="92"/>
      <c r="Z24" s="92"/>
      <c r="AE24" s="93">
        <f t="shared" si="23"/>
        <v>37781.5</v>
      </c>
      <c r="AF24" s="92">
        <f>Logistic2010!Q24</f>
        <v>1.5340482859932569E-3</v>
      </c>
      <c r="AG24" s="4">
        <f t="shared" si="18"/>
        <v>8.1872679212602632E-4</v>
      </c>
      <c r="AH24" s="92">
        <f>Logistic2011!Q24</f>
        <v>3.4569606119318159E-4</v>
      </c>
      <c r="AI24" s="92">
        <f>Logistic2012!Q24</f>
        <v>8.1872679212602632E-4</v>
      </c>
      <c r="AJ24" s="92">
        <f>Logistic2013!L24</f>
        <v>3.1955571705628975E-3</v>
      </c>
      <c r="AK24" s="119">
        <f>Logistic2014!AK24</f>
        <v>4.101100461714453E-3</v>
      </c>
      <c r="AL24" s="119">
        <f t="shared" si="24"/>
        <v>1.2877647930757902E-3</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30"/>
        <v/>
      </c>
      <c r="E25" s="81"/>
      <c r="F25" s="50" t="str">
        <f t="shared" si="31"/>
        <v/>
      </c>
      <c r="G25" s="16" t="str">
        <f t="shared" si="32"/>
        <v/>
      </c>
      <c r="H25" s="51" t="str">
        <f t="shared" si="33"/>
        <v/>
      </c>
      <c r="I25" s="54"/>
      <c r="J25" s="105">
        <f t="shared" si="10"/>
        <v>37782.5</v>
      </c>
      <c r="K25" s="109">
        <v>17</v>
      </c>
      <c r="L25" s="125">
        <f t="shared" si="5"/>
        <v>1.5895277916154621E-3</v>
      </c>
      <c r="M25" s="46">
        <f t="shared" si="11"/>
        <v>9.003664795384782E-5</v>
      </c>
      <c r="N25" s="130">
        <v>9.003664795384782E-5</v>
      </c>
      <c r="O25" s="89">
        <f t="shared" si="6"/>
        <v>9.003664795384782E-5</v>
      </c>
      <c r="P25" s="48">
        <v>40339</v>
      </c>
      <c r="Q25" s="1">
        <v>1.0901946909765959E-3</v>
      </c>
      <c r="R25" s="100">
        <v>10831</v>
      </c>
      <c r="S25" s="100">
        <f t="shared" si="22"/>
        <v>19.232563647121982</v>
      </c>
      <c r="T25" s="101">
        <f t="shared" si="17"/>
        <v>10811.767436352879</v>
      </c>
      <c r="U25" s="49">
        <v>40717</v>
      </c>
      <c r="V25" s="92"/>
      <c r="W25" s="92"/>
      <c r="X25" s="92"/>
      <c r="Y25" s="92"/>
      <c r="Z25" s="92"/>
      <c r="AE25" s="93">
        <f t="shared" si="23"/>
        <v>37782.5</v>
      </c>
      <c r="AF25" s="92">
        <f>Logistic2010!Q25</f>
        <v>1.8728054475450151E-3</v>
      </c>
      <c r="AG25" s="4">
        <f t="shared" si="18"/>
        <v>1.0901946909765959E-3</v>
      </c>
      <c r="AH25" s="92">
        <f>Logistic2011!Q25</f>
        <v>4.4460093825327419E-4</v>
      </c>
      <c r="AI25" s="92">
        <f>Logistic2012!Q25</f>
        <v>1.0901946909765959E-3</v>
      </c>
      <c r="AJ25" s="92">
        <f>Logistic2013!L25</f>
        <v>3.8914342584479623E-3</v>
      </c>
      <c r="AK25" s="119">
        <f>Logistic2014!AK25</f>
        <v>4.960621659003208E-3</v>
      </c>
      <c r="AL25" s="119">
        <f t="shared" si="24"/>
        <v>1.5895277916154621E-3</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30"/>
        <v/>
      </c>
      <c r="E26" s="81"/>
      <c r="F26" s="50" t="str">
        <f t="shared" si="31"/>
        <v/>
      </c>
      <c r="G26" s="16" t="str">
        <f t="shared" si="32"/>
        <v/>
      </c>
      <c r="H26" s="51" t="str">
        <f t="shared" si="33"/>
        <v/>
      </c>
      <c r="I26" s="54"/>
      <c r="J26" s="105">
        <f t="shared" si="10"/>
        <v>37783.5</v>
      </c>
      <c r="K26" s="109">
        <v>18</v>
      </c>
      <c r="L26" s="125">
        <f t="shared" si="5"/>
        <v>1.96186425844861E-3</v>
      </c>
      <c r="M26" s="46">
        <f t="shared" si="11"/>
        <v>1.2830392713932698E-4</v>
      </c>
      <c r="N26" s="130">
        <v>1.2830392713932698E-4</v>
      </c>
      <c r="O26" s="89">
        <f t="shared" si="6"/>
        <v>1.2830392713932698E-4</v>
      </c>
      <c r="P26" s="48">
        <v>40340</v>
      </c>
      <c r="Q26" s="1">
        <v>1.4515433191966043E-3</v>
      </c>
      <c r="R26" s="100">
        <v>10194</v>
      </c>
      <c r="S26" s="100">
        <f t="shared" si="22"/>
        <v>22.340512138607355</v>
      </c>
      <c r="T26" s="101">
        <f t="shared" si="17"/>
        <v>10171.659487861392</v>
      </c>
      <c r="U26" s="49">
        <v>40718</v>
      </c>
      <c r="V26" s="92"/>
      <c r="W26" s="92"/>
      <c r="X26" s="92"/>
      <c r="Y26" s="92"/>
      <c r="Z26" s="92"/>
      <c r="AE26" s="93">
        <f t="shared" si="23"/>
        <v>37783.5</v>
      </c>
      <c r="AF26" s="92">
        <f>Logistic2010!Q26</f>
        <v>2.2861975841660187E-3</v>
      </c>
      <c r="AG26" s="4">
        <f t="shared" si="18"/>
        <v>1.4515433191966043E-3</v>
      </c>
      <c r="AH26" s="92">
        <f>Logistic2011!Q26</f>
        <v>5.7178666821399956E-4</v>
      </c>
      <c r="AI26" s="92">
        <f>Logistic2012!Q26</f>
        <v>1.4515433191966043E-3</v>
      </c>
      <c r="AJ26" s="92">
        <f>Logistic2013!L26</f>
        <v>4.7381279726284222E-3</v>
      </c>
      <c r="AK26" s="119">
        <f>Logistic2014!AK26</f>
        <v>5.9991987892107617E-3</v>
      </c>
      <c r="AL26" s="119">
        <f t="shared" si="24"/>
        <v>1.96186425844861E-3</v>
      </c>
      <c r="AM26" s="114"/>
      <c r="AN26" s="114"/>
      <c r="AO26" s="114"/>
      <c r="AP26" s="114"/>
      <c r="AQ26" s="114"/>
      <c r="AR26" s="110"/>
      <c r="AS26" s="110"/>
      <c r="AT26" s="110"/>
      <c r="AU26" s="110"/>
      <c r="AV26" s="110"/>
      <c r="AW26" s="110"/>
      <c r="AX26" s="110"/>
    </row>
    <row r="27" spans="1:50" ht="16.5" thickBot="1" x14ac:dyDescent="0.3">
      <c r="B27" s="49"/>
      <c r="C27" s="79"/>
      <c r="D27" s="86" t="str">
        <f t="shared" si="30"/>
        <v/>
      </c>
      <c r="E27" s="81"/>
      <c r="F27" s="50" t="str">
        <f t="shared" si="31"/>
        <v/>
      </c>
      <c r="G27" s="16" t="str">
        <f t="shared" si="32"/>
        <v/>
      </c>
      <c r="H27" s="51" t="str">
        <f t="shared" si="33"/>
        <v/>
      </c>
      <c r="I27" s="54"/>
      <c r="J27" s="105">
        <f t="shared" si="10"/>
        <v>37784.5</v>
      </c>
      <c r="K27" s="109">
        <v>19</v>
      </c>
      <c r="L27" s="125">
        <f t="shared" si="5"/>
        <v>2.4212065947213633E-3</v>
      </c>
      <c r="M27" s="46">
        <f t="shared" si="11"/>
        <v>1.8283255021357849E-4</v>
      </c>
      <c r="N27" s="130">
        <v>1.8283255021357849E-4</v>
      </c>
      <c r="O27" s="89">
        <f t="shared" si="6"/>
        <v>1.8283255021357849E-4</v>
      </c>
      <c r="P27" s="48">
        <v>40341</v>
      </c>
      <c r="Q27" s="1">
        <v>1.9324304426046567E-3</v>
      </c>
      <c r="R27" s="100">
        <v>4837</v>
      </c>
      <c r="S27" s="100">
        <f t="shared" si="22"/>
        <v>13.081622903418655</v>
      </c>
      <c r="T27" s="101">
        <f t="shared" si="17"/>
        <v>4823.918377096581</v>
      </c>
      <c r="U27" s="49">
        <v>40719</v>
      </c>
      <c r="V27" s="92">
        <v>7.0000000000000001E-3</v>
      </c>
      <c r="W27" s="92"/>
      <c r="X27" s="92"/>
      <c r="Y27" s="92"/>
      <c r="Z27" s="92"/>
      <c r="AE27" s="93">
        <f t="shared" si="23"/>
        <v>37784.5</v>
      </c>
      <c r="AF27" s="92">
        <f>Logistic2010!Q27</f>
        <v>2.7905843687065831E-3</v>
      </c>
      <c r="AG27" s="4">
        <f t="shared" si="18"/>
        <v>1.9324304426046567E-3</v>
      </c>
      <c r="AH27" s="92">
        <f>Logistic2011!Q27</f>
        <v>7.3532929350053459E-4</v>
      </c>
      <c r="AI27" s="92">
        <f>Logistic2012!Q27</f>
        <v>1.9324304426046567E-3</v>
      </c>
      <c r="AJ27" s="92">
        <f>Logistic2013!L27</f>
        <v>5.7679775716238009E-3</v>
      </c>
      <c r="AK27" s="119">
        <f>Logistic2014!AK27</f>
        <v>7.2536318036214055E-3</v>
      </c>
      <c r="AL27" s="119">
        <f t="shared" si="24"/>
        <v>2.4212065947213633E-3</v>
      </c>
      <c r="AM27" s="114"/>
      <c r="AO27" s="114"/>
      <c r="AP27" s="114"/>
      <c r="AQ27" s="114"/>
      <c r="AR27" s="111" t="s">
        <v>45</v>
      </c>
      <c r="AS27" s="111">
        <v>4.8233989090909093</v>
      </c>
      <c r="AT27" s="111">
        <v>32</v>
      </c>
      <c r="AU27" s="111"/>
      <c r="AV27" s="111"/>
      <c r="AW27" s="111"/>
      <c r="AX27" s="111"/>
    </row>
    <row r="28" spans="1:50" x14ac:dyDescent="0.25">
      <c r="B28" s="49"/>
      <c r="C28" s="79"/>
      <c r="D28" s="86" t="str">
        <f t="shared" si="30"/>
        <v/>
      </c>
      <c r="E28" s="81"/>
      <c r="F28" s="50" t="str">
        <f t="shared" si="31"/>
        <v/>
      </c>
      <c r="G28" s="16" t="str">
        <f t="shared" si="32"/>
        <v/>
      </c>
      <c r="H28" s="51" t="str">
        <f t="shared" si="33"/>
        <v/>
      </c>
      <c r="I28" s="54"/>
      <c r="J28" s="105">
        <f t="shared" si="10"/>
        <v>37785.5</v>
      </c>
      <c r="K28" s="109">
        <v>20</v>
      </c>
      <c r="L28" s="125">
        <f t="shared" si="5"/>
        <v>2.9877753789890583E-3</v>
      </c>
      <c r="M28" s="46">
        <f t="shared" si="11"/>
        <v>2.6052956766402371E-4</v>
      </c>
      <c r="N28" s="130">
        <v>2.6052956766402371E-4</v>
      </c>
      <c r="O28" s="89">
        <f t="shared" si="6"/>
        <v>2.6052956766402371E-4</v>
      </c>
      <c r="P28" s="48">
        <v>40342</v>
      </c>
      <c r="Q28" s="1">
        <v>2.5722220404043386E-3</v>
      </c>
      <c r="R28" s="100">
        <v>8645</v>
      </c>
      <c r="S28" s="100">
        <f t="shared" si="22"/>
        <v>28.849265016543931</v>
      </c>
      <c r="T28" s="101">
        <f t="shared" si="17"/>
        <v>8616.1507349834555</v>
      </c>
      <c r="U28" s="40">
        <v>40720</v>
      </c>
      <c r="V28" s="92"/>
      <c r="W28" s="92"/>
      <c r="X28" s="92"/>
      <c r="Y28" s="92"/>
      <c r="Z28" s="92"/>
      <c r="AE28" s="93">
        <f t="shared" si="23"/>
        <v>37785.5</v>
      </c>
      <c r="AF28" s="92">
        <f>Logistic2010!Q28</f>
        <v>3.4058703908046778E-3</v>
      </c>
      <c r="AG28" s="4">
        <f t="shared" si="18"/>
        <v>2.5722220404043386E-3</v>
      </c>
      <c r="AH28" s="92">
        <f>Logistic2011!Q28</f>
        <v>9.4560418099634688E-4</v>
      </c>
      <c r="AI28" s="92">
        <f>Logistic2012!Q28</f>
        <v>2.5722220404043386E-3</v>
      </c>
      <c r="AJ28" s="92">
        <f>Logistic2013!L28</f>
        <v>7.0200899120878707E-3</v>
      </c>
      <c r="AK28" s="119">
        <f>Logistic2014!AK28</f>
        <v>8.7680531167695416E-3</v>
      </c>
      <c r="AL28" s="119">
        <f t="shared" si="24"/>
        <v>2.9877753789890583E-3</v>
      </c>
      <c r="AM28" s="114"/>
      <c r="AN28" s="114"/>
      <c r="AQ28" s="114"/>
      <c r="AR28" s="114"/>
      <c r="AS28" s="114"/>
      <c r="AT28" s="114"/>
      <c r="AU28" s="114"/>
    </row>
    <row r="29" spans="1:50" x14ac:dyDescent="0.25">
      <c r="B29" s="49"/>
      <c r="C29" s="79"/>
      <c r="D29" s="86" t="str">
        <f t="shared" si="30"/>
        <v/>
      </c>
      <c r="E29" s="81"/>
      <c r="F29" s="50" t="str">
        <f t="shared" si="31"/>
        <v/>
      </c>
      <c r="G29" s="16" t="str">
        <f t="shared" si="32"/>
        <v/>
      </c>
      <c r="H29" s="51" t="str">
        <f t="shared" si="33"/>
        <v/>
      </c>
      <c r="I29" s="54"/>
      <c r="J29" s="105">
        <f t="shared" si="10"/>
        <v>37786.5</v>
      </c>
      <c r="K29" s="109">
        <v>21</v>
      </c>
      <c r="L29" s="125">
        <f t="shared" si="5"/>
        <v>3.6864328376781316E-3</v>
      </c>
      <c r="M29" s="46">
        <f t="shared" si="11"/>
        <v>3.7123266109304417E-4</v>
      </c>
      <c r="N29" s="130">
        <v>3.7123266109304417E-4</v>
      </c>
      <c r="O29" s="89">
        <f t="shared" si="6"/>
        <v>3.7123266109304417E-4</v>
      </c>
      <c r="P29" s="48">
        <v>40343</v>
      </c>
      <c r="Q29" s="1">
        <v>3.4231101794941045E-3</v>
      </c>
      <c r="R29" s="100">
        <v>6148</v>
      </c>
      <c r="S29" s="100">
        <f t="shared" si="22"/>
        <v>25.31178039628146</v>
      </c>
      <c r="T29" s="101">
        <f t="shared" si="17"/>
        <v>6122.6882196037186</v>
      </c>
      <c r="U29" s="49">
        <v>40721</v>
      </c>
      <c r="V29" s="92"/>
      <c r="W29" s="92"/>
      <c r="X29" s="92"/>
      <c r="Y29" s="92"/>
      <c r="Z29" s="92"/>
      <c r="AE29" s="93">
        <f t="shared" si="23"/>
        <v>37786.5</v>
      </c>
      <c r="AF29" s="92">
        <f>Logistic2010!Q29</f>
        <v>4.156253215078223E-3</v>
      </c>
      <c r="AG29" s="4">
        <f t="shared" si="18"/>
        <v>3.4231101794941045E-3</v>
      </c>
      <c r="AH29" s="92">
        <f>Logistic2011!Q29</f>
        <v>1.2159361420781157E-3</v>
      </c>
      <c r="AI29" s="92">
        <f>Logistic2012!Q29</f>
        <v>3.4231101794941045E-3</v>
      </c>
      <c r="AJ29" s="92">
        <f>Logistic2013!L29</f>
        <v>8.5416755801183825E-3</v>
      </c>
      <c r="AK29" s="119">
        <f>Logistic2014!AK29</f>
        <v>1.0595282474405681E-2</v>
      </c>
      <c r="AL29" s="119">
        <f t="shared" si="24"/>
        <v>3.6864328376781316E-3</v>
      </c>
      <c r="AM29" s="113"/>
      <c r="AN29" s="113"/>
      <c r="AP29" s="113"/>
      <c r="AQ29" s="113"/>
      <c r="AR29" s="113"/>
      <c r="AS29" s="113"/>
      <c r="AT29" s="114"/>
      <c r="AU29" s="114"/>
    </row>
    <row r="30" spans="1:50" x14ac:dyDescent="0.25">
      <c r="B30" s="49"/>
      <c r="C30" s="79"/>
      <c r="D30" s="86" t="str">
        <f t="shared" si="30"/>
        <v/>
      </c>
      <c r="E30" s="81"/>
      <c r="F30" s="50" t="str">
        <f t="shared" si="31"/>
        <v/>
      </c>
      <c r="G30" s="16" t="str">
        <f t="shared" si="32"/>
        <v/>
      </c>
      <c r="H30" s="51" t="str">
        <f t="shared" si="33"/>
        <v/>
      </c>
      <c r="I30" s="54"/>
      <c r="J30" s="105">
        <f t="shared" si="10"/>
        <v>37787.5</v>
      </c>
      <c r="K30" s="109">
        <v>22</v>
      </c>
      <c r="L30" s="125">
        <f t="shared" si="5"/>
        <v>4.547718234632037E-3</v>
      </c>
      <c r="M30" s="46">
        <f t="shared" si="11"/>
        <v>5.2895034459836269E-4</v>
      </c>
      <c r="N30" s="131">
        <v>5.2895034459836269E-4</v>
      </c>
      <c r="O30" s="89">
        <f t="shared" si="6"/>
        <v>5.2895034459836269E-4</v>
      </c>
      <c r="P30" s="48">
        <v>40344</v>
      </c>
      <c r="Q30" s="1">
        <v>4.5541859663405402E-3</v>
      </c>
      <c r="R30" s="100">
        <v>5114</v>
      </c>
      <c r="S30" s="100">
        <f t="shared" si="22"/>
        <v>25.970980353161575</v>
      </c>
      <c r="T30" s="101">
        <f t="shared" si="17"/>
        <v>5088.0290196468386</v>
      </c>
      <c r="U30" s="49">
        <v>40722</v>
      </c>
      <c r="V30" s="92"/>
      <c r="W30" s="92"/>
      <c r="X30" s="92"/>
      <c r="Y30" s="92"/>
      <c r="Z30" s="92"/>
      <c r="AE30" s="93">
        <f t="shared" si="23"/>
        <v>37787.5</v>
      </c>
      <c r="AF30" s="92">
        <f>Logistic2010!Q30</f>
        <v>5.0711194585093189E-3</v>
      </c>
      <c r="AG30" s="4">
        <f t="shared" si="18"/>
        <v>4.5541859663405402E-3</v>
      </c>
      <c r="AH30" s="92">
        <f>Logistic2011!Q30</f>
        <v>1.5634304169464023E-3</v>
      </c>
      <c r="AI30" s="92">
        <f>Logistic2012!Q30</f>
        <v>4.5541859663405402E-3</v>
      </c>
      <c r="AJ30" s="92">
        <f>Logistic2013!L30</f>
        <v>1.0389610148679944E-2</v>
      </c>
      <c r="AK30" s="119">
        <f>Logistic2014!AK30</f>
        <v>1.2798382995327439E-2</v>
      </c>
      <c r="AL30" s="119">
        <f t="shared" si="24"/>
        <v>4.547718234632037E-3</v>
      </c>
      <c r="AM30" s="113"/>
      <c r="AN30" s="113"/>
      <c r="AO30" s="113"/>
      <c r="AP30" s="113"/>
      <c r="AQ30" s="113"/>
      <c r="AR30" s="113"/>
      <c r="AS30" s="113"/>
      <c r="AT30" s="114"/>
      <c r="AU30" s="114"/>
    </row>
    <row r="31" spans="1:50" x14ac:dyDescent="0.25">
      <c r="B31" s="49"/>
      <c r="C31" s="79"/>
      <c r="D31" s="86" t="str">
        <f t="shared" si="30"/>
        <v/>
      </c>
      <c r="E31" s="81"/>
      <c r="F31" s="50" t="str">
        <f t="shared" si="31"/>
        <v/>
      </c>
      <c r="G31" s="16" t="str">
        <f t="shared" si="32"/>
        <v/>
      </c>
      <c r="H31" s="51" t="str">
        <f t="shared" si="33"/>
        <v/>
      </c>
      <c r="I31" s="54"/>
      <c r="J31" s="105">
        <f t="shared" si="10"/>
        <v>37788.5</v>
      </c>
      <c r="K31" s="109">
        <v>23</v>
      </c>
      <c r="L31" s="125">
        <f t="shared" si="5"/>
        <v>5.6090984854155097E-3</v>
      </c>
      <c r="M31" s="46">
        <f t="shared" si="11"/>
        <v>7.5362365201523903E-4</v>
      </c>
      <c r="N31" s="131">
        <v>7.5362365201523903E-4</v>
      </c>
      <c r="O31" s="89">
        <f t="shared" si="6"/>
        <v>7.5362365201523903E-4</v>
      </c>
      <c r="P31" s="48">
        <v>40345</v>
      </c>
      <c r="Q31" s="1">
        <v>6.0567243090960737E-3</v>
      </c>
      <c r="R31" s="100">
        <v>7184</v>
      </c>
      <c r="S31" s="100">
        <f t="shared" si="22"/>
        <v>44.991843490128758</v>
      </c>
      <c r="T31" s="101">
        <f t="shared" si="17"/>
        <v>7139.0081565098717</v>
      </c>
      <c r="U31" s="49">
        <v>40723</v>
      </c>
      <c r="V31" s="92"/>
      <c r="W31" s="92"/>
      <c r="X31" s="92"/>
      <c r="Y31" s="92"/>
      <c r="Z31" s="92"/>
      <c r="AE31" s="93">
        <f t="shared" si="23"/>
        <v>37788.5</v>
      </c>
      <c r="AF31" s="92">
        <f>Logistic2010!Q31</f>
        <v>6.18611330154804E-3</v>
      </c>
      <c r="AG31" s="4">
        <f t="shared" si="18"/>
        <v>6.0567243090960737E-3</v>
      </c>
      <c r="AH31" s="92">
        <f>Logistic2011!Q31</f>
        <v>2.0100329059479318E-3</v>
      </c>
      <c r="AI31" s="92">
        <f>Logistic2012!Q31</f>
        <v>6.0567243090960737E-3</v>
      </c>
      <c r="AJ31" s="92">
        <f>Logistic2013!L31</f>
        <v>1.263223931108238E-2</v>
      </c>
      <c r="AK31" s="119">
        <f>Logistic2014!AK31</f>
        <v>1.5452424589650317E-2</v>
      </c>
      <c r="AL31" s="119">
        <f t="shared" si="24"/>
        <v>5.6090984854155097E-3</v>
      </c>
      <c r="AM31" s="113"/>
      <c r="AO31" s="113"/>
      <c r="AP31" s="113"/>
      <c r="AQ31" s="113"/>
      <c r="AR31" t="s">
        <v>28</v>
      </c>
      <c r="AS31"/>
      <c r="AT31"/>
      <c r="AU31"/>
      <c r="AV31"/>
      <c r="AW31"/>
      <c r="AX31"/>
    </row>
    <row r="32" spans="1:50" x14ac:dyDescent="0.25">
      <c r="B32" s="49"/>
      <c r="C32" s="79"/>
      <c r="D32" s="86" t="str">
        <f t="shared" si="30"/>
        <v/>
      </c>
      <c r="E32" s="81"/>
      <c r="F32" s="50" t="str">
        <f t="shared" si="31"/>
        <v/>
      </c>
      <c r="G32" s="16" t="str">
        <f t="shared" si="32"/>
        <v/>
      </c>
      <c r="H32" s="51" t="str">
        <f t="shared" si="33"/>
        <v/>
      </c>
      <c r="I32" s="54"/>
      <c r="J32" s="105">
        <f t="shared" si="10"/>
        <v>37789.5</v>
      </c>
      <c r="K32" s="109">
        <v>24</v>
      </c>
      <c r="L32" s="125">
        <f t="shared" si="5"/>
        <v>6.9164704149544112E-3</v>
      </c>
      <c r="M32" s="46">
        <f t="shared" si="11"/>
        <v>1.0736251359755081E-3</v>
      </c>
      <c r="N32" s="131">
        <v>1.0736251359755081E-3</v>
      </c>
      <c r="O32" s="89">
        <f t="shared" si="6"/>
        <v>1.0736251359755081E-3</v>
      </c>
      <c r="P32" s="48">
        <v>40346</v>
      </c>
      <c r="Q32" s="1">
        <v>8.0509778061675936E-3</v>
      </c>
      <c r="R32" s="100">
        <v>8109</v>
      </c>
      <c r="S32" s="100">
        <f t="shared" si="22"/>
        <v>62.611304290618271</v>
      </c>
      <c r="T32" s="101">
        <f t="shared" si="17"/>
        <v>8046.3886957093819</v>
      </c>
      <c r="U32" s="49">
        <v>40724</v>
      </c>
      <c r="V32" s="92"/>
      <c r="W32" s="92"/>
      <c r="X32" s="92"/>
      <c r="Y32" s="92"/>
      <c r="Z32" s="92"/>
      <c r="AE32" s="93">
        <f t="shared" si="23"/>
        <v>37789.5</v>
      </c>
      <c r="AF32" s="92">
        <f>Logistic2010!Q32</f>
        <v>7.5444033609171311E-3</v>
      </c>
      <c r="AG32" s="4">
        <f t="shared" si="18"/>
        <v>8.0509778061675936E-3</v>
      </c>
      <c r="AH32" s="92">
        <f>Logistic2011!Q32</f>
        <v>2.5838796966125908E-3</v>
      </c>
      <c r="AI32" s="92">
        <f>Logistic2012!Q32</f>
        <v>8.0509778061675936E-3</v>
      </c>
      <c r="AJ32" s="92">
        <f>Logistic2013!L32</f>
        <v>1.5351437527105454E-2</v>
      </c>
      <c r="AK32" s="119">
        <f>Logistic2014!AK32</f>
        <v>1.864644764878538E-2</v>
      </c>
      <c r="AL32" s="119">
        <f t="shared" si="24"/>
        <v>6.9164704149544112E-3</v>
      </c>
      <c r="AM32" s="115"/>
      <c r="AN32" s="115"/>
      <c r="AP32" s="115"/>
      <c r="AQ32" s="115"/>
      <c r="AR32"/>
      <c r="AS32"/>
      <c r="AT32"/>
      <c r="AU32"/>
      <c r="AV32"/>
      <c r="AW32"/>
      <c r="AX32"/>
    </row>
    <row r="33" spans="2:50" ht="16.5" thickBot="1" x14ac:dyDescent="0.3">
      <c r="B33" s="49"/>
      <c r="C33" s="79"/>
      <c r="D33" s="86" t="str">
        <f t="shared" si="30"/>
        <v/>
      </c>
      <c r="E33" s="81"/>
      <c r="F33" s="50" t="str">
        <f t="shared" si="31"/>
        <v/>
      </c>
      <c r="G33" s="16" t="str">
        <f t="shared" si="32"/>
        <v/>
      </c>
      <c r="H33" s="51" t="str">
        <f t="shared" si="33"/>
        <v/>
      </c>
      <c r="I33" s="54"/>
      <c r="J33" s="105">
        <f t="shared" si="10"/>
        <v>37790.5</v>
      </c>
      <c r="K33" s="109">
        <v>25</v>
      </c>
      <c r="L33" s="125">
        <f t="shared" si="5"/>
        <v>8.5259526435283294E-3</v>
      </c>
      <c r="M33" s="46">
        <f t="shared" si="11"/>
        <v>1.5292967649937837E-3</v>
      </c>
      <c r="N33" s="131">
        <v>1.5292967649937837E-3</v>
      </c>
      <c r="O33" s="89">
        <f t="shared" si="6"/>
        <v>1.5292967649937837E-3</v>
      </c>
      <c r="P33" s="48">
        <v>40347</v>
      </c>
      <c r="Q33" s="1">
        <v>1.0694799271914295E-2</v>
      </c>
      <c r="R33" s="100">
        <v>18981</v>
      </c>
      <c r="S33" s="100">
        <f t="shared" si="22"/>
        <v>180.62278176973152</v>
      </c>
      <c r="T33" s="101">
        <f t="shared" si="17"/>
        <v>18800.377218230267</v>
      </c>
      <c r="U33" s="49">
        <v>40725</v>
      </c>
      <c r="V33" s="92">
        <v>0.35599999999999998</v>
      </c>
      <c r="W33" s="92"/>
      <c r="X33" s="92"/>
      <c r="Y33" s="92"/>
      <c r="Z33" s="92"/>
      <c r="AE33" s="93">
        <f t="shared" si="23"/>
        <v>37790.5</v>
      </c>
      <c r="AF33" s="92">
        <f>Logistic2010!Q33</f>
        <v>9.1981739546595914E-3</v>
      </c>
      <c r="AG33" s="4">
        <f t="shared" si="18"/>
        <v>1.0694799271914295E-2</v>
      </c>
      <c r="AH33" s="92">
        <f>Logistic2011!Q33</f>
        <v>3.3210095492913049E-3</v>
      </c>
      <c r="AI33" s="92">
        <f>Logistic2012!Q33</f>
        <v>1.0694799271914295E-2</v>
      </c>
      <c r="AJ33" s="92">
        <f>Logistic2013!L33</f>
        <v>1.8644913491254085E-2</v>
      </c>
      <c r="AK33" s="119">
        <f>Logistic2014!AK33</f>
        <v>2.2485598579313124E-2</v>
      </c>
      <c r="AL33" s="119">
        <f t="shared" si="24"/>
        <v>8.5259526435283294E-3</v>
      </c>
      <c r="AM33" s="110"/>
      <c r="AN33" s="110"/>
      <c r="AO33" s="110"/>
      <c r="AP33" s="110"/>
      <c r="AQ33" s="110"/>
      <c r="AR33" t="s">
        <v>29</v>
      </c>
      <c r="AS33"/>
      <c r="AT33"/>
      <c r="AU33"/>
      <c r="AV33"/>
      <c r="AW33"/>
      <c r="AX33"/>
    </row>
    <row r="34" spans="2:50" ht="16.5" thickBot="1" x14ac:dyDescent="0.3">
      <c r="B34" s="49"/>
      <c r="C34" s="79"/>
      <c r="D34" s="86" t="str">
        <f t="shared" si="30"/>
        <v/>
      </c>
      <c r="E34" s="81"/>
      <c r="F34" s="50" t="str">
        <f t="shared" si="31"/>
        <v/>
      </c>
      <c r="G34" s="16" t="str">
        <f t="shared" si="32"/>
        <v/>
      </c>
      <c r="H34" s="51" t="str">
        <f t="shared" si="33"/>
        <v/>
      </c>
      <c r="I34" s="54"/>
      <c r="J34" s="105">
        <f t="shared" si="10"/>
        <v>37791.5</v>
      </c>
      <c r="K34" s="109">
        <v>26</v>
      </c>
      <c r="L34" s="125">
        <f t="shared" si="5"/>
        <v>1.0506003709638681E-2</v>
      </c>
      <c r="M34" s="46">
        <f t="shared" si="11"/>
        <v>2.1779444332849758E-3</v>
      </c>
      <c r="N34" s="131">
        <v>2.1779444332849758E-3</v>
      </c>
      <c r="O34" s="89">
        <f t="shared" si="6"/>
        <v>2.1779444332849758E-3</v>
      </c>
      <c r="P34" s="48">
        <v>40348</v>
      </c>
      <c r="Q34" s="1">
        <v>1.4194388945639416E-2</v>
      </c>
      <c r="R34" s="100">
        <v>7954</v>
      </c>
      <c r="S34" s="100">
        <f t="shared" si="22"/>
        <v>93.244345473636614</v>
      </c>
      <c r="T34" s="101">
        <f t="shared" si="17"/>
        <v>7860.7556545263633</v>
      </c>
      <c r="U34" s="49">
        <v>40726</v>
      </c>
      <c r="V34" s="92"/>
      <c r="W34" s="92"/>
      <c r="X34" s="92"/>
      <c r="Y34" s="92"/>
      <c r="Z34" s="92"/>
      <c r="AE34" s="93">
        <f t="shared" si="23"/>
        <v>37791.5</v>
      </c>
      <c r="AF34" s="92">
        <f>Logistic2010!Q34</f>
        <v>1.1210364440860094E-2</v>
      </c>
      <c r="AG34" s="4">
        <f t="shared" si="18"/>
        <v>1.4194388945639416E-2</v>
      </c>
      <c r="AH34" s="92">
        <f>Logistic2011!Q34</f>
        <v>4.2675282552662704E-3</v>
      </c>
      <c r="AI34" s="92">
        <f>Logistic2012!Q34</f>
        <v>1.4194388945639416E-2</v>
      </c>
      <c r="AJ34" s="92">
        <f>Logistic2013!L34</f>
        <v>2.2628728952144059E-2</v>
      </c>
      <c r="AK34" s="119">
        <f>Logistic2014!AK34</f>
        <v>2.7093376387433324E-2</v>
      </c>
      <c r="AL34" s="119">
        <f t="shared" si="24"/>
        <v>1.0506003709638681E-2</v>
      </c>
      <c r="AM34" s="110"/>
      <c r="AN34" s="110"/>
      <c r="AO34" s="110"/>
      <c r="AQ34" s="110"/>
      <c r="AR34" s="112" t="s">
        <v>30</v>
      </c>
      <c r="AS34" s="112" t="s">
        <v>31</v>
      </c>
      <c r="AT34" s="112" t="s">
        <v>32</v>
      </c>
      <c r="AU34" s="112" t="s">
        <v>33</v>
      </c>
      <c r="AV34" s="112" t="s">
        <v>34</v>
      </c>
      <c r="AW34"/>
      <c r="AX34"/>
    </row>
    <row r="35" spans="2:50" x14ac:dyDescent="0.25">
      <c r="B35" s="49"/>
      <c r="C35" s="79"/>
      <c r="D35" s="86" t="str">
        <f t="shared" si="30"/>
        <v/>
      </c>
      <c r="E35" s="81"/>
      <c r="F35" s="50" t="str">
        <f t="shared" si="31"/>
        <v/>
      </c>
      <c r="G35" s="16" t="str">
        <f t="shared" si="32"/>
        <v/>
      </c>
      <c r="H35" s="51" t="str">
        <f t="shared" si="33"/>
        <v/>
      </c>
      <c r="I35" s="54"/>
      <c r="J35" s="105">
        <f t="shared" si="10"/>
        <v>37792.5</v>
      </c>
      <c r="K35" s="109">
        <v>27</v>
      </c>
      <c r="L35" s="125">
        <f t="shared" si="5"/>
        <v>1.2939896585467332E-2</v>
      </c>
      <c r="M35" s="46">
        <f t="shared" si="11"/>
        <v>3.1008600796789275E-3</v>
      </c>
      <c r="N35" s="131">
        <v>3.1008600796789275E-3</v>
      </c>
      <c r="O35" s="89">
        <f t="shared" si="6"/>
        <v>3.1008600796789275E-3</v>
      </c>
      <c r="P35" s="48">
        <v>40349</v>
      </c>
      <c r="Q35" s="1">
        <v>1.8817345014281332E-2</v>
      </c>
      <c r="R35" s="100">
        <v>10420</v>
      </c>
      <c r="S35" s="100">
        <f t="shared" si="22"/>
        <v>150.40468517108945</v>
      </c>
      <c r="T35" s="101">
        <f t="shared" si="17"/>
        <v>10269.59531482891</v>
      </c>
      <c r="U35" s="40">
        <v>40727</v>
      </c>
      <c r="AE35" s="93">
        <f t="shared" si="23"/>
        <v>37792.5</v>
      </c>
      <c r="AF35" s="92">
        <f>Logistic2010!Q35</f>
        <v>1.3656673980419356E-2</v>
      </c>
      <c r="AG35" s="4">
        <f t="shared" si="18"/>
        <v>1.8817345014281332E-2</v>
      </c>
      <c r="AH35" s="92">
        <f>Logistic2011!Q35</f>
        <v>5.4823297455268887E-3</v>
      </c>
      <c r="AI35" s="92">
        <f>Logistic2012!Q35</f>
        <v>1.8817345014281332E-2</v>
      </c>
      <c r="AJ35" s="92">
        <f>Logistic2013!L35</f>
        <v>2.7439956026617411E-2</v>
      </c>
      <c r="AK35" s="119">
        <f>Logistic2014!AK35</f>
        <v>3.2613882518552371E-2</v>
      </c>
      <c r="AL35" s="119">
        <f t="shared" si="24"/>
        <v>1.2939896585467332E-2</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30"/>
        <v/>
      </c>
      <c r="E36" s="81"/>
      <c r="F36" s="50" t="str">
        <f t="shared" si="31"/>
        <v/>
      </c>
      <c r="G36" s="16" t="str">
        <f t="shared" si="32"/>
        <v/>
      </c>
      <c r="H36" s="51" t="str">
        <f t="shared" si="33"/>
        <v/>
      </c>
      <c r="I36" s="54"/>
      <c r="J36" s="105">
        <f t="shared" si="10"/>
        <v>37793.5</v>
      </c>
      <c r="K36" s="109">
        <v>28</v>
      </c>
      <c r="L36" s="125">
        <f t="shared" si="5"/>
        <v>1.5928565059655404E-2</v>
      </c>
      <c r="M36" s="46">
        <f t="shared" si="11"/>
        <v>4.4131364833405974E-3</v>
      </c>
      <c r="N36" s="131">
        <v>4.4131364833405974E-3</v>
      </c>
      <c r="O36" s="89">
        <f t="shared" si="6"/>
        <v>4.4131364833405974E-3</v>
      </c>
      <c r="P36" s="48">
        <v>40350</v>
      </c>
      <c r="Q36" s="1">
        <v>2.4907904460513997E-2</v>
      </c>
      <c r="R36" s="100">
        <v>14984</v>
      </c>
      <c r="S36" s="100">
        <f t="shared" si="22"/>
        <v>266.13363437794112</v>
      </c>
      <c r="T36" s="101">
        <f t="shared" si="17"/>
        <v>14717.86636562206</v>
      </c>
      <c r="U36" s="49">
        <v>40728</v>
      </c>
      <c r="AE36" s="93">
        <f t="shared" si="23"/>
        <v>37793.5</v>
      </c>
      <c r="AF36" s="92">
        <f>Logistic2010!Q36</f>
        <v>1.6627836578475143E-2</v>
      </c>
      <c r="AG36" s="4">
        <f t="shared" si="18"/>
        <v>2.4907904460513997E-2</v>
      </c>
      <c r="AH36" s="92">
        <f>Logistic2011!Q36</f>
        <v>7.0404935024234346E-3</v>
      </c>
      <c r="AI36" s="92">
        <f>Logistic2012!Q36</f>
        <v>2.4907904460513997E-2</v>
      </c>
      <c r="AJ36" s="92">
        <f>Logistic2013!L36</f>
        <v>3.3239337178441269E-2</v>
      </c>
      <c r="AK36" s="119">
        <f>Logistic2014!AK36</f>
        <v>3.9213900655283261E-2</v>
      </c>
      <c r="AL36" s="119">
        <f t="shared" si="24"/>
        <v>1.5928565059655404E-2</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30"/>
        <v/>
      </c>
      <c r="E37" s="81"/>
      <c r="F37" s="50" t="str">
        <f t="shared" si="31"/>
        <v/>
      </c>
      <c r="G37" s="16" t="str">
        <f t="shared" si="32"/>
        <v/>
      </c>
      <c r="H37" s="51" t="str">
        <f t="shared" si="33"/>
        <v/>
      </c>
      <c r="I37" s="54"/>
      <c r="J37" s="105">
        <f t="shared" si="10"/>
        <v>37794.5</v>
      </c>
      <c r="K37" s="109">
        <v>29</v>
      </c>
      <c r="L37" s="125">
        <f t="shared" si="5"/>
        <v>1.9593810057528405E-2</v>
      </c>
      <c r="M37" s="46">
        <f t="shared" si="11"/>
        <v>6.2772681143683619E-3</v>
      </c>
      <c r="N37" s="131">
        <v>6.2772681143683619E-3</v>
      </c>
      <c r="O37" s="89">
        <f t="shared" si="6"/>
        <v>6.2772681143683619E-3</v>
      </c>
      <c r="P37" s="48">
        <v>40351</v>
      </c>
      <c r="Q37" s="1">
        <v>3.2903671432563369E-2</v>
      </c>
      <c r="R37" s="100">
        <v>16806</v>
      </c>
      <c r="S37" s="100">
        <f t="shared" si="22"/>
        <v>367.00621591668289</v>
      </c>
      <c r="T37" s="101">
        <f t="shared" si="17"/>
        <v>16438.993784083315</v>
      </c>
      <c r="U37" s="49">
        <v>40729</v>
      </c>
      <c r="V37" s="4">
        <v>0.51500000000000001</v>
      </c>
      <c r="AE37" s="93">
        <f t="shared" si="23"/>
        <v>37794.5</v>
      </c>
      <c r="AF37" s="92">
        <f>Logistic2010!Q37</f>
        <v>2.0232149587218227E-2</v>
      </c>
      <c r="AG37" s="4">
        <f t="shared" si="18"/>
        <v>3.2903671432563369E-2</v>
      </c>
      <c r="AH37" s="92">
        <f>Logistic2011!Q37</f>
        <v>9.0374873855469922E-3</v>
      </c>
      <c r="AI37" s="92">
        <f>Logistic2012!Q37</f>
        <v>3.2903671432563369E-2</v>
      </c>
      <c r="AJ37" s="92">
        <f>Logistic2013!L37</f>
        <v>4.0213726080353264E-2</v>
      </c>
      <c r="AK37" s="119">
        <f>Logistic2014!AK37</f>
        <v>4.7084545759597696E-2</v>
      </c>
      <c r="AL37" s="119">
        <f t="shared" si="24"/>
        <v>1.9593810057528405E-2</v>
      </c>
      <c r="AM37" s="113"/>
      <c r="AN37" s="113"/>
      <c r="AO37" s="113"/>
      <c r="AP37" s="113"/>
      <c r="AQ37" s="113"/>
      <c r="AR37"/>
      <c r="AS37"/>
      <c r="AT37"/>
      <c r="AU37"/>
      <c r="AV37"/>
      <c r="AW37"/>
      <c r="AX37"/>
    </row>
    <row r="38" spans="2:50" x14ac:dyDescent="0.25">
      <c r="B38" s="49"/>
      <c r="C38" s="79"/>
      <c r="D38" s="86" t="str">
        <f t="shared" si="30"/>
        <v/>
      </c>
      <c r="E38" s="81"/>
      <c r="F38" s="50" t="str">
        <f t="shared" si="31"/>
        <v/>
      </c>
      <c r="G38" s="16" t="str">
        <f t="shared" si="32"/>
        <v/>
      </c>
      <c r="H38" s="51" t="str">
        <f t="shared" si="33"/>
        <v/>
      </c>
      <c r="I38" s="54"/>
      <c r="J38" s="105">
        <f t="shared" si="10"/>
        <v>37795.5</v>
      </c>
      <c r="K38" s="109">
        <v>30</v>
      </c>
      <c r="L38" s="125">
        <f t="shared" si="5"/>
        <v>2.4081807688119922E-2</v>
      </c>
      <c r="M38" s="46">
        <f t="shared" si="11"/>
        <v>8.9217622649491162E-3</v>
      </c>
      <c r="N38" s="131">
        <v>8.9217622649491162E-3</v>
      </c>
      <c r="O38" s="89">
        <f t="shared" si="6"/>
        <v>8.9217622649491162E-3</v>
      </c>
      <c r="P38" s="48">
        <v>40352</v>
      </c>
      <c r="Q38" s="1">
        <v>4.3352069231991391E-2</v>
      </c>
      <c r="R38" s="100">
        <v>28505</v>
      </c>
      <c r="S38" s="100">
        <f t="shared" si="22"/>
        <v>764.62660532831433</v>
      </c>
      <c r="T38" s="101">
        <f t="shared" si="17"/>
        <v>27740.373394671686</v>
      </c>
      <c r="U38" s="49"/>
      <c r="AE38" s="93">
        <f t="shared" si="23"/>
        <v>37795.5</v>
      </c>
      <c r="AF38" s="92">
        <f>Logistic2010!Q38</f>
        <v>2.4598204014952465E-2</v>
      </c>
      <c r="AG38" s="4">
        <f t="shared" si="18"/>
        <v>4.3352069231991391E-2</v>
      </c>
      <c r="AH38" s="92">
        <f>Logistic2011!Q38</f>
        <v>1.1594302653630432E-2</v>
      </c>
      <c r="AI38" s="92">
        <f>Logistic2012!Q38</f>
        <v>4.3352069231991391E-2</v>
      </c>
      <c r="AJ38" s="92">
        <f>Logistic2013!L38</f>
        <v>4.8577971912167145E-2</v>
      </c>
      <c r="AK38" s="119">
        <f>Logistic2014!AK38</f>
        <v>5.6442110719466705E-2</v>
      </c>
      <c r="AL38" s="119">
        <f t="shared" si="24"/>
        <v>2.4081807688119922E-2</v>
      </c>
      <c r="AM38" s="115"/>
      <c r="AQ38" s="115"/>
      <c r="AR38"/>
      <c r="AS38"/>
      <c r="AT38"/>
      <c r="AU38"/>
      <c r="AV38"/>
      <c r="AW38"/>
      <c r="AX38"/>
    </row>
    <row r="39" spans="2:50" ht="16.5" thickBot="1" x14ac:dyDescent="0.3">
      <c r="B39" s="49"/>
      <c r="C39" s="79"/>
      <c r="D39" s="86" t="str">
        <f t="shared" si="30"/>
        <v/>
      </c>
      <c r="E39" s="81"/>
      <c r="F39" s="50" t="str">
        <f t="shared" si="31"/>
        <v/>
      </c>
      <c r="G39" s="16" t="str">
        <f t="shared" si="32"/>
        <v/>
      </c>
      <c r="H39" s="51" t="str">
        <f t="shared" si="33"/>
        <v/>
      </c>
      <c r="I39" s="54"/>
      <c r="J39" s="105">
        <f t="shared" si="10"/>
        <v>37796.5</v>
      </c>
      <c r="K39" s="109">
        <v>31</v>
      </c>
      <c r="L39" s="125">
        <f t="shared" si="5"/>
        <v>2.9566787669067538E-2</v>
      </c>
      <c r="M39" s="46">
        <f t="shared" si="11"/>
        <v>1.2666131545885561E-2</v>
      </c>
      <c r="N39" s="131">
        <v>1.2666131545885561E-2</v>
      </c>
      <c r="O39" s="89">
        <f t="shared" si="6"/>
        <v>1.2666131545885561E-2</v>
      </c>
      <c r="P39" s="48">
        <v>40353</v>
      </c>
      <c r="Q39" s="1">
        <v>5.6923017026269736E-2</v>
      </c>
      <c r="R39" s="100">
        <v>37919</v>
      </c>
      <c r="S39" s="100">
        <f t="shared" si="22"/>
        <v>1247.9413807390122</v>
      </c>
      <c r="T39" s="101">
        <f t="shared" si="17"/>
        <v>36671.058619260984</v>
      </c>
      <c r="U39" s="49"/>
      <c r="AE39" s="93">
        <f t="shared" si="23"/>
        <v>37796.5</v>
      </c>
      <c r="AF39" s="92">
        <f>Logistic2010!Q39</f>
        <v>2.9877711971165448E-2</v>
      </c>
      <c r="AG39" s="4">
        <f t="shared" si="18"/>
        <v>5.6923017026269736E-2</v>
      </c>
      <c r="AH39" s="92">
        <f>Logistic2011!Q39</f>
        <v>1.4863622388293144E-2</v>
      </c>
      <c r="AI39" s="92">
        <f>Logistic2012!Q39</f>
        <v>5.6923017026269736E-2</v>
      </c>
      <c r="AJ39" s="92">
        <f>Logistic2013!L39</f>
        <v>5.8575762266613804E-2</v>
      </c>
      <c r="AK39" s="119">
        <f>Logistic2014!AK39</f>
        <v>6.7527607102486259E-2</v>
      </c>
      <c r="AL39" s="119">
        <f t="shared" si="24"/>
        <v>2.9566787669067538E-2</v>
      </c>
      <c r="AM39" s="110"/>
      <c r="AN39" s="110"/>
      <c r="AP39" s="110"/>
      <c r="AQ39" s="110"/>
      <c r="AR39" t="s">
        <v>35</v>
      </c>
      <c r="AS39"/>
      <c r="AT39"/>
      <c r="AU39"/>
      <c r="AV39"/>
      <c r="AW39"/>
      <c r="AX39"/>
    </row>
    <row r="40" spans="2:50" x14ac:dyDescent="0.25">
      <c r="B40" s="49"/>
      <c r="C40" s="79"/>
      <c r="D40" s="86" t="str">
        <f t="shared" si="30"/>
        <v/>
      </c>
      <c r="E40" s="81"/>
      <c r="F40" s="50" t="str">
        <f t="shared" si="31"/>
        <v/>
      </c>
      <c r="G40" s="16" t="str">
        <f t="shared" si="32"/>
        <v/>
      </c>
      <c r="H40" s="51" t="str">
        <f t="shared" si="33"/>
        <v/>
      </c>
      <c r="I40" s="54"/>
      <c r="J40" s="105">
        <f t="shared" si="10"/>
        <v>37797.5</v>
      </c>
      <c r="K40" s="109">
        <v>32</v>
      </c>
      <c r="L40" s="125">
        <f t="shared" si="5"/>
        <v>3.6254641205059529E-2</v>
      </c>
      <c r="M40" s="46">
        <f t="shared" si="11"/>
        <v>1.7953505605503725E-2</v>
      </c>
      <c r="N40" s="131">
        <v>1.7953505605503725E-2</v>
      </c>
      <c r="O40" s="89">
        <f t="shared" si="6"/>
        <v>1.7953505605503725E-2</v>
      </c>
      <c r="P40" s="48">
        <v>40354</v>
      </c>
      <c r="Q40" s="1">
        <v>7.4411773683001156E-2</v>
      </c>
      <c r="R40" s="100">
        <v>41134</v>
      </c>
      <c r="S40" s="100">
        <f t="shared" si="22"/>
        <v>1658.5373284315617</v>
      </c>
      <c r="T40" s="101">
        <f t="shared" si="17"/>
        <v>39475.462671568435</v>
      </c>
      <c r="U40" s="49"/>
      <c r="AE40" s="93">
        <f t="shared" si="23"/>
        <v>37797.5</v>
      </c>
      <c r="AF40" s="92">
        <f>Logistic2010!Q40</f>
        <v>3.624824956962025E-2</v>
      </c>
      <c r="AG40" s="4">
        <f t="shared" si="18"/>
        <v>7.4411773683001156E-2</v>
      </c>
      <c r="AH40" s="92">
        <f>Logistic2011!Q40</f>
        <v>1.9037057560494706E-2</v>
      </c>
      <c r="AI40" s="92">
        <f>Logistic2012!Q40</f>
        <v>7.4411773683001156E-2</v>
      </c>
      <c r="AJ40" s="92">
        <f>Logistic2013!L40</f>
        <v>7.0478765060004542E-2</v>
      </c>
      <c r="AK40" s="119">
        <f>Logistic2014!AK40</f>
        <v>8.060435401777398E-2</v>
      </c>
      <c r="AL40" s="119">
        <f t="shared" si="24"/>
        <v>3.6254641205059529E-2</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30"/>
        <v/>
      </c>
      <c r="E41" s="81"/>
      <c r="F41" s="50" t="str">
        <f t="shared" si="31"/>
        <v/>
      </c>
      <c r="G41" s="16" t="str">
        <f t="shared" si="32"/>
        <v/>
      </c>
      <c r="H41" s="51" t="str">
        <f t="shared" si="33"/>
        <v/>
      </c>
      <c r="I41" s="54"/>
      <c r="J41" s="105">
        <f t="shared" si="10"/>
        <v>37798.5</v>
      </c>
      <c r="K41" s="109">
        <v>33</v>
      </c>
      <c r="L41" s="125">
        <f t="shared" si="5"/>
        <v>4.4386061300486328E-2</v>
      </c>
      <c r="M41" s="46">
        <f t="shared" si="11"/>
        <v>2.5391289272607597E-2</v>
      </c>
      <c r="N41" s="131">
        <v>2.5391289272607597E-2</v>
      </c>
      <c r="O41" s="89">
        <f t="shared" si="6"/>
        <v>2.5391289272607597E-2</v>
      </c>
      <c r="P41" s="48">
        <v>40355</v>
      </c>
      <c r="Q41" s="1">
        <v>9.6722617460862401E-2</v>
      </c>
      <c r="R41" s="100">
        <v>21594</v>
      </c>
      <c r="S41" s="100">
        <f t="shared" si="22"/>
        <v>1064.850554248671</v>
      </c>
      <c r="T41" s="101">
        <f t="shared" si="17"/>
        <v>20529.149445751329</v>
      </c>
      <c r="U41" s="49"/>
      <c r="AE41" s="93">
        <f t="shared" si="23"/>
        <v>37798.5</v>
      </c>
      <c r="AF41" s="92">
        <f>Logistic2010!Q41</f>
        <v>4.3915626721520266E-2</v>
      </c>
      <c r="AG41" s="4">
        <f t="shared" si="18"/>
        <v>9.6722617460862401E-2</v>
      </c>
      <c r="AH41" s="92">
        <f>Logistic2011!Q41</f>
        <v>2.4353349085554369E-2</v>
      </c>
      <c r="AI41" s="92">
        <f>Logistic2012!Q41</f>
        <v>9.6722617460862401E-2</v>
      </c>
      <c r="AJ41" s="92">
        <f>Logistic2013!L41</f>
        <v>8.458322376954866E-2</v>
      </c>
      <c r="AK41" s="119">
        <f>Logistic2014!AK41</f>
        <v>9.5952838664410234E-2</v>
      </c>
      <c r="AL41" s="119">
        <f t="shared" si="24"/>
        <v>4.4386061300486328E-2</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30"/>
        <v/>
      </c>
      <c r="E42" s="81"/>
      <c r="F42" s="50" t="str">
        <f t="shared" si="31"/>
        <v/>
      </c>
      <c r="G42" s="16" t="str">
        <f t="shared" si="32"/>
        <v/>
      </c>
      <c r="H42" s="51" t="str">
        <f t="shared" si="33"/>
        <v/>
      </c>
      <c r="I42" s="54"/>
      <c r="J42" s="105">
        <f t="shared" si="10"/>
        <v>37799.5</v>
      </c>
      <c r="K42" s="109">
        <v>34</v>
      </c>
      <c r="L42" s="125">
        <f t="shared" si="5"/>
        <v>5.4238607982524778E-2</v>
      </c>
      <c r="M42" s="46">
        <f t="shared" si="11"/>
        <v>3.5798078010252969E-2</v>
      </c>
      <c r="N42" s="131">
        <v>3.5798078010252969E-2</v>
      </c>
      <c r="O42" s="89">
        <f t="shared" si="6"/>
        <v>3.5798078010252969E-2</v>
      </c>
      <c r="P42" s="48">
        <v>40356</v>
      </c>
      <c r="Q42" s="1">
        <v>0.12482080008468176</v>
      </c>
      <c r="R42" s="100">
        <v>17704</v>
      </c>
      <c r="S42" s="100">
        <f t="shared" si="22"/>
        <v>1065.474818177094</v>
      </c>
      <c r="T42" s="101">
        <f t="shared" si="17"/>
        <v>16638.525181822904</v>
      </c>
      <c r="AE42" s="93">
        <f t="shared" si="23"/>
        <v>37799.5</v>
      </c>
      <c r="AF42" s="92">
        <f>Logistic2010!Q42</f>
        <v>5.3115454143665003E-2</v>
      </c>
      <c r="AG42" s="4">
        <f t="shared" si="18"/>
        <v>0.12482080008468176</v>
      </c>
      <c r="AH42" s="92">
        <f>Logistic2011!Q42</f>
        <v>3.1107190112750017E-2</v>
      </c>
      <c r="AI42" s="92">
        <f>Logistic2012!Q42</f>
        <v>0.12482080008468176</v>
      </c>
      <c r="AJ42" s="92">
        <f>Logistic2013!L42</f>
        <v>0.1012029979928537</v>
      </c>
      <c r="AK42" s="119">
        <f>Logistic2014!AK42</f>
        <v>0.11386199412717302</v>
      </c>
      <c r="AL42" s="119">
        <f t="shared" si="24"/>
        <v>5.4238607982524778E-2</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30"/>
        <v/>
      </c>
      <c r="E43" s="81"/>
      <c r="F43" s="50" t="str">
        <f t="shared" si="31"/>
        <v/>
      </c>
      <c r="G43" s="16" t="str">
        <f t="shared" si="32"/>
        <v/>
      </c>
      <c r="H43" s="51" t="str">
        <f t="shared" si="33"/>
        <v/>
      </c>
      <c r="I43" s="54"/>
      <c r="J43" s="105">
        <f t="shared" si="10"/>
        <v>37800.5</v>
      </c>
      <c r="K43" s="109">
        <v>35</v>
      </c>
      <c r="L43" s="125">
        <f t="shared" si="5"/>
        <v>6.6126825611814793E-2</v>
      </c>
      <c r="M43" s="46">
        <f t="shared" si="11"/>
        <v>5.0250242425127004E-2</v>
      </c>
      <c r="N43" s="131">
        <v>5.0250242425127004E-2</v>
      </c>
      <c r="O43" s="89">
        <f t="shared" si="6"/>
        <v>5.0250242425127004E-2</v>
      </c>
      <c r="P43" s="48">
        <v>40357</v>
      </c>
      <c r="Q43" s="1">
        <v>0.15963897994445775</v>
      </c>
      <c r="R43" s="100">
        <v>13702</v>
      </c>
      <c r="S43" s="100">
        <f t="shared" si="22"/>
        <v>1003.8500447845983</v>
      </c>
      <c r="T43" s="101">
        <f t="shared" si="17"/>
        <v>12698.149955215402</v>
      </c>
      <c r="U43" s="40">
        <v>40705</v>
      </c>
      <c r="AE43" s="93">
        <f t="shared" si="23"/>
        <v>37800.5</v>
      </c>
      <c r="AF43" s="92">
        <f>Logistic2010!Q43</f>
        <v>6.4113302836932173E-2</v>
      </c>
      <c r="AG43" s="4">
        <f t="shared" si="18"/>
        <v>0.15963897994445775</v>
      </c>
      <c r="AH43" s="92">
        <f>Logistic2011!Q43</f>
        <v>3.9657919254324193E-2</v>
      </c>
      <c r="AI43" s="92">
        <f>Logistic2012!Q43</f>
        <v>0.15963897994445775</v>
      </c>
      <c r="AJ43" s="92">
        <f>Logistic2013!L43</f>
        <v>0.12065796431808783</v>
      </c>
      <c r="AK43" s="119">
        <f>Logistic2014!AK43</f>
        <v>0.13461607593232877</v>
      </c>
      <c r="AL43" s="119">
        <f t="shared" si="24"/>
        <v>6.6126825611814793E-2</v>
      </c>
      <c r="AM43" s="114"/>
      <c r="AN43" s="114"/>
      <c r="AP43" s="114"/>
      <c r="AQ43" s="114"/>
      <c r="AR43" s="110"/>
      <c r="AS43" s="110"/>
      <c r="AT43" s="110"/>
      <c r="AU43" s="110"/>
      <c r="AV43" s="110"/>
      <c r="AW43" s="110"/>
      <c r="AX43" s="110"/>
    </row>
    <row r="44" spans="2:50" ht="16.5" thickBot="1" x14ac:dyDescent="0.3">
      <c r="B44" s="49"/>
      <c r="C44" s="79"/>
      <c r="D44" s="86" t="str">
        <f t="shared" si="30"/>
        <v/>
      </c>
      <c r="E44" s="81"/>
      <c r="F44" s="50" t="str">
        <f t="shared" si="31"/>
        <v/>
      </c>
      <c r="G44" s="16" t="str">
        <f t="shared" si="32"/>
        <v/>
      </c>
      <c r="H44" s="51" t="str">
        <f t="shared" si="33"/>
        <v/>
      </c>
      <c r="I44" s="54"/>
      <c r="J44" s="105">
        <f t="shared" si="10"/>
        <v>37801.5</v>
      </c>
      <c r="K44" s="109">
        <v>36</v>
      </c>
      <c r="L44" s="125">
        <f t="shared" si="5"/>
        <v>8.0399235515699191E-2</v>
      </c>
      <c r="M44" s="46">
        <f t="shared" si="11"/>
        <v>7.0112677039206914E-2</v>
      </c>
      <c r="N44" s="131">
        <v>7.0112677039206914E-2</v>
      </c>
      <c r="O44" s="89">
        <f t="shared" si="6"/>
        <v>7.0112677039206914E-2</v>
      </c>
      <c r="P44" s="48">
        <v>40358</v>
      </c>
      <c r="Q44" s="1">
        <v>0.20192861027500136</v>
      </c>
      <c r="R44" s="100">
        <v>6021</v>
      </c>
      <c r="S44" s="100">
        <f t="shared" si="22"/>
        <v>535.3571129621921</v>
      </c>
      <c r="T44" s="101">
        <f t="shared" si="17"/>
        <v>5485.6428870378077</v>
      </c>
      <c r="U44" s="49">
        <v>40706</v>
      </c>
      <c r="V44" s="95"/>
      <c r="W44" s="95"/>
      <c r="X44" s="95"/>
      <c r="Y44" s="95"/>
      <c r="Z44" s="95"/>
      <c r="AE44" s="93">
        <f t="shared" si="23"/>
        <v>37801.5</v>
      </c>
      <c r="AF44" s="92">
        <f>Logistic2010!Q44</f>
        <v>7.72026520734653E-2</v>
      </c>
      <c r="AG44" s="4">
        <f t="shared" si="18"/>
        <v>0.20192861027500136</v>
      </c>
      <c r="AH44" s="92">
        <f>Logistic2011!Q44</f>
        <v>5.0436715072649276E-2</v>
      </c>
      <c r="AI44" s="92">
        <f>Logistic2012!Q44</f>
        <v>0.20192861027500136</v>
      </c>
      <c r="AJ44" s="92">
        <f>Logistic2013!L44</f>
        <v>0.14325679323024673</v>
      </c>
      <c r="AK44" s="119">
        <f>Logistic2014!AK44</f>
        <v>0.15847654981878281</v>
      </c>
      <c r="AL44" s="119">
        <f t="shared" si="24"/>
        <v>8.0399235515699191E-2</v>
      </c>
      <c r="AM44" s="113"/>
      <c r="AQ44" s="113"/>
      <c r="AR44" s="111" t="s">
        <v>45</v>
      </c>
      <c r="AS44" s="111">
        <v>2.7416072727272724</v>
      </c>
      <c r="AT44" s="111">
        <v>21</v>
      </c>
      <c r="AU44" s="111"/>
      <c r="AV44" s="111"/>
      <c r="AW44" s="111"/>
      <c r="AX44" s="111"/>
    </row>
    <row r="45" spans="2:50" x14ac:dyDescent="0.25">
      <c r="B45" s="49"/>
      <c r="C45" s="79"/>
      <c r="D45" s="86" t="str">
        <f t="shared" si="30"/>
        <v/>
      </c>
      <c r="E45" s="81"/>
      <c r="F45" s="50" t="str">
        <f t="shared" si="31"/>
        <v/>
      </c>
      <c r="G45" s="16" t="str">
        <f t="shared" si="32"/>
        <v/>
      </c>
      <c r="H45" s="51" t="str">
        <f t="shared" si="33"/>
        <v/>
      </c>
      <c r="I45" s="54"/>
      <c r="J45" s="105">
        <f t="shared" si="10"/>
        <v>37802.5</v>
      </c>
      <c r="K45" s="109">
        <v>37</v>
      </c>
      <c r="L45" s="125">
        <f t="shared" si="5"/>
        <v>9.7430730590327086E-2</v>
      </c>
      <c r="M45" s="46">
        <f t="shared" si="11"/>
        <v>9.7024102357607847E-2</v>
      </c>
      <c r="N45" s="131">
        <v>9.7024102357607847E-2</v>
      </c>
      <c r="O45" s="89">
        <f t="shared" si="6"/>
        <v>9.7024102357607847E-2</v>
      </c>
      <c r="P45" s="48">
        <v>40359</v>
      </c>
      <c r="Q45" s="1">
        <v>0.25206087357123486</v>
      </c>
      <c r="R45" s="100">
        <v>4676</v>
      </c>
      <c r="S45" s="100">
        <f t="shared" si="22"/>
        <v>502.76219177555885</v>
      </c>
      <c r="T45" s="101">
        <f t="shared" si="17"/>
        <v>4173.2378082244413</v>
      </c>
      <c r="U45" s="49">
        <v>40707</v>
      </c>
      <c r="V45" s="95"/>
      <c r="W45" s="95"/>
      <c r="X45" s="95"/>
      <c r="Y45" s="95"/>
      <c r="Z45" s="95"/>
      <c r="AE45" s="93">
        <f t="shared" si="23"/>
        <v>37802.5</v>
      </c>
      <c r="AF45" s="92">
        <f>Logistic2010!Q45</f>
        <v>9.2699625095272714E-2</v>
      </c>
      <c r="AG45" s="4">
        <f t="shared" si="18"/>
        <v>0.25206087357123486</v>
      </c>
      <c r="AH45" s="92">
        <f>Logistic2011!Q45</f>
        <v>6.3950040299436198E-2</v>
      </c>
      <c r="AI45" s="92">
        <f>Logistic2012!Q45</f>
        <v>0.25206087357123486</v>
      </c>
      <c r="AJ45" s="92">
        <f>Logistic2013!L45</f>
        <v>0.16927351386641812</v>
      </c>
      <c r="AK45" s="119">
        <f>Logistic2014!AK45</f>
        <v>0.18565891661671166</v>
      </c>
      <c r="AL45" s="119">
        <f t="shared" si="24"/>
        <v>9.7430730590327086E-2</v>
      </c>
      <c r="AM45" s="113"/>
      <c r="AN45" s="113"/>
      <c r="AP45" s="113"/>
      <c r="AQ45" s="113"/>
      <c r="AR45" s="113"/>
      <c r="AS45" s="113"/>
      <c r="AT45" s="114"/>
      <c r="AU45" s="114"/>
    </row>
    <row r="46" spans="2:50" x14ac:dyDescent="0.25">
      <c r="B46" s="49"/>
      <c r="C46" s="79"/>
      <c r="D46" s="86" t="str">
        <f t="shared" si="30"/>
        <v/>
      </c>
      <c r="E46" s="81"/>
      <c r="F46" s="50" t="str">
        <f t="shared" si="31"/>
        <v/>
      </c>
      <c r="G46" s="16" t="str">
        <f t="shared" si="32"/>
        <v/>
      </c>
      <c r="H46" s="51" t="str">
        <f t="shared" si="33"/>
        <v/>
      </c>
      <c r="I46" s="54"/>
      <c r="J46" s="105">
        <f t="shared" si="10"/>
        <v>37803.5</v>
      </c>
      <c r="K46" s="109">
        <v>38</v>
      </c>
      <c r="L46" s="125">
        <f t="shared" si="5"/>
        <v>0.11760870130683239</v>
      </c>
      <c r="M46" s="46">
        <f t="shared" si="11"/>
        <v>0.13278990299316346</v>
      </c>
      <c r="N46" s="131">
        <v>0.13278990299316346</v>
      </c>
      <c r="O46" s="89">
        <f t="shared" si="6"/>
        <v>0.13278990299316346</v>
      </c>
      <c r="P46" s="48">
        <v>40360</v>
      </c>
      <c r="Q46" s="1">
        <v>0.30980777704027063</v>
      </c>
      <c r="R46" s="100">
        <v>3828</v>
      </c>
      <c r="S46" s="100">
        <f t="shared" si="22"/>
        <v>495.5728367519032</v>
      </c>
      <c r="T46" s="101">
        <f t="shared" si="17"/>
        <v>3332.4271632480968</v>
      </c>
      <c r="U46" s="49">
        <v>40708</v>
      </c>
      <c r="V46" s="95"/>
      <c r="W46" s="95"/>
      <c r="X46" s="95"/>
      <c r="Y46" s="95"/>
      <c r="Z46" s="95"/>
      <c r="AE46" s="93">
        <f t="shared" si="23"/>
        <v>37803.5</v>
      </c>
      <c r="AF46" s="92">
        <f>Logistic2010!Q46</f>
        <v>0.11093336918210217</v>
      </c>
      <c r="AG46" s="4">
        <f t="shared" si="18"/>
        <v>0.30980777704027063</v>
      </c>
      <c r="AH46" s="92">
        <f>Logistic2011!Q46</f>
        <v>8.0775952050874497E-2</v>
      </c>
      <c r="AI46" s="92">
        <f>Logistic2012!Q46</f>
        <v>0.30980777704027063</v>
      </c>
      <c r="AJ46" s="92">
        <f>Logistic2013!L46</f>
        <v>0.19891808737150862</v>
      </c>
      <c r="AK46" s="119">
        <f>Logistic2014!AK46</f>
        <v>0.21630525971395512</v>
      </c>
      <c r="AL46" s="119">
        <f t="shared" si="24"/>
        <v>0.11760870130683239</v>
      </c>
      <c r="AM46" s="113"/>
      <c r="AN46" s="113"/>
      <c r="AP46" s="113"/>
      <c r="AQ46" s="113"/>
      <c r="AR46" s="113"/>
      <c r="AS46" s="113"/>
      <c r="AT46" s="114"/>
      <c r="AU46" s="114"/>
    </row>
    <row r="47" spans="2:50" x14ac:dyDescent="0.25">
      <c r="B47" s="49"/>
      <c r="C47" s="79"/>
      <c r="D47" s="86" t="str">
        <f t="shared" si="30"/>
        <v/>
      </c>
      <c r="E47" s="81"/>
      <c r="F47" s="50" t="str">
        <f t="shared" si="31"/>
        <v/>
      </c>
      <c r="G47" s="16" t="str">
        <f t="shared" si="32"/>
        <v/>
      </c>
      <c r="H47" s="51" t="str">
        <f t="shared" si="33"/>
        <v/>
      </c>
      <c r="I47" s="54"/>
      <c r="J47" s="105">
        <f t="shared" si="10"/>
        <v>37804.5</v>
      </c>
      <c r="K47" s="109">
        <v>39</v>
      </c>
      <c r="L47" s="125">
        <f t="shared" si="5"/>
        <v>0.14131127609750577</v>
      </c>
      <c r="M47" s="46">
        <f t="shared" si="11"/>
        <v>0.17912459589298799</v>
      </c>
      <c r="N47" s="131">
        <v>0.17912459589298799</v>
      </c>
      <c r="O47" s="89">
        <f t="shared" si="6"/>
        <v>0.17912459589298799</v>
      </c>
      <c r="P47" s="48">
        <v>40361</v>
      </c>
      <c r="Q47" s="1">
        <v>0.37416608438208854</v>
      </c>
      <c r="R47" s="100">
        <v>3893</v>
      </c>
      <c r="S47" s="100">
        <f t="shared" si="22"/>
        <v>603.78064577169448</v>
      </c>
      <c r="T47" s="101">
        <f t="shared" si="17"/>
        <v>3289.2193542283057</v>
      </c>
      <c r="U47" s="49">
        <v>40709</v>
      </c>
      <c r="V47" s="95"/>
      <c r="W47" s="95"/>
      <c r="X47" s="95"/>
      <c r="Y47" s="95"/>
      <c r="Z47" s="95"/>
      <c r="AE47" s="93">
        <f t="shared" si="23"/>
        <v>37804.5</v>
      </c>
      <c r="AF47" s="92">
        <f>Logistic2010!Q47</f>
        <v>0.13223093333791724</v>
      </c>
      <c r="AG47" s="4">
        <f t="shared" si="18"/>
        <v>0.37416608438208854</v>
      </c>
      <c r="AH47" s="92">
        <f>Logistic2011!Q47</f>
        <v>0.10154865709169383</v>
      </c>
      <c r="AI47" s="92">
        <f>Logistic2012!Q47</f>
        <v>0.37416608438208854</v>
      </c>
      <c r="AJ47" s="92">
        <f>Logistic2013!L47</f>
        <v>0.23230249502167508</v>
      </c>
      <c r="AK47" s="119">
        <f>Logistic2014!AK47</f>
        <v>0.25045449624933086</v>
      </c>
      <c r="AL47" s="119">
        <f t="shared" si="24"/>
        <v>0.14131127609750577</v>
      </c>
      <c r="AM47" s="115"/>
      <c r="AN47" s="115"/>
      <c r="AQ47" s="115"/>
      <c r="AR47" t="s">
        <v>28</v>
      </c>
      <c r="AS47"/>
      <c r="AT47"/>
      <c r="AU47"/>
      <c r="AV47"/>
      <c r="AW47"/>
      <c r="AX47"/>
    </row>
    <row r="48" spans="2:50" x14ac:dyDescent="0.25">
      <c r="B48" s="49"/>
      <c r="C48" s="79"/>
      <c r="D48" s="86" t="str">
        <f t="shared" si="30"/>
        <v/>
      </c>
      <c r="E48" s="81"/>
      <c r="F48" s="50" t="str">
        <f t="shared" si="31"/>
        <v/>
      </c>
      <c r="G48" s="16" t="str">
        <f t="shared" si="32"/>
        <v/>
      </c>
      <c r="H48" s="51" t="str">
        <f t="shared" si="33"/>
        <v/>
      </c>
      <c r="I48" s="54"/>
      <c r="J48" s="105">
        <f t="shared" si="10"/>
        <v>37805.5</v>
      </c>
      <c r="K48" s="109">
        <v>40</v>
      </c>
      <c r="L48" s="125">
        <f t="shared" si="5"/>
        <v>0.16887657171738996</v>
      </c>
      <c r="M48" s="46">
        <f t="shared" si="11"/>
        <v>0.23720467988333704</v>
      </c>
      <c r="N48" s="131">
        <v>0.23720467988333704</v>
      </c>
      <c r="O48" s="89">
        <f t="shared" si="6"/>
        <v>0.23720467988333704</v>
      </c>
      <c r="P48" s="48">
        <v>40362</v>
      </c>
      <c r="Q48" s="1">
        <v>0.44330675299696459</v>
      </c>
      <c r="R48" s="100">
        <v>3621</v>
      </c>
      <c r="S48" s="100">
        <f t="shared" si="22"/>
        <v>668.87042999183723</v>
      </c>
      <c r="T48" s="101">
        <f>R48-S48</f>
        <v>2952.1295700081628</v>
      </c>
      <c r="U48" s="49">
        <v>40710</v>
      </c>
      <c r="V48" s="95"/>
      <c r="W48" s="95"/>
      <c r="X48" s="95"/>
      <c r="Y48" s="95"/>
      <c r="Z48" s="95"/>
      <c r="AE48" s="93">
        <f t="shared" si="23"/>
        <v>37805.5</v>
      </c>
      <c r="AF48" s="92">
        <f>Logistic2010!Q48</f>
        <v>0.15689575096130998</v>
      </c>
      <c r="AG48" s="4">
        <f t="shared" si="18"/>
        <v>0.44330675299696459</v>
      </c>
      <c r="AH48" s="92">
        <f>Logistic2011!Q48</f>
        <v>0.12692574439278323</v>
      </c>
      <c r="AI48" s="92">
        <f>Logistic2012!Q48</f>
        <v>0.44330675299696459</v>
      </c>
      <c r="AJ48" s="92">
        <f>Logistic2013!L48</f>
        <v>0.26940553732402189</v>
      </c>
      <c r="AK48" s="119">
        <f>Logistic2014!AK48</f>
        <v>0.28801370069768495</v>
      </c>
      <c r="AL48" s="119">
        <f t="shared" si="24"/>
        <v>0.16887657171738996</v>
      </c>
      <c r="AM48" s="110"/>
      <c r="AP48" s="110"/>
      <c r="AQ48" s="110"/>
      <c r="AR48"/>
      <c r="AS48"/>
      <c r="AT48"/>
      <c r="AU48"/>
      <c r="AV48"/>
      <c r="AW48"/>
      <c r="AX48"/>
    </row>
    <row r="49" spans="2:50" ht="16.5" thickBot="1" x14ac:dyDescent="0.3">
      <c r="B49" s="49"/>
      <c r="C49" s="79"/>
      <c r="D49" s="86" t="str">
        <f t="shared" si="30"/>
        <v/>
      </c>
      <c r="E49" s="81"/>
      <c r="F49" s="50" t="str">
        <f t="shared" si="31"/>
        <v/>
      </c>
      <c r="G49" s="16" t="str">
        <f t="shared" si="32"/>
        <v/>
      </c>
      <c r="H49" s="51" t="str">
        <f t="shared" si="33"/>
        <v/>
      </c>
      <c r="I49" s="54"/>
      <c r="J49" s="105">
        <f t="shared" si="10"/>
        <v>37806.5</v>
      </c>
      <c r="K49" s="109">
        <v>41</v>
      </c>
      <c r="L49" s="143">
        <f t="shared" si="5"/>
        <v>0.2005630471679109</v>
      </c>
      <c r="M49" s="46">
        <f t="shared" si="11"/>
        <v>0.30707218568713457</v>
      </c>
      <c r="N49" s="131">
        <v>0.30707218568713457</v>
      </c>
      <c r="O49" s="89">
        <f t="shared" si="6"/>
        <v>0.30707218568713457</v>
      </c>
      <c r="P49" s="4">
        <v>40363</v>
      </c>
      <c r="Q49" s="4">
        <v>0.51471586655781365</v>
      </c>
      <c r="R49" s="4">
        <v>2271</v>
      </c>
      <c r="S49" s="100">
        <f t="shared" si="22"/>
        <v>496.28859194032225</v>
      </c>
      <c r="T49" s="101">
        <f t="shared" ref="T49:T70" si="34">R49-S49</f>
        <v>1774.7114080596778</v>
      </c>
      <c r="U49" s="49">
        <v>40711</v>
      </c>
      <c r="V49" s="95"/>
      <c r="W49" s="95"/>
      <c r="X49" s="95"/>
      <c r="Y49" s="95"/>
      <c r="Z49" s="95"/>
      <c r="AE49" s="93">
        <f t="shared" si="23"/>
        <v>37806.5</v>
      </c>
      <c r="AF49" s="92">
        <f>Logistic2010!Q49</f>
        <v>0.1851794824455581</v>
      </c>
      <c r="AG49" s="4">
        <f t="shared" si="18"/>
        <v>0.51471586655781365</v>
      </c>
      <c r="AH49" s="92">
        <f>Logistic2011!Q49</f>
        <v>0.15753263507351994</v>
      </c>
      <c r="AI49" s="92">
        <f>Logistic2012!Q49</f>
        <v>0.51471586655781365</v>
      </c>
      <c r="AJ49" s="92">
        <f>Logistic2013!L49</f>
        <v>0.31004134142241851</v>
      </c>
      <c r="AK49" s="119">
        <f>Logistic2014!AK49</f>
        <v>0.32873512727698778</v>
      </c>
      <c r="AL49" s="119">
        <f t="shared" si="24"/>
        <v>0.2005630471679109</v>
      </c>
      <c r="AM49" s="110"/>
      <c r="AN49" s="110"/>
      <c r="AO49" s="110"/>
      <c r="AP49" s="110"/>
      <c r="AQ49" s="110"/>
      <c r="AR49" t="s">
        <v>29</v>
      </c>
      <c r="AS49"/>
      <c r="AT49"/>
      <c r="AU49"/>
      <c r="AV49"/>
      <c r="AW49"/>
      <c r="AX49"/>
    </row>
    <row r="50" spans="2:50" ht="16.5" thickBot="1" x14ac:dyDescent="0.3">
      <c r="B50" s="49"/>
      <c r="C50" s="79"/>
      <c r="D50" s="86" t="str">
        <f t="shared" si="30"/>
        <v/>
      </c>
      <c r="E50" s="81"/>
      <c r="F50" s="50" t="str">
        <f t="shared" si="31"/>
        <v/>
      </c>
      <c r="G50" s="16" t="str">
        <f t="shared" si="32"/>
        <v/>
      </c>
      <c r="H50" s="51" t="str">
        <f t="shared" si="33"/>
        <v/>
      </c>
      <c r="I50" s="54"/>
      <c r="J50" s="105">
        <f t="shared" si="10"/>
        <v>37807.5</v>
      </c>
      <c r="K50" s="109">
        <v>42</v>
      </c>
      <c r="L50" s="125">
        <f t="shared" si="5"/>
        <v>0.23650308399925971</v>
      </c>
      <c r="M50" s="46">
        <f t="shared" si="11"/>
        <v>0.38707606622199253</v>
      </c>
      <c r="N50" s="131">
        <v>0.38707606622199253</v>
      </c>
      <c r="O50" s="89">
        <f t="shared" si="6"/>
        <v>0.38707606622199253</v>
      </c>
      <c r="P50" s="4">
        <v>40364</v>
      </c>
      <c r="Q50" s="4">
        <v>0.58552915257129856</v>
      </c>
      <c r="R50" s="4">
        <v>2403</v>
      </c>
      <c r="S50" s="100">
        <f t="shared" si="22"/>
        <v>616.55905163425848</v>
      </c>
      <c r="T50" s="101">
        <f t="shared" si="34"/>
        <v>1786.4409483657414</v>
      </c>
      <c r="U50" s="49">
        <v>40712</v>
      </c>
      <c r="V50" s="95">
        <v>3.5999999999999997E-2</v>
      </c>
      <c r="W50" s="95"/>
      <c r="X50" s="95"/>
      <c r="Y50" s="95"/>
      <c r="Z50" s="95"/>
      <c r="AE50" s="93">
        <f t="shared" si="23"/>
        <v>37807.5</v>
      </c>
      <c r="AF50" s="92">
        <f>Logistic2010!Q50</f>
        <v>0.21724812306999194</v>
      </c>
      <c r="AG50" s="4">
        <f t="shared" si="18"/>
        <v>0.58552915257129856</v>
      </c>
      <c r="AH50" s="92">
        <f>Logistic2011!Q50</f>
        <v>0.19388109788722835</v>
      </c>
      <c r="AI50" s="92">
        <f>Logistic2012!Q50</f>
        <v>0.58552915257129856</v>
      </c>
      <c r="AJ50" s="92">
        <f>Logistic2013!L50</f>
        <v>0.35383793526166868</v>
      </c>
      <c r="AK50" s="119">
        <f>Logistic2014!AK50</f>
        <v>0.37220420551064748</v>
      </c>
      <c r="AL50" s="119">
        <f t="shared" si="24"/>
        <v>0.23650308399925971</v>
      </c>
      <c r="AM50" s="113"/>
      <c r="AN50" s="113"/>
      <c r="AO50" s="113"/>
      <c r="AQ50" s="113"/>
      <c r="AR50" s="112" t="s">
        <v>30</v>
      </c>
      <c r="AS50" s="112" t="s">
        <v>31</v>
      </c>
      <c r="AT50" s="112" t="s">
        <v>32</v>
      </c>
      <c r="AU50" s="112" t="s">
        <v>33</v>
      </c>
      <c r="AV50" s="112" t="s">
        <v>34</v>
      </c>
      <c r="AW50"/>
      <c r="AX50"/>
    </row>
    <row r="51" spans="2:50" x14ac:dyDescent="0.25">
      <c r="B51" s="49"/>
      <c r="C51" s="79"/>
      <c r="D51" s="86" t="str">
        <f t="shared" si="30"/>
        <v/>
      </c>
      <c r="E51" s="81"/>
      <c r="F51" s="50" t="str">
        <f t="shared" si="31"/>
        <v/>
      </c>
      <c r="G51" s="16" t="str">
        <f t="shared" si="32"/>
        <v/>
      </c>
      <c r="H51" s="51" t="str">
        <f t="shared" si="33"/>
        <v/>
      </c>
      <c r="I51" s="54"/>
      <c r="J51" s="105">
        <f t="shared" si="10"/>
        <v>37808.5</v>
      </c>
      <c r="K51" s="109">
        <v>43</v>
      </c>
      <c r="L51" s="125">
        <f t="shared" si="5"/>
        <v>0.27665467849284059</v>
      </c>
      <c r="M51" s="46">
        <f t="shared" si="11"/>
        <v>0.47367530224191001</v>
      </c>
      <c r="N51" s="131">
        <v>0.47367530224191001</v>
      </c>
      <c r="O51" s="89">
        <f t="shared" si="6"/>
        <v>0.47367530224191001</v>
      </c>
      <c r="P51" s="4">
        <v>40365</v>
      </c>
      <c r="Q51" s="4">
        <v>0.65297594566306583</v>
      </c>
      <c r="R51" s="4">
        <v>2644</v>
      </c>
      <c r="S51" s="100">
        <f t="shared" si="22"/>
        <v>789.78101883181807</v>
      </c>
      <c r="T51" s="101">
        <f t="shared" si="34"/>
        <v>1854.2189811681819</v>
      </c>
      <c r="U51" s="40">
        <v>40713</v>
      </c>
      <c r="V51" s="95"/>
      <c r="W51" s="95"/>
      <c r="X51" s="95"/>
      <c r="Y51" s="95"/>
      <c r="Z51" s="95"/>
      <c r="AE51" s="93">
        <f t="shared" si="23"/>
        <v>37808.5</v>
      </c>
      <c r="AF51" s="92">
        <f>Logistic2010!Q51</f>
        <v>0.25314493902860469</v>
      </c>
      <c r="AG51" s="4">
        <f t="shared" si="18"/>
        <v>0.65297594566306583</v>
      </c>
      <c r="AH51" s="92">
        <f>Logistic2011!Q51</f>
        <v>0.2362644112915534</v>
      </c>
      <c r="AI51" s="92">
        <f>Logistic2012!Q51</f>
        <v>0.65297594566306583</v>
      </c>
      <c r="AJ51" s="92">
        <f>Logistic2013!L51</f>
        <v>0.40023244913820061</v>
      </c>
      <c r="AK51" s="119">
        <f>Logistic2014!AK51</f>
        <v>0.41784330704514244</v>
      </c>
      <c r="AL51" s="119">
        <f t="shared" si="24"/>
        <v>0.27665467849284059</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30"/>
        <v/>
      </c>
      <c r="E52" s="81"/>
      <c r="F52" s="50" t="str">
        <f t="shared" si="31"/>
        <v/>
      </c>
      <c r="G52" s="16" t="str">
        <f t="shared" si="32"/>
        <v/>
      </c>
      <c r="H52" s="51" t="str">
        <f t="shared" si="33"/>
        <v/>
      </c>
      <c r="I52" s="54"/>
      <c r="J52" s="105">
        <f t="shared" si="10"/>
        <v>37809.5</v>
      </c>
      <c r="K52" s="109">
        <v>44</v>
      </c>
      <c r="L52" s="125">
        <f t="shared" si="5"/>
        <v>0.32075910277177222</v>
      </c>
      <c r="M52" s="46">
        <f t="shared" si="11"/>
        <v>0.56188779335925654</v>
      </c>
      <c r="N52" s="131">
        <v>0.56188779335925654</v>
      </c>
      <c r="O52" s="89">
        <f t="shared" si="6"/>
        <v>0.56188779335925654</v>
      </c>
      <c r="P52" s="4">
        <v>40366</v>
      </c>
      <c r="Q52" s="4">
        <v>0.71479326435445212</v>
      </c>
      <c r="R52" s="4">
        <v>1901</v>
      </c>
      <c r="S52" s="100">
        <f t="shared" si="22"/>
        <v>654.9644977420154</v>
      </c>
      <c r="T52" s="101">
        <f t="shared" si="34"/>
        <v>1246.0355022579847</v>
      </c>
      <c r="U52" s="49">
        <v>40714</v>
      </c>
      <c r="V52" s="95"/>
      <c r="W52" s="95"/>
      <c r="X52" s="95"/>
      <c r="Y52" s="95"/>
      <c r="Z52" s="95"/>
      <c r="AE52" s="93">
        <f t="shared" si="23"/>
        <v>37809.5</v>
      </c>
      <c r="AF52" s="92">
        <f>Logistic2010!Q52</f>
        <v>0.29275475741502793</v>
      </c>
      <c r="AG52" s="4">
        <f t="shared" si="18"/>
        <v>0.71479326435445212</v>
      </c>
      <c r="AH52" s="92">
        <f>Logistic2011!Q52</f>
        <v>0.28464136726106892</v>
      </c>
      <c r="AI52" s="92">
        <f>Logistic2012!Q52</f>
        <v>0.71479326435445212</v>
      </c>
      <c r="AJ52" s="92">
        <f>Logistic2013!L52</f>
        <v>0.44848792399421938</v>
      </c>
      <c r="AK52" s="119">
        <f>Logistic2014!AK52</f>
        <v>0.46493416339222882</v>
      </c>
      <c r="AL52" s="119">
        <f t="shared" si="24"/>
        <v>0.32075910277177222</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30"/>
        <v/>
      </c>
      <c r="E53" s="81"/>
      <c r="F53" s="50" t="str">
        <f t="shared" si="31"/>
        <v/>
      </c>
      <c r="G53" s="16" t="str">
        <f t="shared" si="32"/>
        <v/>
      </c>
      <c r="H53" s="51" t="str">
        <f t="shared" si="33"/>
        <v/>
      </c>
      <c r="I53" s="54"/>
      <c r="J53" s="105">
        <f t="shared" si="10"/>
        <v>37810.5</v>
      </c>
      <c r="K53" s="109">
        <v>45</v>
      </c>
      <c r="L53" s="125">
        <f t="shared" si="5"/>
        <v>0.36831454030241551</v>
      </c>
      <c r="M53" s="46">
        <f t="shared" si="11"/>
        <v>0.64635389784882469</v>
      </c>
      <c r="N53" s="130">
        <v>0.64635389784882469</v>
      </c>
      <c r="O53" s="89">
        <f t="shared" si="6"/>
        <v>0.64635389784882469</v>
      </c>
      <c r="P53" s="4">
        <v>40367</v>
      </c>
      <c r="Q53" s="4">
        <v>0.76948613379160047</v>
      </c>
      <c r="R53" s="4">
        <v>2421</v>
      </c>
      <c r="S53" s="100">
        <f t="shared" si="22"/>
        <v>952.53061645644732</v>
      </c>
      <c r="T53" s="101">
        <f t="shared" si="34"/>
        <v>1468.4693835435528</v>
      </c>
      <c r="U53" s="49">
        <v>40715</v>
      </c>
      <c r="V53" s="95"/>
      <c r="W53" s="95"/>
      <c r="X53" s="95"/>
      <c r="Y53" s="95"/>
      <c r="Z53" s="95"/>
      <c r="AE53" s="93">
        <f t="shared" si="23"/>
        <v>37810.5</v>
      </c>
      <c r="AF53" s="92">
        <f>Logistic2010!Q53</f>
        <v>0.33577592018640684</v>
      </c>
      <c r="AG53" s="4">
        <f t="shared" si="18"/>
        <v>0.76948613379160047</v>
      </c>
      <c r="AH53" s="92">
        <f>Logistic2011!Q53</f>
        <v>0.33853314511451504</v>
      </c>
      <c r="AI53" s="92">
        <f>Logistic2012!Q53</f>
        <v>0.76948613379160047</v>
      </c>
      <c r="AJ53" s="92">
        <f>Logistic2013!L53</f>
        <v>0.49773319182267894</v>
      </c>
      <c r="AK53" s="119">
        <f>Logistic2014!AK53</f>
        <v>0.51265858710560919</v>
      </c>
      <c r="AL53" s="119">
        <f t="shared" si="24"/>
        <v>0.36831454030241551</v>
      </c>
      <c r="AM53" s="115"/>
      <c r="AO53" s="115"/>
      <c r="AP53" s="115"/>
      <c r="AQ53" s="115"/>
      <c r="AR53"/>
      <c r="AS53"/>
      <c r="AT53"/>
      <c r="AU53"/>
      <c r="AV53"/>
      <c r="AW53"/>
      <c r="AX53"/>
    </row>
    <row r="54" spans="2:50" x14ac:dyDescent="0.25">
      <c r="B54" s="49"/>
      <c r="C54" s="79"/>
      <c r="D54" s="86" t="str">
        <f t="shared" si="30"/>
        <v/>
      </c>
      <c r="E54" s="81"/>
      <c r="F54" s="50" t="str">
        <f t="shared" si="31"/>
        <v/>
      </c>
      <c r="G54" s="16" t="str">
        <f t="shared" si="32"/>
        <v/>
      </c>
      <c r="H54" s="51" t="str">
        <f t="shared" si="33"/>
        <v/>
      </c>
      <c r="I54" s="54"/>
      <c r="J54" s="105">
        <f t="shared" si="10"/>
        <v>37811.5</v>
      </c>
      <c r="K54" s="109">
        <v>46</v>
      </c>
      <c r="L54" s="125">
        <f t="shared" si="5"/>
        <v>0.41857568394908989</v>
      </c>
      <c r="M54" s="46">
        <f t="shared" si="11"/>
        <v>0.72257565187378159</v>
      </c>
      <c r="N54" s="130">
        <v>0.72257565187378159</v>
      </c>
      <c r="O54" s="89">
        <f t="shared" si="6"/>
        <v>0.72257565187378159</v>
      </c>
      <c r="P54" s="4">
        <v>40368</v>
      </c>
      <c r="Q54" s="4">
        <v>0.81638498403003179</v>
      </c>
      <c r="R54" s="4">
        <v>2560</v>
      </c>
      <c r="S54" s="100">
        <f t="shared" si="22"/>
        <v>1138.1269883749706</v>
      </c>
      <c r="T54" s="101">
        <f t="shared" si="34"/>
        <v>1421.8730116250294</v>
      </c>
      <c r="U54" s="49">
        <v>40716</v>
      </c>
      <c r="V54" s="95"/>
      <c r="W54" s="95"/>
      <c r="X54" s="95"/>
      <c r="Y54" s="95"/>
      <c r="Z54" s="95"/>
      <c r="AE54" s="93">
        <f t="shared" si="23"/>
        <v>37811.5</v>
      </c>
      <c r="AF54" s="92">
        <f>Logistic2010!Q54</f>
        <v>0.3817070776941604</v>
      </c>
      <c r="AG54" s="4">
        <f t="shared" si="18"/>
        <v>0.81638498403003179</v>
      </c>
      <c r="AH54" s="92">
        <f>Logistic2011!Q54</f>
        <v>0.39696628169175319</v>
      </c>
      <c r="AI54" s="92">
        <f>Logistic2012!Q54</f>
        <v>0.81638498403003179</v>
      </c>
      <c r="AJ54" s="92">
        <f>Logistic2013!L54</f>
        <v>0.54702247769245926</v>
      </c>
      <c r="AK54" s="119">
        <f>Logistic2014!AK54</f>
        <v>0.56015332200960266</v>
      </c>
      <c r="AL54" s="119">
        <f t="shared" si="24"/>
        <v>0.41857568394908989</v>
      </c>
      <c r="AM54" s="110"/>
      <c r="AN54" s="110"/>
      <c r="AO54" s="110"/>
      <c r="AQ54" s="110"/>
      <c r="AR54"/>
      <c r="AS54"/>
      <c r="AT54"/>
      <c r="AU54"/>
      <c r="AV54"/>
      <c r="AW54"/>
      <c r="AX54"/>
    </row>
    <row r="55" spans="2:50" ht="16.5" thickBot="1" x14ac:dyDescent="0.3">
      <c r="B55" s="49"/>
      <c r="C55" s="79"/>
      <c r="D55" s="86" t="str">
        <f t="shared" si="30"/>
        <v/>
      </c>
      <c r="E55" s="81"/>
      <c r="F55" s="50" t="str">
        <f t="shared" si="31"/>
        <v/>
      </c>
      <c r="G55" s="16" t="str">
        <f t="shared" si="32"/>
        <v/>
      </c>
      <c r="H55" s="51" t="str">
        <f t="shared" si="33"/>
        <v/>
      </c>
      <c r="I55" s="54"/>
      <c r="J55" s="105">
        <f t="shared" si="10"/>
        <v>37812.5</v>
      </c>
      <c r="K55" s="109">
        <v>47</v>
      </c>
      <c r="L55" s="125">
        <f t="shared" si="5"/>
        <v>0.47058602571885588</v>
      </c>
      <c r="M55" s="46">
        <f t="shared" si="11"/>
        <v>0.67992615512835608</v>
      </c>
      <c r="N55" s="131">
        <v>0.67992615512835608</v>
      </c>
      <c r="O55" s="89">
        <f t="shared" si="6"/>
        <v>0.67992615512835608</v>
      </c>
      <c r="P55" s="4">
        <v>40369</v>
      </c>
      <c r="Q55" s="4">
        <v>0.85553350414652685</v>
      </c>
      <c r="R55" s="4">
        <v>3011</v>
      </c>
      <c r="S55" s="100">
        <f t="shared" si="22"/>
        <v>1496.2096829845773</v>
      </c>
      <c r="T55" s="101">
        <f t="shared" si="34"/>
        <v>1514.7903170154227</v>
      </c>
      <c r="U55" s="49">
        <v>40717</v>
      </c>
      <c r="V55" s="95"/>
      <c r="W55" s="95"/>
      <c r="X55" s="95"/>
      <c r="Y55" s="95"/>
      <c r="Z55" s="95"/>
      <c r="AE55" s="93">
        <f t="shared" si="23"/>
        <v>37812.5</v>
      </c>
      <c r="AF55" s="92">
        <f>Logistic2010!Q55</f>
        <v>0.42985515834963317</v>
      </c>
      <c r="AG55" s="4">
        <f t="shared" si="18"/>
        <v>0.85553350414652685</v>
      </c>
      <c r="AH55" s="92">
        <f>Logistic2011!Q55</f>
        <v>0.45849431667616858</v>
      </c>
      <c r="AI55" s="92">
        <f>Logistic2012!Q55</f>
        <v>0.85553350414652685</v>
      </c>
      <c r="AJ55" s="92">
        <f>Logistic2013!L55</f>
        <v>0.59540663680406558</v>
      </c>
      <c r="AK55" s="119">
        <f>Logistic2014!AK55</f>
        <v>0.60657155343516</v>
      </c>
      <c r="AL55" s="119">
        <f t="shared" si="24"/>
        <v>0.47058602571885588</v>
      </c>
      <c r="AM55" s="110"/>
      <c r="AN55" s="110"/>
      <c r="AP55" s="110"/>
      <c r="AQ55" s="110"/>
      <c r="AR55" t="s">
        <v>35</v>
      </c>
      <c r="AS55"/>
      <c r="AT55"/>
      <c r="AU55"/>
      <c r="AV55"/>
      <c r="AW55"/>
      <c r="AX55"/>
    </row>
    <row r="56" spans="2:50" x14ac:dyDescent="0.25">
      <c r="B56" s="49"/>
      <c r="C56" s="79"/>
      <c r="D56" s="86" t="str">
        <f t="shared" si="30"/>
        <v/>
      </c>
      <c r="E56" s="81"/>
      <c r="F56" s="50" t="str">
        <f t="shared" si="31"/>
        <v/>
      </c>
      <c r="G56" s="16" t="str">
        <f t="shared" si="32"/>
        <v/>
      </c>
      <c r="H56" s="51" t="str">
        <f t="shared" si="33"/>
        <v/>
      </c>
      <c r="I56" s="54"/>
      <c r="J56" s="105">
        <f t="shared" si="10"/>
        <v>37813.5</v>
      </c>
      <c r="K56" s="109">
        <v>48</v>
      </c>
      <c r="L56" s="125">
        <f t="shared" si="5"/>
        <v>0.52324305630344725</v>
      </c>
      <c r="M56" s="46">
        <f t="shared" si="11"/>
        <v>0.73462826392623781</v>
      </c>
      <c r="N56" s="131">
        <v>0.73462826392623781</v>
      </c>
      <c r="O56" s="89">
        <f t="shared" si="6"/>
        <v>0.73462826392623781</v>
      </c>
      <c r="P56" s="4">
        <v>40370</v>
      </c>
      <c r="Q56" s="4">
        <v>0.88748554172196392</v>
      </c>
      <c r="R56" s="4">
        <v>582</v>
      </c>
      <c r="S56" s="100">
        <f t="shared" si="22"/>
        <v>319.70175706408531</v>
      </c>
      <c r="T56" s="101">
        <f t="shared" si="34"/>
        <v>262.29824293591469</v>
      </c>
      <c r="U56" s="49">
        <v>40718</v>
      </c>
      <c r="V56" s="95"/>
      <c r="W56" s="95"/>
      <c r="X56" s="95"/>
      <c r="Y56" s="95"/>
      <c r="Z56" s="95"/>
      <c r="AE56" s="93">
        <f t="shared" si="23"/>
        <v>37813.5</v>
      </c>
      <c r="AF56" s="92">
        <f>Logistic2010!Q56</f>
        <v>0.47936786629286093</v>
      </c>
      <c r="AG56" s="4">
        <f t="shared" si="18"/>
        <v>0.88748554172196392</v>
      </c>
      <c r="AH56" s="92">
        <f>Logistic2011!Q56</f>
        <v>0.52131468367366807</v>
      </c>
      <c r="AI56" s="92">
        <f>Logistic2012!Q56</f>
        <v>0.88748554172196392</v>
      </c>
      <c r="AJ56" s="92">
        <f>Logistic2013!L56</f>
        <v>0.64200492795904929</v>
      </c>
      <c r="AK56" s="119">
        <f>Logistic2014!AK56</f>
        <v>0.65114196868570062</v>
      </c>
      <c r="AL56" s="119">
        <f t="shared" si="24"/>
        <v>0.52324305630344725</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30"/>
        <v/>
      </c>
      <c r="E57" s="81"/>
      <c r="F57" s="50" t="str">
        <f t="shared" si="31"/>
        <v/>
      </c>
      <c r="G57" s="16" t="str">
        <f t="shared" si="32"/>
        <v/>
      </c>
      <c r="H57" s="51" t="str">
        <f t="shared" si="33"/>
        <v/>
      </c>
      <c r="I57" s="54"/>
      <c r="J57" s="105">
        <f t="shared" si="10"/>
        <v>37814.5</v>
      </c>
      <c r="K57" s="109">
        <v>49</v>
      </c>
      <c r="L57" s="125">
        <f t="shared" si="5"/>
        <v>0.57538841127072926</v>
      </c>
      <c r="M57" s="46">
        <f t="shared" si="11"/>
        <v>0.78296570483334704</v>
      </c>
      <c r="N57" s="131">
        <v>0.78296570483334704</v>
      </c>
      <c r="O57" s="89">
        <f t="shared" si="6"/>
        <v>0.78296570483334704</v>
      </c>
      <c r="P57" s="4">
        <v>40371</v>
      </c>
      <c r="Q57" s="4">
        <v>0.91308857223820117</v>
      </c>
      <c r="R57" s="4">
        <v>2638</v>
      </c>
      <c r="S57" s="100">
        <f t="shared" si="22"/>
        <v>1584.5099714061987</v>
      </c>
      <c r="T57" s="101">
        <f t="shared" si="34"/>
        <v>1053.4900285938013</v>
      </c>
      <c r="U57" s="49">
        <v>40719</v>
      </c>
      <c r="V57" s="95">
        <v>7.0000000000000001E-3</v>
      </c>
      <c r="W57" s="95"/>
      <c r="X57" s="95"/>
      <c r="Y57" s="95"/>
      <c r="Z57" s="95"/>
      <c r="AE57" s="93">
        <f t="shared" si="23"/>
        <v>37814.5</v>
      </c>
      <c r="AF57" s="92">
        <f>Logistic2010!Q57</f>
        <v>0.52928924873066352</v>
      </c>
      <c r="AG57" s="4">
        <f t="shared" si="18"/>
        <v>0.91308857223820117</v>
      </c>
      <c r="AH57" s="92">
        <f>Logistic2011!Q57</f>
        <v>0.58346805352827824</v>
      </c>
      <c r="AI57" s="92">
        <f>Logistic2012!Q57</f>
        <v>0.91308857223820117</v>
      </c>
      <c r="AJ57" s="92">
        <f>Logistic2013!L57</f>
        <v>0.68606608243321232</v>
      </c>
      <c r="AK57" s="119">
        <f>Logistic2014!AK57</f>
        <v>0.69321686759508971</v>
      </c>
      <c r="AL57" s="119">
        <f t="shared" si="24"/>
        <v>0.57538841127072926</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30"/>
        <v/>
      </c>
      <c r="E58" s="81"/>
      <c r="F58" s="50" t="str">
        <f t="shared" si="31"/>
        <v/>
      </c>
      <c r="G58" s="16" t="str">
        <f t="shared" si="32"/>
        <v/>
      </c>
      <c r="H58" s="51" t="str">
        <f t="shared" si="33"/>
        <v/>
      </c>
      <c r="I58" s="54"/>
      <c r="J58" s="105">
        <f t="shared" si="10"/>
        <v>37815.5</v>
      </c>
      <c r="K58" s="109">
        <v>50</v>
      </c>
      <c r="L58" s="125">
        <f t="shared" si="5"/>
        <v>0.62590800374534272</v>
      </c>
      <c r="M58" s="46">
        <f t="shared" si="11"/>
        <v>0.82460067927314873</v>
      </c>
      <c r="N58" s="130">
        <v>0.82460067927314873</v>
      </c>
      <c r="O58" s="89">
        <f t="shared" si="6"/>
        <v>0.82460067927314873</v>
      </c>
      <c r="P58" s="4">
        <v>40372</v>
      </c>
      <c r="Q58" s="4">
        <v>0.93330339143718788</v>
      </c>
      <c r="R58" s="4">
        <v>4264</v>
      </c>
      <c r="S58" s="100">
        <f t="shared" si="22"/>
        <v>2771.0291030409971</v>
      </c>
      <c r="T58" s="101">
        <f t="shared" si="34"/>
        <v>1492.9708969590029</v>
      </c>
      <c r="U58" s="40">
        <v>40720</v>
      </c>
      <c r="V58" s="95"/>
      <c r="W58" s="95"/>
      <c r="X58" s="95"/>
      <c r="Y58" s="95"/>
      <c r="Z58" s="95"/>
      <c r="AE58" s="93">
        <f t="shared" si="23"/>
        <v>37815.5</v>
      </c>
      <c r="AF58" s="92">
        <f>Logistic2010!Q58</f>
        <v>0.57863147408369076</v>
      </c>
      <c r="AG58" s="4">
        <f t="shared" si="18"/>
        <v>0.93330339143718788</v>
      </c>
      <c r="AH58" s="92">
        <f>Logistic2011!Q58</f>
        <v>0.64307659747584256</v>
      </c>
      <c r="AI58" s="92">
        <f>Logistic2012!Q58</f>
        <v>0.93330339143718788</v>
      </c>
      <c r="AJ58" s="92">
        <f>Logistic2013!L58</f>
        <v>0.7270102102463335</v>
      </c>
      <c r="AK58" s="119">
        <f>Logistic2014!AK58</f>
        <v>0.73230345881884595</v>
      </c>
      <c r="AL58" s="119">
        <f t="shared" si="24"/>
        <v>0.62590800374534272</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30"/>
        <v/>
      </c>
      <c r="E59" s="81"/>
      <c r="F59" s="50" t="str">
        <f t="shared" si="31"/>
        <v/>
      </c>
      <c r="G59" s="16" t="str">
        <f t="shared" si="32"/>
        <v/>
      </c>
      <c r="H59" s="51" t="str">
        <f t="shared" si="33"/>
        <v/>
      </c>
      <c r="I59" s="54"/>
      <c r="J59" s="105">
        <f t="shared" si="10"/>
        <v>37816.5</v>
      </c>
      <c r="K59" s="109">
        <v>51</v>
      </c>
      <c r="L59" s="125">
        <f t="shared" si="5"/>
        <v>0.6738242209455565</v>
      </c>
      <c r="M59" s="46">
        <f t="shared" si="11"/>
        <v>0.85967998350172414</v>
      </c>
      <c r="N59" s="130">
        <v>0.85967998350172414</v>
      </c>
      <c r="O59" s="89">
        <f t="shared" si="6"/>
        <v>0.85967998350172414</v>
      </c>
      <c r="P59" s="4">
        <v>40373</v>
      </c>
      <c r="Q59" s="4">
        <v>0.94907863528681002</v>
      </c>
      <c r="R59" s="4">
        <v>29205</v>
      </c>
      <c r="S59" s="100">
        <f t="shared" si="22"/>
        <v>20329.437597767912</v>
      </c>
      <c r="T59" s="101">
        <f t="shared" si="34"/>
        <v>8875.5624022320881</v>
      </c>
      <c r="U59" s="49">
        <v>40721</v>
      </c>
      <c r="V59" s="95"/>
      <c r="W59" s="95"/>
      <c r="X59" s="95"/>
      <c r="Y59" s="95"/>
      <c r="Z59" s="95"/>
      <c r="AE59" s="93">
        <f t="shared" si="23"/>
        <v>37816.5</v>
      </c>
      <c r="AF59" s="92">
        <f>Logistic2010!Q59</f>
        <v>0.62645177427350185</v>
      </c>
      <c r="AG59" s="4">
        <f t="shared" si="18"/>
        <v>0.94907863528681002</v>
      </c>
      <c r="AH59" s="92">
        <f>Logistic2011!Q59</f>
        <v>0.69856182420049406</v>
      </c>
      <c r="AI59" s="92">
        <f>Logistic2012!Q59</f>
        <v>0.94907863528681002</v>
      </c>
      <c r="AJ59" s="92">
        <f>Logistic2013!L59</f>
        <v>0.76444773045159664</v>
      </c>
      <c r="AK59" s="119">
        <f>Logistic2014!AK59</f>
        <v>0.76807620704019175</v>
      </c>
      <c r="AL59" s="119">
        <f t="shared" si="24"/>
        <v>0.6738242209455565</v>
      </c>
      <c r="AM59" s="114"/>
      <c r="AN59" s="114"/>
      <c r="AO59" s="114"/>
      <c r="AP59" s="114"/>
      <c r="AQ59" s="114"/>
      <c r="AR59" s="110"/>
      <c r="AS59" s="110"/>
      <c r="AT59" s="110"/>
      <c r="AU59" s="110"/>
      <c r="AV59" s="110"/>
      <c r="AW59" s="110"/>
      <c r="AX59" s="110"/>
    </row>
    <row r="60" spans="2:50" ht="16.5" thickBot="1" x14ac:dyDescent="0.3">
      <c r="B60" s="49"/>
      <c r="C60" s="79"/>
      <c r="D60" s="86" t="str">
        <f t="shared" si="30"/>
        <v/>
      </c>
      <c r="E60" s="81"/>
      <c r="F60" s="50" t="str">
        <f t="shared" si="31"/>
        <v/>
      </c>
      <c r="G60" s="16" t="str">
        <f t="shared" si="32"/>
        <v/>
      </c>
      <c r="H60" s="51" t="str">
        <f t="shared" si="33"/>
        <v/>
      </c>
      <c r="I60" s="54"/>
      <c r="J60" s="105">
        <f t="shared" si="10"/>
        <v>37817.5</v>
      </c>
      <c r="K60" s="109">
        <v>52</v>
      </c>
      <c r="L60" s="125">
        <f t="shared" si="5"/>
        <v>0.71836462327754991</v>
      </c>
      <c r="M60" s="46">
        <f t="shared" si="11"/>
        <v>0.8886905657803027</v>
      </c>
      <c r="N60" s="131">
        <v>0.8886905657803027</v>
      </c>
      <c r="O60" s="89">
        <f t="shared" si="6"/>
        <v>0.8886905657803027</v>
      </c>
      <c r="P60" s="4">
        <v>40374</v>
      </c>
      <c r="Q60" s="4">
        <v>0.96127748661561918</v>
      </c>
      <c r="R60" s="4">
        <v>27768</v>
      </c>
      <c r="S60" s="100">
        <f t="shared" si="22"/>
        <v>20511.705974456567</v>
      </c>
      <c r="T60" s="101">
        <f t="shared" si="34"/>
        <v>7256.2940255434332</v>
      </c>
      <c r="U60" s="49">
        <v>40722</v>
      </c>
      <c r="V60" s="95"/>
      <c r="W60" s="95"/>
      <c r="X60" s="95"/>
      <c r="Y60" s="95"/>
      <c r="Z60" s="95"/>
      <c r="AE60" s="93">
        <f t="shared" si="23"/>
        <v>37817.5</v>
      </c>
      <c r="AF60" s="92">
        <f>Logistic2010!Q60</f>
        <v>0.6719221112063114</v>
      </c>
      <c r="AG60" s="4">
        <f t="shared" si="18"/>
        <v>0.96127748661561918</v>
      </c>
      <c r="AH60" s="92">
        <f>Logistic2011!Q60</f>
        <v>0.74879103833236005</v>
      </c>
      <c r="AI60" s="92">
        <f>Logistic2012!Q60</f>
        <v>0.96127748661561918</v>
      </c>
      <c r="AJ60" s="92">
        <f>Logistic2013!L60</f>
        <v>0.79817638699971571</v>
      </c>
      <c r="AK60" s="119">
        <f>Logistic2014!AK60</f>
        <v>0.80037172674720769</v>
      </c>
      <c r="AL60" s="119">
        <f t="shared" si="24"/>
        <v>0.71836462327754991</v>
      </c>
      <c r="AM60" s="113"/>
      <c r="AO60" s="113"/>
      <c r="AP60" s="113"/>
      <c r="AQ60" s="113"/>
      <c r="AR60" s="111" t="s">
        <v>45</v>
      </c>
      <c r="AS60" s="111">
        <v>3.4619470909090904</v>
      </c>
      <c r="AT60" s="111">
        <v>21</v>
      </c>
      <c r="AU60" s="111"/>
      <c r="AV60" s="111"/>
      <c r="AW60" s="111"/>
      <c r="AX60" s="111"/>
    </row>
    <row r="61" spans="2:50" x14ac:dyDescent="0.25">
      <c r="B61" s="49"/>
      <c r="C61" s="79"/>
      <c r="D61" s="86" t="str">
        <f t="shared" si="30"/>
        <v/>
      </c>
      <c r="E61" s="81"/>
      <c r="F61" s="50" t="str">
        <f t="shared" si="31"/>
        <v/>
      </c>
      <c r="G61" s="16" t="str">
        <f t="shared" si="32"/>
        <v/>
      </c>
      <c r="H61" s="51" t="str">
        <f t="shared" si="33"/>
        <v/>
      </c>
      <c r="I61" s="54"/>
      <c r="J61" s="105">
        <f t="shared" si="10"/>
        <v>37818.5</v>
      </c>
      <c r="K61" s="109">
        <v>53</v>
      </c>
      <c r="L61" s="125">
        <f t="shared" si="5"/>
        <v>0.75899823861070759</v>
      </c>
      <c r="M61" s="46">
        <f t="shared" si="11"/>
        <v>0.91231509064301375</v>
      </c>
      <c r="N61" s="130">
        <v>0.91231509064301375</v>
      </c>
      <c r="O61" s="89">
        <f t="shared" si="6"/>
        <v>0.91231509064301375</v>
      </c>
      <c r="P61" s="4">
        <v>40375</v>
      </c>
      <c r="Q61" s="4">
        <v>0.97064434164342128</v>
      </c>
      <c r="R61" s="4">
        <v>21508</v>
      </c>
      <c r="S61" s="100">
        <f t="shared" si="22"/>
        <v>16716.415364243152</v>
      </c>
      <c r="T61" s="101">
        <f t="shared" si="34"/>
        <v>4791.584635756848</v>
      </c>
      <c r="U61" s="49">
        <v>40723</v>
      </c>
      <c r="V61" s="95"/>
      <c r="W61" s="95"/>
      <c r="X61" s="95"/>
      <c r="Y61" s="95"/>
      <c r="Z61" s="95"/>
      <c r="AC61" s="93">
        <v>37783</v>
      </c>
      <c r="AD61" s="95">
        <v>2.4E-2</v>
      </c>
      <c r="AE61" s="93">
        <f t="shared" si="23"/>
        <v>37818.5</v>
      </c>
      <c r="AF61" s="92">
        <f>Logistic2010!Q61</f>
        <v>0.71438108258813315</v>
      </c>
      <c r="AG61" s="4">
        <f t="shared" si="18"/>
        <v>0.97064434164342128</v>
      </c>
      <c r="AH61" s="92">
        <f>Logistic2011!Q61</f>
        <v>0.79312907861690396</v>
      </c>
      <c r="AI61" s="92">
        <f>Logistic2012!Q61</f>
        <v>0.97064434164342128</v>
      </c>
      <c r="AJ61" s="92">
        <f>Logistic2013!L61</f>
        <v>0.82816108437109193</v>
      </c>
      <c r="AK61" s="119">
        <f>Logistic2014!AK61</f>
        <v>0.82917030340634412</v>
      </c>
      <c r="AL61" s="119">
        <f t="shared" si="24"/>
        <v>0.75899823861070759</v>
      </c>
      <c r="AM61" s="113"/>
      <c r="AN61" s="113"/>
      <c r="AO61" s="113"/>
      <c r="AP61" s="113"/>
      <c r="AQ61" s="113"/>
      <c r="AR61" s="113"/>
      <c r="AS61" s="113"/>
      <c r="AT61" s="114"/>
      <c r="AU61" s="114"/>
    </row>
    <row r="62" spans="2:50" ht="16.5" thickBot="1" x14ac:dyDescent="0.3">
      <c r="B62" s="49"/>
      <c r="C62" s="79"/>
      <c r="D62" s="86" t="str">
        <f t="shared" si="30"/>
        <v/>
      </c>
      <c r="E62" s="81"/>
      <c r="F62" s="50" t="str">
        <f t="shared" si="31"/>
        <v/>
      </c>
      <c r="G62" s="16" t="str">
        <f t="shared" si="32"/>
        <v/>
      </c>
      <c r="H62" s="51" t="str">
        <f t="shared" si="33"/>
        <v/>
      </c>
      <c r="I62" s="54"/>
      <c r="J62" s="105">
        <f t="shared" si="10"/>
        <v>37819.5</v>
      </c>
      <c r="K62" s="109">
        <v>54</v>
      </c>
      <c r="L62" s="125">
        <f t="shared" si="5"/>
        <v>0.79543874895142319</v>
      </c>
      <c r="M62" s="46">
        <f t="shared" si="11"/>
        <v>0.93131304287865924</v>
      </c>
      <c r="N62" s="130">
        <v>0.93131304287865924</v>
      </c>
      <c r="O62" s="89">
        <f t="shared" si="6"/>
        <v>0.93131304287865924</v>
      </c>
      <c r="P62" s="4">
        <v>40376</v>
      </c>
      <c r="Q62" s="4">
        <v>0.97779771637475388</v>
      </c>
      <c r="R62" s="4">
        <v>9686</v>
      </c>
      <c r="S62" s="100">
        <f t="shared" si="22"/>
        <v>7860.4768500841765</v>
      </c>
      <c r="T62" s="101">
        <f t="shared" si="34"/>
        <v>1825.5231499158235</v>
      </c>
      <c r="U62" s="49">
        <v>40724</v>
      </c>
      <c r="V62" s="95"/>
      <c r="W62" s="95"/>
      <c r="X62" s="95"/>
      <c r="Y62" s="95"/>
      <c r="Z62" s="95"/>
      <c r="AC62" s="93">
        <v>37810</v>
      </c>
      <c r="AD62" s="95">
        <v>0.90100000000000002</v>
      </c>
      <c r="AE62" s="93">
        <f t="shared" si="23"/>
        <v>37819.5</v>
      </c>
      <c r="AF62" s="92">
        <f>Logistic2010!Q62</f>
        <v>0.75336211213144844</v>
      </c>
      <c r="AG62" s="4">
        <f t="shared" si="18"/>
        <v>0.97779771637475388</v>
      </c>
      <c r="AH62" s="92">
        <f>Logistic2011!Q62</f>
        <v>0.83140351438424964</v>
      </c>
      <c r="AI62" s="92">
        <f>Logistic2012!Q62</f>
        <v>0.97779771637475388</v>
      </c>
      <c r="AJ62" s="92">
        <f>Logistic2013!L62</f>
        <v>0.85450303975835906</v>
      </c>
      <c r="AK62" s="119">
        <f>Logistic2014!AK62</f>
        <v>0.85456925965431629</v>
      </c>
      <c r="AL62" s="119">
        <f t="shared" si="24"/>
        <v>0.79543874895142319</v>
      </c>
      <c r="AM62" s="113"/>
      <c r="AN62" s="113"/>
      <c r="AP62" s="113"/>
      <c r="AQ62" s="113"/>
      <c r="AR62" s="113"/>
      <c r="AS62" s="113"/>
      <c r="AT62" s="114"/>
      <c r="AU62" s="114"/>
    </row>
    <row r="63" spans="2:50" x14ac:dyDescent="0.25">
      <c r="B63" s="49"/>
      <c r="C63" s="79"/>
      <c r="D63" s="86" t="str">
        <f t="shared" si="30"/>
        <v/>
      </c>
      <c r="E63" s="81"/>
      <c r="F63" s="50" t="str">
        <f t="shared" si="31"/>
        <v/>
      </c>
      <c r="G63" s="16" t="str">
        <f t="shared" si="32"/>
        <v/>
      </c>
      <c r="H63" s="51" t="str">
        <f t="shared" si="33"/>
        <v/>
      </c>
      <c r="I63" s="54"/>
      <c r="J63" s="105">
        <f t="shared" si="10"/>
        <v>37820.5</v>
      </c>
      <c r="K63" s="109">
        <v>55</v>
      </c>
      <c r="L63" s="125">
        <f t="shared" si="5"/>
        <v>0.82762068736577221</v>
      </c>
      <c r="M63" s="46">
        <f t="shared" si="11"/>
        <v>0.94643653282667362</v>
      </c>
      <c r="N63" s="130">
        <v>0.94643653282667362</v>
      </c>
      <c r="O63" s="89">
        <f t="shared" si="6"/>
        <v>0.94643653282667362</v>
      </c>
      <c r="P63" s="4">
        <v>40377</v>
      </c>
      <c r="Q63" s="4">
        <v>0.98323806162233796</v>
      </c>
      <c r="R63" s="4">
        <v>3970</v>
      </c>
      <c r="S63" s="100">
        <f t="shared" si="22"/>
        <v>3341.3090510978095</v>
      </c>
      <c r="T63" s="101">
        <f t="shared" si="34"/>
        <v>628.69094890219048</v>
      </c>
      <c r="U63" s="40">
        <v>40725</v>
      </c>
      <c r="V63" s="95">
        <v>0.35599999999999998</v>
      </c>
      <c r="W63" s="95"/>
      <c r="X63" s="95"/>
      <c r="Y63" s="95"/>
      <c r="Z63" s="95"/>
      <c r="AC63" s="93">
        <v>37813</v>
      </c>
      <c r="AD63" s="95">
        <v>0.77500000000000002</v>
      </c>
      <c r="AE63" s="93">
        <f t="shared" si="23"/>
        <v>37820.5</v>
      </c>
      <c r="AF63" s="92">
        <f>Logistic2010!Q63</f>
        <v>0.78859738904460508</v>
      </c>
      <c r="AG63" s="4">
        <f t="shared" si="18"/>
        <v>0.98323806162233796</v>
      </c>
      <c r="AH63" s="92">
        <f>Logistic2011!Q63</f>
        <v>0.86381250435994517</v>
      </c>
      <c r="AI63" s="92">
        <f>Logistic2012!Q63</f>
        <v>0.98323806162233796</v>
      </c>
      <c r="AJ63" s="92">
        <f>Logistic2013!L63</f>
        <v>0.87740468827985718</v>
      </c>
      <c r="AK63" s="119">
        <f>Logistic2014!AK63</f>
        <v>0.87675320628420728</v>
      </c>
      <c r="AL63" s="119">
        <f t="shared" si="24"/>
        <v>0.82762068736577221</v>
      </c>
      <c r="AM63" s="115"/>
      <c r="AN63" s="115"/>
      <c r="AO63" s="115"/>
      <c r="AP63" s="115"/>
      <c r="AQ63" s="115"/>
      <c r="AR63" t="s">
        <v>28</v>
      </c>
      <c r="AS63"/>
      <c r="AT63"/>
      <c r="AU63"/>
      <c r="AV63"/>
      <c r="AW63"/>
      <c r="AX63"/>
    </row>
    <row r="64" spans="2:50" ht="16.5" thickBot="1" x14ac:dyDescent="0.3">
      <c r="B64" s="56"/>
      <c r="C64" s="80"/>
      <c r="D64" s="87" t="str">
        <f t="shared" si="30"/>
        <v/>
      </c>
      <c r="E64" s="82"/>
      <c r="F64" s="50" t="str">
        <f t="shared" si="31"/>
        <v/>
      </c>
      <c r="G64" s="16" t="str">
        <f t="shared" si="32"/>
        <v/>
      </c>
      <c r="H64" s="51" t="str">
        <f t="shared" si="33"/>
        <v/>
      </c>
      <c r="I64" s="54"/>
      <c r="J64" s="105">
        <f t="shared" si="10"/>
        <v>37821.5</v>
      </c>
      <c r="K64" s="109">
        <v>56</v>
      </c>
      <c r="L64" s="125">
        <f t="shared" si="5"/>
        <v>0.85565843157518973</v>
      </c>
      <c r="M64" s="46">
        <f t="shared" si="11"/>
        <v>0.95837894884125729</v>
      </c>
      <c r="N64" s="131">
        <v>0.95837894884125729</v>
      </c>
      <c r="O64" s="89">
        <f t="shared" si="6"/>
        <v>0.95837894884125729</v>
      </c>
      <c r="P64" s="4">
        <v>40378</v>
      </c>
      <c r="Q64" s="4">
        <v>0.98736255895680802</v>
      </c>
      <c r="R64" s="4">
        <v>5509</v>
      </c>
      <c r="S64" s="100">
        <f t="shared" si="22"/>
        <v>4780.3151153759782</v>
      </c>
      <c r="T64" s="101">
        <f t="shared" si="34"/>
        <v>728.68488462402183</v>
      </c>
      <c r="U64" s="49">
        <v>40726</v>
      </c>
      <c r="V64" s="95"/>
      <c r="W64" s="95"/>
      <c r="X64" s="95"/>
      <c r="Y64" s="95"/>
      <c r="Z64" s="95"/>
      <c r="AC64" s="93">
        <v>37816</v>
      </c>
      <c r="AD64" s="95">
        <v>0.93</v>
      </c>
      <c r="AE64" s="93">
        <f t="shared" si="23"/>
        <v>37821.5</v>
      </c>
      <c r="AF64" s="92">
        <f>Logistic2010!Q64</f>
        <v>0.82000157910537541</v>
      </c>
      <c r="AG64" s="4">
        <f t="shared" si="18"/>
        <v>0.98736255895680802</v>
      </c>
      <c r="AH64" s="92">
        <f>Logistic2011!Q64</f>
        <v>0.89080976473363638</v>
      </c>
      <c r="AI64" s="92">
        <f>Logistic2012!Q64</f>
        <v>0.98736255895680802</v>
      </c>
      <c r="AJ64" s="92">
        <f>Logistic2013!L64</f>
        <v>0.8971354919418093</v>
      </c>
      <c r="AK64" s="119">
        <f>Logistic2014!AK64</f>
        <v>0.89596518054214846</v>
      </c>
      <c r="AL64" s="119">
        <f t="shared" si="24"/>
        <v>0.85565843157518973</v>
      </c>
      <c r="AM64" s="110"/>
      <c r="AN64" s="110"/>
      <c r="AO64" s="110"/>
      <c r="AP64" s="110"/>
      <c r="AQ64" s="110"/>
      <c r="AR64"/>
      <c r="AS64"/>
      <c r="AT64"/>
      <c r="AU64"/>
      <c r="AV64"/>
      <c r="AW64"/>
      <c r="AX64"/>
    </row>
    <row r="65" spans="1:50" ht="16.5" thickBot="1" x14ac:dyDescent="0.3">
      <c r="A65" s="4">
        <v>2.5000000000000001E-2</v>
      </c>
      <c r="B65" s="104">
        <f>C5</f>
        <v>37834.5</v>
      </c>
      <c r="C65" s="121">
        <f t="shared" ref="C65" si="35">1/(A65^2)</f>
        <v>1599.9999999999998</v>
      </c>
      <c r="D65" s="84">
        <f t="shared" si="30"/>
        <v>69</v>
      </c>
      <c r="E65" s="59">
        <v>1</v>
      </c>
      <c r="F65" s="60">
        <f t="shared" si="31"/>
        <v>0.98923353472043185</v>
      </c>
      <c r="G65" s="61">
        <f t="shared" si="32"/>
        <v>1.0766465279568149E-2</v>
      </c>
      <c r="H65" s="62">
        <f t="shared" si="33"/>
        <v>0.1854668393858343</v>
      </c>
      <c r="I65" s="54"/>
      <c r="J65" s="105">
        <f t="shared" si="10"/>
        <v>37822.5</v>
      </c>
      <c r="K65" s="109">
        <v>57</v>
      </c>
      <c r="L65" s="125">
        <f t="shared" si="5"/>
        <v>0.87979813599641254</v>
      </c>
      <c r="M65" s="46">
        <f t="shared" si="11"/>
        <v>0.96774943709406713</v>
      </c>
      <c r="N65" s="130">
        <v>0.96774943709406713</v>
      </c>
      <c r="O65" s="89">
        <f t="shared" si="6"/>
        <v>0.96774943709406713</v>
      </c>
      <c r="P65" s="4">
        <v>40379</v>
      </c>
      <c r="Q65" s="4">
        <v>0.99048199337810516</v>
      </c>
      <c r="R65" s="4">
        <v>2314</v>
      </c>
      <c r="S65" s="100">
        <f t="shared" si="22"/>
        <v>2059.655434363412</v>
      </c>
      <c r="T65" s="101">
        <f t="shared" si="34"/>
        <v>254.34456563658796</v>
      </c>
      <c r="U65" s="49">
        <v>40727</v>
      </c>
      <c r="V65" s="95"/>
      <c r="W65" s="95"/>
      <c r="X65" s="95"/>
      <c r="Y65" s="95"/>
      <c r="Z65" s="95"/>
      <c r="AC65" s="93">
        <v>37819</v>
      </c>
      <c r="AD65" s="95">
        <v>0.997</v>
      </c>
      <c r="AE65" s="93">
        <f t="shared" si="23"/>
        <v>37822.5</v>
      </c>
      <c r="AF65" s="92">
        <f>Logistic2010!Q65</f>
        <v>0.84764193896050799</v>
      </c>
      <c r="AG65" s="4">
        <f t="shared" si="18"/>
        <v>0.99048199337810516</v>
      </c>
      <c r="AH65" s="92">
        <f>Logistic2011!Q65</f>
        <v>0.91299424895614467</v>
      </c>
      <c r="AI65" s="92">
        <f>Logistic2012!Q65</f>
        <v>0.99048199337810516</v>
      </c>
      <c r="AJ65" s="92">
        <f>Logistic2013!L65</f>
        <v>0.91400201566045702</v>
      </c>
      <c r="AK65" s="119">
        <f>Logistic2014!AK65</f>
        <v>0.91248129649139764</v>
      </c>
      <c r="AL65" s="119">
        <f t="shared" si="24"/>
        <v>0.87979813599641254</v>
      </c>
      <c r="AM65" s="110"/>
      <c r="AN65" s="110"/>
      <c r="AO65" s="110"/>
      <c r="AP65" s="110"/>
      <c r="AQ65" s="110"/>
      <c r="AR65" t="s">
        <v>29</v>
      </c>
      <c r="AS65"/>
      <c r="AT65"/>
      <c r="AU65"/>
      <c r="AV65"/>
      <c r="AW65"/>
      <c r="AX65"/>
    </row>
    <row r="66" spans="1:50" ht="16.5" thickBot="1" x14ac:dyDescent="0.3">
      <c r="A66" s="4">
        <v>2.5000000000000001E-2</v>
      </c>
      <c r="B66" s="104">
        <f>A3</f>
        <v>37766.5</v>
      </c>
      <c r="C66" s="121">
        <f>C65</f>
        <v>1599.9999999999998</v>
      </c>
      <c r="D66" s="84">
        <f>IF(B66&lt;&gt;0,B66-$A$3+1,"")</f>
        <v>1</v>
      </c>
      <c r="E66" s="59">
        <v>0</v>
      </c>
      <c r="F66" s="60">
        <f>IF(B66&lt;&gt;0,$G$3/(1+EXP(-$G$4*(D66-$G$5))),"")</f>
        <v>5.4567010890120445E-5</v>
      </c>
      <c r="G66" s="61">
        <f>IF(B66&lt;&gt;0,E66-F66,"")</f>
        <v>-5.4567010890120445E-5</v>
      </c>
      <c r="H66" s="62">
        <f>IF(B66&lt;&gt;0,C66*(G66)^2,"")</f>
        <v>4.7640938839720362E-6</v>
      </c>
      <c r="I66" s="68"/>
      <c r="J66" s="105">
        <f t="shared" si="10"/>
        <v>37823.5</v>
      </c>
      <c r="K66" s="109">
        <v>58</v>
      </c>
      <c r="L66" s="125">
        <f t="shared" si="5"/>
        <v>0.90037077875156668</v>
      </c>
      <c r="M66" s="46">
        <f t="shared" si="11"/>
        <v>0.97506515897383861</v>
      </c>
      <c r="N66" s="130">
        <v>0.97506515897383861</v>
      </c>
      <c r="O66" s="89">
        <f t="shared" si="6"/>
        <v>0.97506515897383861</v>
      </c>
      <c r="P66" s="4">
        <v>40380</v>
      </c>
      <c r="Q66" s="4">
        <v>0.99283701063466723</v>
      </c>
      <c r="R66" s="4">
        <v>2271</v>
      </c>
      <c r="S66" s="100">
        <f t="shared" si="22"/>
        <v>2064.4779186129863</v>
      </c>
      <c r="T66" s="101">
        <f t="shared" si="34"/>
        <v>206.52208138701371</v>
      </c>
      <c r="U66" s="49">
        <v>40728</v>
      </c>
      <c r="V66" s="95"/>
      <c r="W66" s="95"/>
      <c r="X66" s="95"/>
      <c r="Y66" s="95"/>
      <c r="Z66" s="95"/>
      <c r="AC66" s="93">
        <v>37823</v>
      </c>
      <c r="AD66" s="95">
        <v>0.99399999999999999</v>
      </c>
      <c r="AE66" s="93">
        <f t="shared" si="23"/>
        <v>37823.5</v>
      </c>
      <c r="AF66" s="92">
        <f>Logistic2010!Q66</f>
        <v>0.8717019610426997</v>
      </c>
      <c r="AG66" s="4">
        <f t="shared" si="18"/>
        <v>0.99283701063466723</v>
      </c>
      <c r="AH66" s="92">
        <f>Logistic2011!Q66</f>
        <v>0.93102046958550611</v>
      </c>
      <c r="AI66" s="92">
        <f>Logistic2012!Q66</f>
        <v>0.99283701063466723</v>
      </c>
      <c r="AJ66" s="92">
        <f>Logistic2013!L66</f>
        <v>0.92832391728718622</v>
      </c>
      <c r="AK66" s="119">
        <f>Logistic2014!AK66</f>
        <v>0.92659021810226538</v>
      </c>
      <c r="AL66" s="119">
        <f t="shared" si="24"/>
        <v>0.90037077875156668</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10"/>
        <v>37824.5</v>
      </c>
      <c r="K67" s="109">
        <v>59</v>
      </c>
      <c r="L67" s="125">
        <f t="shared" si="5"/>
        <v>0.91775156260729407</v>
      </c>
      <c r="M67" s="46">
        <f t="shared" si="11"/>
        <v>0.98075438398529091</v>
      </c>
      <c r="N67" s="131">
        <v>0.98075438398529091</v>
      </c>
      <c r="O67" s="89">
        <f t="shared" si="6"/>
        <v>0.98075438398529091</v>
      </c>
      <c r="P67" s="4">
        <v>40381</v>
      </c>
      <c r="Q67" s="4">
        <v>0.99461250113431077</v>
      </c>
      <c r="R67" s="4">
        <v>2019</v>
      </c>
      <c r="S67" s="100">
        <f t="shared" si="22"/>
        <v>1867.6554038796505</v>
      </c>
      <c r="T67" s="101">
        <f t="shared" si="34"/>
        <v>151.34459612034948</v>
      </c>
      <c r="U67" s="49">
        <v>40729</v>
      </c>
      <c r="V67" s="95">
        <v>0.51500000000000001</v>
      </c>
      <c r="W67" s="95"/>
      <c r="X67" s="95"/>
      <c r="Y67" s="95"/>
      <c r="Z67" s="95"/>
      <c r="AE67" s="93">
        <f t="shared" si="23"/>
        <v>37824.5</v>
      </c>
      <c r="AF67" s="92">
        <f>Logistic2010!Q67</f>
        <v>0.89244459206165738</v>
      </c>
      <c r="AG67" s="4">
        <f t="shared" si="18"/>
        <v>0.99461250113431077</v>
      </c>
      <c r="AH67" s="92">
        <f>Logistic2011!Q67</f>
        <v>0.94553474019587147</v>
      </c>
      <c r="AI67" s="92">
        <f>Logistic2012!Q67</f>
        <v>0.99461250113431077</v>
      </c>
      <c r="AJ67" s="92">
        <f>Logistic2013!L67</f>
        <v>0.94041617027076585</v>
      </c>
      <c r="AK67" s="119">
        <f>Logistic2014!AK67</f>
        <v>0.93857774011739092</v>
      </c>
      <c r="AL67" s="119">
        <f t="shared" si="24"/>
        <v>0.91775156260729407</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10"/>
        <v>37825.5</v>
      </c>
      <c r="K68" s="109">
        <v>60</v>
      </c>
      <c r="L68" s="125">
        <f t="shared" si="5"/>
        <v>0.93232808462366246</v>
      </c>
      <c r="M68" s="46">
        <f t="shared" si="11"/>
        <v>0.98516528350488675</v>
      </c>
      <c r="N68" s="131">
        <v>0.98516528350488675</v>
      </c>
      <c r="O68" s="89">
        <f t="shared" si="6"/>
        <v>0.98516528350488675</v>
      </c>
      <c r="P68" s="4">
        <v>40382</v>
      </c>
      <c r="Q68" s="4">
        <v>0.99594969608518535</v>
      </c>
      <c r="R68" s="4">
        <v>2115</v>
      </c>
      <c r="S68" s="100">
        <f t="shared" si="22"/>
        <v>1984.7219715301396</v>
      </c>
      <c r="T68" s="101">
        <f t="shared" si="34"/>
        <v>130.27802846986037</v>
      </c>
      <c r="U68" s="49">
        <v>40730</v>
      </c>
      <c r="V68" s="95"/>
      <c r="W68" s="95"/>
      <c r="X68" s="95"/>
      <c r="Y68" s="95"/>
      <c r="Z68" s="95"/>
      <c r="AE68" s="93">
        <f t="shared" si="23"/>
        <v>37825.5</v>
      </c>
      <c r="AF68" s="92">
        <f>Logistic2010!Q68</f>
        <v>0.91017920532930874</v>
      </c>
      <c r="AG68" s="4">
        <f t="shared" si="18"/>
        <v>0.99594969608518535</v>
      </c>
      <c r="AH68" s="92">
        <f>Logistic2011!Q68</f>
        <v>0.95713560982756274</v>
      </c>
      <c r="AI68" s="92">
        <f>Logistic2012!Q68</f>
        <v>0.99594969608518535</v>
      </c>
      <c r="AJ68" s="92">
        <f>Logistic2013!L68</f>
        <v>0.95057698620331765</v>
      </c>
      <c r="AK68" s="119">
        <f>Logistic2014!AK68</f>
        <v>0.94871609038627402</v>
      </c>
      <c r="AL68" s="119">
        <f t="shared" si="24"/>
        <v>0.93232808462366246</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10"/>
        <v>37826.5</v>
      </c>
      <c r="K69" s="109">
        <v>61</v>
      </c>
      <c r="L69" s="125">
        <f t="shared" si="5"/>
        <v>0.94447756221334911</v>
      </c>
      <c r="M69" s="46">
        <f t="shared" si="11"/>
        <v>0.9885770241743157</v>
      </c>
      <c r="N69" s="131">
        <v>0.9885770241743157</v>
      </c>
      <c r="O69" s="89">
        <f t="shared" si="6"/>
        <v>0.9885770241743157</v>
      </c>
      <c r="P69" s="4">
        <v>40383</v>
      </c>
      <c r="Q69" s="4">
        <v>0.99695601060889649</v>
      </c>
      <c r="R69" s="4">
        <v>2946</v>
      </c>
      <c r="S69" s="100">
        <f t="shared" si="22"/>
        <v>2797.2707105343147</v>
      </c>
      <c r="T69" s="101">
        <f t="shared" si="34"/>
        <v>148.72928946568527</v>
      </c>
      <c r="U69" s="49">
        <v>40731</v>
      </c>
      <c r="V69" s="95"/>
      <c r="W69" s="95"/>
      <c r="X69" s="95"/>
      <c r="Y69" s="95"/>
      <c r="Z69" s="95"/>
      <c r="AE69" s="93">
        <f t="shared" si="23"/>
        <v>37826.5</v>
      </c>
      <c r="AF69" s="92">
        <f>Logistic2010!Q69</f>
        <v>0.92523457092805417</v>
      </c>
      <c r="AG69" s="4">
        <f t="shared" si="18"/>
        <v>0.99695601060889649</v>
      </c>
      <c r="AH69" s="92">
        <f>Logistic2011!Q69</f>
        <v>0.96635347078003297</v>
      </c>
      <c r="AI69" s="92">
        <f>Logistic2012!Q69</f>
        <v>0.99695601060889649</v>
      </c>
      <c r="AJ69" s="92">
        <f>Logistic2013!L69</f>
        <v>0.95908047510394157</v>
      </c>
      <c r="AK69" s="119">
        <f>Logistic2014!AK69</f>
        <v>0.95725721401262687</v>
      </c>
      <c r="AL69" s="119">
        <f t="shared" si="24"/>
        <v>0.94447756221334911</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10"/>
        <v>37827.5</v>
      </c>
      <c r="K70" s="109">
        <v>62</v>
      </c>
      <c r="L70" s="125">
        <f t="shared" si="5"/>
        <v>0.95455211228380965</v>
      </c>
      <c r="M70" s="46">
        <f t="shared" si="11"/>
        <v>0.99121112062050309</v>
      </c>
      <c r="N70" s="131">
        <v>0.99121112062050309</v>
      </c>
      <c r="O70" s="89">
        <f t="shared" si="6"/>
        <v>0.99121112062050309</v>
      </c>
      <c r="P70" s="4">
        <v>40384</v>
      </c>
      <c r="Q70" s="4">
        <v>0.99771287634461936</v>
      </c>
      <c r="R70" s="4">
        <v>2623</v>
      </c>
      <c r="S70" s="100">
        <f t="shared" si="22"/>
        <v>2514.6997538873393</v>
      </c>
      <c r="T70" s="101">
        <f t="shared" si="34"/>
        <v>108.30024611266072</v>
      </c>
      <c r="U70" s="49">
        <v>40732</v>
      </c>
      <c r="AE70" s="93">
        <f t="shared" si="23"/>
        <v>37827.5</v>
      </c>
      <c r="AF70" s="92">
        <f>Logistic2010!Q70</f>
        <v>0.93793849093008874</v>
      </c>
      <c r="AG70" s="4">
        <f t="shared" si="18"/>
        <v>0.99771287634461936</v>
      </c>
      <c r="AH70" s="92">
        <f>Logistic2011!Q70</f>
        <v>0.97364364314605079</v>
      </c>
      <c r="AI70" s="92">
        <f>Logistic2012!Q70</f>
        <v>0.99771287634461936</v>
      </c>
      <c r="AJ70" s="92">
        <f>Logistic2013!L70</f>
        <v>0.96617295862288388</v>
      </c>
      <c r="AK70" s="119">
        <f>Logistic2014!AK70</f>
        <v>0.9644291830100955</v>
      </c>
      <c r="AL70" s="119">
        <f t="shared" si="24"/>
        <v>0.95455211228380965</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10"/>
        <v>37828.5</v>
      </c>
      <c r="K71" s="109">
        <v>63</v>
      </c>
      <c r="L71" s="125">
        <f t="shared" si="5"/>
        <v>0.96287049838133665</v>
      </c>
      <c r="M71" s="46">
        <f t="shared" si="11"/>
        <v>0.96287049838133665</v>
      </c>
      <c r="N71" s="131">
        <v>0.99324195641616453</v>
      </c>
      <c r="O71" s="89">
        <f t="shared" si="6"/>
        <v>0.96287049838133665</v>
      </c>
      <c r="P71" s="4">
        <v>40385</v>
      </c>
      <c r="Q71" s="4">
        <v>0.99828187726084372</v>
      </c>
      <c r="U71" s="40">
        <v>40733</v>
      </c>
      <c r="V71" s="95"/>
      <c r="W71" s="95"/>
      <c r="X71" s="95"/>
      <c r="Y71" s="95"/>
      <c r="Z71" s="95"/>
      <c r="AE71" s="93">
        <f t="shared" si="23"/>
        <v>37828.5</v>
      </c>
      <c r="AF71" s="92">
        <f>Logistic2010!Q71</f>
        <v>0.94860370829645768</v>
      </c>
      <c r="AG71" s="4">
        <f t="shared" si="18"/>
        <v>0.99828187726084372</v>
      </c>
      <c r="AH71" s="92">
        <f>Logistic2011!Q71</f>
        <v>0.97938794995342149</v>
      </c>
      <c r="AI71" s="92">
        <f>Logistic2012!Q71</f>
        <v>0.99828187726084372</v>
      </c>
      <c r="AJ71" s="92">
        <f>Logistic2013!L71</f>
        <v>0.97207191636988943</v>
      </c>
      <c r="AK71" s="119">
        <f>Logistic2014!AK71</f>
        <v>0.97043490859995651</v>
      </c>
      <c r="AL71" s="119">
        <f t="shared" si="24"/>
        <v>0.96287049838133665</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10"/>
        <v>37829.5</v>
      </c>
      <c r="K72" s="109">
        <v>64</v>
      </c>
      <c r="L72" s="125">
        <f t="shared" si="5"/>
        <v>0.96971466500136505</v>
      </c>
      <c r="M72" s="46">
        <f t="shared" si="11"/>
        <v>0.96971466500136505</v>
      </c>
      <c r="N72" s="131">
        <v>0.99480598839313295</v>
      </c>
      <c r="O72" s="89">
        <f t="shared" si="6"/>
        <v>0.96971466500136505</v>
      </c>
      <c r="P72" s="4">
        <v>40386</v>
      </c>
      <c r="Q72" s="4">
        <v>0.99870950266811021</v>
      </c>
      <c r="U72" s="49">
        <v>40734</v>
      </c>
      <c r="V72" s="95"/>
      <c r="W72" s="95"/>
      <c r="X72" s="95"/>
      <c r="Y72" s="95"/>
      <c r="Z72" s="95"/>
      <c r="AE72" s="93">
        <f t="shared" si="23"/>
        <v>37829.5</v>
      </c>
      <c r="AF72" s="92">
        <f>Logistic2010!Q72</f>
        <v>0.95751912825764318</v>
      </c>
      <c r="AG72" s="4">
        <f t="shared" si="18"/>
        <v>0.99870950266811021</v>
      </c>
      <c r="AH72" s="92">
        <f>Logistic2011!Q72</f>
        <v>0.98390099930162234</v>
      </c>
      <c r="AI72" s="92">
        <f>Logistic2012!Q72</f>
        <v>0.99870950266811021</v>
      </c>
      <c r="AJ72" s="92">
        <f>Logistic2013!L72</f>
        <v>0.97696670309022537</v>
      </c>
      <c r="AK72" s="119">
        <f>Logistic2014!AK72</f>
        <v>0.97545244534588094</v>
      </c>
      <c r="AL72" s="119">
        <f t="shared" si="24"/>
        <v>0.96971466500136505</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10"/>
        <v>37830.5</v>
      </c>
      <c r="K73" s="109">
        <v>65</v>
      </c>
      <c r="L73" s="125">
        <f t="shared" ref="L73:L104" si="36">$G$3/(1+EXP(-$G$4*(K73-$G$5)))</f>
        <v>0.97532955506085461</v>
      </c>
      <c r="M73" s="46">
        <f t="shared" si="11"/>
        <v>0.97532955506085461</v>
      </c>
      <c r="N73" s="132">
        <v>0.99600950655454856</v>
      </c>
      <c r="O73" s="89">
        <f t="shared" ref="O73:O104" si="37">IF(N73=M73,N73,M73)</f>
        <v>0.97532955506085461</v>
      </c>
      <c r="P73" s="4">
        <v>40387</v>
      </c>
      <c r="Q73" s="4">
        <v>0.99903079926177196</v>
      </c>
      <c r="U73" s="49">
        <v>40735</v>
      </c>
      <c r="AE73" s="93">
        <f t="shared" si="23"/>
        <v>37830.5</v>
      </c>
      <c r="AF73" s="92">
        <f>Logistic2010!Q73</f>
        <v>0.96494519123476252</v>
      </c>
      <c r="AG73" s="4">
        <f t="shared" si="18"/>
        <v>0.99903079926177196</v>
      </c>
      <c r="AH73" s="92">
        <f>Logistic2011!Q73</f>
        <v>0.98743858120527517</v>
      </c>
      <c r="AI73" s="92">
        <f>Logistic2012!Q73</f>
        <v>0.99903079926177196</v>
      </c>
      <c r="AJ73" s="92">
        <f>Logistic2013!L73</f>
        <v>0.98102036011876015</v>
      </c>
      <c r="AK73" s="119">
        <f>Logistic2014!AK73</f>
        <v>0.97963631693234787</v>
      </c>
      <c r="AL73" s="119">
        <f t="shared" si="24"/>
        <v>0.97532955506085461</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38">J73+1</f>
        <v>37831.5</v>
      </c>
      <c r="K74" s="109">
        <v>66</v>
      </c>
      <c r="L74" s="125">
        <f t="shared" si="36"/>
        <v>0.97992499727171689</v>
      </c>
      <c r="M74" s="46">
        <f t="shared" ref="M74:M107" si="39">IF(J75&gt;MAX($B$9:$B$64),L74,N74)</f>
        <v>0.97992499727171689</v>
      </c>
      <c r="N74" s="132">
        <v>0.99693501353750869</v>
      </c>
      <c r="O74" s="89">
        <f t="shared" si="37"/>
        <v>0.97992499727171689</v>
      </c>
      <c r="P74" s="4">
        <v>40388</v>
      </c>
      <c r="Q74" s="4">
        <v>0.99927216057350388</v>
      </c>
      <c r="U74" s="49">
        <v>40736</v>
      </c>
      <c r="V74" s="95"/>
      <c r="W74" s="95"/>
      <c r="X74" s="95"/>
      <c r="Y74" s="95"/>
      <c r="Z74" s="95"/>
      <c r="AE74" s="93">
        <f t="shared" si="23"/>
        <v>37831.5</v>
      </c>
      <c r="AF74" s="92">
        <f>Logistic2010!Q74</f>
        <v>0.97111227157250635</v>
      </c>
      <c r="AG74" s="4">
        <f t="shared" si="18"/>
        <v>0.99927216057350388</v>
      </c>
      <c r="AH74" s="92">
        <f>Logistic2011!Q74</f>
        <v>0.9902065550659539</v>
      </c>
      <c r="AI74" s="92">
        <f>Logistic2012!Q74</f>
        <v>0.99927216057350388</v>
      </c>
      <c r="AJ74" s="92">
        <f>Logistic2013!L74</f>
        <v>0.98437202125506518</v>
      </c>
      <c r="AK74" s="119">
        <f>Logistic2014!AK74</f>
        <v>0.98311943217332176</v>
      </c>
      <c r="AL74" s="119">
        <f t="shared" si="24"/>
        <v>0.97992499727171689</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38"/>
        <v>37832.5</v>
      </c>
      <c r="K75" s="109">
        <v>67</v>
      </c>
      <c r="L75" s="125">
        <f t="shared" si="36"/>
        <v>0.98367875635308522</v>
      </c>
      <c r="M75" s="46">
        <f t="shared" si="39"/>
        <v>0.98367875635308522</v>
      </c>
      <c r="N75" s="132">
        <v>0.99764637681040835</v>
      </c>
      <c r="O75" s="89">
        <f t="shared" si="37"/>
        <v>0.98367875635308522</v>
      </c>
      <c r="P75" s="4">
        <v>40389</v>
      </c>
      <c r="Q75" s="4">
        <v>0.99945344824920912</v>
      </c>
      <c r="U75" s="49">
        <v>40737</v>
      </c>
      <c r="V75" s="95"/>
      <c r="W75" s="95"/>
      <c r="X75" s="95"/>
      <c r="Y75" s="95"/>
      <c r="Z75" s="95"/>
      <c r="AE75" s="93">
        <f t="shared" si="23"/>
        <v>37832.5</v>
      </c>
      <c r="AF75" s="92">
        <f>Logistic2010!Q75</f>
        <v>0.97622113342645345</v>
      </c>
      <c r="AG75" s="4">
        <f t="shared" si="18"/>
        <v>0.99945344824920912</v>
      </c>
      <c r="AH75" s="92">
        <f>Logistic2011!Q75</f>
        <v>0.99236930496689024</v>
      </c>
      <c r="AI75" s="92">
        <f>Logistic2012!Q75</f>
        <v>0.99945344824920912</v>
      </c>
      <c r="AJ75" s="92">
        <f>Logistic2013!L75</f>
        <v>0.98713956340918307</v>
      </c>
      <c r="AK75" s="119">
        <f>Logistic2014!AK75</f>
        <v>0.98601528129691507</v>
      </c>
      <c r="AL75" s="119">
        <f t="shared" si="24"/>
        <v>0.98367875635308522</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38"/>
        <v>37833.5</v>
      </c>
      <c r="K76" s="109">
        <v>68</v>
      </c>
      <c r="L76" s="125">
        <f t="shared" si="36"/>
        <v>0.98674011013199214</v>
      </c>
      <c r="M76" s="46">
        <f t="shared" si="39"/>
        <v>0.98674011013199214</v>
      </c>
      <c r="N76" s="132">
        <v>0.9981929365976735</v>
      </c>
      <c r="O76" s="89">
        <f t="shared" si="37"/>
        <v>0.98674011013199214</v>
      </c>
      <c r="P76" s="4">
        <v>40390</v>
      </c>
      <c r="Q76" s="4">
        <v>0.99958959997534225</v>
      </c>
      <c r="U76" s="49">
        <v>40738</v>
      </c>
      <c r="AE76" s="93">
        <f t="shared" si="23"/>
        <v>37833.5</v>
      </c>
      <c r="AF76" s="92">
        <f>Logistic2010!Q76</f>
        <v>0.98044467529540402</v>
      </c>
      <c r="AG76" s="4">
        <f t="shared" ref="AG76" si="40">AI76</f>
        <v>0.99958959997534225</v>
      </c>
      <c r="AH76" s="92">
        <f>Logistic2011!Q76</f>
        <v>0.99405730717928753</v>
      </c>
      <c r="AI76" s="92">
        <f>Logistic2012!Q76</f>
        <v>0.99958959997534225</v>
      </c>
      <c r="AJ76" s="92">
        <f>Logistic2013!L76</f>
        <v>0.98942227092402102</v>
      </c>
      <c r="AK76" s="119">
        <f>Logistic2014!AK76</f>
        <v>0.98842020100800998</v>
      </c>
      <c r="AL76" s="119">
        <f t="shared" si="24"/>
        <v>0.98674011013199214</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38"/>
        <v>37834.5</v>
      </c>
      <c r="K77" s="109">
        <v>69</v>
      </c>
      <c r="L77" s="125">
        <f t="shared" si="36"/>
        <v>0.98923353472043185</v>
      </c>
      <c r="M77" s="46">
        <f t="shared" si="39"/>
        <v>0.98923353472043185</v>
      </c>
      <c r="N77" s="132">
        <v>0.99861275043215647</v>
      </c>
      <c r="O77" s="89">
        <f t="shared" si="37"/>
        <v>0.98923353472043185</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38"/>
        <v>37835.5</v>
      </c>
      <c r="K78" s="109">
        <v>70</v>
      </c>
      <c r="L78" s="125">
        <f t="shared" si="36"/>
        <v>0.99126224111519712</v>
      </c>
      <c r="M78" s="46">
        <f t="shared" si="39"/>
        <v>0.99126224111519712</v>
      </c>
      <c r="N78" s="132">
        <v>0.99893513788942956</v>
      </c>
      <c r="O78" s="89">
        <f t="shared" si="37"/>
        <v>0.99126224111519712</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38"/>
        <v>37836.5</v>
      </c>
      <c r="K79" s="109">
        <v>71</v>
      </c>
      <c r="L79" s="125">
        <f t="shared" si="36"/>
        <v>0.99291142109137775</v>
      </c>
      <c r="M79" s="46">
        <f t="shared" si="39"/>
        <v>0.99291142109137775</v>
      </c>
      <c r="N79" s="132">
        <v>0.99918266599299976</v>
      </c>
      <c r="O79" s="89">
        <f t="shared" si="37"/>
        <v>0.99291142109137775</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38"/>
        <v>37837.5</v>
      </c>
      <c r="K80" s="109">
        <v>72</v>
      </c>
      <c r="L80" s="125">
        <f t="shared" si="36"/>
        <v>0.99425113715605551</v>
      </c>
      <c r="M80" s="46">
        <f t="shared" si="39"/>
        <v>0.99425113715605551</v>
      </c>
      <c r="N80" s="132">
        <v>0.99937269211089375</v>
      </c>
      <c r="O80" s="89">
        <f t="shared" si="37"/>
        <v>0.99425113715605551</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38"/>
        <v>37838.5</v>
      </c>
      <c r="K81" s="109">
        <v>73</v>
      </c>
      <c r="L81" s="125">
        <f t="shared" si="36"/>
        <v>0.99533884031398334</v>
      </c>
      <c r="M81" s="46">
        <f t="shared" si="39"/>
        <v>0.99533884031398334</v>
      </c>
      <c r="N81" s="132">
        <v>0.99951855938287282</v>
      </c>
      <c r="O81" s="89">
        <f t="shared" si="37"/>
        <v>0.99533884031398334</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38"/>
        <v>37839.5</v>
      </c>
      <c r="K82" s="109">
        <v>74</v>
      </c>
      <c r="L82" s="125">
        <f t="shared" si="36"/>
        <v>0.99622152866437019</v>
      </c>
      <c r="M82" s="46">
        <f t="shared" si="39"/>
        <v>0.99622152866437019</v>
      </c>
      <c r="N82" s="132">
        <v>0.99963052082493253</v>
      </c>
      <c r="O82" s="89">
        <f t="shared" si="37"/>
        <v>0.99622152866437019</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38"/>
        <v>37840.5</v>
      </c>
      <c r="K83" s="109">
        <v>75</v>
      </c>
      <c r="L83" s="125">
        <f t="shared" si="36"/>
        <v>0.99693757576042152</v>
      </c>
      <c r="M83" s="46">
        <f t="shared" si="39"/>
        <v>0.99693757576042152</v>
      </c>
      <c r="N83" s="132">
        <v>0.99971645245567509</v>
      </c>
      <c r="O83" s="89">
        <f t="shared" si="37"/>
        <v>0.99693757576042152</v>
      </c>
      <c r="P83" s="4">
        <v>40397</v>
      </c>
      <c r="Q83" s="4">
        <v>0.99994479477502707</v>
      </c>
      <c r="U83" s="94">
        <v>40745</v>
      </c>
    </row>
    <row r="84" spans="2:41" x14ac:dyDescent="0.25">
      <c r="B84" s="63"/>
      <c r="C84" s="64"/>
      <c r="D84" s="65">
        <v>1</v>
      </c>
      <c r="E84" s="64">
        <v>3.9127199142977333E-2</v>
      </c>
      <c r="F84" s="71"/>
      <c r="G84" s="64"/>
      <c r="H84" s="64"/>
      <c r="I84" s="53"/>
      <c r="J84" s="105">
        <f t="shared" si="38"/>
        <v>37841.5</v>
      </c>
      <c r="K84" s="109">
        <v>76</v>
      </c>
      <c r="L84" s="125">
        <f t="shared" si="36"/>
        <v>0.99751826489595463</v>
      </c>
      <c r="M84" s="46">
        <f t="shared" si="39"/>
        <v>0.99751826489595463</v>
      </c>
      <c r="N84" s="132">
        <v>0.99978240288510523</v>
      </c>
      <c r="O84" s="89">
        <f t="shared" si="37"/>
        <v>0.99751826489595463</v>
      </c>
      <c r="P84" s="4">
        <v>40398</v>
      </c>
      <c r="Q84" s="4">
        <v>0.99995855204677475</v>
      </c>
    </row>
    <row r="85" spans="2:41" x14ac:dyDescent="0.25">
      <c r="B85" s="63"/>
      <c r="C85" s="64"/>
      <c r="D85" s="65">
        <v>3.9127199142977333E-2</v>
      </c>
      <c r="E85" s="64">
        <v>1</v>
      </c>
      <c r="F85" s="71"/>
      <c r="G85" s="64"/>
      <c r="H85" s="64"/>
      <c r="I85" s="53"/>
      <c r="J85" s="105">
        <f t="shared" si="38"/>
        <v>37842.5</v>
      </c>
      <c r="K85" s="109">
        <v>77</v>
      </c>
      <c r="L85" s="125">
        <f t="shared" si="36"/>
        <v>0.99798906732847326</v>
      </c>
      <c r="M85" s="46">
        <f t="shared" si="39"/>
        <v>0.99798906732847326</v>
      </c>
      <c r="N85" s="132">
        <v>0.99983301644163747</v>
      </c>
      <c r="O85" s="89">
        <f t="shared" si="37"/>
        <v>0.99798906732847326</v>
      </c>
      <c r="P85" s="4">
        <v>40399</v>
      </c>
      <c r="Q85" s="4">
        <v>0.99996888108077731</v>
      </c>
    </row>
    <row r="86" spans="2:41" x14ac:dyDescent="0.25">
      <c r="B86" s="63"/>
      <c r="C86" s="64"/>
      <c r="D86" s="65"/>
      <c r="E86" s="64"/>
      <c r="F86" s="71"/>
      <c r="G86" s="64"/>
      <c r="H86" s="64"/>
      <c r="I86" s="53"/>
      <c r="J86" s="105">
        <f t="shared" si="38"/>
        <v>37843.5</v>
      </c>
      <c r="K86" s="109">
        <v>78</v>
      </c>
      <c r="L86" s="125">
        <f t="shared" si="36"/>
        <v>0.99837070114283777</v>
      </c>
      <c r="M86" s="46">
        <f t="shared" si="39"/>
        <v>0.99837070114283777</v>
      </c>
      <c r="N86" s="132">
        <v>0.99987185868506689</v>
      </c>
      <c r="O86" s="89">
        <f t="shared" si="37"/>
        <v>0.99837070114283777</v>
      </c>
      <c r="P86" s="4">
        <v>40400</v>
      </c>
      <c r="Q86" s="4">
        <v>0.99997663612879639</v>
      </c>
      <c r="AO86" s="4">
        <v>0.96399999999999997</v>
      </c>
    </row>
    <row r="87" spans="2:41" x14ac:dyDescent="0.25">
      <c r="B87" s="63"/>
      <c r="C87" s="64"/>
      <c r="D87" s="65"/>
      <c r="E87" s="64"/>
      <c r="F87" s="71"/>
      <c r="G87" s="64"/>
      <c r="H87" s="64"/>
      <c r="I87" s="53"/>
      <c r="J87" s="105">
        <f t="shared" si="38"/>
        <v>37844.5</v>
      </c>
      <c r="K87" s="109">
        <v>79</v>
      </c>
      <c r="L87" s="125">
        <f t="shared" si="36"/>
        <v>0.9986800044744214</v>
      </c>
      <c r="M87" s="46">
        <f t="shared" si="39"/>
        <v>0.9986800044744214</v>
      </c>
      <c r="N87" s="132">
        <v>0.9999016666768179</v>
      </c>
      <c r="O87" s="89">
        <f t="shared" si="37"/>
        <v>0.9986800044744214</v>
      </c>
      <c r="P87" s="4">
        <v>40401</v>
      </c>
      <c r="Q87" s="4">
        <v>0.99998245859958268</v>
      </c>
    </row>
    <row r="88" spans="2:41" x14ac:dyDescent="0.25">
      <c r="B88" s="63"/>
      <c r="C88" s="64"/>
      <c r="D88" s="65" t="s">
        <v>46</v>
      </c>
      <c r="E88" s="64"/>
      <c r="F88" s="71"/>
      <c r="G88" s="64"/>
      <c r="H88" s="64"/>
      <c r="I88" s="53"/>
      <c r="J88" s="105">
        <f t="shared" si="38"/>
        <v>37845.5</v>
      </c>
      <c r="K88" s="109">
        <v>80</v>
      </c>
      <c r="L88" s="125">
        <f t="shared" si="36"/>
        <v>0.99893065307812379</v>
      </c>
      <c r="M88" s="46">
        <f t="shared" si="39"/>
        <v>0.99893065307812379</v>
      </c>
      <c r="N88" s="132">
        <v>0.99992454131286057</v>
      </c>
      <c r="O88" s="89">
        <f t="shared" si="37"/>
        <v>0.99893065307812379</v>
      </c>
      <c r="P88" s="4">
        <v>40402</v>
      </c>
      <c r="Q88" s="4">
        <v>0.99998683008139233</v>
      </c>
    </row>
    <row r="89" spans="2:41" x14ac:dyDescent="0.25">
      <c r="B89" s="63"/>
      <c r="C89" s="64"/>
      <c r="D89" s="65">
        <v>9.55619890821783</v>
      </c>
      <c r="E89" s="64">
        <v>-6.9767944351029924E-3</v>
      </c>
      <c r="F89" s="71"/>
      <c r="G89" s="64"/>
      <c r="H89" s="64"/>
      <c r="I89" s="53"/>
      <c r="J89" s="105">
        <f t="shared" si="38"/>
        <v>37846.5</v>
      </c>
      <c r="K89" s="109">
        <v>81</v>
      </c>
      <c r="L89" s="125">
        <f t="shared" si="36"/>
        <v>0.99913374831716073</v>
      </c>
      <c r="M89" s="46">
        <f t="shared" si="39"/>
        <v>0.99913374831716073</v>
      </c>
      <c r="N89" s="132">
        <v>0.99994209508049881</v>
      </c>
      <c r="O89" s="89">
        <f t="shared" si="37"/>
        <v>0.99913374831716073</v>
      </c>
      <c r="P89" s="4">
        <v>40403</v>
      </c>
      <c r="Q89" s="4">
        <v>0.99999011215963096</v>
      </c>
    </row>
    <row r="90" spans="2:41" x14ac:dyDescent="0.25">
      <c r="B90" s="63"/>
      <c r="C90" s="64"/>
      <c r="D90" s="65">
        <v>-6.9767944351029924E-3</v>
      </c>
      <c r="E90" s="64">
        <v>1.5680049670732246E-2</v>
      </c>
      <c r="F90" s="71"/>
      <c r="G90" s="64"/>
      <c r="H90" s="64"/>
      <c r="I90" s="53"/>
      <c r="J90" s="105">
        <f t="shared" si="38"/>
        <v>37847.5</v>
      </c>
      <c r="K90" s="109">
        <v>82</v>
      </c>
      <c r="L90" s="125">
        <f t="shared" si="36"/>
        <v>0.99929829787872804</v>
      </c>
      <c r="M90" s="46">
        <f t="shared" si="39"/>
        <v>0.99929829787872804</v>
      </c>
      <c r="N90" s="132">
        <v>0.99995556554007625</v>
      </c>
      <c r="O90" s="89">
        <f t="shared" si="37"/>
        <v>0.99929829787872804</v>
      </c>
      <c r="P90" s="4">
        <v>40404</v>
      </c>
      <c r="Q90" s="4">
        <v>0.9999925763165205</v>
      </c>
    </row>
    <row r="91" spans="2:41" x14ac:dyDescent="0.25">
      <c r="B91" s="63"/>
      <c r="C91" s="64"/>
      <c r="D91" s="65"/>
      <c r="E91" s="64"/>
      <c r="F91" s="71"/>
      <c r="G91" s="64"/>
      <c r="H91" s="64"/>
      <c r="I91" s="53"/>
      <c r="J91" s="105">
        <f t="shared" si="38"/>
        <v>37848.5</v>
      </c>
      <c r="K91" s="109">
        <v>83</v>
      </c>
      <c r="L91" s="125">
        <f t="shared" si="36"/>
        <v>0.99943160807267539</v>
      </c>
      <c r="M91" s="46">
        <f t="shared" si="39"/>
        <v>0.99943160807267539</v>
      </c>
      <c r="N91" s="132">
        <v>0.99996590246462225</v>
      </c>
      <c r="O91" s="89">
        <f t="shared" si="37"/>
        <v>0.99943160807267539</v>
      </c>
      <c r="P91" s="4">
        <v>40405</v>
      </c>
      <c r="Q91" s="4">
        <v>0.99999442638225311</v>
      </c>
    </row>
    <row r="92" spans="2:41" x14ac:dyDescent="0.25">
      <c r="B92" s="63"/>
      <c r="C92" s="64"/>
      <c r="D92" s="65" t="s">
        <v>47</v>
      </c>
      <c r="E92" s="64"/>
      <c r="F92" s="71" t="s">
        <v>8</v>
      </c>
      <c r="G92" s="64"/>
      <c r="H92" s="64"/>
      <c r="I92" s="53"/>
      <c r="J92" s="105">
        <f t="shared" si="38"/>
        <v>37849.5</v>
      </c>
      <c r="K92" s="109">
        <v>84</v>
      </c>
      <c r="L92" s="125">
        <f t="shared" si="36"/>
        <v>0.99953960350763804</v>
      </c>
      <c r="M92" s="46">
        <f t="shared" si="39"/>
        <v>0.99953960350763804</v>
      </c>
      <c r="N92" s="132">
        <v>0.99997383474166435</v>
      </c>
      <c r="O92" s="89">
        <f t="shared" si="37"/>
        <v>0.99953960350763804</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38"/>
        <v>37850.5</v>
      </c>
      <c r="K93" s="109">
        <v>85</v>
      </c>
      <c r="L93" s="125">
        <f t="shared" si="36"/>
        <v>0.99962708728215555</v>
      </c>
      <c r="M93" s="46">
        <f t="shared" si="39"/>
        <v>0.99962708728215555</v>
      </c>
      <c r="N93" s="132">
        <v>0.99997992173121009</v>
      </c>
      <c r="O93" s="89">
        <f t="shared" si="37"/>
        <v>0.99962708728215555</v>
      </c>
      <c r="P93" s="4">
        <v>40407</v>
      </c>
      <c r="Q93" s="4">
        <v>0.99999685824657825</v>
      </c>
    </row>
    <row r="94" spans="2:41" x14ac:dyDescent="0.25">
      <c r="B94" s="63"/>
      <c r="C94" s="64"/>
      <c r="D94" s="65">
        <v>9.2253535765261202E-5</v>
      </c>
      <c r="E94" s="64">
        <v>0.12636077298244341</v>
      </c>
      <c r="F94" s="71">
        <v>0.35547260510824658</v>
      </c>
      <c r="G94" s="64"/>
      <c r="H94" s="64"/>
      <c r="I94" s="53"/>
      <c r="J94" s="105">
        <f t="shared" si="38"/>
        <v>37851.5</v>
      </c>
      <c r="K94" s="109">
        <v>86</v>
      </c>
      <c r="L94" s="125">
        <f t="shared" si="36"/>
        <v>0.99969795255898075</v>
      </c>
      <c r="M94" s="46">
        <f t="shared" si="39"/>
        <v>0.99969795255898075</v>
      </c>
      <c r="N94" s="132">
        <v>0.99998459268769502</v>
      </c>
      <c r="O94" s="89">
        <f t="shared" si="37"/>
        <v>0.99969795255898075</v>
      </c>
      <c r="P94" s="4">
        <v>40408</v>
      </c>
      <c r="Q94" s="4">
        <v>0.99999764120951673</v>
      </c>
    </row>
    <row r="95" spans="2:41" x14ac:dyDescent="0.25">
      <c r="B95" s="63"/>
      <c r="C95" s="64"/>
      <c r="D95" s="65"/>
      <c r="E95" s="64"/>
      <c r="F95" s="71"/>
      <c r="G95" s="64"/>
      <c r="H95" s="64"/>
      <c r="I95" s="53"/>
      <c r="J95" s="105">
        <f t="shared" si="38"/>
        <v>37852.5</v>
      </c>
      <c r="K95" s="109">
        <v>87</v>
      </c>
      <c r="L95" s="125">
        <f t="shared" si="36"/>
        <v>0.99975535447513542</v>
      </c>
      <c r="M95" s="46">
        <f t="shared" si="39"/>
        <v>0.99975535447513542</v>
      </c>
      <c r="N95" s="132">
        <v>0.99998817701780018</v>
      </c>
      <c r="O95" s="89">
        <f t="shared" si="37"/>
        <v>0.99975535447513542</v>
      </c>
      <c r="P95" s="4">
        <v>40409</v>
      </c>
      <c r="Q95" s="4">
        <v>0.99999822904897007</v>
      </c>
    </row>
    <row r="96" spans="2:41" x14ac:dyDescent="0.25">
      <c r="B96" s="63"/>
      <c r="C96" s="64"/>
      <c r="D96" s="65" t="s">
        <v>48</v>
      </c>
      <c r="E96" s="64"/>
      <c r="F96" s="71"/>
      <c r="G96" s="64"/>
      <c r="H96" s="64"/>
      <c r="I96" s="53"/>
      <c r="J96" s="105">
        <f t="shared" si="38"/>
        <v>37853.5</v>
      </c>
      <c r="K96" s="109">
        <v>88</v>
      </c>
      <c r="L96" s="125">
        <f t="shared" si="36"/>
        <v>0.999801849737459</v>
      </c>
      <c r="M96" s="46">
        <f t="shared" si="39"/>
        <v>0.999801849737459</v>
      </c>
      <c r="N96" s="132">
        <v>0.99999092750320295</v>
      </c>
      <c r="O96" s="89">
        <f t="shared" si="37"/>
        <v>0.999801849737459</v>
      </c>
      <c r="P96" s="4">
        <v>40410</v>
      </c>
      <c r="Q96" s="4">
        <v>0.99999867039183277</v>
      </c>
    </row>
    <row r="97" spans="2:17" x14ac:dyDescent="0.25">
      <c r="B97" s="63"/>
      <c r="C97" s="64"/>
      <c r="D97" s="65">
        <v>0.99999999999999989</v>
      </c>
      <c r="E97" s="64">
        <v>1.8023520282993657E-2</v>
      </c>
      <c r="F97" s="71"/>
      <c r="G97" s="64"/>
      <c r="H97" s="64"/>
      <c r="I97" s="53"/>
      <c r="J97" s="105">
        <f t="shared" si="38"/>
        <v>37854.5</v>
      </c>
      <c r="K97" s="109">
        <v>89</v>
      </c>
      <c r="L97" s="125">
        <f t="shared" si="36"/>
        <v>0.99983950992141424</v>
      </c>
      <c r="M97" s="46">
        <f t="shared" si="39"/>
        <v>0.99983950992141424</v>
      </c>
      <c r="N97" s="132">
        <v>0.99999303812320184</v>
      </c>
      <c r="O97" s="89">
        <f t="shared" si="37"/>
        <v>0.99983950992141424</v>
      </c>
      <c r="P97" s="4">
        <v>40411</v>
      </c>
      <c r="Q97" s="4">
        <v>0.99999900174671486</v>
      </c>
    </row>
    <row r="98" spans="2:17" x14ac:dyDescent="0.25">
      <c r="B98" s="63"/>
      <c r="C98" s="64"/>
      <c r="D98" s="65">
        <v>1.8023520282993654E-2</v>
      </c>
      <c r="E98" s="64">
        <v>1</v>
      </c>
      <c r="F98" s="71"/>
      <c r="G98" s="64"/>
      <c r="H98" s="64"/>
      <c r="I98" s="53"/>
      <c r="J98" s="105">
        <f t="shared" si="38"/>
        <v>37855.5</v>
      </c>
      <c r="K98" s="109">
        <v>90</v>
      </c>
      <c r="L98" s="125">
        <f t="shared" si="36"/>
        <v>0.99987001338984338</v>
      </c>
      <c r="M98" s="46">
        <f t="shared" si="39"/>
        <v>0.99987001338984338</v>
      </c>
      <c r="N98" s="132">
        <v>0.99999465773250285</v>
      </c>
      <c r="O98" s="89">
        <f t="shared" si="37"/>
        <v>0.99987001338984338</v>
      </c>
      <c r="P98" s="4">
        <v>40412</v>
      </c>
      <c r="Q98" s="4">
        <v>0.99999925052390337</v>
      </c>
    </row>
    <row r="99" spans="2:17" x14ac:dyDescent="0.25">
      <c r="B99" s="63"/>
      <c r="C99" s="64"/>
      <c r="D99" s="65"/>
      <c r="E99" s="64"/>
      <c r="F99" s="71"/>
      <c r="G99" s="64"/>
      <c r="H99" s="64"/>
      <c r="I99" s="53"/>
      <c r="J99" s="105">
        <f t="shared" si="38"/>
        <v>37856.5</v>
      </c>
      <c r="K99" s="109">
        <v>91</v>
      </c>
      <c r="L99" s="125">
        <f t="shared" si="36"/>
        <v>0.99989471984191181</v>
      </c>
      <c r="M99" s="46">
        <f t="shared" si="39"/>
        <v>0.99989471984191181</v>
      </c>
      <c r="N99" s="132">
        <v>0.99999590055784027</v>
      </c>
      <c r="O99" s="89">
        <f t="shared" si="37"/>
        <v>0.99989471984191181</v>
      </c>
      <c r="P99" s="4">
        <v>40413</v>
      </c>
      <c r="Q99" s="4">
        <v>0.99999943730274388</v>
      </c>
    </row>
    <row r="100" spans="2:17" x14ac:dyDescent="0.25">
      <c r="B100" s="63"/>
      <c r="C100" s="64"/>
      <c r="D100" s="65"/>
      <c r="E100" s="64"/>
      <c r="F100" s="71"/>
      <c r="G100" s="64"/>
      <c r="H100" s="64"/>
      <c r="I100" s="53"/>
      <c r="J100" s="105">
        <f t="shared" si="38"/>
        <v>37857.5</v>
      </c>
      <c r="K100" s="109">
        <v>92</v>
      </c>
      <c r="L100" s="125">
        <f t="shared" si="36"/>
        <v>0.99991473075866899</v>
      </c>
      <c r="M100" s="46">
        <f t="shared" si="39"/>
        <v>0.99991473075866899</v>
      </c>
      <c r="N100" s="132">
        <v>0.99999685425314822</v>
      </c>
      <c r="O100" s="89">
        <f t="shared" si="37"/>
        <v>0.99991473075866899</v>
      </c>
      <c r="P100" s="4">
        <v>40414</v>
      </c>
      <c r="Q100" s="4">
        <v>0.99999957753397495</v>
      </c>
    </row>
    <row r="101" spans="2:17" x14ac:dyDescent="0.25">
      <c r="B101" s="63"/>
      <c r="C101" s="64"/>
      <c r="D101" s="65"/>
      <c r="E101" s="64"/>
      <c r="F101" s="71"/>
      <c r="G101" s="64"/>
      <c r="H101" s="64"/>
      <c r="I101" s="53"/>
      <c r="J101" s="105">
        <f t="shared" si="38"/>
        <v>37858.5</v>
      </c>
      <c r="K101" s="109">
        <v>93</v>
      </c>
      <c r="L101" s="125">
        <f t="shared" si="36"/>
        <v>0.99993093840291025</v>
      </c>
      <c r="M101" s="46">
        <f t="shared" si="39"/>
        <v>0.99993093840291025</v>
      </c>
      <c r="N101" s="132">
        <v>0.99999758608106293</v>
      </c>
      <c r="O101" s="89">
        <f t="shared" si="37"/>
        <v>0.99993093840291025</v>
      </c>
      <c r="P101" s="4">
        <v>40415</v>
      </c>
      <c r="Q101" s="4">
        <v>0.99999968281783125</v>
      </c>
    </row>
    <row r="102" spans="2:17" x14ac:dyDescent="0.25">
      <c r="B102" s="63"/>
      <c r="C102" s="64"/>
      <c r="D102" s="65"/>
      <c r="E102" s="64"/>
      <c r="F102" s="71"/>
      <c r="G102" s="64"/>
      <c r="H102" s="64"/>
      <c r="I102" s="53"/>
      <c r="J102" s="105">
        <f t="shared" si="38"/>
        <v>37859.5</v>
      </c>
      <c r="K102" s="109">
        <v>94</v>
      </c>
      <c r="L102" s="125">
        <f t="shared" si="36"/>
        <v>0.99994406553378934</v>
      </c>
      <c r="M102" s="46">
        <f t="shared" si="39"/>
        <v>0.99994406553378934</v>
      </c>
      <c r="N102" s="132">
        <v>0.99999814765652884</v>
      </c>
      <c r="O102" s="89">
        <f t="shared" si="37"/>
        <v>0.99994406553378934</v>
      </c>
      <c r="P102" s="4">
        <v>40416</v>
      </c>
      <c r="Q102" s="4">
        <v>0.99999976186363015</v>
      </c>
    </row>
    <row r="103" spans="2:17" x14ac:dyDescent="0.25">
      <c r="B103" s="63"/>
      <c r="C103" s="64"/>
      <c r="D103" s="65"/>
      <c r="E103" s="64"/>
      <c r="F103" s="71"/>
      <c r="G103" s="64"/>
      <c r="H103" s="64"/>
      <c r="I103" s="53"/>
      <c r="J103" s="105">
        <f t="shared" si="38"/>
        <v>37860.5</v>
      </c>
      <c r="K103" s="109">
        <v>95</v>
      </c>
      <c r="L103" s="125">
        <f t="shared" si="36"/>
        <v>0.99995469759120847</v>
      </c>
      <c r="M103" s="46">
        <f t="shared" si="39"/>
        <v>0.99995469759120847</v>
      </c>
      <c r="N103" s="132">
        <v>0.99999857858694674</v>
      </c>
      <c r="O103" s="89">
        <f t="shared" si="37"/>
        <v>0.99995469759120847</v>
      </c>
      <c r="P103" s="4">
        <v>40417</v>
      </c>
      <c r="Q103" s="4">
        <v>0.99999982121022213</v>
      </c>
    </row>
    <row r="104" spans="2:17" x14ac:dyDescent="0.25">
      <c r="B104" s="63"/>
      <c r="C104" s="64"/>
      <c r="D104" s="65"/>
      <c r="E104" s="64"/>
      <c r="F104" s="71"/>
      <c r="G104" s="64"/>
      <c r="H104" s="64"/>
      <c r="I104" s="53"/>
      <c r="J104" s="105">
        <f t="shared" si="38"/>
        <v>37861.5</v>
      </c>
      <c r="K104" s="109">
        <v>96</v>
      </c>
      <c r="L104" s="125">
        <f t="shared" si="36"/>
        <v>0.99996330877483042</v>
      </c>
      <c r="M104" s="46">
        <f t="shared" si="39"/>
        <v>0.99996330877483042</v>
      </c>
      <c r="N104" s="132">
        <v>0.99999890926553481</v>
      </c>
      <c r="O104" s="89">
        <f t="shared" si="37"/>
        <v>0.99996330877483042</v>
      </c>
      <c r="P104" s="4">
        <v>40418</v>
      </c>
      <c r="Q104" s="4">
        <v>0.99999986576689559</v>
      </c>
    </row>
    <row r="105" spans="2:17" x14ac:dyDescent="0.25">
      <c r="B105" s="63"/>
      <c r="C105" s="64"/>
      <c r="D105" s="65"/>
      <c r="E105" s="64"/>
      <c r="F105" s="71"/>
      <c r="G105" s="64"/>
      <c r="H105" s="64"/>
      <c r="I105" s="53"/>
      <c r="J105" s="105">
        <f t="shared" si="38"/>
        <v>37862.5</v>
      </c>
      <c r="K105" s="109">
        <v>97</v>
      </c>
      <c r="L105" s="125">
        <f>$G$3/(1+EXP(-$G$4*(K105-$G$5)))</f>
        <v>0.99997028317397052</v>
      </c>
      <c r="M105" s="46">
        <f t="shared" si="39"/>
        <v>0.99997028317397052</v>
      </c>
      <c r="N105" s="132">
        <v>0.99999916301487501</v>
      </c>
      <c r="O105" s="89">
        <f>IF(N105=M105,N105,M105)</f>
        <v>0.99997028317397052</v>
      </c>
      <c r="P105" s="4">
        <v>40419</v>
      </c>
      <c r="Q105" s="4">
        <v>0.99999989921948373</v>
      </c>
    </row>
    <row r="106" spans="2:17" x14ac:dyDescent="0.25">
      <c r="B106" s="63"/>
      <c r="C106" s="64"/>
      <c r="D106" s="65"/>
      <c r="E106" s="64"/>
      <c r="F106" s="71"/>
      <c r="G106" s="64"/>
      <c r="H106" s="64"/>
      <c r="I106" s="53"/>
      <c r="J106" s="105">
        <f t="shared" si="38"/>
        <v>37863.5</v>
      </c>
      <c r="K106" s="109">
        <v>98</v>
      </c>
      <c r="L106" s="125">
        <f>$G$3/(1+EXP(-$G$4*(K106-$G$5)))</f>
        <v>0.9999759318863185</v>
      </c>
      <c r="M106" s="46">
        <f t="shared" si="39"/>
        <v>0.9999759318863185</v>
      </c>
      <c r="N106" s="132">
        <v>0.99999935773180315</v>
      </c>
      <c r="O106" s="89">
        <f>IF(N106=M106,N106,M106)</f>
        <v>0.9999759318863185</v>
      </c>
      <c r="P106" s="4">
        <v>40420</v>
      </c>
      <c r="Q106" s="4">
        <v>0.99999992433526419</v>
      </c>
    </row>
    <row r="107" spans="2:17" x14ac:dyDescent="0.25">
      <c r="B107" s="63"/>
      <c r="C107" s="64"/>
      <c r="D107" s="65"/>
      <c r="E107" s="64"/>
      <c r="F107" s="71"/>
      <c r="G107" s="64"/>
      <c r="H107" s="64"/>
      <c r="I107" s="53"/>
      <c r="J107" s="105">
        <f t="shared" si="38"/>
        <v>37864.5</v>
      </c>
      <c r="K107" s="109">
        <v>99</v>
      </c>
      <c r="L107" s="125">
        <f>$G$3/(1+EXP(-$G$4*(K107-$G$5)))</f>
        <v>0.99998050688611206</v>
      </c>
      <c r="M107" s="46">
        <f t="shared" si="39"/>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AX1022"/>
  <sheetViews>
    <sheetView zoomScaleNormal="100" workbookViewId="0">
      <selection activeCell="A9" sqref="A9:A14"/>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8" width="9" style="4"/>
    <col min="39" max="39" width="21" style="4" customWidth="1"/>
    <col min="40" max="16384" width="9" style="4"/>
  </cols>
  <sheetData>
    <row r="1" spans="1:50" ht="16.5" thickBot="1" x14ac:dyDescent="0.3">
      <c r="A1" s="3" t="s">
        <v>3</v>
      </c>
      <c r="B1" s="3" t="s">
        <v>4</v>
      </c>
      <c r="C1" s="4" t="s">
        <v>5</v>
      </c>
    </row>
    <row r="2" spans="1:50" ht="19.5" thickBot="1" x14ac:dyDescent="0.4">
      <c r="A2" s="5">
        <v>2015</v>
      </c>
      <c r="B2" s="6">
        <v>1.3</v>
      </c>
      <c r="C2" s="4" t="s">
        <v>6</v>
      </c>
      <c r="F2" s="3" t="s">
        <v>0</v>
      </c>
      <c r="G2" s="7" t="s">
        <v>7</v>
      </c>
      <c r="H2" s="7" t="s">
        <v>8</v>
      </c>
      <c r="I2" s="96" t="s">
        <v>27</v>
      </c>
      <c r="J2" s="98">
        <v>41459</v>
      </c>
      <c r="K2" s="99">
        <v>41459</v>
      </c>
      <c r="X2" s="4" t="s">
        <v>46</v>
      </c>
    </row>
    <row r="3" spans="1:50" ht="21" thickBot="1" x14ac:dyDescent="0.4">
      <c r="A3" s="104">
        <v>37766.5</v>
      </c>
      <c r="C3" s="9"/>
      <c r="F3" s="73" t="s">
        <v>25</v>
      </c>
      <c r="G3" s="126">
        <v>1</v>
      </c>
      <c r="H3" s="11"/>
      <c r="I3">
        <f>G5-(1/G4)*LN((2*G3)-1)</f>
        <v>54.862097044004003</v>
      </c>
      <c r="J3" s="3" t="s">
        <v>9</v>
      </c>
      <c r="X3" s="4">
        <v>1775.0814151895604</v>
      </c>
      <c r="Y3" s="4">
        <v>74.024715246423497</v>
      </c>
    </row>
    <row r="4" spans="1:50" ht="16.5" thickBot="1" x14ac:dyDescent="0.3">
      <c r="A4" s="12" t="s">
        <v>10</v>
      </c>
      <c r="C4" s="4" t="s">
        <v>11</v>
      </c>
      <c r="F4" s="13" t="s">
        <v>1</v>
      </c>
      <c r="G4" s="127">
        <v>0.20371128696867</v>
      </c>
      <c r="H4" s="15">
        <v>5.0331088446583801E-2</v>
      </c>
      <c r="I4" s="2"/>
      <c r="J4" s="129">
        <f>SUM(H9:H66)</f>
        <v>27.408886930928791</v>
      </c>
      <c r="K4" s="16">
        <f>SUMSQ(G9:G14)</f>
        <v>8.3065574237315018E-2</v>
      </c>
      <c r="L4" s="16"/>
      <c r="M4" s="139"/>
      <c r="X4" s="4">
        <v>74.024715246423497</v>
      </c>
      <c r="Y4" s="4">
        <v>4.5020289576314099</v>
      </c>
    </row>
    <row r="5" spans="1:50" ht="16.5" thickBot="1" x14ac:dyDescent="0.3">
      <c r="C5" s="104">
        <v>37834.5</v>
      </c>
      <c r="F5" s="17" t="s">
        <v>2</v>
      </c>
      <c r="G5" s="128">
        <v>54.862097044004003</v>
      </c>
      <c r="H5" s="19">
        <v>1.8383137889960099</v>
      </c>
      <c r="I5" s="2"/>
      <c r="J5" s="20" t="s">
        <v>12</v>
      </c>
      <c r="K5" s="21"/>
      <c r="L5" s="21"/>
      <c r="N5" s="30"/>
    </row>
    <row r="6" spans="1:50" ht="16.5" thickBot="1" x14ac:dyDescent="0.3">
      <c r="C6" s="22"/>
      <c r="G6" s="23"/>
      <c r="H6" s="9"/>
      <c r="K6" s="24"/>
      <c r="L6" s="24"/>
      <c r="X6" s="4" t="s">
        <v>47</v>
      </c>
    </row>
    <row r="7" spans="1:50" ht="16.5" thickBot="1" x14ac:dyDescent="0.3">
      <c r="E7" s="25"/>
      <c r="F7" s="26"/>
      <c r="G7" s="27"/>
      <c r="H7" s="28"/>
      <c r="J7" s="29"/>
      <c r="M7" s="29"/>
      <c r="O7" s="3" t="s">
        <v>26</v>
      </c>
    </row>
    <row r="8" spans="1:50"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row>
    <row r="9" spans="1:50" ht="16.5" thickBot="1" x14ac:dyDescent="0.3">
      <c r="A9" s="120">
        <v>5.3653034595665422E-2</v>
      </c>
      <c r="B9" s="124">
        <v>37799.5</v>
      </c>
      <c r="C9" s="121">
        <f t="shared" ref="C9:C14" si="0">1/(A9^2)</f>
        <v>347.38528568061884</v>
      </c>
      <c r="D9" s="106">
        <f t="shared" ref="D9:D11" si="1">IF(B9&lt;&gt;0,B9-$A$3+1,"")</f>
        <v>34</v>
      </c>
      <c r="E9" s="81">
        <v>9.5066198399999996E-2</v>
      </c>
      <c r="F9" s="41">
        <f t="shared" ref="F9:F65" si="2">IF(B9&lt;&gt;0,$G$3/(1+EXP(-$G$4*(D9-$G$5))),"")</f>
        <v>1.4065781434915823E-2</v>
      </c>
      <c r="G9" s="42">
        <f t="shared" ref="G9:G65" si="3">IF(B9&lt;&gt;0,E9-F9,"")</f>
        <v>8.1000416965084171E-2</v>
      </c>
      <c r="H9" s="43">
        <f t="shared" ref="H9:H65" si="4">IF(B9&lt;&gt;0,C9*(G9)^2,"")</f>
        <v>2.2792183247115876</v>
      </c>
      <c r="J9" s="105">
        <f>A3</f>
        <v>37766.5</v>
      </c>
      <c r="K9" s="109">
        <v>1</v>
      </c>
      <c r="L9" s="125">
        <f t="shared" ref="L9:L72" si="5">$G$3/(1+EXP(-$G$4*(K9-$G$5)))</f>
        <v>1.7170216429653574E-5</v>
      </c>
      <c r="M9" s="46">
        <f>IF(J10&gt;MAX($B$9:$B$64),L9,N9)</f>
        <v>3.1121623501212576E-7</v>
      </c>
      <c r="N9" s="130">
        <v>3.1121623501212576E-7</v>
      </c>
      <c r="O9" s="89">
        <f t="shared" ref="O9:O72" si="6">IF(N9=M9,N9,M9)</f>
        <v>3.1121623501212576E-7</v>
      </c>
    </row>
    <row r="10" spans="1:50" ht="16.5" thickBot="1" x14ac:dyDescent="0.3">
      <c r="A10" s="120">
        <v>4.1784429054891735E-2</v>
      </c>
      <c r="B10" s="124">
        <v>37803.5</v>
      </c>
      <c r="C10" s="121">
        <f t="shared" si="0"/>
        <v>572.75785684648747</v>
      </c>
      <c r="D10" s="106">
        <f t="shared" si="1"/>
        <v>38</v>
      </c>
      <c r="E10" s="81">
        <v>6.7959138180000003E-2</v>
      </c>
      <c r="F10" s="41">
        <f t="shared" ref="F10" si="7">IF(B10&lt;&gt;0,$G$3/(1+EXP(-$G$4*(D10-$G$5))),"")</f>
        <v>3.1219369180249767E-2</v>
      </c>
      <c r="G10" s="42">
        <f t="shared" ref="G10" si="8">IF(B10&lt;&gt;0,E10-F10,"")</f>
        <v>3.6739768999750233E-2</v>
      </c>
      <c r="H10" s="43">
        <f t="shared" ref="H10" si="9">IF(B10&lt;&gt;0,C10*(G10)^2,"")</f>
        <v>0.77311464138515773</v>
      </c>
      <c r="I10" s="52"/>
      <c r="J10" s="105">
        <f t="shared" ref="J10:J73" si="10">J9+1</f>
        <v>37767.5</v>
      </c>
      <c r="K10" s="109">
        <v>2</v>
      </c>
      <c r="L10" s="125">
        <f t="shared" si="5"/>
        <v>2.1049644832087176E-5</v>
      </c>
      <c r="M10" s="46">
        <f t="shared" ref="M10:M73" si="11">IF(J11&gt;MAX($B$9:$B$64),L10,N10)</f>
        <v>4.4350593880565207E-7</v>
      </c>
      <c r="N10" s="130">
        <v>4.4350593880565207E-7</v>
      </c>
      <c r="O10" s="89">
        <f t="shared" si="6"/>
        <v>4.4350593880565207E-7</v>
      </c>
      <c r="Q10" s="4" t="s">
        <v>48</v>
      </c>
      <c r="W10" s="4" t="s">
        <v>46</v>
      </c>
    </row>
    <row r="11" spans="1:50" ht="16.5" thickBot="1" x14ac:dyDescent="0.3">
      <c r="A11" s="120">
        <v>5.1317619586543357E-2</v>
      </c>
      <c r="B11" s="124">
        <v>37807.5</v>
      </c>
      <c r="C11" s="121">
        <f t="shared" si="0"/>
        <v>379.72307919393671</v>
      </c>
      <c r="D11" s="106">
        <f t="shared" si="1"/>
        <v>42</v>
      </c>
      <c r="E11" s="81">
        <v>0.13628831517000001</v>
      </c>
      <c r="F11" s="41">
        <f t="shared" ref="F11" si="12">IF(B11&lt;&gt;0,$G$3/(1+EXP(-$G$4*(D11-$G$5))),"")</f>
        <v>6.785253101900221E-2</v>
      </c>
      <c r="G11" s="42">
        <f t="shared" ref="G11" si="13">IF(B11&lt;&gt;0,E11-F11,"")</f>
        <v>6.8435784150997797E-2</v>
      </c>
      <c r="H11" s="43">
        <f t="shared" ref="H11" si="14">IF(B11&lt;&gt;0,C11*(G11)^2,"")</f>
        <v>1.778416543333903</v>
      </c>
      <c r="J11" s="105">
        <f t="shared" si="10"/>
        <v>37768.5</v>
      </c>
      <c r="K11" s="109">
        <v>3</v>
      </c>
      <c r="L11" s="125">
        <f t="shared" si="5"/>
        <v>2.5805566341741293E-5</v>
      </c>
      <c r="M11" s="46">
        <f t="shared" si="11"/>
        <v>6.3202842450478264E-7</v>
      </c>
      <c r="N11" s="130">
        <v>6.3202842450478264E-7</v>
      </c>
      <c r="O11" s="89">
        <f t="shared" si="6"/>
        <v>6.3202842450478264E-7</v>
      </c>
      <c r="Q11" s="4">
        <v>1</v>
      </c>
      <c r="R11" s="4">
        <v>-0.82806316245865486</v>
      </c>
      <c r="W11" s="4">
        <v>3817.4575451512078</v>
      </c>
      <c r="X11" s="4">
        <v>-24.564190234479639</v>
      </c>
      <c r="AE11" s="102" t="s">
        <v>14</v>
      </c>
      <c r="AF11" s="4">
        <v>2010</v>
      </c>
      <c r="AG11" s="4">
        <f>AI11</f>
        <v>2012</v>
      </c>
      <c r="AH11" s="4">
        <v>2011</v>
      </c>
      <c r="AI11" s="4">
        <v>2012</v>
      </c>
      <c r="AJ11" s="4">
        <v>2013</v>
      </c>
      <c r="AK11" s="4">
        <v>2014</v>
      </c>
      <c r="AL11" s="4">
        <v>2015</v>
      </c>
      <c r="AM11" s="113"/>
      <c r="AN11" s="113"/>
      <c r="AO11" s="113"/>
      <c r="AP11" s="113"/>
      <c r="AQ11" s="113"/>
      <c r="AR11" s="113"/>
      <c r="AS11" s="113"/>
      <c r="AT11" s="114"/>
      <c r="AU11" s="114"/>
    </row>
    <row r="12" spans="1:50" ht="16.5" thickBot="1" x14ac:dyDescent="0.3">
      <c r="A12" s="120">
        <v>6.1016930157163619E-2</v>
      </c>
      <c r="B12" s="124">
        <v>37814.5</v>
      </c>
      <c r="C12" s="121">
        <f t="shared" si="0"/>
        <v>268.59584624715853</v>
      </c>
      <c r="D12" s="106">
        <f t="shared" ref="D12" si="15">IF(B12&lt;&gt;0,B12-$A$3+1,"")</f>
        <v>49</v>
      </c>
      <c r="E12" s="81">
        <v>0.10614953457</v>
      </c>
      <c r="F12" s="41">
        <f t="shared" ref="F12" si="16">IF(B12&lt;&gt;0,$G$3/(1+EXP(-$G$4*(D12-$G$5))),"")</f>
        <v>0.23251301259774254</v>
      </c>
      <c r="G12" s="42">
        <f t="shared" ref="G12" si="17">IF(B12&lt;&gt;0,E12-F12,"")</f>
        <v>-0.12636347802774256</v>
      </c>
      <c r="H12" s="43">
        <f t="shared" ref="H12" si="18">IF(B12&lt;&gt;0,C12*(G12)^2,"")</f>
        <v>4.2888655703933667</v>
      </c>
      <c r="J12" s="105">
        <f t="shared" si="10"/>
        <v>37769.5</v>
      </c>
      <c r="K12" s="109">
        <v>4</v>
      </c>
      <c r="L12" s="125">
        <f t="shared" si="5"/>
        <v>3.1635998799364258E-5</v>
      </c>
      <c r="M12" s="46">
        <f t="shared" si="11"/>
        <v>9.0068669305005554E-7</v>
      </c>
      <c r="N12" s="130">
        <v>9.0068669305005554E-7</v>
      </c>
      <c r="O12" s="89">
        <f t="shared" si="6"/>
        <v>9.0068669305005554E-7</v>
      </c>
      <c r="P12" s="44">
        <v>40326</v>
      </c>
      <c r="Q12" s="1">
        <v>1.3958317686261709E-4</v>
      </c>
      <c r="R12" s="100">
        <v>543</v>
      </c>
      <c r="S12" s="100">
        <f>R12*AVERAGE(L12:L13)</f>
        <v>1.9118945680690669E-2</v>
      </c>
      <c r="T12" s="101">
        <f t="shared" ref="T12:T47" si="19">R12-S12</f>
        <v>542.9808810543193</v>
      </c>
      <c r="W12" s="4">
        <v>-24.564190234479639</v>
      </c>
      <c r="X12" s="4">
        <v>2.8615910650705727</v>
      </c>
      <c r="AE12" s="93">
        <f>J12</f>
        <v>37769.5</v>
      </c>
      <c r="AF12" s="92">
        <f>Logistic2010!Q12</f>
        <v>1.3958317686261709E-4</v>
      </c>
      <c r="AG12" s="4">
        <f t="shared" ref="AG12:AG75" si="20">AI12</f>
        <v>1.3958317686261709E-4</v>
      </c>
      <c r="AH12" s="92">
        <f>Logistic2011!Q12</f>
        <v>1.3958317686261709E-4</v>
      </c>
      <c r="AI12" s="92">
        <f>Logistic2012!Q12</f>
        <v>1.3958317686261709E-4</v>
      </c>
      <c r="AJ12" s="92">
        <f>Logistic2013!L12</f>
        <v>2.9882028383729665E-4</v>
      </c>
      <c r="AK12" s="119">
        <f>Logistic2014!AK12</f>
        <v>4.1531400063546034E-4</v>
      </c>
      <c r="AL12" s="119">
        <f>L12</f>
        <v>3.1635998799364258E-5</v>
      </c>
      <c r="AM12" s="113"/>
      <c r="AN12" s="113"/>
      <c r="AO12" s="113"/>
      <c r="AP12" s="113"/>
      <c r="AQ12" s="113"/>
      <c r="AR12" s="113"/>
      <c r="AS12" s="113"/>
      <c r="AT12" s="114"/>
      <c r="AU12" s="114"/>
    </row>
    <row r="13" spans="1:50" ht="16.5" thickBot="1" x14ac:dyDescent="0.3">
      <c r="A13" s="120">
        <v>6.7685019019126172E-2</v>
      </c>
      <c r="B13" s="124">
        <v>37820.5</v>
      </c>
      <c r="C13" s="121">
        <f t="shared" si="0"/>
        <v>218.28047462449359</v>
      </c>
      <c r="D13" s="106">
        <f t="shared" ref="D13" si="21">IF(B13&lt;&gt;0,B13-$A$3+1,"")</f>
        <v>55</v>
      </c>
      <c r="E13" s="81">
        <v>0.63694789038999999</v>
      </c>
      <c r="F13" s="41">
        <f t="shared" ref="F13" si="22">IF(B13&lt;&gt;0,$G$3/(1+EXP(-$G$4*(D13-$G$5))),"")</f>
        <v>0.50702263532179892</v>
      </c>
      <c r="G13" s="42">
        <f t="shared" ref="G13" si="23">IF(B13&lt;&gt;0,E13-F13,"")</f>
        <v>0.12992525506820107</v>
      </c>
      <c r="H13" s="43">
        <f t="shared" ref="H13" si="24">IF(B13&lt;&gt;0,C13*(G13)^2,"")</f>
        <v>3.684699247255252</v>
      </c>
      <c r="J13" s="105">
        <f t="shared" si="10"/>
        <v>37770.5</v>
      </c>
      <c r="K13" s="109">
        <v>5</v>
      </c>
      <c r="L13" s="125">
        <f t="shared" si="5"/>
        <v>3.8783690632277242E-5</v>
      </c>
      <c r="M13" s="46">
        <f t="shared" si="11"/>
        <v>1.2835442124779599E-6</v>
      </c>
      <c r="N13" s="130">
        <v>1.2835442124779599E-6</v>
      </c>
      <c r="O13" s="89">
        <f t="shared" si="6"/>
        <v>1.2835442124779599E-6</v>
      </c>
      <c r="P13" s="48">
        <v>40327</v>
      </c>
      <c r="Q13" s="1">
        <v>1.7045928901654236E-4</v>
      </c>
      <c r="R13" s="100">
        <v>2664</v>
      </c>
      <c r="S13" s="100">
        <f t="shared" ref="S13:S70" si="25">R13*AVERAGE(L13:L14)</f>
        <v>0.11499144395310418</v>
      </c>
      <c r="T13" s="101">
        <f t="shared" si="19"/>
        <v>2663.8850085560471</v>
      </c>
      <c r="AE13" s="93">
        <f t="shared" ref="AE13:AE76" si="26">J13</f>
        <v>37770.5</v>
      </c>
      <c r="AF13" s="92">
        <f>Logistic2010!Q13</f>
        <v>1.7045928901654236E-4</v>
      </c>
      <c r="AG13" s="4">
        <f t="shared" si="20"/>
        <v>1.7045928901654236E-4</v>
      </c>
      <c r="AH13" s="92">
        <f>Logistic2011!Q13</f>
        <v>1.7045928901654236E-4</v>
      </c>
      <c r="AI13" s="92">
        <f>Logistic2012!Q13</f>
        <v>1.7045928901654236E-4</v>
      </c>
      <c r="AJ13" s="92">
        <f>Logistic2013!L13</f>
        <v>3.6412299007382412E-4</v>
      </c>
      <c r="AK13" s="119">
        <f>Logistic2014!AK13</f>
        <v>5.0274674135478853E-4</v>
      </c>
      <c r="AL13" s="119">
        <f t="shared" ref="AL13:AL76" si="27">L13</f>
        <v>3.8783690632277242E-5</v>
      </c>
      <c r="AM13" s="113">
        <v>2011</v>
      </c>
      <c r="AO13" s="113">
        <v>2010</v>
      </c>
      <c r="AP13" s="113">
        <v>2012</v>
      </c>
      <c r="AQ13" s="113"/>
      <c r="AR13" t="s">
        <v>28</v>
      </c>
      <c r="AS13"/>
      <c r="AT13"/>
      <c r="AU13"/>
      <c r="AV13"/>
      <c r="AW13"/>
      <c r="AX13"/>
    </row>
    <row r="14" spans="1:50" x14ac:dyDescent="0.25">
      <c r="A14" s="120">
        <v>6.1078705340936339E-2</v>
      </c>
      <c r="B14" s="124">
        <v>37827.5</v>
      </c>
      <c r="C14" s="121">
        <f t="shared" si="0"/>
        <v>268.05280373213259</v>
      </c>
      <c r="D14" s="106">
        <f t="shared" ref="D14" si="28">IF(B14&lt;&gt;0,B14-$A$3+1,"")</f>
        <v>62</v>
      </c>
      <c r="E14" s="81">
        <v>0.61665790052000002</v>
      </c>
      <c r="F14" s="41">
        <f t="shared" ref="F14" si="29">IF(B14&lt;&gt;0,$G$3/(1+EXP(-$G$4*(D14-$G$5))),"")</f>
        <v>0.81062423529610406</v>
      </c>
      <c r="G14" s="42">
        <f t="shared" ref="G14" si="30">IF(B14&lt;&gt;0,E14-F14,"")</f>
        <v>-0.19396633477610403</v>
      </c>
      <c r="H14" s="43">
        <f t="shared" ref="H14" si="31">IF(B14&lt;&gt;0,C14*(G14)^2,"")</f>
        <v>10.084934290689873</v>
      </c>
      <c r="J14" s="105">
        <f t="shared" si="10"/>
        <v>37771.5</v>
      </c>
      <c r="K14" s="109">
        <v>6</v>
      </c>
      <c r="L14" s="125">
        <f t="shared" si="5"/>
        <v>4.7546222245428585E-5</v>
      </c>
      <c r="M14" s="46">
        <f t="shared" si="11"/>
        <v>1.8291437965967419E-6</v>
      </c>
      <c r="N14" s="130">
        <v>1.8291437965967419E-6</v>
      </c>
      <c r="O14" s="89">
        <f t="shared" si="6"/>
        <v>1.8291437965967419E-6</v>
      </c>
      <c r="P14" s="48">
        <v>40328</v>
      </c>
      <c r="Q14" s="1">
        <v>0</v>
      </c>
      <c r="R14" s="100">
        <v>963</v>
      </c>
      <c r="S14" s="100">
        <f t="shared" si="25"/>
        <v>5.0959364417213077E-2</v>
      </c>
      <c r="T14" s="101">
        <f t="shared" si="19"/>
        <v>962.94904063558283</v>
      </c>
      <c r="W14" s="4" t="s">
        <v>47</v>
      </c>
      <c r="Y14" s="4" t="s">
        <v>8</v>
      </c>
      <c r="AE14" s="93">
        <f t="shared" si="26"/>
        <v>37771.5</v>
      </c>
      <c r="AF14" s="92">
        <f>Logistic2010!Q14</f>
        <v>2.0816384458125417E-4</v>
      </c>
      <c r="AG14" s="4">
        <f t="shared" si="20"/>
        <v>0</v>
      </c>
      <c r="AH14" s="92">
        <f>Logistic2011!Q14</f>
        <v>2.0816384458125417E-4</v>
      </c>
      <c r="AI14" s="92">
        <f>Logistic2012!Q14</f>
        <v>0</v>
      </c>
      <c r="AJ14" s="92">
        <f>Logistic2013!L14</f>
        <v>4.436902928409236E-4</v>
      </c>
      <c r="AK14" s="119">
        <f>Logistic2014!AK14</f>
        <v>6.0857479252525697E-4</v>
      </c>
      <c r="AL14" s="119">
        <f t="shared" si="27"/>
        <v>4.7546222245428585E-5</v>
      </c>
      <c r="AM14" s="115">
        <v>2E-3</v>
      </c>
      <c r="AO14" s="115">
        <v>4.1000000000000002E-2</v>
      </c>
      <c r="AP14" s="115">
        <v>2.4E-2</v>
      </c>
      <c r="AQ14" s="115"/>
      <c r="AR14"/>
      <c r="AS14"/>
      <c r="AT14"/>
      <c r="AU14"/>
      <c r="AV14"/>
      <c r="AW14"/>
      <c r="AX14"/>
    </row>
    <row r="15" spans="1:50" ht="16.5" thickBot="1" x14ac:dyDescent="0.3">
      <c r="A15" s="39"/>
      <c r="B15" s="49"/>
      <c r="C15" s="79"/>
      <c r="D15" s="86"/>
      <c r="E15" s="81"/>
      <c r="F15" s="50"/>
      <c r="G15" s="16"/>
      <c r="H15" s="51"/>
      <c r="J15" s="105">
        <f t="shared" si="10"/>
        <v>37772.5</v>
      </c>
      <c r="K15" s="109">
        <v>7</v>
      </c>
      <c r="L15" s="125">
        <f t="shared" si="5"/>
        <v>5.8288387136114664E-5</v>
      </c>
      <c r="M15" s="46">
        <f t="shared" si="11"/>
        <v>2.6066622560821447E-6</v>
      </c>
      <c r="N15" s="130">
        <v>2.6066622560821447E-6</v>
      </c>
      <c r="O15" s="89">
        <f t="shared" si="6"/>
        <v>2.6066622560821447E-6</v>
      </c>
      <c r="P15" s="48">
        <v>40329</v>
      </c>
      <c r="Q15" s="1">
        <v>6.2104077545281245E-5</v>
      </c>
      <c r="R15" s="100">
        <v>1106</v>
      </c>
      <c r="S15" s="100">
        <f t="shared" si="25"/>
        <v>7.1749401761893747E-2</v>
      </c>
      <c r="T15" s="101">
        <f t="shared" si="19"/>
        <v>1105.928250598238</v>
      </c>
      <c r="W15" s="4">
        <f t="array" ref="W15:X16">2* 2.13732258253673^2*MINVERSE($W$11:$X$12)</f>
        <v>2.5332184642178463E-3</v>
      </c>
      <c r="X15" s="4">
        <v>2.1745406260208915E-2</v>
      </c>
      <c r="Y15" s="4">
        <v>5.0331088446583849E-2</v>
      </c>
      <c r="AE15" s="93">
        <f t="shared" si="26"/>
        <v>37772.5</v>
      </c>
      <c r="AF15" s="92">
        <f>Logistic2010!Q15</f>
        <v>2.542062975332477E-4</v>
      </c>
      <c r="AG15" s="4">
        <f t="shared" si="20"/>
        <v>6.2104077545281245E-5</v>
      </c>
      <c r="AH15" s="92">
        <f>Logistic2011!Q15</f>
        <v>3.5888786587624556E-5</v>
      </c>
      <c r="AI15" s="92">
        <f>Logistic2012!Q15</f>
        <v>6.2104077545281245E-5</v>
      </c>
      <c r="AJ15" s="92">
        <f>Logistic2013!L15</f>
        <v>5.4063505283763783E-4</v>
      </c>
      <c r="AK15" s="119">
        <f>Logistic2014!AK15</f>
        <v>7.3666320070702633E-4</v>
      </c>
      <c r="AL15" s="119">
        <f t="shared" si="27"/>
        <v>5.8288387136114664E-5</v>
      </c>
      <c r="AM15" s="4">
        <v>0</v>
      </c>
      <c r="AO15" s="115">
        <v>5.0000000000000001E-3</v>
      </c>
      <c r="AP15" s="115">
        <v>3.5999999999999997E-2</v>
      </c>
      <c r="AQ15" s="110"/>
      <c r="AR15" t="s">
        <v>29</v>
      </c>
      <c r="AS15"/>
      <c r="AT15"/>
      <c r="AU15"/>
      <c r="AV15"/>
      <c r="AW15"/>
      <c r="AX15"/>
    </row>
    <row r="16" spans="1:50" x14ac:dyDescent="0.25">
      <c r="A16" s="39"/>
      <c r="B16" s="49"/>
      <c r="C16" s="79"/>
      <c r="D16" s="86"/>
      <c r="E16" s="81"/>
      <c r="F16" s="50"/>
      <c r="G16" s="16"/>
      <c r="H16" s="51"/>
      <c r="J16" s="105">
        <f t="shared" si="10"/>
        <v>37773.5</v>
      </c>
      <c r="K16" s="109">
        <v>8</v>
      </c>
      <c r="L16" s="125">
        <f t="shared" si="5"/>
        <v>7.1457366502029548E-5</v>
      </c>
      <c r="M16" s="46">
        <f t="shared" si="11"/>
        <v>3.7146810897353246E-6</v>
      </c>
      <c r="N16" s="130">
        <v>3.7146810897353246E-6</v>
      </c>
      <c r="O16" s="89">
        <f t="shared" si="6"/>
        <v>3.7146810897353246E-6</v>
      </c>
      <c r="P16" s="48">
        <v>40330</v>
      </c>
      <c r="Q16" s="1">
        <v>8.271689671114933E-5</v>
      </c>
      <c r="R16" s="100">
        <v>3668</v>
      </c>
      <c r="S16" s="100">
        <f t="shared" si="25"/>
        <v>0.29171364302398922</v>
      </c>
      <c r="T16" s="101">
        <f t="shared" si="19"/>
        <v>3667.7082863569758</v>
      </c>
      <c r="W16" s="4">
        <v>2.1745406260208912E-2</v>
      </c>
      <c r="X16" s="4">
        <v>3.3793975868128725</v>
      </c>
      <c r="Y16" s="4">
        <v>1.8383137889960115</v>
      </c>
      <c r="AE16" s="93">
        <f t="shared" si="26"/>
        <v>37773.5</v>
      </c>
      <c r="AF16" s="92">
        <f>Logistic2010!Q16</f>
        <v>3.1042942936064727E-4</v>
      </c>
      <c r="AG16" s="4">
        <f t="shared" si="20"/>
        <v>8.271689671114933E-5</v>
      </c>
      <c r="AH16" s="92">
        <f>Logistic2011!Q16</f>
        <v>4.6160789501698919E-5</v>
      </c>
      <c r="AI16" s="92">
        <f>Logistic2012!Q16</f>
        <v>8.271689671114933E-5</v>
      </c>
      <c r="AJ16" s="92">
        <f>Logistic2013!L16</f>
        <v>6.5874794022489089E-4</v>
      </c>
      <c r="AK16" s="119">
        <f>Logistic2014!AK16</f>
        <v>8.9168667425910237E-4</v>
      </c>
      <c r="AL16" s="119">
        <f t="shared" si="27"/>
        <v>7.1457366502029548E-5</v>
      </c>
      <c r="AM16" s="114">
        <v>2.4E-2</v>
      </c>
      <c r="AO16" s="114">
        <v>7.5999999999999998E-2</v>
      </c>
      <c r="AP16" s="114">
        <v>7.0000000000000001E-3</v>
      </c>
      <c r="AQ16" s="110"/>
      <c r="AR16" s="112" t="s">
        <v>30</v>
      </c>
      <c r="AS16" s="112" t="s">
        <v>31</v>
      </c>
      <c r="AT16" s="112" t="s">
        <v>32</v>
      </c>
      <c r="AU16" s="112" t="s">
        <v>33</v>
      </c>
      <c r="AV16" s="112" t="s">
        <v>34</v>
      </c>
      <c r="AW16"/>
      <c r="AX16"/>
    </row>
    <row r="17" spans="1:50" x14ac:dyDescent="0.25">
      <c r="A17" s="120"/>
      <c r="B17" s="49"/>
      <c r="C17" s="79"/>
      <c r="D17" s="86" t="str">
        <f t="shared" ref="D17:D65" si="32">IF(B17&lt;&gt;0,B17-$A$3+1,"")</f>
        <v/>
      </c>
      <c r="E17" s="81"/>
      <c r="F17" s="50" t="str">
        <f t="shared" si="2"/>
        <v/>
      </c>
      <c r="G17" s="16" t="str">
        <f t="shared" si="3"/>
        <v/>
      </c>
      <c r="H17" s="51" t="str">
        <f t="shared" si="4"/>
        <v/>
      </c>
      <c r="J17" s="105">
        <f t="shared" si="10"/>
        <v>37774.5</v>
      </c>
      <c r="K17" s="109">
        <v>9</v>
      </c>
      <c r="L17" s="125">
        <f t="shared" si="5"/>
        <v>8.7601326531770458E-5</v>
      </c>
      <c r="M17" s="46">
        <f t="shared" si="11"/>
        <v>5.2936850821911276E-6</v>
      </c>
      <c r="N17" s="130">
        <v>5.2936850821911276E-6</v>
      </c>
      <c r="O17" s="89">
        <f t="shared" si="6"/>
        <v>5.2936850821911276E-6</v>
      </c>
      <c r="P17" s="48">
        <v>40331</v>
      </c>
      <c r="Q17" s="1">
        <v>1.1017051470513796E-4</v>
      </c>
      <c r="R17" s="100">
        <v>2939</v>
      </c>
      <c r="S17" s="100">
        <f t="shared" si="25"/>
        <v>0.28654300006895217</v>
      </c>
      <c r="T17" s="101">
        <f t="shared" si="19"/>
        <v>2938.7134569999312</v>
      </c>
      <c r="AE17" s="93">
        <f t="shared" si="26"/>
        <v>37774.5</v>
      </c>
      <c r="AF17" s="92">
        <f>Logistic2010!Q17</f>
        <v>3.7908278806435145E-4</v>
      </c>
      <c r="AG17" s="4">
        <f t="shared" si="20"/>
        <v>1.1017051470513796E-4</v>
      </c>
      <c r="AH17" s="92">
        <f>Logistic2011!Q17</f>
        <v>5.9372646030949961E-5</v>
      </c>
      <c r="AI17" s="92">
        <f>Logistic2012!Q17</f>
        <v>1.1017051470513796E-4</v>
      </c>
      <c r="AJ17" s="92">
        <f>Logistic2013!L17</f>
        <v>8.0264430321866907E-4</v>
      </c>
      <c r="AK17" s="119">
        <f>Logistic2014!AK17</f>
        <v>1.0792980661665267E-3</v>
      </c>
      <c r="AL17" s="119">
        <f t="shared" si="27"/>
        <v>8.7601326531770458E-5</v>
      </c>
      <c r="AM17" s="4">
        <v>0.16800000000000001</v>
      </c>
      <c r="AO17" s="113">
        <v>0.17699999999999999</v>
      </c>
      <c r="AP17" s="110">
        <v>0.35599999999999998</v>
      </c>
      <c r="AQ17" s="110"/>
      <c r="AR17" s="110">
        <v>2010</v>
      </c>
      <c r="AS17" s="110">
        <v>11</v>
      </c>
      <c r="AT17" s="110">
        <v>4.5669999999999993</v>
      </c>
      <c r="AU17" s="110">
        <v>0.4151818181818181</v>
      </c>
      <c r="AV17" s="110">
        <v>0.13328476363636368</v>
      </c>
      <c r="AW17"/>
      <c r="AX17"/>
    </row>
    <row r="18" spans="1:50" x14ac:dyDescent="0.25">
      <c r="A18" s="120"/>
      <c r="B18" s="49"/>
      <c r="C18" s="79"/>
      <c r="D18" s="86" t="str">
        <f t="shared" si="32"/>
        <v/>
      </c>
      <c r="E18" s="81"/>
      <c r="F18" s="50" t="str">
        <f t="shared" si="2"/>
        <v/>
      </c>
      <c r="G18" s="16" t="str">
        <f t="shared" si="3"/>
        <v/>
      </c>
      <c r="H18" s="51" t="str">
        <f t="shared" si="4"/>
        <v/>
      </c>
      <c r="J18" s="105">
        <f t="shared" si="10"/>
        <v>37775.5</v>
      </c>
      <c r="K18" s="109">
        <v>10</v>
      </c>
      <c r="L18" s="125">
        <f t="shared" si="5"/>
        <v>1.073922087312116E-4</v>
      </c>
      <c r="M18" s="46">
        <f t="shared" si="11"/>
        <v>7.543873151853996E-6</v>
      </c>
      <c r="N18" s="130">
        <v>7.543873151853996E-6</v>
      </c>
      <c r="O18" s="89">
        <f t="shared" si="6"/>
        <v>7.543873151853996E-6</v>
      </c>
      <c r="P18" s="48">
        <v>40332</v>
      </c>
      <c r="Q18" s="1">
        <v>1.4673461154601208E-4</v>
      </c>
      <c r="R18" s="100">
        <v>2148</v>
      </c>
      <c r="S18" s="100">
        <f t="shared" si="25"/>
        <v>0.25673525893364507</v>
      </c>
      <c r="T18" s="101">
        <f t="shared" si="19"/>
        <v>2147.7432647410665</v>
      </c>
      <c r="W18" s="4" t="s">
        <v>48</v>
      </c>
      <c r="AE18" s="93">
        <f t="shared" si="26"/>
        <v>37775.5</v>
      </c>
      <c r="AF18" s="92">
        <f>Logistic2010!Q18</f>
        <v>4.6291222449000769E-4</v>
      </c>
      <c r="AG18" s="4">
        <f t="shared" si="20"/>
        <v>1.4673461154601208E-4</v>
      </c>
      <c r="AH18" s="92">
        <f>Logistic2011!Q18</f>
        <v>7.6365629883993208E-5</v>
      </c>
      <c r="AI18" s="92">
        <f>Logistic2012!Q18</f>
        <v>1.4673461154601208E-4</v>
      </c>
      <c r="AJ18" s="92">
        <f>Logistic2013!L18</f>
        <v>9.7794251088522961E-4</v>
      </c>
      <c r="AK18" s="119">
        <f>Logistic2014!AK18</f>
        <v>1.3063313918701522E-3</v>
      </c>
      <c r="AL18" s="119">
        <f t="shared" si="27"/>
        <v>1.073922087312116E-4</v>
      </c>
      <c r="AM18" s="113">
        <v>4.7E-2</v>
      </c>
      <c r="AO18" s="113">
        <v>0.21199999999999999</v>
      </c>
      <c r="AP18" s="115">
        <v>0.51500000000000001</v>
      </c>
      <c r="AQ18" s="113"/>
      <c r="AR18" s="110">
        <v>2011</v>
      </c>
      <c r="AS18" s="110">
        <v>11</v>
      </c>
      <c r="AT18" s="110">
        <v>3.9729999999999994</v>
      </c>
      <c r="AU18" s="110">
        <v>0.3611818181818181</v>
      </c>
      <c r="AV18" s="110">
        <v>0.13927216363636366</v>
      </c>
      <c r="AW18"/>
      <c r="AX18"/>
    </row>
    <row r="19" spans="1:50" ht="16.5" thickBot="1" x14ac:dyDescent="0.3">
      <c r="A19" s="120"/>
      <c r="B19" s="49"/>
      <c r="C19" s="79"/>
      <c r="D19" s="86" t="str">
        <f t="shared" si="32"/>
        <v/>
      </c>
      <c r="E19" s="81"/>
      <c r="F19" s="50" t="str">
        <f t="shared" si="2"/>
        <v/>
      </c>
      <c r="G19" s="16" t="str">
        <f t="shared" si="3"/>
        <v/>
      </c>
      <c r="H19" s="51" t="str">
        <f t="shared" si="4"/>
        <v/>
      </c>
      <c r="J19" s="105">
        <f t="shared" si="10"/>
        <v>37776.5</v>
      </c>
      <c r="K19" s="109">
        <v>11</v>
      </c>
      <c r="L19" s="125">
        <f t="shared" si="5"/>
        <v>1.316536561976944E-4</v>
      </c>
      <c r="M19" s="46">
        <f t="shared" si="11"/>
        <v>1.0750538956072072E-5</v>
      </c>
      <c r="N19" s="130">
        <v>1.0750538956072072E-5</v>
      </c>
      <c r="O19" s="89">
        <f t="shared" si="6"/>
        <v>1.0750538956072072E-5</v>
      </c>
      <c r="P19" s="48">
        <v>40333</v>
      </c>
      <c r="Q19" s="1">
        <v>1.9543146345089269E-4</v>
      </c>
      <c r="R19" s="100">
        <v>5309</v>
      </c>
      <c r="S19" s="100">
        <f t="shared" si="25"/>
        <v>0.77789826721358846</v>
      </c>
      <c r="T19" s="101">
        <f t="shared" si="19"/>
        <v>5308.2221017327865</v>
      </c>
      <c r="W19" s="4">
        <v>1</v>
      </c>
      <c r="X19" s="4">
        <v>0.23502364558685596</v>
      </c>
      <c r="AE19" s="93">
        <f t="shared" si="26"/>
        <v>37776.5</v>
      </c>
      <c r="AF19" s="92">
        <f>Logistic2010!Q19</f>
        <v>5.6526901369757224E-4</v>
      </c>
      <c r="AG19" s="4">
        <f t="shared" si="20"/>
        <v>1.9543146345089269E-4</v>
      </c>
      <c r="AH19" s="92">
        <f>Logistic2011!Q19</f>
        <v>9.8221680405067934E-5</v>
      </c>
      <c r="AI19" s="92">
        <f>Logistic2012!Q19</f>
        <v>1.9543146345089269E-4</v>
      </c>
      <c r="AJ19" s="92">
        <f>Logistic2013!L19</f>
        <v>1.19148034540422E-3</v>
      </c>
      <c r="AK19" s="119">
        <f>Logistic2014!AK19</f>
        <v>1.5810462162153941E-3</v>
      </c>
      <c r="AL19" s="119">
        <f t="shared" si="27"/>
        <v>1.316536561976944E-4</v>
      </c>
      <c r="AM19" s="110">
        <v>0.215</v>
      </c>
      <c r="AO19" s="115">
        <v>0.216</v>
      </c>
      <c r="AP19" s="110">
        <v>0.90100000000000002</v>
      </c>
      <c r="AQ19" s="113"/>
      <c r="AR19" s="111">
        <v>2012</v>
      </c>
      <c r="AS19" s="111">
        <v>11</v>
      </c>
      <c r="AT19" s="111">
        <v>6.5350000000000001</v>
      </c>
      <c r="AU19" s="111">
        <v>0.59409090909090911</v>
      </c>
      <c r="AV19" s="111">
        <v>0.17708689090909088</v>
      </c>
      <c r="AW19"/>
      <c r="AX19"/>
    </row>
    <row r="20" spans="1:50" x14ac:dyDescent="0.25">
      <c r="A20" s="120"/>
      <c r="B20" s="49"/>
      <c r="C20" s="79"/>
      <c r="D20" s="86" t="str">
        <f t="shared" si="32"/>
        <v/>
      </c>
      <c r="E20" s="81"/>
      <c r="F20" s="50" t="str">
        <f t="shared" si="2"/>
        <v/>
      </c>
      <c r="G20" s="16" t="str">
        <f t="shared" si="3"/>
        <v/>
      </c>
      <c r="H20" s="51" t="str">
        <f t="shared" si="4"/>
        <v/>
      </c>
      <c r="J20" s="105">
        <f t="shared" si="10"/>
        <v>37777.5</v>
      </c>
      <c r="K20" s="109">
        <v>12</v>
      </c>
      <c r="L20" s="125">
        <f t="shared" si="5"/>
        <v>1.6139522954861882E-4</v>
      </c>
      <c r="M20" s="46">
        <f t="shared" si="11"/>
        <v>1.5320237759159121E-5</v>
      </c>
      <c r="N20" s="130">
        <v>1.5320237759159121E-5</v>
      </c>
      <c r="O20" s="89">
        <f t="shared" si="6"/>
        <v>1.5320237759159121E-5</v>
      </c>
      <c r="P20" s="48">
        <v>40334</v>
      </c>
      <c r="Q20" s="1">
        <v>2.6028514457293443E-4</v>
      </c>
      <c r="R20" s="100">
        <v>3853</v>
      </c>
      <c r="S20" s="100">
        <f t="shared" si="25"/>
        <v>0.69209426395483187</v>
      </c>
      <c r="T20" s="101">
        <f t="shared" si="19"/>
        <v>3852.3079057360451</v>
      </c>
      <c r="U20" s="40">
        <v>40712</v>
      </c>
      <c r="V20" s="92">
        <v>3.5999999999999997E-2</v>
      </c>
      <c r="W20" s="92">
        <v>0.2350236455868559</v>
      </c>
      <c r="X20" s="92">
        <v>1</v>
      </c>
      <c r="Y20" s="92"/>
      <c r="Z20" s="92"/>
      <c r="AE20" s="93">
        <f t="shared" si="26"/>
        <v>37777.5</v>
      </c>
      <c r="AF20" s="92">
        <f>Logistic2010!Q20</f>
        <v>6.9024278465830858E-4</v>
      </c>
      <c r="AG20" s="4">
        <f t="shared" si="20"/>
        <v>2.6028514457293443E-4</v>
      </c>
      <c r="AH20" s="92">
        <f>Logistic2011!Q20</f>
        <v>1.2633220159905076E-4</v>
      </c>
      <c r="AI20" s="92">
        <f>Logistic2012!Q20</f>
        <v>2.6028514457293443E-4</v>
      </c>
      <c r="AJ20" s="92">
        <f>Logistic2013!L20</f>
        <v>1.4515773097888444E-3</v>
      </c>
      <c r="AK20" s="119">
        <f>Logistic2014!AK20</f>
        <v>1.9134214809037675E-3</v>
      </c>
      <c r="AL20" s="119">
        <f t="shared" si="27"/>
        <v>1.6139522954861882E-4</v>
      </c>
      <c r="AM20" s="114">
        <v>0.28100000000000003</v>
      </c>
      <c r="AO20" s="110">
        <v>0.48099999999999998</v>
      </c>
      <c r="AP20" s="113">
        <v>0.77500000000000002</v>
      </c>
      <c r="AQ20" s="113"/>
      <c r="AR20"/>
      <c r="AS20"/>
      <c r="AT20"/>
      <c r="AU20"/>
      <c r="AV20"/>
      <c r="AW20"/>
      <c r="AX20"/>
    </row>
    <row r="21" spans="1:50" x14ac:dyDescent="0.25">
      <c r="A21" s="120"/>
      <c r="B21" s="49"/>
      <c r="C21" s="79"/>
      <c r="D21" s="86" t="str">
        <f t="shared" si="32"/>
        <v/>
      </c>
      <c r="E21" s="81"/>
      <c r="F21" s="50" t="str">
        <f t="shared" si="2"/>
        <v/>
      </c>
      <c r="G21" s="16" t="str">
        <f t="shared" si="3"/>
        <v/>
      </c>
      <c r="H21" s="51" t="str">
        <f t="shared" si="4"/>
        <v/>
      </c>
      <c r="I21" s="9"/>
      <c r="J21" s="105">
        <f t="shared" si="10"/>
        <v>37778.5</v>
      </c>
      <c r="K21" s="109">
        <v>13</v>
      </c>
      <c r="L21" s="125">
        <f t="shared" si="5"/>
        <v>1.978543235034611E-4</v>
      </c>
      <c r="M21" s="46">
        <f t="shared" si="11"/>
        <v>2.1832322085948411E-5</v>
      </c>
      <c r="N21" s="130">
        <v>2.1832322085948411E-5</v>
      </c>
      <c r="O21" s="89">
        <f t="shared" si="6"/>
        <v>2.1832322085948411E-5</v>
      </c>
      <c r="P21" s="48">
        <v>40335</v>
      </c>
      <c r="Q21" s="1">
        <v>3.4665297481631412E-4</v>
      </c>
      <c r="R21" s="100">
        <v>10476</v>
      </c>
      <c r="S21" s="100">
        <f t="shared" si="25"/>
        <v>2.3068247978555383</v>
      </c>
      <c r="T21" s="101">
        <f t="shared" si="19"/>
        <v>10473.693175202145</v>
      </c>
      <c r="U21" s="49">
        <v>40713</v>
      </c>
      <c r="V21" s="92"/>
      <c r="W21" s="92"/>
      <c r="X21" s="92"/>
      <c r="Y21" s="92"/>
      <c r="Z21" s="92"/>
      <c r="AE21" s="93">
        <f t="shared" si="26"/>
        <v>37778.5</v>
      </c>
      <c r="AF21" s="92">
        <f>Logistic2010!Q21</f>
        <v>8.428233623178356E-4</v>
      </c>
      <c r="AG21" s="4">
        <f t="shared" si="20"/>
        <v>3.4665297481631412E-4</v>
      </c>
      <c r="AH21" s="92">
        <f>Logistic2011!Q21</f>
        <v>1.624864967222617E-4</v>
      </c>
      <c r="AI21" s="92">
        <f>Logistic2012!Q21</f>
        <v>3.4665297481631412E-4</v>
      </c>
      <c r="AJ21" s="92">
        <f>Logistic2013!L21</f>
        <v>1.7683522199292421E-3</v>
      </c>
      <c r="AK21" s="119">
        <f>Logistic2014!AK21</f>
        <v>2.3155082495920514E-3</v>
      </c>
      <c r="AL21" s="119">
        <f t="shared" si="27"/>
        <v>1.978543235034611E-4</v>
      </c>
      <c r="AM21" s="113">
        <v>0.70299999999999996</v>
      </c>
      <c r="AO21" s="113">
        <v>0.77300000000000002</v>
      </c>
      <c r="AP21" s="115">
        <v>0.93</v>
      </c>
      <c r="AQ21" s="115"/>
      <c r="AR21"/>
      <c r="AS21"/>
      <c r="AT21"/>
      <c r="AU21"/>
      <c r="AV21"/>
      <c r="AW21"/>
      <c r="AX21"/>
    </row>
    <row r="22" spans="1:50" ht="16.5" thickBot="1" x14ac:dyDescent="0.3">
      <c r="A22" s="120"/>
      <c r="B22" s="49"/>
      <c r="C22" s="79"/>
      <c r="D22" s="86" t="str">
        <f t="shared" si="32"/>
        <v/>
      </c>
      <c r="E22" s="81"/>
      <c r="F22" s="50" t="str">
        <f t="shared" si="2"/>
        <v/>
      </c>
      <c r="G22" s="16" t="str">
        <f t="shared" si="3"/>
        <v/>
      </c>
      <c r="H22" s="51" t="str">
        <f t="shared" si="4"/>
        <v/>
      </c>
      <c r="I22" s="53"/>
      <c r="J22" s="105">
        <f t="shared" si="10"/>
        <v>37779.5</v>
      </c>
      <c r="K22" s="109">
        <v>14</v>
      </c>
      <c r="L22" s="125">
        <f t="shared" si="5"/>
        <v>2.425475088477299E-4</v>
      </c>
      <c r="M22" s="46">
        <f t="shared" si="11"/>
        <v>3.1112374086324488E-5</v>
      </c>
      <c r="N22" s="130">
        <v>3.1112374086324488E-5</v>
      </c>
      <c r="O22" s="89">
        <f t="shared" si="6"/>
        <v>3.1112374086324488E-5</v>
      </c>
      <c r="P22" s="48">
        <v>40336</v>
      </c>
      <c r="Q22" s="1">
        <v>4.6166614885428784E-4</v>
      </c>
      <c r="R22" s="100">
        <v>15768</v>
      </c>
      <c r="S22" s="100">
        <f t="shared" si="25"/>
        <v>4.2564211371950114</v>
      </c>
      <c r="T22" s="101">
        <f t="shared" si="19"/>
        <v>15763.743578862804</v>
      </c>
      <c r="U22" s="49">
        <v>40714</v>
      </c>
      <c r="V22" s="92"/>
      <c r="W22" s="92"/>
      <c r="X22" s="92"/>
      <c r="Y22" s="92"/>
      <c r="Z22" s="92"/>
      <c r="AE22" s="93">
        <f t="shared" si="26"/>
        <v>37779.5</v>
      </c>
      <c r="AF22" s="92">
        <f>Logistic2010!Q22</f>
        <v>1.0290976755680944E-3</v>
      </c>
      <c r="AG22" s="4">
        <f t="shared" si="20"/>
        <v>4.6166614885428784E-4</v>
      </c>
      <c r="AH22" s="92">
        <f>Logistic2011!Q22</f>
        <v>2.0898542158394941E-4</v>
      </c>
      <c r="AI22" s="92">
        <f>Logistic2012!Q22</f>
        <v>4.6166614885428784E-4</v>
      </c>
      <c r="AJ22" s="92">
        <f>Logistic2013!L22</f>
        <v>2.1541071781976768E-3</v>
      </c>
      <c r="AK22" s="119">
        <f>Logistic2014!AK22</f>
        <v>2.801852416196298E-3</v>
      </c>
      <c r="AL22" s="119">
        <f t="shared" si="27"/>
        <v>2.425475088477299E-4</v>
      </c>
      <c r="AM22" s="110">
        <v>0.69199999999999995</v>
      </c>
      <c r="AO22" s="110">
        <v>0.70699999999999996</v>
      </c>
      <c r="AP22" s="113">
        <v>0.997</v>
      </c>
      <c r="AQ22" s="110"/>
      <c r="AR22" t="s">
        <v>35</v>
      </c>
      <c r="AS22"/>
      <c r="AT22"/>
      <c r="AU22"/>
      <c r="AV22"/>
      <c r="AW22"/>
      <c r="AX22"/>
    </row>
    <row r="23" spans="1:50" x14ac:dyDescent="0.25">
      <c r="A23" s="39"/>
      <c r="B23" s="49"/>
      <c r="C23" s="79"/>
      <c r="D23" s="86" t="str">
        <f t="shared" si="32"/>
        <v/>
      </c>
      <c r="E23" s="81"/>
      <c r="F23" s="50" t="str">
        <f t="shared" si="2"/>
        <v/>
      </c>
      <c r="G23" s="16" t="str">
        <f t="shared" si="3"/>
        <v/>
      </c>
      <c r="H23" s="51" t="str">
        <f t="shared" si="4"/>
        <v/>
      </c>
      <c r="I23" s="53"/>
      <c r="J23" s="105">
        <f t="shared" si="10"/>
        <v>37780.5</v>
      </c>
      <c r="K23" s="109">
        <v>15</v>
      </c>
      <c r="L23" s="125">
        <f t="shared" si="5"/>
        <v>2.9733340657528011E-4</v>
      </c>
      <c r="M23" s="46">
        <f t="shared" si="11"/>
        <v>4.4336832295415093E-5</v>
      </c>
      <c r="N23" s="130">
        <v>4.4336832295415093E-5</v>
      </c>
      <c r="O23" s="89">
        <f t="shared" si="6"/>
        <v>4.4336832295415093E-5</v>
      </c>
      <c r="P23" s="48">
        <v>40337</v>
      </c>
      <c r="Q23" s="1">
        <v>6.1481514040778599E-4</v>
      </c>
      <c r="R23" s="100">
        <v>13548</v>
      </c>
      <c r="S23" s="100">
        <f t="shared" si="25"/>
        <v>4.4831894907607523</v>
      </c>
      <c r="T23" s="101">
        <f t="shared" si="19"/>
        <v>13543.51681050924</v>
      </c>
      <c r="U23" s="49">
        <v>40715</v>
      </c>
      <c r="V23" s="92"/>
      <c r="W23" s="92"/>
      <c r="X23" s="92"/>
      <c r="Y23" s="92"/>
      <c r="Z23" s="92"/>
      <c r="AE23" s="93">
        <f t="shared" si="26"/>
        <v>37780.5</v>
      </c>
      <c r="AF23" s="92">
        <f>Logistic2010!Q23</f>
        <v>1.2564891276397731E-3</v>
      </c>
      <c r="AG23" s="4">
        <f t="shared" si="20"/>
        <v>6.1481514040778599E-4</v>
      </c>
      <c r="AH23" s="92">
        <f>Logistic2011!Q23</f>
        <v>2.6878741349269233E-4</v>
      </c>
      <c r="AI23" s="92">
        <f>Logistic2012!Q23</f>
        <v>6.1481514040778599E-4</v>
      </c>
      <c r="AJ23" s="92">
        <f>Logistic2013!L23</f>
        <v>2.6237909806921655E-3</v>
      </c>
      <c r="AK23" s="119">
        <f>Logistic2014!AK23</f>
        <v>3.3900001278880923E-3</v>
      </c>
      <c r="AL23" s="119">
        <f t="shared" si="27"/>
        <v>2.9733340657528011E-4</v>
      </c>
      <c r="AM23" s="110">
        <v>0.877</v>
      </c>
      <c r="AO23" s="115">
        <v>0.89200000000000002</v>
      </c>
      <c r="AP23" s="110">
        <v>0.99399999999999999</v>
      </c>
      <c r="AQ23" s="110"/>
      <c r="AR23" s="112" t="s">
        <v>36</v>
      </c>
      <c r="AS23" s="112" t="s">
        <v>37</v>
      </c>
      <c r="AT23" s="112" t="s">
        <v>38</v>
      </c>
      <c r="AU23" s="112" t="s">
        <v>39</v>
      </c>
      <c r="AV23" s="112" t="s">
        <v>40</v>
      </c>
      <c r="AW23" s="112" t="s">
        <v>41</v>
      </c>
      <c r="AX23" s="112" t="s">
        <v>42</v>
      </c>
    </row>
    <row r="24" spans="1:50" x14ac:dyDescent="0.25">
      <c r="A24" s="39"/>
      <c r="B24" s="49"/>
      <c r="C24" s="79"/>
      <c r="D24" s="86" t="str">
        <f t="shared" si="32"/>
        <v/>
      </c>
      <c r="E24" s="81"/>
      <c r="F24" s="50" t="str">
        <f t="shared" si="2"/>
        <v/>
      </c>
      <c r="G24" s="16" t="str">
        <f t="shared" si="3"/>
        <v/>
      </c>
      <c r="H24" s="51" t="str">
        <f t="shared" si="4"/>
        <v/>
      </c>
      <c r="I24" s="53"/>
      <c r="J24" s="105">
        <f t="shared" si="10"/>
        <v>37781.5</v>
      </c>
      <c r="K24" s="109">
        <v>16</v>
      </c>
      <c r="L24" s="125">
        <f t="shared" si="5"/>
        <v>3.6448966557717813E-4</v>
      </c>
      <c r="M24" s="46">
        <f t="shared" si="11"/>
        <v>6.3182052340935858E-5</v>
      </c>
      <c r="N24" s="130">
        <v>6.3182052340935858E-5</v>
      </c>
      <c r="O24" s="89">
        <f t="shared" si="6"/>
        <v>6.3182052340935858E-5</v>
      </c>
      <c r="P24" s="48">
        <v>40338</v>
      </c>
      <c r="Q24" s="1">
        <v>8.1872679212602632E-4</v>
      </c>
      <c r="R24" s="100">
        <v>8722</v>
      </c>
      <c r="S24" s="100">
        <f t="shared" si="25"/>
        <v>3.5380655394206619</v>
      </c>
      <c r="T24" s="101">
        <f t="shared" si="19"/>
        <v>8718.4619344605799</v>
      </c>
      <c r="U24" s="49">
        <v>40716</v>
      </c>
      <c r="V24" s="92"/>
      <c r="W24" s="92"/>
      <c r="X24" s="92"/>
      <c r="Y24" s="92"/>
      <c r="Z24" s="92"/>
      <c r="AE24" s="93">
        <f t="shared" si="26"/>
        <v>37781.5</v>
      </c>
      <c r="AF24" s="92">
        <f>Logistic2010!Q24</f>
        <v>1.5340482859932569E-3</v>
      </c>
      <c r="AG24" s="4">
        <f t="shared" si="20"/>
        <v>8.1872679212602632E-4</v>
      </c>
      <c r="AH24" s="92">
        <f>Logistic2011!Q24</f>
        <v>3.4569606119318159E-4</v>
      </c>
      <c r="AI24" s="92">
        <f>Logistic2012!Q24</f>
        <v>8.1872679212602632E-4</v>
      </c>
      <c r="AJ24" s="92">
        <f>Logistic2013!L24</f>
        <v>3.1955571705628975E-3</v>
      </c>
      <c r="AK24" s="119">
        <f>Logistic2014!AK24</f>
        <v>4.101100461714453E-3</v>
      </c>
      <c r="AL24" s="119">
        <f t="shared" si="27"/>
        <v>3.6448966557717813E-4</v>
      </c>
      <c r="AM24" s="113">
        <v>0.96399999999999997</v>
      </c>
      <c r="AO24" s="113">
        <v>0.98699999999999999</v>
      </c>
      <c r="AP24" s="110">
        <v>1</v>
      </c>
      <c r="AQ24" s="110"/>
      <c r="AR24" s="110" t="s">
        <v>43</v>
      </c>
      <c r="AS24" s="110">
        <v>0.32696072727272707</v>
      </c>
      <c r="AT24" s="110">
        <v>2</v>
      </c>
      <c r="AU24" s="110">
        <v>0.16348036363636353</v>
      </c>
      <c r="AV24" s="110">
        <v>1.0907324221474686</v>
      </c>
      <c r="AW24" s="110">
        <v>0.34892468287406753</v>
      </c>
      <c r="AX24" s="110">
        <v>3.3158295010646679</v>
      </c>
    </row>
    <row r="25" spans="1:50" x14ac:dyDescent="0.25">
      <c r="A25" s="39"/>
      <c r="B25" s="49"/>
      <c r="C25" s="79"/>
      <c r="D25" s="86" t="str">
        <f t="shared" si="32"/>
        <v/>
      </c>
      <c r="E25" s="81"/>
      <c r="F25" s="50" t="str">
        <f t="shared" si="2"/>
        <v/>
      </c>
      <c r="G25" s="16" t="str">
        <f t="shared" si="3"/>
        <v/>
      </c>
      <c r="H25" s="51" t="str">
        <f t="shared" si="4"/>
        <v/>
      </c>
      <c r="I25" s="54"/>
      <c r="J25" s="105">
        <f t="shared" si="10"/>
        <v>37782.5</v>
      </c>
      <c r="K25" s="109">
        <v>17</v>
      </c>
      <c r="L25" s="125">
        <f t="shared" si="5"/>
        <v>4.4680717905035274E-4</v>
      </c>
      <c r="M25" s="46">
        <f t="shared" si="11"/>
        <v>9.003664795384782E-5</v>
      </c>
      <c r="N25" s="130">
        <v>9.003664795384782E-5</v>
      </c>
      <c r="O25" s="89">
        <f t="shared" si="6"/>
        <v>9.003664795384782E-5</v>
      </c>
      <c r="P25" s="48">
        <v>40339</v>
      </c>
      <c r="Q25" s="1">
        <v>1.0901946909765959E-3</v>
      </c>
      <c r="R25" s="100">
        <v>10831</v>
      </c>
      <c r="S25" s="100">
        <f t="shared" si="25"/>
        <v>5.3857826411152478</v>
      </c>
      <c r="T25" s="101">
        <f t="shared" si="19"/>
        <v>10825.614217358885</v>
      </c>
      <c r="U25" s="49">
        <v>40717</v>
      </c>
      <c r="V25" s="92"/>
      <c r="W25" s="92"/>
      <c r="X25" s="92"/>
      <c r="Y25" s="92"/>
      <c r="Z25" s="92"/>
      <c r="AE25" s="93">
        <f t="shared" si="26"/>
        <v>37782.5</v>
      </c>
      <c r="AF25" s="92">
        <f>Logistic2010!Q25</f>
        <v>1.8728054475450151E-3</v>
      </c>
      <c r="AG25" s="4">
        <f t="shared" si="20"/>
        <v>1.0901946909765959E-3</v>
      </c>
      <c r="AH25" s="92">
        <f>Logistic2011!Q25</f>
        <v>4.4460093825327419E-4</v>
      </c>
      <c r="AI25" s="92">
        <f>Logistic2012!Q25</f>
        <v>1.0901946909765959E-3</v>
      </c>
      <c r="AJ25" s="92">
        <f>Logistic2013!L25</f>
        <v>3.8914342584479623E-3</v>
      </c>
      <c r="AK25" s="119">
        <f>Logistic2014!AK25</f>
        <v>4.960621659003208E-3</v>
      </c>
      <c r="AL25" s="119">
        <f t="shared" si="27"/>
        <v>4.4680717905035274E-4</v>
      </c>
      <c r="AN25" s="110"/>
      <c r="AP25" s="110"/>
      <c r="AQ25" s="110"/>
      <c r="AR25" s="110" t="s">
        <v>44</v>
      </c>
      <c r="AS25" s="110">
        <v>4.4964381818181822</v>
      </c>
      <c r="AT25" s="110">
        <v>30</v>
      </c>
      <c r="AU25" s="110">
        <v>0.14988127272727275</v>
      </c>
      <c r="AV25" s="110"/>
      <c r="AW25" s="110"/>
      <c r="AX25" s="110"/>
    </row>
    <row r="26" spans="1:50" x14ac:dyDescent="0.25">
      <c r="A26" s="39"/>
      <c r="B26" s="49"/>
      <c r="C26" s="79"/>
      <c r="D26" s="86" t="str">
        <f t="shared" si="32"/>
        <v/>
      </c>
      <c r="E26" s="81"/>
      <c r="F26" s="50" t="str">
        <f t="shared" si="2"/>
        <v/>
      </c>
      <c r="G26" s="16" t="str">
        <f t="shared" si="3"/>
        <v/>
      </c>
      <c r="H26" s="51" t="str">
        <f t="shared" si="4"/>
        <v/>
      </c>
      <c r="I26" s="54"/>
      <c r="J26" s="105">
        <f t="shared" si="10"/>
        <v>37783.5</v>
      </c>
      <c r="K26" s="109">
        <v>18</v>
      </c>
      <c r="L26" s="125">
        <f t="shared" si="5"/>
        <v>5.47705357394158E-4</v>
      </c>
      <c r="M26" s="46">
        <f t="shared" si="11"/>
        <v>1.2830392713932698E-4</v>
      </c>
      <c r="N26" s="130">
        <v>1.2830392713932698E-4</v>
      </c>
      <c r="O26" s="89">
        <f t="shared" si="6"/>
        <v>1.2830392713932698E-4</v>
      </c>
      <c r="P26" s="48">
        <v>40340</v>
      </c>
      <c r="Q26" s="1">
        <v>1.4515433191966043E-3</v>
      </c>
      <c r="R26" s="100">
        <v>10194</v>
      </c>
      <c r="S26" s="100">
        <f t="shared" si="25"/>
        <v>6.2136428937625787</v>
      </c>
      <c r="T26" s="101">
        <f t="shared" si="19"/>
        <v>10187.786357106237</v>
      </c>
      <c r="U26" s="49">
        <v>40718</v>
      </c>
      <c r="V26" s="92"/>
      <c r="W26" s="92"/>
      <c r="X26" s="92"/>
      <c r="Y26" s="92"/>
      <c r="Z26" s="92"/>
      <c r="AE26" s="93">
        <f t="shared" si="26"/>
        <v>37783.5</v>
      </c>
      <c r="AF26" s="92">
        <f>Logistic2010!Q26</f>
        <v>2.2861975841660187E-3</v>
      </c>
      <c r="AG26" s="4">
        <f t="shared" si="20"/>
        <v>1.4515433191966043E-3</v>
      </c>
      <c r="AH26" s="92">
        <f>Logistic2011!Q26</f>
        <v>5.7178666821399956E-4</v>
      </c>
      <c r="AI26" s="92">
        <f>Logistic2012!Q26</f>
        <v>1.4515433191966043E-3</v>
      </c>
      <c r="AJ26" s="92">
        <f>Logistic2013!L26</f>
        <v>4.7381279726284222E-3</v>
      </c>
      <c r="AK26" s="119">
        <f>Logistic2014!AK26</f>
        <v>5.9991987892107617E-3</v>
      </c>
      <c r="AL26" s="119">
        <f t="shared" si="27"/>
        <v>5.47705357394158E-4</v>
      </c>
      <c r="AM26" s="114"/>
      <c r="AN26" s="114"/>
      <c r="AO26" s="114"/>
      <c r="AP26" s="114"/>
      <c r="AQ26" s="114"/>
      <c r="AR26" s="110"/>
      <c r="AS26" s="110"/>
      <c r="AT26" s="110"/>
      <c r="AU26" s="110"/>
      <c r="AV26" s="110"/>
      <c r="AW26" s="110"/>
      <c r="AX26" s="110"/>
    </row>
    <row r="27" spans="1:50" ht="16.5" thickBot="1" x14ac:dyDescent="0.3">
      <c r="B27" s="49"/>
      <c r="C27" s="79"/>
      <c r="D27" s="86" t="str">
        <f t="shared" si="32"/>
        <v/>
      </c>
      <c r="E27" s="81"/>
      <c r="F27" s="50" t="str">
        <f t="shared" si="2"/>
        <v/>
      </c>
      <c r="G27" s="16" t="str">
        <f t="shared" si="3"/>
        <v/>
      </c>
      <c r="H27" s="51" t="str">
        <f t="shared" si="4"/>
        <v/>
      </c>
      <c r="I27" s="54"/>
      <c r="J27" s="105">
        <f t="shared" si="10"/>
        <v>37784.5</v>
      </c>
      <c r="K27" s="109">
        <v>19</v>
      </c>
      <c r="L27" s="125">
        <f t="shared" si="5"/>
        <v>6.7137309929851967E-4</v>
      </c>
      <c r="M27" s="46">
        <f t="shared" si="11"/>
        <v>1.8283255021357849E-4</v>
      </c>
      <c r="N27" s="130">
        <v>1.8283255021357849E-4</v>
      </c>
      <c r="O27" s="89">
        <f t="shared" si="6"/>
        <v>1.8283255021357849E-4</v>
      </c>
      <c r="P27" s="48">
        <v>40341</v>
      </c>
      <c r="Q27" s="1">
        <v>1.9324304426046567E-3</v>
      </c>
      <c r="R27" s="100">
        <v>4837</v>
      </c>
      <c r="S27" s="100">
        <f t="shared" si="25"/>
        <v>3.6139988753366197</v>
      </c>
      <c r="T27" s="101">
        <f t="shared" si="19"/>
        <v>4833.3860011246634</v>
      </c>
      <c r="U27" s="49">
        <v>40719</v>
      </c>
      <c r="V27" s="92">
        <v>7.0000000000000001E-3</v>
      </c>
      <c r="W27" s="92"/>
      <c r="X27" s="92"/>
      <c r="Y27" s="92"/>
      <c r="Z27" s="92"/>
      <c r="AE27" s="93">
        <f t="shared" si="26"/>
        <v>37784.5</v>
      </c>
      <c r="AF27" s="92">
        <f>Logistic2010!Q27</f>
        <v>2.7905843687065831E-3</v>
      </c>
      <c r="AG27" s="4">
        <f t="shared" si="20"/>
        <v>1.9324304426046567E-3</v>
      </c>
      <c r="AH27" s="92">
        <f>Logistic2011!Q27</f>
        <v>7.3532929350053459E-4</v>
      </c>
      <c r="AI27" s="92">
        <f>Logistic2012!Q27</f>
        <v>1.9324304426046567E-3</v>
      </c>
      <c r="AJ27" s="92">
        <f>Logistic2013!L27</f>
        <v>5.7679775716238009E-3</v>
      </c>
      <c r="AK27" s="119">
        <f>Logistic2014!AK27</f>
        <v>7.2536318036214055E-3</v>
      </c>
      <c r="AL27" s="119">
        <f t="shared" si="27"/>
        <v>6.7137309929851967E-4</v>
      </c>
      <c r="AM27" s="114"/>
      <c r="AO27" s="114"/>
      <c r="AP27" s="114"/>
      <c r="AQ27" s="114"/>
      <c r="AR27" s="111" t="s">
        <v>45</v>
      </c>
      <c r="AS27" s="111">
        <v>4.8233989090909093</v>
      </c>
      <c r="AT27" s="111">
        <v>32</v>
      </c>
      <c r="AU27" s="111"/>
      <c r="AV27" s="111"/>
      <c r="AW27" s="111"/>
      <c r="AX27" s="111"/>
    </row>
    <row r="28" spans="1:50" x14ac:dyDescent="0.25">
      <c r="B28" s="49"/>
      <c r="C28" s="79"/>
      <c r="D28" s="86" t="str">
        <f t="shared" si="32"/>
        <v/>
      </c>
      <c r="E28" s="81"/>
      <c r="F28" s="50" t="str">
        <f t="shared" si="2"/>
        <v/>
      </c>
      <c r="G28" s="16" t="str">
        <f t="shared" si="3"/>
        <v/>
      </c>
      <c r="H28" s="51" t="str">
        <f t="shared" si="4"/>
        <v/>
      </c>
      <c r="I28" s="54"/>
      <c r="J28" s="105">
        <f t="shared" si="10"/>
        <v>37785.5</v>
      </c>
      <c r="K28" s="109">
        <v>20</v>
      </c>
      <c r="L28" s="125">
        <f t="shared" si="5"/>
        <v>8.2294109352207961E-4</v>
      </c>
      <c r="M28" s="46">
        <f t="shared" si="11"/>
        <v>2.6052956766402371E-4</v>
      </c>
      <c r="N28" s="130">
        <v>2.6052956766402371E-4</v>
      </c>
      <c r="O28" s="89">
        <f t="shared" si="6"/>
        <v>2.6052956766402371E-4</v>
      </c>
      <c r="P28" s="48">
        <v>40342</v>
      </c>
      <c r="Q28" s="1">
        <v>2.5722220404043386E-3</v>
      </c>
      <c r="R28" s="100">
        <v>8645</v>
      </c>
      <c r="S28" s="100">
        <f t="shared" si="25"/>
        <v>7.917235212201378</v>
      </c>
      <c r="T28" s="101">
        <f t="shared" si="19"/>
        <v>8637.0827647877977</v>
      </c>
      <c r="U28" s="40">
        <v>40720</v>
      </c>
      <c r="V28" s="92"/>
      <c r="W28" s="92"/>
      <c r="X28" s="92"/>
      <c r="Y28" s="92"/>
      <c r="Z28" s="92"/>
      <c r="AE28" s="93">
        <f t="shared" si="26"/>
        <v>37785.5</v>
      </c>
      <c r="AF28" s="92">
        <f>Logistic2010!Q28</f>
        <v>3.4058703908046778E-3</v>
      </c>
      <c r="AG28" s="4">
        <f t="shared" si="20"/>
        <v>2.5722220404043386E-3</v>
      </c>
      <c r="AH28" s="92">
        <f>Logistic2011!Q28</f>
        <v>9.4560418099634688E-4</v>
      </c>
      <c r="AI28" s="92">
        <f>Logistic2012!Q28</f>
        <v>2.5722220404043386E-3</v>
      </c>
      <c r="AJ28" s="92">
        <f>Logistic2013!L28</f>
        <v>7.0200899120878707E-3</v>
      </c>
      <c r="AK28" s="119">
        <f>Logistic2014!AK28</f>
        <v>8.7680531167695416E-3</v>
      </c>
      <c r="AL28" s="119">
        <f t="shared" si="27"/>
        <v>8.2294109352207961E-4</v>
      </c>
      <c r="AM28" s="114"/>
      <c r="AN28" s="114"/>
      <c r="AQ28" s="114"/>
      <c r="AR28" s="114"/>
      <c r="AS28" s="114"/>
      <c r="AT28" s="114"/>
      <c r="AU28" s="114"/>
    </row>
    <row r="29" spans="1:50" x14ac:dyDescent="0.25">
      <c r="B29" s="49"/>
      <c r="C29" s="79"/>
      <c r="D29" s="86" t="str">
        <f t="shared" si="32"/>
        <v/>
      </c>
      <c r="E29" s="81"/>
      <c r="F29" s="50" t="str">
        <f t="shared" si="2"/>
        <v/>
      </c>
      <c r="G29" s="16" t="str">
        <f t="shared" si="3"/>
        <v/>
      </c>
      <c r="H29" s="51" t="str">
        <f t="shared" si="4"/>
        <v/>
      </c>
      <c r="I29" s="54"/>
      <c r="J29" s="105">
        <f t="shared" si="10"/>
        <v>37786.5</v>
      </c>
      <c r="K29" s="109">
        <v>21</v>
      </c>
      <c r="L29" s="125">
        <f t="shared" si="5"/>
        <v>1.0086922696245666E-3</v>
      </c>
      <c r="M29" s="46">
        <f t="shared" si="11"/>
        <v>3.7123266109304417E-4</v>
      </c>
      <c r="N29" s="130">
        <v>3.7123266109304417E-4</v>
      </c>
      <c r="O29" s="89">
        <f t="shared" si="6"/>
        <v>3.7123266109304417E-4</v>
      </c>
      <c r="P29" s="48">
        <v>40343</v>
      </c>
      <c r="Q29" s="1">
        <v>3.4231101794941045E-3</v>
      </c>
      <c r="R29" s="100">
        <v>6148</v>
      </c>
      <c r="S29" s="100">
        <f t="shared" si="25"/>
        <v>6.9011634943669673</v>
      </c>
      <c r="T29" s="101">
        <f t="shared" si="19"/>
        <v>6141.0988365056328</v>
      </c>
      <c r="U29" s="49">
        <v>40721</v>
      </c>
      <c r="V29" s="92"/>
      <c r="W29" s="92"/>
      <c r="X29" s="92"/>
      <c r="Y29" s="92"/>
      <c r="Z29" s="92"/>
      <c r="AE29" s="93">
        <f t="shared" si="26"/>
        <v>37786.5</v>
      </c>
      <c r="AF29" s="92">
        <f>Logistic2010!Q29</f>
        <v>4.156253215078223E-3</v>
      </c>
      <c r="AG29" s="4">
        <f t="shared" si="20"/>
        <v>3.4231101794941045E-3</v>
      </c>
      <c r="AH29" s="92">
        <f>Logistic2011!Q29</f>
        <v>1.2159361420781157E-3</v>
      </c>
      <c r="AI29" s="92">
        <f>Logistic2012!Q29</f>
        <v>3.4231101794941045E-3</v>
      </c>
      <c r="AJ29" s="92">
        <f>Logistic2013!L29</f>
        <v>8.5416755801183825E-3</v>
      </c>
      <c r="AK29" s="119">
        <f>Logistic2014!AK29</f>
        <v>1.0595282474405681E-2</v>
      </c>
      <c r="AL29" s="119">
        <f t="shared" si="27"/>
        <v>1.0086922696245666E-3</v>
      </c>
      <c r="AM29" s="113"/>
      <c r="AN29" s="113"/>
      <c r="AP29" s="113"/>
      <c r="AQ29" s="113"/>
      <c r="AR29" s="113"/>
      <c r="AS29" s="113"/>
      <c r="AT29" s="114"/>
      <c r="AU29" s="114"/>
    </row>
    <row r="30" spans="1:50" x14ac:dyDescent="0.25">
      <c r="B30" s="49"/>
      <c r="C30" s="79"/>
      <c r="D30" s="86" t="str">
        <f t="shared" si="32"/>
        <v/>
      </c>
      <c r="E30" s="81"/>
      <c r="F30" s="50" t="str">
        <f t="shared" si="2"/>
        <v/>
      </c>
      <c r="G30" s="16" t="str">
        <f t="shared" si="3"/>
        <v/>
      </c>
      <c r="H30" s="51" t="str">
        <f t="shared" si="4"/>
        <v/>
      </c>
      <c r="I30" s="54"/>
      <c r="J30" s="105">
        <f t="shared" si="10"/>
        <v>37787.5</v>
      </c>
      <c r="K30" s="109">
        <v>22</v>
      </c>
      <c r="L30" s="125">
        <f t="shared" si="5"/>
        <v>1.2363186263959175E-3</v>
      </c>
      <c r="M30" s="46">
        <f t="shared" si="11"/>
        <v>5.2895034459836269E-4</v>
      </c>
      <c r="N30" s="131">
        <v>5.2895034459836269E-4</v>
      </c>
      <c r="O30" s="89">
        <f t="shared" si="6"/>
        <v>5.2895034459836269E-4</v>
      </c>
      <c r="P30" s="48">
        <v>40344</v>
      </c>
      <c r="Q30" s="1">
        <v>4.5541859663405402E-3</v>
      </c>
      <c r="R30" s="100">
        <v>5114</v>
      </c>
      <c r="S30" s="100">
        <f t="shared" si="25"/>
        <v>7.0357209129897988</v>
      </c>
      <c r="T30" s="101">
        <f t="shared" si="19"/>
        <v>5106.9642790870103</v>
      </c>
      <c r="U30" s="49">
        <v>40722</v>
      </c>
      <c r="V30" s="92"/>
      <c r="W30" s="92"/>
      <c r="X30" s="92"/>
      <c r="Y30" s="92"/>
      <c r="Z30" s="92"/>
      <c r="AE30" s="93">
        <f t="shared" si="26"/>
        <v>37787.5</v>
      </c>
      <c r="AF30" s="92">
        <f>Logistic2010!Q30</f>
        <v>5.0711194585093189E-3</v>
      </c>
      <c r="AG30" s="4">
        <f t="shared" si="20"/>
        <v>4.5541859663405402E-3</v>
      </c>
      <c r="AH30" s="92">
        <f>Logistic2011!Q30</f>
        <v>1.5634304169464023E-3</v>
      </c>
      <c r="AI30" s="92">
        <f>Logistic2012!Q30</f>
        <v>4.5541859663405402E-3</v>
      </c>
      <c r="AJ30" s="92">
        <f>Logistic2013!L30</f>
        <v>1.0389610148679944E-2</v>
      </c>
      <c r="AK30" s="119">
        <f>Logistic2014!AK30</f>
        <v>1.2798382995327439E-2</v>
      </c>
      <c r="AL30" s="119">
        <f t="shared" si="27"/>
        <v>1.2363186263959175E-3</v>
      </c>
      <c r="AM30" s="113"/>
      <c r="AN30" s="113"/>
      <c r="AO30" s="113"/>
      <c r="AP30" s="113"/>
      <c r="AQ30" s="113"/>
      <c r="AR30" s="113"/>
      <c r="AS30" s="113"/>
      <c r="AT30" s="114"/>
      <c r="AU30" s="114"/>
    </row>
    <row r="31" spans="1:50" x14ac:dyDescent="0.25">
      <c r="B31" s="49"/>
      <c r="C31" s="79"/>
      <c r="D31" s="86" t="str">
        <f t="shared" si="32"/>
        <v/>
      </c>
      <c r="E31" s="81"/>
      <c r="F31" s="50" t="str">
        <f t="shared" si="2"/>
        <v/>
      </c>
      <c r="G31" s="16" t="str">
        <f t="shared" si="3"/>
        <v/>
      </c>
      <c r="H31" s="51" t="str">
        <f t="shared" si="4"/>
        <v/>
      </c>
      <c r="I31" s="54"/>
      <c r="J31" s="105">
        <f t="shared" si="10"/>
        <v>37788.5</v>
      </c>
      <c r="K31" s="109">
        <v>23</v>
      </c>
      <c r="L31" s="125">
        <f t="shared" si="5"/>
        <v>1.5152343313630965E-3</v>
      </c>
      <c r="M31" s="46">
        <f t="shared" si="11"/>
        <v>7.5362365201523903E-4</v>
      </c>
      <c r="N31" s="131">
        <v>7.5362365201523903E-4</v>
      </c>
      <c r="O31" s="89">
        <f t="shared" si="6"/>
        <v>7.5362365201523903E-4</v>
      </c>
      <c r="P31" s="48">
        <v>40345</v>
      </c>
      <c r="Q31" s="1">
        <v>6.0567243090960737E-3</v>
      </c>
      <c r="R31" s="100">
        <v>7184</v>
      </c>
      <c r="S31" s="100">
        <f t="shared" si="25"/>
        <v>12.112911008187213</v>
      </c>
      <c r="T31" s="101">
        <f t="shared" si="19"/>
        <v>7171.8870889918126</v>
      </c>
      <c r="U31" s="49">
        <v>40723</v>
      </c>
      <c r="V31" s="92"/>
      <c r="W31" s="92"/>
      <c r="X31" s="92"/>
      <c r="Y31" s="92"/>
      <c r="Z31" s="92"/>
      <c r="AE31" s="93">
        <f t="shared" si="26"/>
        <v>37788.5</v>
      </c>
      <c r="AF31" s="92">
        <f>Logistic2010!Q31</f>
        <v>6.18611330154804E-3</v>
      </c>
      <c r="AG31" s="4">
        <f t="shared" si="20"/>
        <v>6.0567243090960737E-3</v>
      </c>
      <c r="AH31" s="92">
        <f>Logistic2011!Q31</f>
        <v>2.0100329059479318E-3</v>
      </c>
      <c r="AI31" s="92">
        <f>Logistic2012!Q31</f>
        <v>6.0567243090960737E-3</v>
      </c>
      <c r="AJ31" s="92">
        <f>Logistic2013!L31</f>
        <v>1.263223931108238E-2</v>
      </c>
      <c r="AK31" s="119">
        <f>Logistic2014!AK31</f>
        <v>1.5452424589650317E-2</v>
      </c>
      <c r="AL31" s="119">
        <f t="shared" si="27"/>
        <v>1.5152343313630965E-3</v>
      </c>
      <c r="AM31" s="113"/>
      <c r="AO31" s="113"/>
      <c r="AP31" s="113"/>
      <c r="AQ31" s="113"/>
      <c r="AR31" t="s">
        <v>28</v>
      </c>
      <c r="AS31"/>
      <c r="AT31"/>
      <c r="AU31"/>
      <c r="AV31"/>
      <c r="AW31"/>
      <c r="AX31"/>
    </row>
    <row r="32" spans="1:50" x14ac:dyDescent="0.25">
      <c r="B32" s="49"/>
      <c r="C32" s="79"/>
      <c r="D32" s="86" t="str">
        <f t="shared" si="32"/>
        <v/>
      </c>
      <c r="E32" s="81"/>
      <c r="F32" s="50" t="str">
        <f t="shared" si="2"/>
        <v/>
      </c>
      <c r="G32" s="16" t="str">
        <f t="shared" si="3"/>
        <v/>
      </c>
      <c r="H32" s="51" t="str">
        <f t="shared" si="4"/>
        <v/>
      </c>
      <c r="I32" s="54"/>
      <c r="J32" s="105">
        <f t="shared" si="10"/>
        <v>37789.5</v>
      </c>
      <c r="K32" s="109">
        <v>24</v>
      </c>
      <c r="L32" s="125">
        <f t="shared" si="5"/>
        <v>1.8569569292680875E-3</v>
      </c>
      <c r="M32" s="46">
        <f t="shared" si="11"/>
        <v>1.0736251359755081E-3</v>
      </c>
      <c r="N32" s="131">
        <v>1.0736251359755081E-3</v>
      </c>
      <c r="O32" s="89">
        <f t="shared" si="6"/>
        <v>1.0736251359755081E-3</v>
      </c>
      <c r="P32" s="48">
        <v>40346</v>
      </c>
      <c r="Q32" s="1">
        <v>8.0509778061675936E-3</v>
      </c>
      <c r="R32" s="100">
        <v>8109</v>
      </c>
      <c r="S32" s="100">
        <f t="shared" si="25"/>
        <v>16.755333426898584</v>
      </c>
      <c r="T32" s="101">
        <f t="shared" si="19"/>
        <v>8092.2446665731013</v>
      </c>
      <c r="U32" s="49">
        <v>40724</v>
      </c>
      <c r="V32" s="92"/>
      <c r="W32" s="92"/>
      <c r="X32" s="92"/>
      <c r="Y32" s="92"/>
      <c r="Z32" s="92"/>
      <c r="AE32" s="93">
        <f t="shared" si="26"/>
        <v>37789.5</v>
      </c>
      <c r="AF32" s="92">
        <f>Logistic2010!Q32</f>
        <v>7.5444033609171311E-3</v>
      </c>
      <c r="AG32" s="4">
        <f t="shared" si="20"/>
        <v>8.0509778061675936E-3</v>
      </c>
      <c r="AH32" s="92">
        <f>Logistic2011!Q32</f>
        <v>2.5838796966125908E-3</v>
      </c>
      <c r="AI32" s="92">
        <f>Logistic2012!Q32</f>
        <v>8.0509778061675936E-3</v>
      </c>
      <c r="AJ32" s="92">
        <f>Logistic2013!L32</f>
        <v>1.5351437527105454E-2</v>
      </c>
      <c r="AK32" s="119">
        <f>Logistic2014!AK32</f>
        <v>1.864644764878538E-2</v>
      </c>
      <c r="AL32" s="119">
        <f t="shared" si="27"/>
        <v>1.8569569292680875E-3</v>
      </c>
      <c r="AM32" s="115"/>
      <c r="AN32" s="115"/>
      <c r="AP32" s="115"/>
      <c r="AQ32" s="115"/>
      <c r="AR32"/>
      <c r="AS32"/>
      <c r="AT32"/>
      <c r="AU32"/>
      <c r="AV32"/>
      <c r="AW32"/>
      <c r="AX32"/>
    </row>
    <row r="33" spans="2:50" ht="16.5" thickBot="1" x14ac:dyDescent="0.3">
      <c r="B33" s="49"/>
      <c r="C33" s="79"/>
      <c r="D33" s="86" t="str">
        <f t="shared" si="32"/>
        <v/>
      </c>
      <c r="E33" s="81"/>
      <c r="F33" s="50" t="str">
        <f t="shared" si="2"/>
        <v/>
      </c>
      <c r="G33" s="16" t="str">
        <f t="shared" si="3"/>
        <v/>
      </c>
      <c r="H33" s="51" t="str">
        <f t="shared" si="4"/>
        <v/>
      </c>
      <c r="I33" s="54"/>
      <c r="J33" s="105">
        <f t="shared" si="10"/>
        <v>37790.5</v>
      </c>
      <c r="K33" s="109">
        <v>25</v>
      </c>
      <c r="L33" s="125">
        <f t="shared" si="5"/>
        <v>2.2755707379901648E-3</v>
      </c>
      <c r="M33" s="46">
        <f t="shared" si="11"/>
        <v>1.5292967649937837E-3</v>
      </c>
      <c r="N33" s="131">
        <v>1.5292967649937837E-3</v>
      </c>
      <c r="O33" s="89">
        <f t="shared" si="6"/>
        <v>1.5292967649937837E-3</v>
      </c>
      <c r="P33" s="48">
        <v>40347</v>
      </c>
      <c r="Q33" s="1">
        <v>1.0694799271914295E-2</v>
      </c>
      <c r="R33" s="100">
        <v>18981</v>
      </c>
      <c r="S33" s="100">
        <f t="shared" si="25"/>
        <v>48.058561264342643</v>
      </c>
      <c r="T33" s="101">
        <f t="shared" si="19"/>
        <v>18932.941438735659</v>
      </c>
      <c r="U33" s="49">
        <v>40725</v>
      </c>
      <c r="V33" s="92">
        <v>0.35599999999999998</v>
      </c>
      <c r="W33" s="92"/>
      <c r="X33" s="92"/>
      <c r="Y33" s="92"/>
      <c r="Z33" s="92"/>
      <c r="AE33" s="93">
        <f t="shared" si="26"/>
        <v>37790.5</v>
      </c>
      <c r="AF33" s="92">
        <f>Logistic2010!Q33</f>
        <v>9.1981739546595914E-3</v>
      </c>
      <c r="AG33" s="4">
        <f t="shared" si="20"/>
        <v>1.0694799271914295E-2</v>
      </c>
      <c r="AH33" s="92">
        <f>Logistic2011!Q33</f>
        <v>3.3210095492913049E-3</v>
      </c>
      <c r="AI33" s="92">
        <f>Logistic2012!Q33</f>
        <v>1.0694799271914295E-2</v>
      </c>
      <c r="AJ33" s="92">
        <f>Logistic2013!L33</f>
        <v>1.8644913491254085E-2</v>
      </c>
      <c r="AK33" s="119">
        <f>Logistic2014!AK33</f>
        <v>2.2485598579313124E-2</v>
      </c>
      <c r="AL33" s="119">
        <f t="shared" si="27"/>
        <v>2.2755707379901648E-3</v>
      </c>
      <c r="AM33" s="110"/>
      <c r="AN33" s="110"/>
      <c r="AO33" s="110"/>
      <c r="AP33" s="110"/>
      <c r="AQ33" s="110"/>
      <c r="AR33" t="s">
        <v>29</v>
      </c>
      <c r="AS33"/>
      <c r="AT33"/>
      <c r="AU33"/>
      <c r="AV33"/>
      <c r="AW33"/>
      <c r="AX33"/>
    </row>
    <row r="34" spans="2:50" ht="16.5" thickBot="1" x14ac:dyDescent="0.3">
      <c r="B34" s="49"/>
      <c r="C34" s="79"/>
      <c r="D34" s="86" t="str">
        <f t="shared" si="32"/>
        <v/>
      </c>
      <c r="E34" s="81"/>
      <c r="F34" s="50" t="str">
        <f t="shared" si="2"/>
        <v/>
      </c>
      <c r="G34" s="16" t="str">
        <f t="shared" si="3"/>
        <v/>
      </c>
      <c r="H34" s="51" t="str">
        <f t="shared" si="4"/>
        <v/>
      </c>
      <c r="I34" s="54"/>
      <c r="J34" s="105">
        <f t="shared" si="10"/>
        <v>37791.5</v>
      </c>
      <c r="K34" s="109">
        <v>26</v>
      </c>
      <c r="L34" s="125">
        <f t="shared" si="5"/>
        <v>2.7882890443545636E-3</v>
      </c>
      <c r="M34" s="46">
        <f t="shared" si="11"/>
        <v>2.1779444332849758E-3</v>
      </c>
      <c r="N34" s="131">
        <v>2.1779444332849758E-3</v>
      </c>
      <c r="O34" s="89">
        <f t="shared" si="6"/>
        <v>2.1779444332849758E-3</v>
      </c>
      <c r="P34" s="48">
        <v>40348</v>
      </c>
      <c r="Q34" s="1">
        <v>1.4194388945639416E-2</v>
      </c>
      <c r="R34" s="100">
        <v>7954</v>
      </c>
      <c r="S34" s="100">
        <f t="shared" si="25"/>
        <v>24.674992449495381</v>
      </c>
      <c r="T34" s="101">
        <f t="shared" si="19"/>
        <v>7929.3250075505048</v>
      </c>
      <c r="U34" s="49">
        <v>40726</v>
      </c>
      <c r="V34" s="92"/>
      <c r="W34" s="92"/>
      <c r="X34" s="92"/>
      <c r="Y34" s="92"/>
      <c r="Z34" s="92"/>
      <c r="AE34" s="93">
        <f t="shared" si="26"/>
        <v>37791.5</v>
      </c>
      <c r="AF34" s="92">
        <f>Logistic2010!Q34</f>
        <v>1.1210364440860094E-2</v>
      </c>
      <c r="AG34" s="4">
        <f t="shared" si="20"/>
        <v>1.4194388945639416E-2</v>
      </c>
      <c r="AH34" s="92">
        <f>Logistic2011!Q34</f>
        <v>4.2675282552662704E-3</v>
      </c>
      <c r="AI34" s="92">
        <f>Logistic2012!Q34</f>
        <v>1.4194388945639416E-2</v>
      </c>
      <c r="AJ34" s="92">
        <f>Logistic2013!L34</f>
        <v>2.2628728952144059E-2</v>
      </c>
      <c r="AK34" s="119">
        <f>Logistic2014!AK34</f>
        <v>2.7093376387433324E-2</v>
      </c>
      <c r="AL34" s="119">
        <f t="shared" si="27"/>
        <v>2.7882890443545636E-3</v>
      </c>
      <c r="AM34" s="110"/>
      <c r="AN34" s="110"/>
      <c r="AO34" s="110"/>
      <c r="AQ34" s="110"/>
      <c r="AR34" s="112" t="s">
        <v>30</v>
      </c>
      <c r="AS34" s="112" t="s">
        <v>31</v>
      </c>
      <c r="AT34" s="112" t="s">
        <v>32</v>
      </c>
      <c r="AU34" s="112" t="s">
        <v>33</v>
      </c>
      <c r="AV34" s="112" t="s">
        <v>34</v>
      </c>
      <c r="AW34"/>
      <c r="AX34"/>
    </row>
    <row r="35" spans="2:50" x14ac:dyDescent="0.25">
      <c r="B35" s="49"/>
      <c r="C35" s="79"/>
      <c r="D35" s="86" t="str">
        <f t="shared" si="32"/>
        <v/>
      </c>
      <c r="E35" s="81"/>
      <c r="F35" s="50" t="str">
        <f t="shared" si="2"/>
        <v/>
      </c>
      <c r="G35" s="16" t="str">
        <f t="shared" si="3"/>
        <v/>
      </c>
      <c r="H35" s="51" t="str">
        <f t="shared" si="4"/>
        <v/>
      </c>
      <c r="I35" s="54"/>
      <c r="J35" s="105">
        <f t="shared" si="10"/>
        <v>37792.5</v>
      </c>
      <c r="K35" s="109">
        <v>27</v>
      </c>
      <c r="L35" s="125">
        <f t="shared" si="5"/>
        <v>3.4161345034189796E-3</v>
      </c>
      <c r="M35" s="46">
        <f t="shared" si="11"/>
        <v>3.1008600796789275E-3</v>
      </c>
      <c r="N35" s="131">
        <v>3.1008600796789275E-3</v>
      </c>
      <c r="O35" s="89">
        <f t="shared" si="6"/>
        <v>3.1008600796789275E-3</v>
      </c>
      <c r="P35" s="48">
        <v>40349</v>
      </c>
      <c r="Q35" s="1">
        <v>1.8817345014281332E-2</v>
      </c>
      <c r="R35" s="100">
        <v>10420</v>
      </c>
      <c r="S35" s="100">
        <f t="shared" si="25"/>
        <v>39.600660888897231</v>
      </c>
      <c r="T35" s="101">
        <f t="shared" si="19"/>
        <v>10380.399339111103</v>
      </c>
      <c r="U35" s="40">
        <v>40727</v>
      </c>
      <c r="AE35" s="93">
        <f t="shared" si="26"/>
        <v>37792.5</v>
      </c>
      <c r="AF35" s="92">
        <f>Logistic2010!Q35</f>
        <v>1.3656673980419356E-2</v>
      </c>
      <c r="AG35" s="4">
        <f t="shared" si="20"/>
        <v>1.8817345014281332E-2</v>
      </c>
      <c r="AH35" s="92">
        <f>Logistic2011!Q35</f>
        <v>5.4823297455268887E-3</v>
      </c>
      <c r="AI35" s="92">
        <f>Logistic2012!Q35</f>
        <v>1.8817345014281332E-2</v>
      </c>
      <c r="AJ35" s="92">
        <f>Logistic2013!L35</f>
        <v>2.7439956026617411E-2</v>
      </c>
      <c r="AK35" s="119">
        <f>Logistic2014!AK35</f>
        <v>3.2613882518552371E-2</v>
      </c>
      <c r="AL35" s="119">
        <f t="shared" si="27"/>
        <v>3.4161345034189796E-3</v>
      </c>
      <c r="AM35" s="113"/>
      <c r="AO35" s="113"/>
      <c r="AP35" s="113"/>
      <c r="AQ35" s="113"/>
      <c r="AR35" s="110">
        <v>2010</v>
      </c>
      <c r="AS35" s="110">
        <v>11</v>
      </c>
      <c r="AT35" s="110">
        <v>4.5669999999999993</v>
      </c>
      <c r="AU35" s="110">
        <v>0.4151818181818181</v>
      </c>
      <c r="AV35" s="110">
        <v>0.13328476363636368</v>
      </c>
      <c r="AW35"/>
      <c r="AX35"/>
    </row>
    <row r="36" spans="2:50" ht="16.5" thickBot="1" x14ac:dyDescent="0.3">
      <c r="B36" s="49"/>
      <c r="C36" s="79"/>
      <c r="D36" s="86" t="str">
        <f t="shared" si="32"/>
        <v/>
      </c>
      <c r="E36" s="81"/>
      <c r="F36" s="50" t="str">
        <f t="shared" si="2"/>
        <v/>
      </c>
      <c r="G36" s="16" t="str">
        <f t="shared" si="3"/>
        <v/>
      </c>
      <c r="H36" s="51" t="str">
        <f t="shared" si="4"/>
        <v/>
      </c>
      <c r="I36" s="54"/>
      <c r="J36" s="105">
        <f t="shared" si="10"/>
        <v>37793.5</v>
      </c>
      <c r="K36" s="109">
        <v>28</v>
      </c>
      <c r="L36" s="125">
        <f t="shared" si="5"/>
        <v>4.1847601009758822E-3</v>
      </c>
      <c r="M36" s="46">
        <f t="shared" si="11"/>
        <v>4.4131364833405974E-3</v>
      </c>
      <c r="N36" s="131">
        <v>4.4131364833405974E-3</v>
      </c>
      <c r="O36" s="89">
        <f t="shared" si="6"/>
        <v>4.4131364833405974E-3</v>
      </c>
      <c r="P36" s="48">
        <v>40350</v>
      </c>
      <c r="Q36" s="1">
        <v>2.4907904460513997E-2</v>
      </c>
      <c r="R36" s="100">
        <v>14984</v>
      </c>
      <c r="S36" s="100">
        <f t="shared" si="25"/>
        <v>69.751989026550973</v>
      </c>
      <c r="T36" s="101">
        <f t="shared" si="19"/>
        <v>14914.24801097345</v>
      </c>
      <c r="U36" s="49">
        <v>40728</v>
      </c>
      <c r="AE36" s="93">
        <f t="shared" si="26"/>
        <v>37793.5</v>
      </c>
      <c r="AF36" s="92">
        <f>Logistic2010!Q36</f>
        <v>1.6627836578475143E-2</v>
      </c>
      <c r="AG36" s="4">
        <f t="shared" si="20"/>
        <v>2.4907904460513997E-2</v>
      </c>
      <c r="AH36" s="92">
        <f>Logistic2011!Q36</f>
        <v>7.0404935024234346E-3</v>
      </c>
      <c r="AI36" s="92">
        <f>Logistic2012!Q36</f>
        <v>2.4907904460513997E-2</v>
      </c>
      <c r="AJ36" s="92">
        <f>Logistic2013!L36</f>
        <v>3.3239337178441269E-2</v>
      </c>
      <c r="AK36" s="119">
        <f>Logistic2014!AK36</f>
        <v>3.9213900655283261E-2</v>
      </c>
      <c r="AL36" s="119">
        <f t="shared" si="27"/>
        <v>4.1847601009758822E-3</v>
      </c>
      <c r="AM36" s="113"/>
      <c r="AN36" s="113"/>
      <c r="AP36" s="113"/>
      <c r="AQ36" s="113"/>
      <c r="AR36" s="111">
        <v>2011</v>
      </c>
      <c r="AS36" s="111">
        <v>11</v>
      </c>
      <c r="AT36" s="111">
        <v>3.9729999999999994</v>
      </c>
      <c r="AU36" s="111">
        <v>0.3611818181818181</v>
      </c>
      <c r="AV36" s="111">
        <v>0.13927216363636366</v>
      </c>
      <c r="AW36"/>
      <c r="AX36"/>
    </row>
    <row r="37" spans="2:50" x14ac:dyDescent="0.25">
      <c r="B37" s="49"/>
      <c r="C37" s="79"/>
      <c r="D37" s="86" t="str">
        <f t="shared" si="32"/>
        <v/>
      </c>
      <c r="E37" s="81"/>
      <c r="F37" s="50" t="str">
        <f t="shared" si="2"/>
        <v/>
      </c>
      <c r="G37" s="16" t="str">
        <f t="shared" si="3"/>
        <v/>
      </c>
      <c r="H37" s="51" t="str">
        <f t="shared" si="4"/>
        <v/>
      </c>
      <c r="I37" s="54"/>
      <c r="J37" s="105">
        <f t="shared" si="10"/>
        <v>37794.5</v>
      </c>
      <c r="K37" s="109">
        <v>29</v>
      </c>
      <c r="L37" s="125">
        <f t="shared" si="5"/>
        <v>5.1254359783822296E-3</v>
      </c>
      <c r="M37" s="46">
        <f t="shared" si="11"/>
        <v>6.2772681143683619E-3</v>
      </c>
      <c r="N37" s="131">
        <v>6.2772681143683619E-3</v>
      </c>
      <c r="O37" s="89">
        <f t="shared" si="6"/>
        <v>6.2772681143683619E-3</v>
      </c>
      <c r="P37" s="48">
        <v>40351</v>
      </c>
      <c r="Q37" s="1">
        <v>3.2903671432563369E-2</v>
      </c>
      <c r="R37" s="100">
        <v>16806</v>
      </c>
      <c r="S37" s="100">
        <f t="shared" si="25"/>
        <v>95.80819939097637</v>
      </c>
      <c r="T37" s="101">
        <f t="shared" si="19"/>
        <v>16710.191800609024</v>
      </c>
      <c r="U37" s="49">
        <v>40729</v>
      </c>
      <c r="V37" s="4">
        <v>0.51500000000000001</v>
      </c>
      <c r="AE37" s="93">
        <f t="shared" si="26"/>
        <v>37794.5</v>
      </c>
      <c r="AF37" s="92">
        <f>Logistic2010!Q37</f>
        <v>2.0232149587218227E-2</v>
      </c>
      <c r="AG37" s="4">
        <f t="shared" si="20"/>
        <v>3.2903671432563369E-2</v>
      </c>
      <c r="AH37" s="92">
        <f>Logistic2011!Q37</f>
        <v>9.0374873855469922E-3</v>
      </c>
      <c r="AI37" s="92">
        <f>Logistic2012!Q37</f>
        <v>3.2903671432563369E-2</v>
      </c>
      <c r="AJ37" s="92">
        <f>Logistic2013!L37</f>
        <v>4.0213726080353264E-2</v>
      </c>
      <c r="AK37" s="119">
        <f>Logistic2014!AK37</f>
        <v>4.7084545759597696E-2</v>
      </c>
      <c r="AL37" s="119">
        <f t="shared" si="27"/>
        <v>5.1254359783822296E-3</v>
      </c>
      <c r="AM37" s="113"/>
      <c r="AN37" s="113"/>
      <c r="AO37" s="113"/>
      <c r="AP37" s="113"/>
      <c r="AQ37" s="113"/>
      <c r="AR37"/>
      <c r="AS37"/>
      <c r="AT37"/>
      <c r="AU37"/>
      <c r="AV37"/>
      <c r="AW37"/>
      <c r="AX37"/>
    </row>
    <row r="38" spans="2:50" x14ac:dyDescent="0.25">
      <c r="B38" s="49"/>
      <c r="C38" s="79"/>
      <c r="D38" s="86" t="str">
        <f t="shared" si="32"/>
        <v/>
      </c>
      <c r="E38" s="81"/>
      <c r="F38" s="50" t="str">
        <f t="shared" si="2"/>
        <v/>
      </c>
      <c r="G38" s="16" t="str">
        <f t="shared" si="3"/>
        <v/>
      </c>
      <c r="H38" s="51" t="str">
        <f t="shared" si="4"/>
        <v/>
      </c>
      <c r="I38" s="54"/>
      <c r="J38" s="105">
        <f t="shared" si="10"/>
        <v>37795.5</v>
      </c>
      <c r="K38" s="109">
        <v>30</v>
      </c>
      <c r="L38" s="125">
        <f t="shared" si="5"/>
        <v>6.2762300207819238E-3</v>
      </c>
      <c r="M38" s="46">
        <f t="shared" si="11"/>
        <v>8.9217622649491162E-3</v>
      </c>
      <c r="N38" s="131">
        <v>8.9217622649491162E-3</v>
      </c>
      <c r="O38" s="89">
        <f t="shared" si="6"/>
        <v>8.9217622649491162E-3</v>
      </c>
      <c r="P38" s="48">
        <v>40352</v>
      </c>
      <c r="Q38" s="1">
        <v>4.3352069231991391E-2</v>
      </c>
      <c r="R38" s="100">
        <v>28505</v>
      </c>
      <c r="S38" s="100">
        <f t="shared" si="25"/>
        <v>198.95979568005342</v>
      </c>
      <c r="T38" s="101">
        <f t="shared" si="19"/>
        <v>28306.040204319946</v>
      </c>
      <c r="U38" s="49"/>
      <c r="AE38" s="93">
        <f t="shared" si="26"/>
        <v>37795.5</v>
      </c>
      <c r="AF38" s="92">
        <f>Logistic2010!Q38</f>
        <v>2.4598204014952465E-2</v>
      </c>
      <c r="AG38" s="4">
        <f t="shared" si="20"/>
        <v>4.3352069231991391E-2</v>
      </c>
      <c r="AH38" s="92">
        <f>Logistic2011!Q38</f>
        <v>1.1594302653630432E-2</v>
      </c>
      <c r="AI38" s="92">
        <f>Logistic2012!Q38</f>
        <v>4.3352069231991391E-2</v>
      </c>
      <c r="AJ38" s="92">
        <f>Logistic2013!L38</f>
        <v>4.8577971912167145E-2</v>
      </c>
      <c r="AK38" s="119">
        <f>Logistic2014!AK38</f>
        <v>5.6442110719466705E-2</v>
      </c>
      <c r="AL38" s="119">
        <f t="shared" si="27"/>
        <v>6.2762300207819238E-3</v>
      </c>
      <c r="AM38" s="115"/>
      <c r="AQ38" s="115"/>
      <c r="AR38"/>
      <c r="AS38"/>
      <c r="AT38"/>
      <c r="AU38"/>
      <c r="AV38"/>
      <c r="AW38"/>
      <c r="AX38"/>
    </row>
    <row r="39" spans="2:50" ht="16.5" thickBot="1" x14ac:dyDescent="0.3">
      <c r="B39" s="49"/>
      <c r="C39" s="79"/>
      <c r="D39" s="86" t="str">
        <f t="shared" si="32"/>
        <v/>
      </c>
      <c r="E39" s="81"/>
      <c r="F39" s="50" t="str">
        <f t="shared" si="2"/>
        <v/>
      </c>
      <c r="G39" s="16" t="str">
        <f t="shared" si="3"/>
        <v/>
      </c>
      <c r="H39" s="51" t="str">
        <f t="shared" si="4"/>
        <v/>
      </c>
      <c r="I39" s="54"/>
      <c r="J39" s="105">
        <f t="shared" si="10"/>
        <v>37796.5</v>
      </c>
      <c r="K39" s="109">
        <v>31</v>
      </c>
      <c r="L39" s="125">
        <f t="shared" si="5"/>
        <v>7.6834118441578003E-3</v>
      </c>
      <c r="M39" s="46">
        <f t="shared" si="11"/>
        <v>1.2666131545885561E-2</v>
      </c>
      <c r="N39" s="131">
        <v>1.2666131545885561E-2</v>
      </c>
      <c r="O39" s="89">
        <f t="shared" si="6"/>
        <v>1.2666131545885561E-2</v>
      </c>
      <c r="P39" s="48">
        <v>40353</v>
      </c>
      <c r="Q39" s="1">
        <v>5.6923017026269736E-2</v>
      </c>
      <c r="R39" s="100">
        <v>37919</v>
      </c>
      <c r="S39" s="100">
        <f t="shared" si="25"/>
        <v>323.95190796927056</v>
      </c>
      <c r="T39" s="101">
        <f t="shared" si="19"/>
        <v>37595.048092030731</v>
      </c>
      <c r="U39" s="49"/>
      <c r="AE39" s="93">
        <f t="shared" si="26"/>
        <v>37796.5</v>
      </c>
      <c r="AF39" s="92">
        <f>Logistic2010!Q39</f>
        <v>2.9877711971165448E-2</v>
      </c>
      <c r="AG39" s="4">
        <f t="shared" si="20"/>
        <v>5.6923017026269736E-2</v>
      </c>
      <c r="AH39" s="92">
        <f>Logistic2011!Q39</f>
        <v>1.4863622388293144E-2</v>
      </c>
      <c r="AI39" s="92">
        <f>Logistic2012!Q39</f>
        <v>5.6923017026269736E-2</v>
      </c>
      <c r="AJ39" s="92">
        <f>Logistic2013!L39</f>
        <v>5.8575762266613804E-2</v>
      </c>
      <c r="AK39" s="119">
        <f>Logistic2014!AK39</f>
        <v>6.7527607102486259E-2</v>
      </c>
      <c r="AL39" s="119">
        <f t="shared" si="27"/>
        <v>7.6834118441578003E-3</v>
      </c>
      <c r="AM39" s="110"/>
      <c r="AN39" s="110"/>
      <c r="AP39" s="110"/>
      <c r="AQ39" s="110"/>
      <c r="AR39" t="s">
        <v>35</v>
      </c>
      <c r="AS39"/>
      <c r="AT39"/>
      <c r="AU39"/>
      <c r="AV39"/>
      <c r="AW39"/>
      <c r="AX39"/>
    </row>
    <row r="40" spans="2:50" x14ac:dyDescent="0.25">
      <c r="B40" s="49"/>
      <c r="C40" s="79"/>
      <c r="D40" s="86" t="str">
        <f t="shared" si="32"/>
        <v/>
      </c>
      <c r="E40" s="81"/>
      <c r="F40" s="50" t="str">
        <f t="shared" si="2"/>
        <v/>
      </c>
      <c r="G40" s="16" t="str">
        <f t="shared" si="3"/>
        <v/>
      </c>
      <c r="H40" s="51" t="str">
        <f t="shared" si="4"/>
        <v/>
      </c>
      <c r="I40" s="54"/>
      <c r="J40" s="105">
        <f t="shared" si="10"/>
        <v>37797.5</v>
      </c>
      <c r="K40" s="109">
        <v>32</v>
      </c>
      <c r="L40" s="125">
        <f t="shared" si="5"/>
        <v>9.4031098451942668E-3</v>
      </c>
      <c r="M40" s="46">
        <f t="shared" si="11"/>
        <v>1.7953505605503725E-2</v>
      </c>
      <c r="N40" s="131">
        <v>1.7953505605503725E-2</v>
      </c>
      <c r="O40" s="89">
        <f t="shared" si="6"/>
        <v>1.7953505605503725E-2</v>
      </c>
      <c r="P40" s="48">
        <v>40354</v>
      </c>
      <c r="Q40" s="1">
        <v>7.4411773683001156E-2</v>
      </c>
      <c r="R40" s="100">
        <v>41134</v>
      </c>
      <c r="S40" s="100">
        <f t="shared" si="25"/>
        <v>429.98106224086575</v>
      </c>
      <c r="T40" s="101">
        <f t="shared" si="19"/>
        <v>40704.018937759138</v>
      </c>
      <c r="U40" s="49"/>
      <c r="AE40" s="93">
        <f t="shared" si="26"/>
        <v>37797.5</v>
      </c>
      <c r="AF40" s="92">
        <f>Logistic2010!Q40</f>
        <v>3.624824956962025E-2</v>
      </c>
      <c r="AG40" s="4">
        <f t="shared" si="20"/>
        <v>7.4411773683001156E-2</v>
      </c>
      <c r="AH40" s="92">
        <f>Logistic2011!Q40</f>
        <v>1.9037057560494706E-2</v>
      </c>
      <c r="AI40" s="92">
        <f>Logistic2012!Q40</f>
        <v>7.4411773683001156E-2</v>
      </c>
      <c r="AJ40" s="92">
        <f>Logistic2013!L40</f>
        <v>7.0478765060004542E-2</v>
      </c>
      <c r="AK40" s="119">
        <f>Logistic2014!AK40</f>
        <v>8.060435401777398E-2</v>
      </c>
      <c r="AL40" s="119">
        <f t="shared" si="27"/>
        <v>9.4031098451942668E-3</v>
      </c>
      <c r="AM40" s="110"/>
      <c r="AN40" s="110"/>
      <c r="AO40" s="110"/>
      <c r="AP40" s="110"/>
      <c r="AQ40" s="110"/>
      <c r="AR40" s="112" t="s">
        <v>36</v>
      </c>
      <c r="AS40" s="112" t="s">
        <v>37</v>
      </c>
      <c r="AT40" s="112" t="s">
        <v>38</v>
      </c>
      <c r="AU40" s="112" t="s">
        <v>39</v>
      </c>
      <c r="AV40" s="112" t="s">
        <v>40</v>
      </c>
      <c r="AW40" s="112" t="s">
        <v>41</v>
      </c>
      <c r="AX40" s="112" t="s">
        <v>42</v>
      </c>
    </row>
    <row r="41" spans="2:50" x14ac:dyDescent="0.25">
      <c r="B41" s="49"/>
      <c r="C41" s="79"/>
      <c r="D41" s="86" t="str">
        <f t="shared" si="32"/>
        <v/>
      </c>
      <c r="E41" s="81"/>
      <c r="F41" s="50" t="str">
        <f t="shared" si="2"/>
        <v/>
      </c>
      <c r="G41" s="16" t="str">
        <f t="shared" si="3"/>
        <v/>
      </c>
      <c r="H41" s="51" t="str">
        <f t="shared" si="4"/>
        <v/>
      </c>
      <c r="I41" s="54"/>
      <c r="J41" s="105">
        <f t="shared" si="10"/>
        <v>37798.5</v>
      </c>
      <c r="K41" s="109">
        <v>33</v>
      </c>
      <c r="L41" s="125">
        <f t="shared" si="5"/>
        <v>1.1503248021332974E-2</v>
      </c>
      <c r="M41" s="46">
        <f t="shared" si="11"/>
        <v>2.5391289272607597E-2</v>
      </c>
      <c r="N41" s="131">
        <v>2.5391289272607597E-2</v>
      </c>
      <c r="O41" s="89">
        <f t="shared" si="6"/>
        <v>2.5391289272607597E-2</v>
      </c>
      <c r="P41" s="48">
        <v>40355</v>
      </c>
      <c r="Q41" s="1">
        <v>9.6722617460862401E-2</v>
      </c>
      <c r="R41" s="100">
        <v>21594</v>
      </c>
      <c r="S41" s="100">
        <f t="shared" si="25"/>
        <v>276.06881103911826</v>
      </c>
      <c r="T41" s="101">
        <f t="shared" si="19"/>
        <v>21317.931188960883</v>
      </c>
      <c r="U41" s="49"/>
      <c r="AE41" s="93">
        <f t="shared" si="26"/>
        <v>37798.5</v>
      </c>
      <c r="AF41" s="92">
        <f>Logistic2010!Q41</f>
        <v>4.3915626721520266E-2</v>
      </c>
      <c r="AG41" s="4">
        <f t="shared" si="20"/>
        <v>9.6722617460862401E-2</v>
      </c>
      <c r="AH41" s="92">
        <f>Logistic2011!Q41</f>
        <v>2.4353349085554369E-2</v>
      </c>
      <c r="AI41" s="92">
        <f>Logistic2012!Q41</f>
        <v>9.6722617460862401E-2</v>
      </c>
      <c r="AJ41" s="92">
        <f>Logistic2013!L41</f>
        <v>8.458322376954866E-2</v>
      </c>
      <c r="AK41" s="119">
        <f>Logistic2014!AK41</f>
        <v>9.5952838664410234E-2</v>
      </c>
      <c r="AL41" s="119">
        <f t="shared" si="27"/>
        <v>1.1503248021332974E-2</v>
      </c>
      <c r="AM41" s="110"/>
      <c r="AO41" s="110"/>
      <c r="AQ41" s="110"/>
      <c r="AR41" s="110" t="s">
        <v>43</v>
      </c>
      <c r="AS41" s="110">
        <v>1.6037999999999553E-2</v>
      </c>
      <c r="AT41" s="110">
        <v>1</v>
      </c>
      <c r="AU41" s="110">
        <v>1.6037999999999553E-2</v>
      </c>
      <c r="AV41" s="110">
        <v>0.11768550636727371</v>
      </c>
      <c r="AW41" s="110">
        <v>0.73513802263243178</v>
      </c>
      <c r="AX41" s="110">
        <v>4.351243478421539</v>
      </c>
    </row>
    <row r="42" spans="2:50" ht="16.5" thickBot="1" x14ac:dyDescent="0.3">
      <c r="B42" s="49"/>
      <c r="C42" s="79"/>
      <c r="D42" s="86" t="str">
        <f t="shared" si="32"/>
        <v/>
      </c>
      <c r="E42" s="81"/>
      <c r="F42" s="50" t="str">
        <f t="shared" si="2"/>
        <v/>
      </c>
      <c r="G42" s="16" t="str">
        <f t="shared" si="3"/>
        <v/>
      </c>
      <c r="H42" s="51" t="str">
        <f t="shared" si="4"/>
        <v/>
      </c>
      <c r="I42" s="54"/>
      <c r="J42" s="105">
        <f t="shared" si="10"/>
        <v>37799.5</v>
      </c>
      <c r="K42" s="109">
        <v>34</v>
      </c>
      <c r="L42" s="125">
        <f t="shared" si="5"/>
        <v>1.4065781434915823E-2</v>
      </c>
      <c r="M42" s="46">
        <f t="shared" si="11"/>
        <v>3.5798078010252969E-2</v>
      </c>
      <c r="N42" s="131">
        <v>3.5798078010252969E-2</v>
      </c>
      <c r="O42" s="89">
        <f t="shared" si="6"/>
        <v>3.5798078010252969E-2</v>
      </c>
      <c r="P42" s="48">
        <v>40356</v>
      </c>
      <c r="Q42" s="1">
        <v>0.12482080008468176</v>
      </c>
      <c r="R42" s="100">
        <v>17704</v>
      </c>
      <c r="S42" s="100">
        <f t="shared" si="25"/>
        <v>276.66939463519788</v>
      </c>
      <c r="T42" s="101">
        <f t="shared" si="19"/>
        <v>17427.330605364801</v>
      </c>
      <c r="AE42" s="93">
        <f t="shared" si="26"/>
        <v>37799.5</v>
      </c>
      <c r="AF42" s="92">
        <f>Logistic2010!Q42</f>
        <v>5.3115454143665003E-2</v>
      </c>
      <c r="AG42" s="4">
        <f t="shared" si="20"/>
        <v>0.12482080008468176</v>
      </c>
      <c r="AH42" s="92">
        <f>Logistic2011!Q42</f>
        <v>3.1107190112750017E-2</v>
      </c>
      <c r="AI42" s="92">
        <f>Logistic2012!Q42</f>
        <v>0.12482080008468176</v>
      </c>
      <c r="AJ42" s="92">
        <f>Logistic2013!L42</f>
        <v>0.1012029979928537</v>
      </c>
      <c r="AK42" s="119">
        <f>Logistic2014!AK42</f>
        <v>0.11386199412717302</v>
      </c>
      <c r="AL42" s="119">
        <f t="shared" si="27"/>
        <v>1.4065781434915823E-2</v>
      </c>
      <c r="AM42" s="110"/>
      <c r="AN42" s="110"/>
      <c r="AP42" s="110"/>
      <c r="AQ42" s="110"/>
      <c r="AR42" s="110" t="s">
        <v>44</v>
      </c>
      <c r="AS42" s="110">
        <v>2.7255692727272729</v>
      </c>
      <c r="AT42" s="110">
        <v>20</v>
      </c>
      <c r="AU42" s="110">
        <v>0.13627846363636364</v>
      </c>
      <c r="AV42" s="110"/>
      <c r="AW42" s="110"/>
      <c r="AX42" s="110"/>
    </row>
    <row r="43" spans="2:50" x14ac:dyDescent="0.25">
      <c r="B43" s="49"/>
      <c r="C43" s="79"/>
      <c r="D43" s="86" t="str">
        <f t="shared" si="32"/>
        <v/>
      </c>
      <c r="E43" s="81"/>
      <c r="F43" s="50" t="str">
        <f t="shared" si="2"/>
        <v/>
      </c>
      <c r="G43" s="16" t="str">
        <f t="shared" si="3"/>
        <v/>
      </c>
      <c r="H43" s="51" t="str">
        <f t="shared" si="4"/>
        <v/>
      </c>
      <c r="I43" s="54"/>
      <c r="J43" s="105">
        <f t="shared" si="10"/>
        <v>37800.5</v>
      </c>
      <c r="K43" s="109">
        <v>35</v>
      </c>
      <c r="L43" s="125">
        <f t="shared" si="5"/>
        <v>1.7189233774663696E-2</v>
      </c>
      <c r="M43" s="46">
        <f t="shared" si="11"/>
        <v>5.0250242425127004E-2</v>
      </c>
      <c r="N43" s="131">
        <v>5.0250242425127004E-2</v>
      </c>
      <c r="O43" s="89">
        <f t="shared" si="6"/>
        <v>5.0250242425127004E-2</v>
      </c>
      <c r="P43" s="48">
        <v>40357</v>
      </c>
      <c r="Q43" s="1">
        <v>0.15963897994445775</v>
      </c>
      <c r="R43" s="100">
        <v>13702</v>
      </c>
      <c r="S43" s="100">
        <f t="shared" si="25"/>
        <v>261.57630102503697</v>
      </c>
      <c r="T43" s="101">
        <f t="shared" si="19"/>
        <v>13440.423698974962</v>
      </c>
      <c r="U43" s="40">
        <v>40705</v>
      </c>
      <c r="AE43" s="93">
        <f t="shared" si="26"/>
        <v>37800.5</v>
      </c>
      <c r="AF43" s="92">
        <f>Logistic2010!Q43</f>
        <v>6.4113302836932173E-2</v>
      </c>
      <c r="AG43" s="4">
        <f t="shared" si="20"/>
        <v>0.15963897994445775</v>
      </c>
      <c r="AH43" s="92">
        <f>Logistic2011!Q43</f>
        <v>3.9657919254324193E-2</v>
      </c>
      <c r="AI43" s="92">
        <f>Logistic2012!Q43</f>
        <v>0.15963897994445775</v>
      </c>
      <c r="AJ43" s="92">
        <f>Logistic2013!L43</f>
        <v>0.12065796431808783</v>
      </c>
      <c r="AK43" s="119">
        <f>Logistic2014!AK43</f>
        <v>0.13461607593232877</v>
      </c>
      <c r="AL43" s="119">
        <f t="shared" si="27"/>
        <v>1.7189233774663696E-2</v>
      </c>
      <c r="AM43" s="114"/>
      <c r="AN43" s="114"/>
      <c r="AP43" s="114"/>
      <c r="AQ43" s="114"/>
      <c r="AR43" s="110"/>
      <c r="AS43" s="110"/>
      <c r="AT43" s="110"/>
      <c r="AU43" s="110"/>
      <c r="AV43" s="110"/>
      <c r="AW43" s="110"/>
      <c r="AX43" s="110"/>
    </row>
    <row r="44" spans="2:50" ht="16.5" thickBot="1" x14ac:dyDescent="0.3">
      <c r="B44" s="49"/>
      <c r="C44" s="79"/>
      <c r="D44" s="86" t="str">
        <f t="shared" si="32"/>
        <v/>
      </c>
      <c r="E44" s="81"/>
      <c r="F44" s="50" t="str">
        <f t="shared" si="2"/>
        <v/>
      </c>
      <c r="G44" s="16" t="str">
        <f t="shared" si="3"/>
        <v/>
      </c>
      <c r="H44" s="51" t="str">
        <f t="shared" si="4"/>
        <v/>
      </c>
      <c r="I44" s="54"/>
      <c r="J44" s="105">
        <f t="shared" si="10"/>
        <v>37801.5</v>
      </c>
      <c r="K44" s="109">
        <v>36</v>
      </c>
      <c r="L44" s="125">
        <f t="shared" si="5"/>
        <v>2.0991513711110195E-2</v>
      </c>
      <c r="M44" s="46">
        <f t="shared" si="11"/>
        <v>7.0112677039206914E-2</v>
      </c>
      <c r="N44" s="131">
        <v>7.0112677039206914E-2</v>
      </c>
      <c r="O44" s="89">
        <f t="shared" si="6"/>
        <v>7.0112677039206914E-2</v>
      </c>
      <c r="P44" s="48">
        <v>40358</v>
      </c>
      <c r="Q44" s="1">
        <v>0.20192861027500136</v>
      </c>
      <c r="R44" s="100">
        <v>6021</v>
      </c>
      <c r="S44" s="100">
        <f t="shared" si="25"/>
        <v>140.30271898522687</v>
      </c>
      <c r="T44" s="101">
        <f t="shared" si="19"/>
        <v>5880.6972810147727</v>
      </c>
      <c r="U44" s="49">
        <v>40706</v>
      </c>
      <c r="V44" s="95"/>
      <c r="W44" s="95"/>
      <c r="X44" s="95"/>
      <c r="Y44" s="95"/>
      <c r="Z44" s="95"/>
      <c r="AE44" s="93">
        <f t="shared" si="26"/>
        <v>37801.5</v>
      </c>
      <c r="AF44" s="92">
        <f>Logistic2010!Q44</f>
        <v>7.72026520734653E-2</v>
      </c>
      <c r="AG44" s="4">
        <f t="shared" si="20"/>
        <v>0.20192861027500136</v>
      </c>
      <c r="AH44" s="92">
        <f>Logistic2011!Q44</f>
        <v>5.0436715072649276E-2</v>
      </c>
      <c r="AI44" s="92">
        <f>Logistic2012!Q44</f>
        <v>0.20192861027500136</v>
      </c>
      <c r="AJ44" s="92">
        <f>Logistic2013!L44</f>
        <v>0.14325679323024673</v>
      </c>
      <c r="AK44" s="119">
        <f>Logistic2014!AK44</f>
        <v>0.15847654981878281</v>
      </c>
      <c r="AL44" s="119">
        <f t="shared" si="27"/>
        <v>2.0991513711110195E-2</v>
      </c>
      <c r="AM44" s="113"/>
      <c r="AQ44" s="113"/>
      <c r="AR44" s="111" t="s">
        <v>45</v>
      </c>
      <c r="AS44" s="111">
        <v>2.7416072727272724</v>
      </c>
      <c r="AT44" s="111">
        <v>21</v>
      </c>
      <c r="AU44" s="111"/>
      <c r="AV44" s="111"/>
      <c r="AW44" s="111"/>
      <c r="AX44" s="111"/>
    </row>
    <row r="45" spans="2:50" x14ac:dyDescent="0.25">
      <c r="B45" s="49"/>
      <c r="C45" s="79"/>
      <c r="D45" s="86" t="str">
        <f t="shared" si="32"/>
        <v/>
      </c>
      <c r="E45" s="81"/>
      <c r="F45" s="50" t="str">
        <f t="shared" si="2"/>
        <v/>
      </c>
      <c r="G45" s="16" t="str">
        <f t="shared" si="3"/>
        <v/>
      </c>
      <c r="H45" s="51" t="str">
        <f t="shared" si="4"/>
        <v/>
      </c>
      <c r="I45" s="54"/>
      <c r="J45" s="105">
        <f t="shared" si="10"/>
        <v>37802.5</v>
      </c>
      <c r="K45" s="109">
        <v>37</v>
      </c>
      <c r="L45" s="125">
        <f t="shared" si="5"/>
        <v>2.5612943683085747E-2</v>
      </c>
      <c r="M45" s="46">
        <f t="shared" si="11"/>
        <v>9.7024102357607847E-2</v>
      </c>
      <c r="N45" s="131">
        <v>9.7024102357607847E-2</v>
      </c>
      <c r="O45" s="89">
        <f t="shared" si="6"/>
        <v>9.7024102357607847E-2</v>
      </c>
      <c r="P45" s="48">
        <v>40359</v>
      </c>
      <c r="Q45" s="1">
        <v>0.25206087357123486</v>
      </c>
      <c r="R45" s="100">
        <v>4676</v>
      </c>
      <c r="S45" s="100">
        <f t="shared" si="25"/>
        <v>132.87394747447843</v>
      </c>
      <c r="T45" s="101">
        <f t="shared" si="19"/>
        <v>4543.126052525522</v>
      </c>
      <c r="U45" s="49">
        <v>40707</v>
      </c>
      <c r="V45" s="95"/>
      <c r="W45" s="95"/>
      <c r="X45" s="95"/>
      <c r="Y45" s="95"/>
      <c r="Z45" s="95"/>
      <c r="AE45" s="93">
        <f t="shared" si="26"/>
        <v>37802.5</v>
      </c>
      <c r="AF45" s="92">
        <f>Logistic2010!Q45</f>
        <v>9.2699625095272714E-2</v>
      </c>
      <c r="AG45" s="4">
        <f t="shared" si="20"/>
        <v>0.25206087357123486</v>
      </c>
      <c r="AH45" s="92">
        <f>Logistic2011!Q45</f>
        <v>6.3950040299436198E-2</v>
      </c>
      <c r="AI45" s="92">
        <f>Logistic2012!Q45</f>
        <v>0.25206087357123486</v>
      </c>
      <c r="AJ45" s="92">
        <f>Logistic2013!L45</f>
        <v>0.16927351386641812</v>
      </c>
      <c r="AK45" s="119">
        <f>Logistic2014!AK45</f>
        <v>0.18565891661671166</v>
      </c>
      <c r="AL45" s="119">
        <f t="shared" si="27"/>
        <v>2.5612943683085747E-2</v>
      </c>
      <c r="AM45" s="113"/>
      <c r="AN45" s="113"/>
      <c r="AP45" s="113"/>
      <c r="AQ45" s="113"/>
      <c r="AR45" s="113"/>
      <c r="AS45" s="113"/>
      <c r="AT45" s="114"/>
      <c r="AU45" s="114"/>
    </row>
    <row r="46" spans="2:50" x14ac:dyDescent="0.25">
      <c r="B46" s="49"/>
      <c r="C46" s="79"/>
      <c r="D46" s="86" t="str">
        <f t="shared" si="32"/>
        <v/>
      </c>
      <c r="E46" s="81"/>
      <c r="F46" s="50" t="str">
        <f t="shared" si="2"/>
        <v/>
      </c>
      <c r="G46" s="16" t="str">
        <f t="shared" si="3"/>
        <v/>
      </c>
      <c r="H46" s="51" t="str">
        <f t="shared" si="4"/>
        <v/>
      </c>
      <c r="I46" s="54"/>
      <c r="J46" s="105">
        <f t="shared" si="10"/>
        <v>37803.5</v>
      </c>
      <c r="K46" s="109">
        <v>38</v>
      </c>
      <c r="L46" s="125">
        <f t="shared" si="5"/>
        <v>3.1219369180249767E-2</v>
      </c>
      <c r="M46" s="46">
        <f t="shared" si="11"/>
        <v>0.13278990299316346</v>
      </c>
      <c r="N46" s="131">
        <v>0.13278990299316346</v>
      </c>
      <c r="O46" s="89">
        <f t="shared" si="6"/>
        <v>0.13278990299316346</v>
      </c>
      <c r="P46" s="48">
        <v>40360</v>
      </c>
      <c r="Q46" s="1">
        <v>0.30980777704027063</v>
      </c>
      <c r="R46" s="100">
        <v>3828</v>
      </c>
      <c r="S46" s="100">
        <f t="shared" si="25"/>
        <v>132.49567495418708</v>
      </c>
      <c r="T46" s="101">
        <f t="shared" si="19"/>
        <v>3695.5043250458129</v>
      </c>
      <c r="U46" s="49">
        <v>40708</v>
      </c>
      <c r="V46" s="95"/>
      <c r="W46" s="95"/>
      <c r="X46" s="95"/>
      <c r="Y46" s="95"/>
      <c r="Z46" s="95"/>
      <c r="AE46" s="93">
        <f t="shared" si="26"/>
        <v>37803.5</v>
      </c>
      <c r="AF46" s="92">
        <f>Logistic2010!Q46</f>
        <v>0.11093336918210217</v>
      </c>
      <c r="AG46" s="4">
        <f t="shared" si="20"/>
        <v>0.30980777704027063</v>
      </c>
      <c r="AH46" s="92">
        <f>Logistic2011!Q46</f>
        <v>8.0775952050874497E-2</v>
      </c>
      <c r="AI46" s="92">
        <f>Logistic2012!Q46</f>
        <v>0.30980777704027063</v>
      </c>
      <c r="AJ46" s="92">
        <f>Logistic2013!L46</f>
        <v>0.19891808737150862</v>
      </c>
      <c r="AK46" s="119">
        <f>Logistic2014!AK46</f>
        <v>0.21630525971395512</v>
      </c>
      <c r="AL46" s="119">
        <f t="shared" si="27"/>
        <v>3.1219369180249767E-2</v>
      </c>
      <c r="AM46" s="113"/>
      <c r="AN46" s="113"/>
      <c r="AP46" s="113"/>
      <c r="AQ46" s="113"/>
      <c r="AR46" s="113"/>
      <c r="AS46" s="113"/>
      <c r="AT46" s="114"/>
      <c r="AU46" s="114"/>
    </row>
    <row r="47" spans="2:50" x14ac:dyDescent="0.25">
      <c r="B47" s="49"/>
      <c r="C47" s="79"/>
      <c r="D47" s="86" t="str">
        <f t="shared" si="32"/>
        <v/>
      </c>
      <c r="E47" s="81"/>
      <c r="F47" s="50" t="str">
        <f t="shared" si="2"/>
        <v/>
      </c>
      <c r="G47" s="16" t="str">
        <f t="shared" si="3"/>
        <v/>
      </c>
      <c r="H47" s="51" t="str">
        <f t="shared" si="4"/>
        <v/>
      </c>
      <c r="I47" s="54"/>
      <c r="J47" s="105">
        <f t="shared" si="10"/>
        <v>37804.5</v>
      </c>
      <c r="K47" s="109">
        <v>39</v>
      </c>
      <c r="L47" s="125">
        <f t="shared" si="5"/>
        <v>3.8005121391425825E-2</v>
      </c>
      <c r="M47" s="46">
        <f t="shared" si="11"/>
        <v>0.17912459589298799</v>
      </c>
      <c r="N47" s="131">
        <v>0.17912459589298799</v>
      </c>
      <c r="O47" s="89">
        <f t="shared" si="6"/>
        <v>0.17912459589298799</v>
      </c>
      <c r="P47" s="48">
        <v>40361</v>
      </c>
      <c r="Q47" s="1">
        <v>0.37416608438208854</v>
      </c>
      <c r="R47" s="100">
        <v>3893</v>
      </c>
      <c r="S47" s="100">
        <f t="shared" si="25"/>
        <v>163.896459553299</v>
      </c>
      <c r="T47" s="101">
        <f t="shared" si="19"/>
        <v>3729.1035404467011</v>
      </c>
      <c r="U47" s="49">
        <v>40709</v>
      </c>
      <c r="V47" s="95"/>
      <c r="W47" s="95"/>
      <c r="X47" s="95"/>
      <c r="Y47" s="95"/>
      <c r="Z47" s="95"/>
      <c r="AE47" s="93">
        <f t="shared" si="26"/>
        <v>37804.5</v>
      </c>
      <c r="AF47" s="92">
        <f>Logistic2010!Q47</f>
        <v>0.13223093333791724</v>
      </c>
      <c r="AG47" s="4">
        <f t="shared" si="20"/>
        <v>0.37416608438208854</v>
      </c>
      <c r="AH47" s="92">
        <f>Logistic2011!Q47</f>
        <v>0.10154865709169383</v>
      </c>
      <c r="AI47" s="92">
        <f>Logistic2012!Q47</f>
        <v>0.37416608438208854</v>
      </c>
      <c r="AJ47" s="92">
        <f>Logistic2013!L47</f>
        <v>0.23230249502167508</v>
      </c>
      <c r="AK47" s="119">
        <f>Logistic2014!AK47</f>
        <v>0.25045449624933086</v>
      </c>
      <c r="AL47" s="119">
        <f t="shared" si="27"/>
        <v>3.8005121391425825E-2</v>
      </c>
      <c r="AM47" s="115"/>
      <c r="AN47" s="115"/>
      <c r="AQ47" s="115"/>
      <c r="AR47" t="s">
        <v>28</v>
      </c>
      <c r="AS47"/>
      <c r="AT47"/>
      <c r="AU47"/>
      <c r="AV47"/>
      <c r="AW47"/>
      <c r="AX47"/>
    </row>
    <row r="48" spans="2:50" x14ac:dyDescent="0.25">
      <c r="B48" s="49"/>
      <c r="C48" s="79"/>
      <c r="D48" s="86" t="str">
        <f t="shared" si="32"/>
        <v/>
      </c>
      <c r="E48" s="81"/>
      <c r="F48" s="50" t="str">
        <f t="shared" si="2"/>
        <v/>
      </c>
      <c r="G48" s="16" t="str">
        <f t="shared" si="3"/>
        <v/>
      </c>
      <c r="H48" s="51" t="str">
        <f t="shared" si="4"/>
        <v/>
      </c>
      <c r="I48" s="54"/>
      <c r="J48" s="105">
        <f t="shared" si="10"/>
        <v>37805.5</v>
      </c>
      <c r="K48" s="109">
        <v>40</v>
      </c>
      <c r="L48" s="125">
        <f t="shared" si="5"/>
        <v>4.6195474320518168E-2</v>
      </c>
      <c r="M48" s="46">
        <f t="shared" si="11"/>
        <v>0.23720467988333704</v>
      </c>
      <c r="N48" s="131">
        <v>0.23720467988333704</v>
      </c>
      <c r="O48" s="89">
        <f t="shared" si="6"/>
        <v>0.23720467988333704</v>
      </c>
      <c r="P48" s="48">
        <v>40362</v>
      </c>
      <c r="Q48" s="1">
        <v>0.44330675299696459</v>
      </c>
      <c r="R48" s="100">
        <v>3621</v>
      </c>
      <c r="S48" s="100">
        <f t="shared" si="25"/>
        <v>185.11192731165332</v>
      </c>
      <c r="T48" s="101">
        <f>R48-S48</f>
        <v>3435.8880726883467</v>
      </c>
      <c r="U48" s="49">
        <v>40710</v>
      </c>
      <c r="V48" s="95"/>
      <c r="W48" s="95"/>
      <c r="X48" s="95"/>
      <c r="Y48" s="95"/>
      <c r="Z48" s="95"/>
      <c r="AE48" s="93">
        <f t="shared" si="26"/>
        <v>37805.5</v>
      </c>
      <c r="AF48" s="92">
        <f>Logistic2010!Q48</f>
        <v>0.15689575096130998</v>
      </c>
      <c r="AG48" s="4">
        <f t="shared" si="20"/>
        <v>0.44330675299696459</v>
      </c>
      <c r="AH48" s="92">
        <f>Logistic2011!Q48</f>
        <v>0.12692574439278323</v>
      </c>
      <c r="AI48" s="92">
        <f>Logistic2012!Q48</f>
        <v>0.44330675299696459</v>
      </c>
      <c r="AJ48" s="92">
        <f>Logistic2013!L48</f>
        <v>0.26940553732402189</v>
      </c>
      <c r="AK48" s="119">
        <f>Logistic2014!AK48</f>
        <v>0.28801370069768495</v>
      </c>
      <c r="AL48" s="119">
        <f t="shared" si="27"/>
        <v>4.6195474320518168E-2</v>
      </c>
      <c r="AM48" s="110"/>
      <c r="AP48" s="110"/>
      <c r="AQ48" s="110"/>
      <c r="AR48"/>
      <c r="AS48"/>
      <c r="AT48"/>
      <c r="AU48"/>
      <c r="AV48"/>
      <c r="AW48"/>
      <c r="AX48"/>
    </row>
    <row r="49" spans="2:50" ht="16.5" thickBot="1" x14ac:dyDescent="0.3">
      <c r="B49" s="49"/>
      <c r="C49" s="79"/>
      <c r="D49" s="86" t="str">
        <f t="shared" si="32"/>
        <v/>
      </c>
      <c r="E49" s="81"/>
      <c r="F49" s="50" t="str">
        <f t="shared" si="2"/>
        <v/>
      </c>
      <c r="G49" s="16" t="str">
        <f t="shared" si="3"/>
        <v/>
      </c>
      <c r="H49" s="51" t="str">
        <f t="shared" si="4"/>
        <v/>
      </c>
      <c r="I49" s="54"/>
      <c r="J49" s="105">
        <f t="shared" si="10"/>
        <v>37806.5</v>
      </c>
      <c r="K49" s="109">
        <v>41</v>
      </c>
      <c r="L49" s="125">
        <f t="shared" si="5"/>
        <v>5.6048064653054508E-2</v>
      </c>
      <c r="M49" s="46">
        <f t="shared" si="11"/>
        <v>0.30707218568713457</v>
      </c>
      <c r="N49" s="131">
        <v>0.30707218568713457</v>
      </c>
      <c r="O49" s="89">
        <f t="shared" si="6"/>
        <v>0.30707218568713457</v>
      </c>
      <c r="P49" s="4">
        <v>40363</v>
      </c>
      <c r="Q49" s="4">
        <v>0.51471586655781365</v>
      </c>
      <c r="R49" s="4">
        <v>2271</v>
      </c>
      <c r="S49" s="100">
        <f t="shared" si="25"/>
        <v>140.6891263856204</v>
      </c>
      <c r="T49" s="101">
        <f t="shared" ref="T49:T70" si="33">R49-S49</f>
        <v>2130.3108736143795</v>
      </c>
      <c r="U49" s="49">
        <v>40711</v>
      </c>
      <c r="V49" s="95"/>
      <c r="W49" s="95"/>
      <c r="X49" s="95"/>
      <c r="Y49" s="95"/>
      <c r="Z49" s="95"/>
      <c r="AE49" s="93">
        <f t="shared" si="26"/>
        <v>37806.5</v>
      </c>
      <c r="AF49" s="92">
        <f>Logistic2010!Q49</f>
        <v>0.1851794824455581</v>
      </c>
      <c r="AG49" s="4">
        <f t="shared" si="20"/>
        <v>0.51471586655781365</v>
      </c>
      <c r="AH49" s="92">
        <f>Logistic2011!Q49</f>
        <v>0.15753263507351994</v>
      </c>
      <c r="AI49" s="92">
        <f>Logistic2012!Q49</f>
        <v>0.51471586655781365</v>
      </c>
      <c r="AJ49" s="92">
        <f>Logistic2013!L49</f>
        <v>0.31004134142241851</v>
      </c>
      <c r="AK49" s="119">
        <f>Logistic2014!AK49</f>
        <v>0.32873512727698778</v>
      </c>
      <c r="AL49" s="119">
        <f t="shared" si="27"/>
        <v>5.6048064653054508E-2</v>
      </c>
      <c r="AM49" s="110"/>
      <c r="AN49" s="110"/>
      <c r="AO49" s="110"/>
      <c r="AP49" s="110"/>
      <c r="AQ49" s="110"/>
      <c r="AR49" t="s">
        <v>29</v>
      </c>
      <c r="AS49"/>
      <c r="AT49"/>
      <c r="AU49"/>
      <c r="AV49"/>
      <c r="AW49"/>
      <c r="AX49"/>
    </row>
    <row r="50" spans="2:50" ht="16.5" thickBot="1" x14ac:dyDescent="0.3">
      <c r="B50" s="49"/>
      <c r="C50" s="79"/>
      <c r="D50" s="86" t="str">
        <f t="shared" si="32"/>
        <v/>
      </c>
      <c r="E50" s="81"/>
      <c r="F50" s="50" t="str">
        <f t="shared" si="2"/>
        <v/>
      </c>
      <c r="G50" s="16" t="str">
        <f t="shared" si="3"/>
        <v/>
      </c>
      <c r="H50" s="51" t="str">
        <f t="shared" si="4"/>
        <v/>
      </c>
      <c r="I50" s="54"/>
      <c r="J50" s="105">
        <f t="shared" si="10"/>
        <v>37807.5</v>
      </c>
      <c r="K50" s="109">
        <v>42</v>
      </c>
      <c r="L50" s="125">
        <f t="shared" si="5"/>
        <v>6.785253101900221E-2</v>
      </c>
      <c r="M50" s="46">
        <f t="shared" si="11"/>
        <v>0.38707606622199253</v>
      </c>
      <c r="N50" s="131">
        <v>0.38707606622199253</v>
      </c>
      <c r="O50" s="89">
        <f t="shared" si="6"/>
        <v>0.38707606622199253</v>
      </c>
      <c r="P50" s="4">
        <v>40364</v>
      </c>
      <c r="Q50" s="4">
        <v>0.58552915257129856</v>
      </c>
      <c r="R50" s="4">
        <v>2403</v>
      </c>
      <c r="S50" s="100">
        <f t="shared" si="25"/>
        <v>179.96058063399627</v>
      </c>
      <c r="T50" s="101">
        <f t="shared" si="33"/>
        <v>2223.0394193660036</v>
      </c>
      <c r="U50" s="49">
        <v>40712</v>
      </c>
      <c r="V50" s="95">
        <v>3.5999999999999997E-2</v>
      </c>
      <c r="W50" s="95"/>
      <c r="X50" s="95"/>
      <c r="Y50" s="95"/>
      <c r="Z50" s="95"/>
      <c r="AE50" s="93">
        <f t="shared" si="26"/>
        <v>37807.5</v>
      </c>
      <c r="AF50" s="92">
        <f>Logistic2010!Q50</f>
        <v>0.21724812306999194</v>
      </c>
      <c r="AG50" s="4">
        <f t="shared" si="20"/>
        <v>0.58552915257129856</v>
      </c>
      <c r="AH50" s="92">
        <f>Logistic2011!Q50</f>
        <v>0.19388109788722835</v>
      </c>
      <c r="AI50" s="92">
        <f>Logistic2012!Q50</f>
        <v>0.58552915257129856</v>
      </c>
      <c r="AJ50" s="92">
        <f>Logistic2013!L50</f>
        <v>0.35383793526166868</v>
      </c>
      <c r="AK50" s="119">
        <f>Logistic2014!AK50</f>
        <v>0.37220420551064748</v>
      </c>
      <c r="AL50" s="119">
        <f t="shared" si="27"/>
        <v>6.785253101900221E-2</v>
      </c>
      <c r="AM50" s="113"/>
      <c r="AN50" s="113"/>
      <c r="AO50" s="113"/>
      <c r="AQ50" s="113"/>
      <c r="AR50" s="112" t="s">
        <v>30</v>
      </c>
      <c r="AS50" s="112" t="s">
        <v>31</v>
      </c>
      <c r="AT50" s="112" t="s">
        <v>32</v>
      </c>
      <c r="AU50" s="112" t="s">
        <v>33</v>
      </c>
      <c r="AV50" s="112" t="s">
        <v>34</v>
      </c>
      <c r="AW50"/>
      <c r="AX50"/>
    </row>
    <row r="51" spans="2:50" x14ac:dyDescent="0.25">
      <c r="B51" s="49"/>
      <c r="C51" s="79"/>
      <c r="D51" s="86" t="str">
        <f t="shared" si="32"/>
        <v/>
      </c>
      <c r="E51" s="81"/>
      <c r="F51" s="50" t="str">
        <f t="shared" si="2"/>
        <v/>
      </c>
      <c r="G51" s="16" t="str">
        <f t="shared" si="3"/>
        <v/>
      </c>
      <c r="H51" s="51" t="str">
        <f t="shared" si="4"/>
        <v/>
      </c>
      <c r="I51" s="54"/>
      <c r="J51" s="105">
        <f t="shared" si="10"/>
        <v>37808.5</v>
      </c>
      <c r="K51" s="109">
        <v>43</v>
      </c>
      <c r="L51" s="125">
        <f t="shared" si="5"/>
        <v>8.1927394602301376E-2</v>
      </c>
      <c r="M51" s="46">
        <f t="shared" si="11"/>
        <v>0.47367530224191001</v>
      </c>
      <c r="N51" s="131">
        <v>0.47367530224191001</v>
      </c>
      <c r="O51" s="89">
        <f t="shared" si="6"/>
        <v>0.47367530224191001</v>
      </c>
      <c r="P51" s="4">
        <v>40365</v>
      </c>
      <c r="Q51" s="4">
        <v>0.65297594566306583</v>
      </c>
      <c r="R51" s="4">
        <v>2644</v>
      </c>
      <c r="S51" s="100">
        <f t="shared" si="25"/>
        <v>238.6743806733582</v>
      </c>
      <c r="T51" s="101">
        <f t="shared" si="33"/>
        <v>2405.3256193266416</v>
      </c>
      <c r="U51" s="40">
        <v>40713</v>
      </c>
      <c r="V51" s="95"/>
      <c r="W51" s="95"/>
      <c r="X51" s="95"/>
      <c r="Y51" s="95"/>
      <c r="Z51" s="95"/>
      <c r="AE51" s="93">
        <f t="shared" si="26"/>
        <v>37808.5</v>
      </c>
      <c r="AF51" s="92">
        <f>Logistic2010!Q51</f>
        <v>0.25314493902860469</v>
      </c>
      <c r="AG51" s="4">
        <f t="shared" si="20"/>
        <v>0.65297594566306583</v>
      </c>
      <c r="AH51" s="92">
        <f>Logistic2011!Q51</f>
        <v>0.2362644112915534</v>
      </c>
      <c r="AI51" s="92">
        <f>Logistic2012!Q51</f>
        <v>0.65297594566306583</v>
      </c>
      <c r="AJ51" s="92">
        <f>Logistic2013!L51</f>
        <v>0.40023244913820061</v>
      </c>
      <c r="AK51" s="119">
        <f>Logistic2014!AK51</f>
        <v>0.41784330704514244</v>
      </c>
      <c r="AL51" s="119">
        <f t="shared" si="27"/>
        <v>8.1927394602301376E-2</v>
      </c>
      <c r="AM51" s="113"/>
      <c r="AN51" s="113"/>
      <c r="AO51" s="113"/>
      <c r="AP51" s="113"/>
      <c r="AQ51" s="113"/>
      <c r="AR51" s="110">
        <v>2011</v>
      </c>
      <c r="AS51" s="110">
        <v>11</v>
      </c>
      <c r="AT51" s="110">
        <v>3.9729999999999994</v>
      </c>
      <c r="AU51" s="110">
        <v>0.3611818181818181</v>
      </c>
      <c r="AV51" s="110">
        <v>0.13927216363636366</v>
      </c>
      <c r="AW51"/>
      <c r="AX51"/>
    </row>
    <row r="52" spans="2:50" ht="16.5" thickBot="1" x14ac:dyDescent="0.3">
      <c r="B52" s="49"/>
      <c r="C52" s="79"/>
      <c r="D52" s="86" t="str">
        <f t="shared" si="32"/>
        <v/>
      </c>
      <c r="E52" s="81"/>
      <c r="F52" s="50" t="str">
        <f t="shared" si="2"/>
        <v/>
      </c>
      <c r="G52" s="16" t="str">
        <f t="shared" si="3"/>
        <v/>
      </c>
      <c r="H52" s="51" t="str">
        <f t="shared" si="4"/>
        <v/>
      </c>
      <c r="I52" s="54"/>
      <c r="J52" s="105">
        <f t="shared" si="10"/>
        <v>37809.5</v>
      </c>
      <c r="K52" s="109">
        <v>44</v>
      </c>
      <c r="L52" s="125">
        <f t="shared" si="5"/>
        <v>9.8612984121872763E-2</v>
      </c>
      <c r="M52" s="46">
        <f t="shared" si="11"/>
        <v>0.56188779335925654</v>
      </c>
      <c r="N52" s="131">
        <v>0.56188779335925654</v>
      </c>
      <c r="O52" s="89">
        <f t="shared" si="6"/>
        <v>0.56188779335925654</v>
      </c>
      <c r="P52" s="4">
        <v>40366</v>
      </c>
      <c r="Q52" s="4">
        <v>0.71479326435445212</v>
      </c>
      <c r="R52" s="4">
        <v>1901</v>
      </c>
      <c r="S52" s="100">
        <f t="shared" si="25"/>
        <v>206.13689490833468</v>
      </c>
      <c r="T52" s="101">
        <f t="shared" si="33"/>
        <v>1694.8631050916654</v>
      </c>
      <c r="U52" s="49">
        <v>40714</v>
      </c>
      <c r="V52" s="95"/>
      <c r="W52" s="95"/>
      <c r="X52" s="95"/>
      <c r="Y52" s="95"/>
      <c r="Z52" s="95"/>
      <c r="AE52" s="93">
        <f t="shared" si="26"/>
        <v>37809.5</v>
      </c>
      <c r="AF52" s="92">
        <f>Logistic2010!Q52</f>
        <v>0.29275475741502793</v>
      </c>
      <c r="AG52" s="4">
        <f t="shared" si="20"/>
        <v>0.71479326435445212</v>
      </c>
      <c r="AH52" s="92">
        <f>Logistic2011!Q52</f>
        <v>0.28464136726106892</v>
      </c>
      <c r="AI52" s="92">
        <f>Logistic2012!Q52</f>
        <v>0.71479326435445212</v>
      </c>
      <c r="AJ52" s="92">
        <f>Logistic2013!L52</f>
        <v>0.44848792399421938</v>
      </c>
      <c r="AK52" s="119">
        <f>Logistic2014!AK52</f>
        <v>0.46493416339222882</v>
      </c>
      <c r="AL52" s="119">
        <f t="shared" si="27"/>
        <v>9.8612984121872763E-2</v>
      </c>
      <c r="AM52" s="113"/>
      <c r="AN52" s="113"/>
      <c r="AP52" s="113"/>
      <c r="AQ52" s="113"/>
      <c r="AR52" s="111">
        <v>2012</v>
      </c>
      <c r="AS52" s="111">
        <v>11</v>
      </c>
      <c r="AT52" s="111">
        <v>6.5350000000000001</v>
      </c>
      <c r="AU52" s="111">
        <v>0.59409090909090911</v>
      </c>
      <c r="AV52" s="111">
        <v>0.17708689090909088</v>
      </c>
      <c r="AW52"/>
      <c r="AX52"/>
    </row>
    <row r="53" spans="2:50" x14ac:dyDescent="0.25">
      <c r="B53" s="49"/>
      <c r="C53" s="79"/>
      <c r="D53" s="86" t="str">
        <f t="shared" si="32"/>
        <v/>
      </c>
      <c r="E53" s="81"/>
      <c r="F53" s="50" t="str">
        <f t="shared" si="2"/>
        <v/>
      </c>
      <c r="G53" s="16" t="str">
        <f t="shared" si="3"/>
        <v/>
      </c>
      <c r="H53" s="51" t="str">
        <f t="shared" si="4"/>
        <v/>
      </c>
      <c r="I53" s="54"/>
      <c r="J53" s="105">
        <f t="shared" si="10"/>
        <v>37810.5</v>
      </c>
      <c r="K53" s="109">
        <v>45</v>
      </c>
      <c r="L53" s="125">
        <f t="shared" si="5"/>
        <v>0.11825907785428158</v>
      </c>
      <c r="M53" s="46">
        <f t="shared" si="11"/>
        <v>0.64635389784882469</v>
      </c>
      <c r="N53" s="130">
        <v>0.64635389784882469</v>
      </c>
      <c r="O53" s="89">
        <f t="shared" si="6"/>
        <v>0.64635389784882469</v>
      </c>
      <c r="P53" s="4">
        <v>40367</v>
      </c>
      <c r="Q53" s="4">
        <v>0.76948613379160047</v>
      </c>
      <c r="R53" s="4">
        <v>2421</v>
      </c>
      <c r="S53" s="100">
        <f t="shared" si="25"/>
        <v>314.08248677417743</v>
      </c>
      <c r="T53" s="101">
        <f t="shared" si="33"/>
        <v>2106.9175132258224</v>
      </c>
      <c r="U53" s="49">
        <v>40715</v>
      </c>
      <c r="V53" s="95"/>
      <c r="W53" s="95"/>
      <c r="X53" s="95"/>
      <c r="Y53" s="95"/>
      <c r="Z53" s="95"/>
      <c r="AE53" s="93">
        <f t="shared" si="26"/>
        <v>37810.5</v>
      </c>
      <c r="AF53" s="92">
        <f>Logistic2010!Q53</f>
        <v>0.33577592018640684</v>
      </c>
      <c r="AG53" s="4">
        <f t="shared" si="20"/>
        <v>0.76948613379160047</v>
      </c>
      <c r="AH53" s="92">
        <f>Logistic2011!Q53</f>
        <v>0.33853314511451504</v>
      </c>
      <c r="AI53" s="92">
        <f>Logistic2012!Q53</f>
        <v>0.76948613379160047</v>
      </c>
      <c r="AJ53" s="92">
        <f>Logistic2013!L53</f>
        <v>0.49773319182267894</v>
      </c>
      <c r="AK53" s="119">
        <f>Logistic2014!AK53</f>
        <v>0.51265858710560919</v>
      </c>
      <c r="AL53" s="119">
        <f t="shared" si="27"/>
        <v>0.11825907785428158</v>
      </c>
      <c r="AM53" s="115"/>
      <c r="AO53" s="115"/>
      <c r="AP53" s="115"/>
      <c r="AQ53" s="115"/>
      <c r="AR53"/>
      <c r="AS53"/>
      <c r="AT53"/>
      <c r="AU53"/>
      <c r="AV53"/>
      <c r="AW53"/>
      <c r="AX53"/>
    </row>
    <row r="54" spans="2:50" x14ac:dyDescent="0.25">
      <c r="B54" s="49"/>
      <c r="C54" s="79"/>
      <c r="D54" s="86" t="str">
        <f t="shared" si="32"/>
        <v/>
      </c>
      <c r="E54" s="81"/>
      <c r="F54" s="50" t="str">
        <f t="shared" si="2"/>
        <v/>
      </c>
      <c r="G54" s="16" t="str">
        <f t="shared" si="3"/>
        <v/>
      </c>
      <c r="H54" s="51" t="str">
        <f t="shared" si="4"/>
        <v/>
      </c>
      <c r="I54" s="54"/>
      <c r="J54" s="105">
        <f t="shared" si="10"/>
        <v>37811.5</v>
      </c>
      <c r="K54" s="109">
        <v>46</v>
      </c>
      <c r="L54" s="125">
        <f t="shared" si="5"/>
        <v>0.14120600828712895</v>
      </c>
      <c r="M54" s="46">
        <f t="shared" si="11"/>
        <v>0.72257565187378159</v>
      </c>
      <c r="N54" s="130">
        <v>0.72257565187378159</v>
      </c>
      <c r="O54" s="89">
        <f t="shared" si="6"/>
        <v>0.72257565187378159</v>
      </c>
      <c r="P54" s="4">
        <v>40368</v>
      </c>
      <c r="Q54" s="4">
        <v>0.81638498403003179</v>
      </c>
      <c r="R54" s="4">
        <v>2560</v>
      </c>
      <c r="S54" s="100">
        <f t="shared" si="25"/>
        <v>395.47444744385257</v>
      </c>
      <c r="T54" s="101">
        <f t="shared" si="33"/>
        <v>2164.5255525561474</v>
      </c>
      <c r="U54" s="49">
        <v>40716</v>
      </c>
      <c r="V54" s="95"/>
      <c r="W54" s="95"/>
      <c r="X54" s="95"/>
      <c r="Y54" s="95"/>
      <c r="Z54" s="95"/>
      <c r="AE54" s="93">
        <f t="shared" si="26"/>
        <v>37811.5</v>
      </c>
      <c r="AF54" s="92">
        <f>Logistic2010!Q54</f>
        <v>0.3817070776941604</v>
      </c>
      <c r="AG54" s="4">
        <f t="shared" si="20"/>
        <v>0.81638498403003179</v>
      </c>
      <c r="AH54" s="92">
        <f>Logistic2011!Q54</f>
        <v>0.39696628169175319</v>
      </c>
      <c r="AI54" s="92">
        <f>Logistic2012!Q54</f>
        <v>0.81638498403003179</v>
      </c>
      <c r="AJ54" s="92">
        <f>Logistic2013!L54</f>
        <v>0.54702247769245926</v>
      </c>
      <c r="AK54" s="119">
        <f>Logistic2014!AK54</f>
        <v>0.56015332200960266</v>
      </c>
      <c r="AL54" s="119">
        <f t="shared" si="27"/>
        <v>0.14120600828712895</v>
      </c>
      <c r="AM54" s="110"/>
      <c r="AN54" s="110"/>
      <c r="AO54" s="110"/>
      <c r="AQ54" s="110"/>
      <c r="AR54"/>
      <c r="AS54"/>
      <c r="AT54"/>
      <c r="AU54"/>
      <c r="AV54"/>
      <c r="AW54"/>
      <c r="AX54"/>
    </row>
    <row r="55" spans="2:50" ht="16.5" thickBot="1" x14ac:dyDescent="0.3">
      <c r="B55" s="49"/>
      <c r="C55" s="79"/>
      <c r="D55" s="86" t="str">
        <f t="shared" si="32"/>
        <v/>
      </c>
      <c r="E55" s="81"/>
      <c r="F55" s="50" t="str">
        <f t="shared" si="2"/>
        <v/>
      </c>
      <c r="G55" s="16" t="str">
        <f t="shared" si="3"/>
        <v/>
      </c>
      <c r="H55" s="51" t="str">
        <f t="shared" si="4"/>
        <v/>
      </c>
      <c r="I55" s="54"/>
      <c r="J55" s="105">
        <f t="shared" si="10"/>
        <v>37812.5</v>
      </c>
      <c r="K55" s="109">
        <v>47</v>
      </c>
      <c r="L55" s="125">
        <f t="shared" si="5"/>
        <v>0.16775840377838086</v>
      </c>
      <c r="M55" s="46">
        <f t="shared" si="11"/>
        <v>0.67992615512835608</v>
      </c>
      <c r="N55" s="131">
        <v>0.67992615512835608</v>
      </c>
      <c r="O55" s="89">
        <f t="shared" si="6"/>
        <v>0.67992615512835608</v>
      </c>
      <c r="P55" s="4">
        <v>40369</v>
      </c>
      <c r="Q55" s="4">
        <v>0.85553350414652685</v>
      </c>
      <c r="R55" s="4">
        <v>3011</v>
      </c>
      <c r="S55" s="100">
        <f t="shared" si="25"/>
        <v>550.8776418049855</v>
      </c>
      <c r="T55" s="101">
        <f t="shared" si="33"/>
        <v>2460.1223581950144</v>
      </c>
      <c r="U55" s="49">
        <v>40717</v>
      </c>
      <c r="V55" s="95"/>
      <c r="W55" s="95"/>
      <c r="X55" s="95"/>
      <c r="Y55" s="95"/>
      <c r="Z55" s="95"/>
      <c r="AE55" s="93">
        <f t="shared" si="26"/>
        <v>37812.5</v>
      </c>
      <c r="AF55" s="92">
        <f>Logistic2010!Q55</f>
        <v>0.42985515834963317</v>
      </c>
      <c r="AG55" s="4">
        <f t="shared" si="20"/>
        <v>0.85553350414652685</v>
      </c>
      <c r="AH55" s="92">
        <f>Logistic2011!Q55</f>
        <v>0.45849431667616858</v>
      </c>
      <c r="AI55" s="92">
        <f>Logistic2012!Q55</f>
        <v>0.85553350414652685</v>
      </c>
      <c r="AJ55" s="92">
        <f>Logistic2013!L55</f>
        <v>0.59540663680406558</v>
      </c>
      <c r="AK55" s="119">
        <f>Logistic2014!AK55</f>
        <v>0.60657155343516</v>
      </c>
      <c r="AL55" s="119">
        <f t="shared" si="27"/>
        <v>0.16775840377838086</v>
      </c>
      <c r="AM55" s="110"/>
      <c r="AN55" s="110"/>
      <c r="AP55" s="110"/>
      <c r="AQ55" s="110"/>
      <c r="AR55" t="s">
        <v>35</v>
      </c>
      <c r="AS55"/>
      <c r="AT55"/>
      <c r="AU55"/>
      <c r="AV55"/>
      <c r="AW55"/>
      <c r="AX55"/>
    </row>
    <row r="56" spans="2:50" x14ac:dyDescent="0.25">
      <c r="B56" s="49"/>
      <c r="C56" s="79"/>
      <c r="D56" s="86" t="str">
        <f t="shared" si="32"/>
        <v/>
      </c>
      <c r="E56" s="81"/>
      <c r="F56" s="50" t="str">
        <f t="shared" si="2"/>
        <v/>
      </c>
      <c r="G56" s="16" t="str">
        <f t="shared" si="3"/>
        <v/>
      </c>
      <c r="H56" s="51" t="str">
        <f t="shared" si="4"/>
        <v/>
      </c>
      <c r="I56" s="54"/>
      <c r="J56" s="105">
        <f t="shared" si="10"/>
        <v>37813.5</v>
      </c>
      <c r="K56" s="109">
        <v>48</v>
      </c>
      <c r="L56" s="125">
        <f t="shared" si="5"/>
        <v>0.19815168709175227</v>
      </c>
      <c r="M56" s="46">
        <f t="shared" si="11"/>
        <v>0.73462826392623781</v>
      </c>
      <c r="N56" s="131">
        <v>0.73462826392623781</v>
      </c>
      <c r="O56" s="89">
        <f t="shared" si="6"/>
        <v>0.73462826392623781</v>
      </c>
      <c r="P56" s="4">
        <v>40370</v>
      </c>
      <c r="Q56" s="4">
        <v>0.88748554172196392</v>
      </c>
      <c r="R56" s="4">
        <v>582</v>
      </c>
      <c r="S56" s="100">
        <f t="shared" si="25"/>
        <v>125.32342760964299</v>
      </c>
      <c r="T56" s="101">
        <f t="shared" si="33"/>
        <v>456.67657239035702</v>
      </c>
      <c r="U56" s="49">
        <v>40718</v>
      </c>
      <c r="V56" s="95"/>
      <c r="W56" s="95"/>
      <c r="X56" s="95"/>
      <c r="Y56" s="95"/>
      <c r="Z56" s="95"/>
      <c r="AE56" s="93">
        <f t="shared" si="26"/>
        <v>37813.5</v>
      </c>
      <c r="AF56" s="92">
        <f>Logistic2010!Q56</f>
        <v>0.47936786629286093</v>
      </c>
      <c r="AG56" s="4">
        <f t="shared" si="20"/>
        <v>0.88748554172196392</v>
      </c>
      <c r="AH56" s="92">
        <f>Logistic2011!Q56</f>
        <v>0.52131468367366807</v>
      </c>
      <c r="AI56" s="92">
        <f>Logistic2012!Q56</f>
        <v>0.88748554172196392</v>
      </c>
      <c r="AJ56" s="92">
        <f>Logistic2013!L56</f>
        <v>0.64200492795904929</v>
      </c>
      <c r="AK56" s="119">
        <f>Logistic2014!AK56</f>
        <v>0.65114196868570062</v>
      </c>
      <c r="AL56" s="119">
        <f t="shared" si="27"/>
        <v>0.19815168709175227</v>
      </c>
      <c r="AM56" s="110"/>
      <c r="AN56" s="110"/>
      <c r="AO56" s="110"/>
      <c r="AP56" s="110"/>
      <c r="AQ56" s="110"/>
      <c r="AR56" s="112" t="s">
        <v>36</v>
      </c>
      <c r="AS56" s="112" t="s">
        <v>37</v>
      </c>
      <c r="AT56" s="112" t="s">
        <v>38</v>
      </c>
      <c r="AU56" s="112" t="s">
        <v>39</v>
      </c>
      <c r="AV56" s="112" t="s">
        <v>40</v>
      </c>
      <c r="AW56" s="112" t="s">
        <v>41</v>
      </c>
      <c r="AX56" s="112" t="s">
        <v>42</v>
      </c>
    </row>
    <row r="57" spans="2:50" ht="16.5" thickBot="1" x14ac:dyDescent="0.3">
      <c r="B57" s="49"/>
      <c r="C57" s="79"/>
      <c r="D57" s="86" t="str">
        <f t="shared" si="32"/>
        <v/>
      </c>
      <c r="E57" s="81"/>
      <c r="F57" s="50" t="str">
        <f t="shared" si="2"/>
        <v/>
      </c>
      <c r="G57" s="16" t="str">
        <f t="shared" si="3"/>
        <v/>
      </c>
      <c r="H57" s="51" t="str">
        <f t="shared" si="4"/>
        <v/>
      </c>
      <c r="I57" s="54"/>
      <c r="J57" s="105">
        <f t="shared" si="10"/>
        <v>37814.5</v>
      </c>
      <c r="K57" s="109">
        <v>49</v>
      </c>
      <c r="L57" s="125">
        <f t="shared" si="5"/>
        <v>0.23251301259774254</v>
      </c>
      <c r="M57" s="46">
        <f t="shared" si="11"/>
        <v>0.78296570483334704</v>
      </c>
      <c r="N57" s="131">
        <v>0.78296570483334704</v>
      </c>
      <c r="O57" s="89">
        <f t="shared" si="6"/>
        <v>0.78296570483334704</v>
      </c>
      <c r="P57" s="4">
        <v>40371</v>
      </c>
      <c r="Q57" s="4">
        <v>0.91308857223820117</v>
      </c>
      <c r="R57" s="4">
        <v>2638</v>
      </c>
      <c r="S57" s="100">
        <f t="shared" si="25"/>
        <v>663.89681023489254</v>
      </c>
      <c r="T57" s="101">
        <f t="shared" si="33"/>
        <v>1974.1031897651073</v>
      </c>
      <c r="U57" s="49">
        <v>40719</v>
      </c>
      <c r="V57" s="95">
        <v>7.0000000000000001E-3</v>
      </c>
      <c r="W57" s="95"/>
      <c r="X57" s="95"/>
      <c r="Y57" s="95"/>
      <c r="Z57" s="95"/>
      <c r="AE57" s="93">
        <f t="shared" si="26"/>
        <v>37814.5</v>
      </c>
      <c r="AF57" s="92">
        <f>Logistic2010!Q57</f>
        <v>0.52928924873066352</v>
      </c>
      <c r="AG57" s="4">
        <f t="shared" si="20"/>
        <v>0.91308857223820117</v>
      </c>
      <c r="AH57" s="92">
        <f>Logistic2011!Q57</f>
        <v>0.58346805352827824</v>
      </c>
      <c r="AI57" s="92">
        <f>Logistic2012!Q57</f>
        <v>0.91308857223820117</v>
      </c>
      <c r="AJ57" s="92">
        <f>Logistic2013!L57</f>
        <v>0.68606608243321232</v>
      </c>
      <c r="AK57" s="119">
        <f>Logistic2014!AK57</f>
        <v>0.69321686759508971</v>
      </c>
      <c r="AL57" s="119">
        <f t="shared" si="27"/>
        <v>0.23251301259774254</v>
      </c>
      <c r="AM57" s="110"/>
      <c r="AN57" s="110"/>
      <c r="AO57" s="110"/>
      <c r="AP57" s="110"/>
      <c r="AQ57" s="110"/>
      <c r="AR57" s="110" t="s">
        <v>43</v>
      </c>
      <c r="AS57" s="110">
        <v>0.29835654545454471</v>
      </c>
      <c r="AT57" s="110">
        <v>1</v>
      </c>
      <c r="AU57" s="110">
        <v>0.29835654545454471</v>
      </c>
      <c r="AV57" s="110">
        <v>1.8861893861911057</v>
      </c>
      <c r="AW57" s="110">
        <v>0.18483371790912717</v>
      </c>
      <c r="AX57" s="110">
        <v>4.351243478421539</v>
      </c>
    </row>
    <row r="58" spans="2:50" x14ac:dyDescent="0.25">
      <c r="B58" s="49"/>
      <c r="C58" s="79"/>
      <c r="D58" s="86" t="str">
        <f t="shared" si="32"/>
        <v/>
      </c>
      <c r="E58" s="81"/>
      <c r="F58" s="50" t="str">
        <f t="shared" si="2"/>
        <v/>
      </c>
      <c r="G58" s="16" t="str">
        <f t="shared" si="3"/>
        <v/>
      </c>
      <c r="H58" s="51" t="str">
        <f t="shared" si="4"/>
        <v/>
      </c>
      <c r="I58" s="54"/>
      <c r="J58" s="105">
        <f t="shared" si="10"/>
        <v>37815.5</v>
      </c>
      <c r="K58" s="109">
        <v>50</v>
      </c>
      <c r="L58" s="125">
        <f t="shared" si="5"/>
        <v>0.27082042958185759</v>
      </c>
      <c r="M58" s="46">
        <f t="shared" si="11"/>
        <v>0.82460067927314873</v>
      </c>
      <c r="N58" s="130">
        <v>0.82460067927314873</v>
      </c>
      <c r="O58" s="89">
        <f t="shared" si="6"/>
        <v>0.82460067927314873</v>
      </c>
      <c r="P58" s="4">
        <v>40372</v>
      </c>
      <c r="Q58" s="4">
        <v>0.93330339143718788</v>
      </c>
      <c r="R58" s="4">
        <v>4264</v>
      </c>
      <c r="S58" s="100">
        <f t="shared" si="25"/>
        <v>1244.4201925304271</v>
      </c>
      <c r="T58" s="101">
        <f t="shared" si="33"/>
        <v>3019.5798074695731</v>
      </c>
      <c r="U58" s="40">
        <v>40720</v>
      </c>
      <c r="V58" s="95"/>
      <c r="W58" s="95"/>
      <c r="X58" s="95"/>
      <c r="Y58" s="95"/>
      <c r="Z58" s="95"/>
      <c r="AE58" s="93">
        <f t="shared" si="26"/>
        <v>37815.5</v>
      </c>
      <c r="AF58" s="92">
        <f>Logistic2010!Q58</f>
        <v>0.57863147408369076</v>
      </c>
      <c r="AG58" s="4">
        <f t="shared" si="20"/>
        <v>0.93330339143718788</v>
      </c>
      <c r="AH58" s="92">
        <f>Logistic2011!Q58</f>
        <v>0.64307659747584256</v>
      </c>
      <c r="AI58" s="92">
        <f>Logistic2012!Q58</f>
        <v>0.93330339143718788</v>
      </c>
      <c r="AJ58" s="92">
        <f>Logistic2013!L58</f>
        <v>0.7270102102463335</v>
      </c>
      <c r="AK58" s="119">
        <f>Logistic2014!AK58</f>
        <v>0.73230345881884595</v>
      </c>
      <c r="AL58" s="119">
        <f t="shared" si="27"/>
        <v>0.27082042958185759</v>
      </c>
      <c r="AM58" s="114"/>
      <c r="AN58" s="114"/>
      <c r="AO58" s="114"/>
      <c r="AP58" s="114"/>
      <c r="AQ58" s="114"/>
      <c r="AR58" s="110" t="s">
        <v>44</v>
      </c>
      <c r="AS58" s="110">
        <v>3.1635905454545457</v>
      </c>
      <c r="AT58" s="110">
        <v>20</v>
      </c>
      <c r="AU58" s="110">
        <v>0.15817952727272727</v>
      </c>
      <c r="AV58" s="110"/>
      <c r="AW58" s="110"/>
      <c r="AX58" s="110"/>
    </row>
    <row r="59" spans="2:50" x14ac:dyDescent="0.25">
      <c r="B59" s="49"/>
      <c r="C59" s="79"/>
      <c r="D59" s="86" t="str">
        <f t="shared" si="32"/>
        <v/>
      </c>
      <c r="E59" s="81"/>
      <c r="F59" s="50" t="str">
        <f t="shared" si="2"/>
        <v/>
      </c>
      <c r="G59" s="16" t="str">
        <f t="shared" si="3"/>
        <v/>
      </c>
      <c r="H59" s="51" t="str">
        <f t="shared" si="4"/>
        <v/>
      </c>
      <c r="I59" s="54"/>
      <c r="J59" s="105">
        <f t="shared" si="10"/>
        <v>37816.5</v>
      </c>
      <c r="K59" s="109">
        <v>51</v>
      </c>
      <c r="L59" s="125">
        <f t="shared" si="5"/>
        <v>0.31286633989770485</v>
      </c>
      <c r="M59" s="46">
        <f t="shared" si="11"/>
        <v>0.85967998350172414</v>
      </c>
      <c r="N59" s="130">
        <v>0.85967998350172414</v>
      </c>
      <c r="O59" s="89">
        <f t="shared" si="6"/>
        <v>0.85967998350172414</v>
      </c>
      <c r="P59" s="4">
        <v>40373</v>
      </c>
      <c r="Q59" s="4">
        <v>0.94907863528681002</v>
      </c>
      <c r="R59" s="4">
        <v>29205</v>
      </c>
      <c r="S59" s="100">
        <f t="shared" si="25"/>
        <v>9799.7288645925455</v>
      </c>
      <c r="T59" s="101">
        <f t="shared" si="33"/>
        <v>19405.271135407456</v>
      </c>
      <c r="U59" s="49">
        <v>40721</v>
      </c>
      <c r="V59" s="95"/>
      <c r="W59" s="95"/>
      <c r="X59" s="95"/>
      <c r="Y59" s="95"/>
      <c r="Z59" s="95"/>
      <c r="AE59" s="93">
        <f t="shared" si="26"/>
        <v>37816.5</v>
      </c>
      <c r="AF59" s="92">
        <f>Logistic2010!Q59</f>
        <v>0.62645177427350185</v>
      </c>
      <c r="AG59" s="4">
        <f t="shared" si="20"/>
        <v>0.94907863528681002</v>
      </c>
      <c r="AH59" s="92">
        <f>Logistic2011!Q59</f>
        <v>0.69856182420049406</v>
      </c>
      <c r="AI59" s="92">
        <f>Logistic2012!Q59</f>
        <v>0.94907863528681002</v>
      </c>
      <c r="AJ59" s="92">
        <f>Logistic2013!L59</f>
        <v>0.76444773045159664</v>
      </c>
      <c r="AK59" s="119">
        <f>Logistic2014!AK59</f>
        <v>0.76807620704019175</v>
      </c>
      <c r="AL59" s="119">
        <f t="shared" si="27"/>
        <v>0.31286633989770485</v>
      </c>
      <c r="AM59" s="114"/>
      <c r="AN59" s="114"/>
      <c r="AO59" s="114"/>
      <c r="AP59" s="114"/>
      <c r="AQ59" s="114"/>
      <c r="AR59" s="110"/>
      <c r="AS59" s="110"/>
      <c r="AT59" s="110"/>
      <c r="AU59" s="110"/>
      <c r="AV59" s="110"/>
      <c r="AW59" s="110"/>
      <c r="AX59" s="110"/>
    </row>
    <row r="60" spans="2:50" ht="16.5" thickBot="1" x14ac:dyDescent="0.3">
      <c r="B60" s="49"/>
      <c r="C60" s="79"/>
      <c r="D60" s="86" t="str">
        <f t="shared" si="32"/>
        <v/>
      </c>
      <c r="E60" s="81"/>
      <c r="F60" s="50" t="str">
        <f t="shared" si="2"/>
        <v/>
      </c>
      <c r="G60" s="16" t="str">
        <f t="shared" si="3"/>
        <v/>
      </c>
      <c r="H60" s="51" t="str">
        <f t="shared" si="4"/>
        <v/>
      </c>
      <c r="I60" s="54"/>
      <c r="J60" s="105">
        <f t="shared" si="10"/>
        <v>37817.5</v>
      </c>
      <c r="K60" s="109">
        <v>52</v>
      </c>
      <c r="L60" s="125">
        <f t="shared" si="5"/>
        <v>0.35823305161693619</v>
      </c>
      <c r="M60" s="46">
        <f t="shared" si="11"/>
        <v>0.8886905657803027</v>
      </c>
      <c r="N60" s="131">
        <v>0.8886905657803027</v>
      </c>
      <c r="O60" s="89">
        <f t="shared" si="6"/>
        <v>0.8886905657803027</v>
      </c>
      <c r="P60" s="4">
        <v>40374</v>
      </c>
      <c r="Q60" s="4">
        <v>0.96127748661561918</v>
      </c>
      <c r="R60" s="4">
        <v>27768</v>
      </c>
      <c r="S60" s="100">
        <f t="shared" si="25"/>
        <v>10614.61664480802</v>
      </c>
      <c r="T60" s="101">
        <f t="shared" si="33"/>
        <v>17153.383355191982</v>
      </c>
      <c r="U60" s="49">
        <v>40722</v>
      </c>
      <c r="V60" s="95"/>
      <c r="W60" s="95"/>
      <c r="X60" s="95"/>
      <c r="Y60" s="95"/>
      <c r="Z60" s="95"/>
      <c r="AE60" s="93">
        <f t="shared" si="26"/>
        <v>37817.5</v>
      </c>
      <c r="AF60" s="92">
        <f>Logistic2010!Q60</f>
        <v>0.6719221112063114</v>
      </c>
      <c r="AG60" s="4">
        <f t="shared" si="20"/>
        <v>0.96127748661561918</v>
      </c>
      <c r="AH60" s="92">
        <f>Logistic2011!Q60</f>
        <v>0.74879103833236005</v>
      </c>
      <c r="AI60" s="92">
        <f>Logistic2012!Q60</f>
        <v>0.96127748661561918</v>
      </c>
      <c r="AJ60" s="92">
        <f>Logistic2013!L60</f>
        <v>0.79817638699971571</v>
      </c>
      <c r="AK60" s="119">
        <f>Logistic2014!AK60</f>
        <v>0.80037172674720769</v>
      </c>
      <c r="AL60" s="119">
        <f t="shared" si="27"/>
        <v>0.35823305161693619</v>
      </c>
      <c r="AM60" s="113"/>
      <c r="AO60" s="113"/>
      <c r="AP60" s="113"/>
      <c r="AQ60" s="113"/>
      <c r="AR60" s="111" t="s">
        <v>45</v>
      </c>
      <c r="AS60" s="111">
        <v>3.4619470909090904</v>
      </c>
      <c r="AT60" s="111">
        <v>21</v>
      </c>
      <c r="AU60" s="111"/>
      <c r="AV60" s="111"/>
      <c r="AW60" s="111"/>
      <c r="AX60" s="111"/>
    </row>
    <row r="61" spans="2:50" x14ac:dyDescent="0.25">
      <c r="B61" s="49"/>
      <c r="C61" s="79"/>
      <c r="D61" s="86" t="str">
        <f t="shared" si="32"/>
        <v/>
      </c>
      <c r="E61" s="81"/>
      <c r="F61" s="50" t="str">
        <f t="shared" si="2"/>
        <v/>
      </c>
      <c r="G61" s="16" t="str">
        <f t="shared" si="3"/>
        <v/>
      </c>
      <c r="H61" s="51" t="str">
        <f t="shared" si="4"/>
        <v/>
      </c>
      <c r="I61" s="54"/>
      <c r="J61" s="105">
        <f t="shared" si="10"/>
        <v>37818.5</v>
      </c>
      <c r="K61" s="109">
        <v>53</v>
      </c>
      <c r="L61" s="125">
        <f t="shared" si="5"/>
        <v>0.40628845838076044</v>
      </c>
      <c r="M61" s="46">
        <f t="shared" si="11"/>
        <v>0.91231509064301375</v>
      </c>
      <c r="N61" s="130">
        <v>0.91231509064301375</v>
      </c>
      <c r="O61" s="89">
        <f t="shared" si="6"/>
        <v>0.91231509064301375</v>
      </c>
      <c r="P61" s="4">
        <v>40375</v>
      </c>
      <c r="Q61" s="4">
        <v>0.97064434164342128</v>
      </c>
      <c r="R61" s="4">
        <v>21508</v>
      </c>
      <c r="S61" s="100">
        <f t="shared" si="25"/>
        <v>9275.2844499319872</v>
      </c>
      <c r="T61" s="101">
        <f t="shared" si="33"/>
        <v>12232.715550068013</v>
      </c>
      <c r="U61" s="49">
        <v>40723</v>
      </c>
      <c r="V61" s="95"/>
      <c r="W61" s="95"/>
      <c r="X61" s="95"/>
      <c r="Y61" s="95"/>
      <c r="Z61" s="95"/>
      <c r="AC61" s="93">
        <v>37783</v>
      </c>
      <c r="AD61" s="95">
        <v>2.4E-2</v>
      </c>
      <c r="AE61" s="93">
        <f t="shared" si="26"/>
        <v>37818.5</v>
      </c>
      <c r="AF61" s="92">
        <f>Logistic2010!Q61</f>
        <v>0.71438108258813315</v>
      </c>
      <c r="AG61" s="4">
        <f t="shared" si="20"/>
        <v>0.97064434164342128</v>
      </c>
      <c r="AH61" s="92">
        <f>Logistic2011!Q61</f>
        <v>0.79312907861690396</v>
      </c>
      <c r="AI61" s="92">
        <f>Logistic2012!Q61</f>
        <v>0.97064434164342128</v>
      </c>
      <c r="AJ61" s="92">
        <f>Logistic2013!L61</f>
        <v>0.82816108437109193</v>
      </c>
      <c r="AK61" s="119">
        <f>Logistic2014!AK61</f>
        <v>0.82917030340634412</v>
      </c>
      <c r="AL61" s="119">
        <f t="shared" si="27"/>
        <v>0.40628845838076044</v>
      </c>
      <c r="AM61" s="113"/>
      <c r="AN61" s="113"/>
      <c r="AO61" s="113"/>
      <c r="AP61" s="113"/>
      <c r="AQ61" s="113"/>
      <c r="AR61" s="113"/>
      <c r="AS61" s="113"/>
      <c r="AT61" s="114"/>
      <c r="AU61" s="114"/>
    </row>
    <row r="62" spans="2:50" ht="16.5" thickBot="1" x14ac:dyDescent="0.3">
      <c r="B62" s="49"/>
      <c r="C62" s="79"/>
      <c r="D62" s="86" t="str">
        <f t="shared" si="32"/>
        <v/>
      </c>
      <c r="E62" s="81"/>
      <c r="F62" s="50" t="str">
        <f t="shared" si="2"/>
        <v/>
      </c>
      <c r="G62" s="16" t="str">
        <f t="shared" si="3"/>
        <v/>
      </c>
      <c r="H62" s="51" t="str">
        <f t="shared" si="4"/>
        <v/>
      </c>
      <c r="I62" s="54"/>
      <c r="J62" s="105">
        <f t="shared" si="10"/>
        <v>37819.5</v>
      </c>
      <c r="K62" s="109">
        <v>54</v>
      </c>
      <c r="L62" s="125">
        <f t="shared" si="5"/>
        <v>0.45620777092293929</v>
      </c>
      <c r="M62" s="46">
        <f t="shared" si="11"/>
        <v>0.93131304287865924</v>
      </c>
      <c r="N62" s="130">
        <v>0.93131304287865924</v>
      </c>
      <c r="O62" s="89">
        <f t="shared" si="6"/>
        <v>0.93131304287865924</v>
      </c>
      <c r="P62" s="4">
        <v>40376</v>
      </c>
      <c r="Q62" s="4">
        <v>0.97779771637475388</v>
      </c>
      <c r="R62" s="4">
        <v>9686</v>
      </c>
      <c r="S62" s="100">
        <f t="shared" si="25"/>
        <v>4664.9248574432668</v>
      </c>
      <c r="T62" s="101">
        <f t="shared" si="33"/>
        <v>5021.0751425567332</v>
      </c>
      <c r="U62" s="49">
        <v>40724</v>
      </c>
      <c r="V62" s="95"/>
      <c r="W62" s="95"/>
      <c r="X62" s="95"/>
      <c r="Y62" s="95"/>
      <c r="Z62" s="95"/>
      <c r="AC62" s="93">
        <v>37810</v>
      </c>
      <c r="AD62" s="95">
        <v>0.90100000000000002</v>
      </c>
      <c r="AE62" s="93">
        <f t="shared" si="26"/>
        <v>37819.5</v>
      </c>
      <c r="AF62" s="92">
        <f>Logistic2010!Q62</f>
        <v>0.75336211213144844</v>
      </c>
      <c r="AG62" s="4">
        <f t="shared" si="20"/>
        <v>0.97779771637475388</v>
      </c>
      <c r="AH62" s="92">
        <f>Logistic2011!Q62</f>
        <v>0.83140351438424964</v>
      </c>
      <c r="AI62" s="92">
        <f>Logistic2012!Q62</f>
        <v>0.97779771637475388</v>
      </c>
      <c r="AJ62" s="92">
        <f>Logistic2013!L62</f>
        <v>0.85450303975835906</v>
      </c>
      <c r="AK62" s="119">
        <f>Logistic2014!AK62</f>
        <v>0.85456925965431629</v>
      </c>
      <c r="AL62" s="119">
        <f t="shared" si="27"/>
        <v>0.45620777092293929</v>
      </c>
      <c r="AM62" s="113"/>
      <c r="AN62" s="113"/>
      <c r="AP62" s="113"/>
      <c r="AQ62" s="113"/>
      <c r="AR62" s="113"/>
      <c r="AS62" s="113"/>
      <c r="AT62" s="114"/>
      <c r="AU62" s="114"/>
    </row>
    <row r="63" spans="2:50" x14ac:dyDescent="0.25">
      <c r="B63" s="49"/>
      <c r="C63" s="79"/>
      <c r="D63" s="86" t="str">
        <f t="shared" si="32"/>
        <v/>
      </c>
      <c r="E63" s="81"/>
      <c r="F63" s="50" t="str">
        <f t="shared" si="2"/>
        <v/>
      </c>
      <c r="G63" s="16" t="str">
        <f t="shared" si="3"/>
        <v/>
      </c>
      <c r="H63" s="51" t="str">
        <f t="shared" si="4"/>
        <v/>
      </c>
      <c r="I63" s="54"/>
      <c r="J63" s="105">
        <f t="shared" si="10"/>
        <v>37820.5</v>
      </c>
      <c r="K63" s="109">
        <v>55</v>
      </c>
      <c r="L63" s="125">
        <f t="shared" si="5"/>
        <v>0.50702263532179892</v>
      </c>
      <c r="M63" s="46">
        <f t="shared" si="11"/>
        <v>0.94643653282667362</v>
      </c>
      <c r="N63" s="130">
        <v>0.94643653282667362</v>
      </c>
      <c r="O63" s="89">
        <f t="shared" si="6"/>
        <v>0.94643653282667362</v>
      </c>
      <c r="P63" s="4">
        <v>40377</v>
      </c>
      <c r="Q63" s="4">
        <v>0.98323806162233796</v>
      </c>
      <c r="R63" s="4">
        <v>3970</v>
      </c>
      <c r="S63" s="100">
        <f t="shared" si="25"/>
        <v>2113.4601713086531</v>
      </c>
      <c r="T63" s="101">
        <f t="shared" si="33"/>
        <v>1856.5398286913469</v>
      </c>
      <c r="U63" s="40">
        <v>40725</v>
      </c>
      <c r="V63" s="95">
        <v>0.35599999999999998</v>
      </c>
      <c r="W63" s="95"/>
      <c r="X63" s="95"/>
      <c r="Y63" s="95"/>
      <c r="Z63" s="95"/>
      <c r="AC63" s="93">
        <v>37813</v>
      </c>
      <c r="AD63" s="95">
        <v>0.77500000000000002</v>
      </c>
      <c r="AE63" s="93">
        <f t="shared" si="26"/>
        <v>37820.5</v>
      </c>
      <c r="AF63" s="92">
        <f>Logistic2010!Q63</f>
        <v>0.78859738904460508</v>
      </c>
      <c r="AG63" s="4">
        <f t="shared" si="20"/>
        <v>0.98323806162233796</v>
      </c>
      <c r="AH63" s="92">
        <f>Logistic2011!Q63</f>
        <v>0.86381250435994517</v>
      </c>
      <c r="AI63" s="92">
        <f>Logistic2012!Q63</f>
        <v>0.98323806162233796</v>
      </c>
      <c r="AJ63" s="92">
        <f>Logistic2013!L63</f>
        <v>0.87740468827985718</v>
      </c>
      <c r="AK63" s="119">
        <f>Logistic2014!AK63</f>
        <v>0.87675320628420728</v>
      </c>
      <c r="AL63" s="119">
        <f t="shared" si="27"/>
        <v>0.50702263532179892</v>
      </c>
      <c r="AM63" s="115"/>
      <c r="AN63" s="115"/>
      <c r="AO63" s="115"/>
      <c r="AP63" s="115"/>
      <c r="AQ63" s="115"/>
      <c r="AR63" t="s">
        <v>28</v>
      </c>
      <c r="AS63"/>
      <c r="AT63"/>
      <c r="AU63"/>
      <c r="AV63"/>
      <c r="AW63"/>
      <c r="AX63"/>
    </row>
    <row r="64" spans="2:50" ht="16.5" thickBot="1" x14ac:dyDescent="0.3">
      <c r="B64" s="56"/>
      <c r="C64" s="80"/>
      <c r="D64" s="87" t="str">
        <f t="shared" si="32"/>
        <v/>
      </c>
      <c r="E64" s="82"/>
      <c r="F64" s="50" t="str">
        <f t="shared" si="2"/>
        <v/>
      </c>
      <c r="G64" s="16" t="str">
        <f t="shared" si="3"/>
        <v/>
      </c>
      <c r="H64" s="51" t="str">
        <f t="shared" si="4"/>
        <v/>
      </c>
      <c r="I64" s="54"/>
      <c r="J64" s="105">
        <f t="shared" si="10"/>
        <v>37821.5</v>
      </c>
      <c r="K64" s="109">
        <v>56</v>
      </c>
      <c r="L64" s="125">
        <f t="shared" si="5"/>
        <v>0.55769281621908429</v>
      </c>
      <c r="M64" s="46">
        <f t="shared" si="11"/>
        <v>0.95837894884125729</v>
      </c>
      <c r="N64" s="131">
        <v>0.95837894884125729</v>
      </c>
      <c r="O64" s="89">
        <f t="shared" si="6"/>
        <v>0.95837894884125729</v>
      </c>
      <c r="P64" s="4">
        <v>40378</v>
      </c>
      <c r="Q64" s="4">
        <v>0.98736255895680802</v>
      </c>
      <c r="R64" s="4">
        <v>5509</v>
      </c>
      <c r="S64" s="100">
        <f t="shared" si="25"/>
        <v>3208.6692180239052</v>
      </c>
      <c r="T64" s="101">
        <f t="shared" si="33"/>
        <v>2300.3307819760948</v>
      </c>
      <c r="U64" s="49">
        <v>40726</v>
      </c>
      <c r="V64" s="95"/>
      <c r="W64" s="95"/>
      <c r="X64" s="95"/>
      <c r="Y64" s="95"/>
      <c r="Z64" s="95"/>
      <c r="AC64" s="93">
        <v>37816</v>
      </c>
      <c r="AD64" s="95">
        <v>0.93</v>
      </c>
      <c r="AE64" s="93">
        <f t="shared" si="26"/>
        <v>37821.5</v>
      </c>
      <c r="AF64" s="92">
        <f>Logistic2010!Q64</f>
        <v>0.82000157910537541</v>
      </c>
      <c r="AG64" s="4">
        <f t="shared" si="20"/>
        <v>0.98736255895680802</v>
      </c>
      <c r="AH64" s="92">
        <f>Logistic2011!Q64</f>
        <v>0.89080976473363638</v>
      </c>
      <c r="AI64" s="92">
        <f>Logistic2012!Q64</f>
        <v>0.98736255895680802</v>
      </c>
      <c r="AJ64" s="92">
        <f>Logistic2013!L64</f>
        <v>0.8971354919418093</v>
      </c>
      <c r="AK64" s="119">
        <f>Logistic2014!AK64</f>
        <v>0.89596518054214846</v>
      </c>
      <c r="AL64" s="119">
        <f t="shared" si="27"/>
        <v>0.55769281621908429</v>
      </c>
      <c r="AM64" s="110"/>
      <c r="AN64" s="110"/>
      <c r="AO64" s="110"/>
      <c r="AP64" s="110"/>
      <c r="AQ64" s="110"/>
      <c r="AR64"/>
      <c r="AS64"/>
      <c r="AT64"/>
      <c r="AU64"/>
      <c r="AV64"/>
      <c r="AW64"/>
      <c r="AX64"/>
    </row>
    <row r="65" spans="1:50" ht="16.5" thickBot="1" x14ac:dyDescent="0.3">
      <c r="A65" s="4">
        <v>2.5000000000000001E-2</v>
      </c>
      <c r="B65" s="104">
        <f>C5</f>
        <v>37834.5</v>
      </c>
      <c r="C65" s="121">
        <f t="shared" ref="C65" si="34">1/(A65^2)</f>
        <v>1599.9999999999998</v>
      </c>
      <c r="D65" s="84">
        <f t="shared" si="32"/>
        <v>69</v>
      </c>
      <c r="E65" s="59">
        <v>1</v>
      </c>
      <c r="F65" s="60">
        <f t="shared" si="2"/>
        <v>0.94685140029212012</v>
      </c>
      <c r="G65" s="61">
        <f t="shared" si="3"/>
        <v>5.3148599707879884E-2</v>
      </c>
      <c r="H65" s="62">
        <f t="shared" si="4"/>
        <v>4.5196378414535188</v>
      </c>
      <c r="I65" s="54"/>
      <c r="J65" s="105">
        <f t="shared" si="10"/>
        <v>37822.5</v>
      </c>
      <c r="K65" s="109">
        <v>57</v>
      </c>
      <c r="L65" s="125">
        <f t="shared" si="5"/>
        <v>0.60718981875056721</v>
      </c>
      <c r="M65" s="46">
        <f t="shared" si="11"/>
        <v>0.96774943709406713</v>
      </c>
      <c r="N65" s="130">
        <v>0.96774943709406713</v>
      </c>
      <c r="O65" s="89">
        <f t="shared" si="6"/>
        <v>0.96774943709406713</v>
      </c>
      <c r="P65" s="4">
        <v>40379</v>
      </c>
      <c r="Q65" s="4">
        <v>0.99048199337810516</v>
      </c>
      <c r="R65" s="4">
        <v>2314</v>
      </c>
      <c r="S65" s="100">
        <f t="shared" si="25"/>
        <v>1459.865982191252</v>
      </c>
      <c r="T65" s="101">
        <f t="shared" si="33"/>
        <v>854.13401780874801</v>
      </c>
      <c r="U65" s="49">
        <v>40727</v>
      </c>
      <c r="V65" s="95"/>
      <c r="W65" s="95"/>
      <c r="X65" s="95"/>
      <c r="Y65" s="95"/>
      <c r="Z65" s="95"/>
      <c r="AC65" s="93">
        <v>37819</v>
      </c>
      <c r="AD65" s="95">
        <v>0.997</v>
      </c>
      <c r="AE65" s="93">
        <f t="shared" si="26"/>
        <v>37822.5</v>
      </c>
      <c r="AF65" s="92">
        <f>Logistic2010!Q65</f>
        <v>0.84764193896050799</v>
      </c>
      <c r="AG65" s="4">
        <f t="shared" si="20"/>
        <v>0.99048199337810516</v>
      </c>
      <c r="AH65" s="92">
        <f>Logistic2011!Q65</f>
        <v>0.91299424895614467</v>
      </c>
      <c r="AI65" s="92">
        <f>Logistic2012!Q65</f>
        <v>0.99048199337810516</v>
      </c>
      <c r="AJ65" s="92">
        <f>Logistic2013!L65</f>
        <v>0.91400201566045702</v>
      </c>
      <c r="AK65" s="119">
        <f>Logistic2014!AK65</f>
        <v>0.91248129649139764</v>
      </c>
      <c r="AL65" s="119">
        <f t="shared" si="27"/>
        <v>0.60718981875056721</v>
      </c>
      <c r="AM65" s="110"/>
      <c r="AN65" s="110"/>
      <c r="AO65" s="110"/>
      <c r="AP65" s="110"/>
      <c r="AQ65" s="110"/>
      <c r="AR65" t="s">
        <v>29</v>
      </c>
      <c r="AS65"/>
      <c r="AT65"/>
      <c r="AU65"/>
      <c r="AV65"/>
      <c r="AW65"/>
      <c r="AX65"/>
    </row>
    <row r="66" spans="1:50" ht="16.5" thickBot="1" x14ac:dyDescent="0.3">
      <c r="A66" s="4">
        <v>2.5000000000000001E-2</v>
      </c>
      <c r="B66" s="104">
        <f>A3</f>
        <v>37766.5</v>
      </c>
      <c r="C66" s="121">
        <f>C65</f>
        <v>1599.9999999999998</v>
      </c>
      <c r="D66" s="84">
        <f>IF(B66&lt;&gt;0,B66-$A$3+1,"")</f>
        <v>1</v>
      </c>
      <c r="E66" s="59">
        <v>0</v>
      </c>
      <c r="F66" s="60">
        <f>IF(B66&lt;&gt;0,$G$3/(1+EXP(-$G$4*(D66-$G$5))),"")</f>
        <v>1.7170216429653574E-5</v>
      </c>
      <c r="G66" s="61">
        <f>IF(B66&lt;&gt;0,E66-F66,"")</f>
        <v>-1.7170216429653574E-5</v>
      </c>
      <c r="H66" s="62">
        <f>IF(B66&lt;&gt;0,C66*(G66)^2,"")</f>
        <v>4.7170613158583279E-7</v>
      </c>
      <c r="I66" s="68"/>
      <c r="J66" s="105">
        <f t="shared" si="10"/>
        <v>37823.5</v>
      </c>
      <c r="K66" s="109">
        <v>58</v>
      </c>
      <c r="L66" s="125">
        <f t="shared" si="5"/>
        <v>0.65457853232225205</v>
      </c>
      <c r="M66" s="46">
        <f t="shared" si="11"/>
        <v>0.97506515897383861</v>
      </c>
      <c r="N66" s="130">
        <v>0.97506515897383861</v>
      </c>
      <c r="O66" s="89">
        <f t="shared" si="6"/>
        <v>0.97506515897383861</v>
      </c>
      <c r="P66" s="4">
        <v>40380</v>
      </c>
      <c r="Q66" s="4">
        <v>0.99283701063466723</v>
      </c>
      <c r="R66" s="4">
        <v>2271</v>
      </c>
      <c r="S66" s="100">
        <f t="shared" si="25"/>
        <v>1537.0832765608172</v>
      </c>
      <c r="T66" s="101">
        <f t="shared" si="33"/>
        <v>733.91672343918276</v>
      </c>
      <c r="U66" s="49">
        <v>40728</v>
      </c>
      <c r="V66" s="95"/>
      <c r="W66" s="95"/>
      <c r="X66" s="95"/>
      <c r="Y66" s="95"/>
      <c r="Z66" s="95"/>
      <c r="AC66" s="93">
        <v>37823</v>
      </c>
      <c r="AD66" s="95">
        <v>0.99399999999999999</v>
      </c>
      <c r="AE66" s="93">
        <f t="shared" si="26"/>
        <v>37823.5</v>
      </c>
      <c r="AF66" s="92">
        <f>Logistic2010!Q66</f>
        <v>0.8717019610426997</v>
      </c>
      <c r="AG66" s="4">
        <f t="shared" si="20"/>
        <v>0.99283701063466723</v>
      </c>
      <c r="AH66" s="92">
        <f>Logistic2011!Q66</f>
        <v>0.93102046958550611</v>
      </c>
      <c r="AI66" s="92">
        <f>Logistic2012!Q66</f>
        <v>0.99283701063466723</v>
      </c>
      <c r="AJ66" s="92">
        <f>Logistic2013!L66</f>
        <v>0.92832391728718622</v>
      </c>
      <c r="AK66" s="119">
        <f>Logistic2014!AK66</f>
        <v>0.92659021810226538</v>
      </c>
      <c r="AL66" s="119">
        <f t="shared" si="27"/>
        <v>0.65457853232225205</v>
      </c>
      <c r="AM66" s="113"/>
      <c r="AN66" s="113"/>
      <c r="AO66" s="113"/>
      <c r="AP66" s="113"/>
      <c r="AQ66" s="113"/>
      <c r="AR66" s="112" t="s">
        <v>30</v>
      </c>
      <c r="AS66" s="112" t="s">
        <v>31</v>
      </c>
      <c r="AT66" s="112" t="s">
        <v>32</v>
      </c>
      <c r="AU66" s="112" t="s">
        <v>33</v>
      </c>
      <c r="AV66" s="112" t="s">
        <v>34</v>
      </c>
      <c r="AW66"/>
      <c r="AX66"/>
    </row>
    <row r="67" spans="1:50" x14ac:dyDescent="0.25">
      <c r="B67" s="63"/>
      <c r="C67" s="64"/>
      <c r="D67" s="65"/>
      <c r="E67" s="64"/>
      <c r="F67" s="66"/>
      <c r="G67" s="67"/>
      <c r="H67" s="67"/>
      <c r="I67" s="68"/>
      <c r="J67" s="105">
        <f t="shared" si="10"/>
        <v>37824.5</v>
      </c>
      <c r="K67" s="109">
        <v>59</v>
      </c>
      <c r="L67" s="125">
        <f t="shared" si="5"/>
        <v>0.69908353422184055</v>
      </c>
      <c r="M67" s="46">
        <f t="shared" si="11"/>
        <v>0.98075438398529091</v>
      </c>
      <c r="N67" s="131">
        <v>0.98075438398529091</v>
      </c>
      <c r="O67" s="89">
        <f t="shared" si="6"/>
        <v>0.98075438398529091</v>
      </c>
      <c r="P67" s="4">
        <v>40381</v>
      </c>
      <c r="Q67" s="4">
        <v>0.99461250113431077</v>
      </c>
      <c r="R67" s="4">
        <v>2019</v>
      </c>
      <c r="S67" s="100">
        <f t="shared" si="25"/>
        <v>1452.8869332397157</v>
      </c>
      <c r="T67" s="101">
        <f t="shared" si="33"/>
        <v>566.11306676028425</v>
      </c>
      <c r="U67" s="49">
        <v>40729</v>
      </c>
      <c r="V67" s="95">
        <v>0.51500000000000001</v>
      </c>
      <c r="W67" s="95"/>
      <c r="X67" s="95"/>
      <c r="Y67" s="95"/>
      <c r="Z67" s="95"/>
      <c r="AE67" s="93">
        <f t="shared" si="26"/>
        <v>37824.5</v>
      </c>
      <c r="AF67" s="92">
        <f>Logistic2010!Q67</f>
        <v>0.89244459206165738</v>
      </c>
      <c r="AG67" s="4">
        <f t="shared" si="20"/>
        <v>0.99461250113431077</v>
      </c>
      <c r="AH67" s="92">
        <f>Logistic2011!Q67</f>
        <v>0.94553474019587147</v>
      </c>
      <c r="AI67" s="92">
        <f>Logistic2012!Q67</f>
        <v>0.99461250113431077</v>
      </c>
      <c r="AJ67" s="92">
        <f>Logistic2013!L67</f>
        <v>0.94041617027076585</v>
      </c>
      <c r="AK67" s="119">
        <f>Logistic2014!AK67</f>
        <v>0.93857774011739092</v>
      </c>
      <c r="AL67" s="119">
        <f t="shared" si="27"/>
        <v>0.69908353422184055</v>
      </c>
      <c r="AM67" s="113"/>
      <c r="AN67" s="113"/>
      <c r="AO67" s="113"/>
      <c r="AP67" s="113"/>
      <c r="AQ67" s="113"/>
      <c r="AR67" s="110">
        <v>2010</v>
      </c>
      <c r="AS67" s="110">
        <v>11</v>
      </c>
      <c r="AT67" s="110">
        <v>4.5669999999999993</v>
      </c>
      <c r="AU67" s="110">
        <v>0.4151818181818181</v>
      </c>
      <c r="AV67" s="110">
        <v>0.13328476363636368</v>
      </c>
      <c r="AW67"/>
      <c r="AX67"/>
    </row>
    <row r="68" spans="1:50" ht="16.5" thickBot="1" x14ac:dyDescent="0.3">
      <c r="B68" s="63"/>
      <c r="C68" s="64"/>
      <c r="D68" s="65"/>
      <c r="E68" s="64"/>
      <c r="F68" s="69"/>
      <c r="G68" s="67"/>
      <c r="H68" s="67"/>
      <c r="I68" s="68"/>
      <c r="J68" s="105">
        <f t="shared" si="10"/>
        <v>37825.5</v>
      </c>
      <c r="K68" s="109">
        <v>60</v>
      </c>
      <c r="L68" s="125">
        <f t="shared" si="5"/>
        <v>0.74013086225137981</v>
      </c>
      <c r="M68" s="46">
        <f t="shared" si="11"/>
        <v>0.98516528350488675</v>
      </c>
      <c r="N68" s="131">
        <v>0.98516528350488675</v>
      </c>
      <c r="O68" s="89">
        <f t="shared" si="6"/>
        <v>0.98516528350488675</v>
      </c>
      <c r="P68" s="4">
        <v>40382</v>
      </c>
      <c r="Q68" s="4">
        <v>0.99594969608518535</v>
      </c>
      <c r="R68" s="4">
        <v>2115</v>
      </c>
      <c r="S68" s="100">
        <f t="shared" si="25"/>
        <v>1604.7489046522846</v>
      </c>
      <c r="T68" s="101">
        <f t="shared" si="33"/>
        <v>510.25109534771536</v>
      </c>
      <c r="U68" s="49">
        <v>40730</v>
      </c>
      <c r="V68" s="95"/>
      <c r="W68" s="95"/>
      <c r="X68" s="95"/>
      <c r="Y68" s="95"/>
      <c r="Z68" s="95"/>
      <c r="AE68" s="93">
        <f t="shared" si="26"/>
        <v>37825.5</v>
      </c>
      <c r="AF68" s="92">
        <f>Logistic2010!Q68</f>
        <v>0.91017920532930874</v>
      </c>
      <c r="AG68" s="4">
        <f t="shared" si="20"/>
        <v>0.99594969608518535</v>
      </c>
      <c r="AH68" s="92">
        <f>Logistic2011!Q68</f>
        <v>0.95713560982756274</v>
      </c>
      <c r="AI68" s="92">
        <f>Logistic2012!Q68</f>
        <v>0.99594969608518535</v>
      </c>
      <c r="AJ68" s="92">
        <f>Logistic2013!L68</f>
        <v>0.95057698620331765</v>
      </c>
      <c r="AK68" s="119">
        <f>Logistic2014!AK68</f>
        <v>0.94871609038627402</v>
      </c>
      <c r="AL68" s="119">
        <f t="shared" si="27"/>
        <v>0.74013086225137981</v>
      </c>
      <c r="AM68" s="113"/>
      <c r="AN68" s="113"/>
      <c r="AO68" s="113"/>
      <c r="AP68" s="113"/>
      <c r="AQ68" s="113"/>
      <c r="AR68" s="111">
        <v>2012</v>
      </c>
      <c r="AS68" s="111">
        <v>11</v>
      </c>
      <c r="AT68" s="111">
        <v>6.5350000000000001</v>
      </c>
      <c r="AU68" s="111">
        <v>0.59409090909090911</v>
      </c>
      <c r="AV68" s="111">
        <v>0.17708689090909088</v>
      </c>
      <c r="AW68"/>
      <c r="AX68"/>
    </row>
    <row r="69" spans="1:50" x14ac:dyDescent="0.25">
      <c r="B69" s="63"/>
      <c r="C69" s="64"/>
      <c r="D69" s="65"/>
      <c r="E69" s="64"/>
      <c r="F69" s="64"/>
      <c r="G69" s="64"/>
      <c r="H69" s="64"/>
      <c r="I69" s="53"/>
      <c r="J69" s="105">
        <f t="shared" si="10"/>
        <v>37826.5</v>
      </c>
      <c r="K69" s="109">
        <v>61</v>
      </c>
      <c r="L69" s="125">
        <f t="shared" si="5"/>
        <v>0.77736219179333366</v>
      </c>
      <c r="M69" s="46">
        <f t="shared" si="11"/>
        <v>0.9885770241743157</v>
      </c>
      <c r="N69" s="131">
        <v>0.9885770241743157</v>
      </c>
      <c r="O69" s="89">
        <f t="shared" si="6"/>
        <v>0.9885770241743157</v>
      </c>
      <c r="P69" s="4">
        <v>40383</v>
      </c>
      <c r="Q69" s="4">
        <v>0.99695601060889649</v>
      </c>
      <c r="R69" s="4">
        <v>2946</v>
      </c>
      <c r="S69" s="100">
        <f t="shared" si="25"/>
        <v>2339.1040071027419</v>
      </c>
      <c r="T69" s="101">
        <f t="shared" si="33"/>
        <v>606.89599289725811</v>
      </c>
      <c r="U69" s="49">
        <v>40731</v>
      </c>
      <c r="V69" s="95"/>
      <c r="W69" s="95"/>
      <c r="X69" s="95"/>
      <c r="Y69" s="95"/>
      <c r="Z69" s="95"/>
      <c r="AE69" s="93">
        <f t="shared" si="26"/>
        <v>37826.5</v>
      </c>
      <c r="AF69" s="92">
        <f>Logistic2010!Q69</f>
        <v>0.92523457092805417</v>
      </c>
      <c r="AG69" s="4">
        <f t="shared" si="20"/>
        <v>0.99695601060889649</v>
      </c>
      <c r="AH69" s="92">
        <f>Logistic2011!Q69</f>
        <v>0.96635347078003297</v>
      </c>
      <c r="AI69" s="92">
        <f>Logistic2012!Q69</f>
        <v>0.99695601060889649</v>
      </c>
      <c r="AJ69" s="92">
        <f>Logistic2013!L69</f>
        <v>0.95908047510394157</v>
      </c>
      <c r="AK69" s="119">
        <f>Logistic2014!AK69</f>
        <v>0.95725721401262687</v>
      </c>
      <c r="AL69" s="119">
        <f t="shared" si="27"/>
        <v>0.77736219179333366</v>
      </c>
      <c r="AM69" s="115"/>
      <c r="AN69" s="115"/>
      <c r="AO69" s="115"/>
      <c r="AP69" s="115"/>
      <c r="AQ69" s="115"/>
      <c r="AR69"/>
      <c r="AS69"/>
      <c r="AT69"/>
      <c r="AU69"/>
      <c r="AV69"/>
      <c r="AW69"/>
      <c r="AX69"/>
    </row>
    <row r="70" spans="1:50" ht="16.5" thickBot="1" x14ac:dyDescent="0.3">
      <c r="B70" s="63"/>
      <c r="C70" s="64"/>
      <c r="D70" s="65"/>
      <c r="E70" s="64"/>
      <c r="F70" s="64"/>
      <c r="G70" s="64"/>
      <c r="H70" s="64"/>
      <c r="I70" s="53"/>
      <c r="J70" s="105">
        <f t="shared" si="10"/>
        <v>37827.5</v>
      </c>
      <c r="K70" s="109">
        <v>62</v>
      </c>
      <c r="L70" s="125">
        <f t="shared" si="5"/>
        <v>0.81062423529610406</v>
      </c>
      <c r="M70" s="46">
        <f t="shared" si="11"/>
        <v>0.81062423529610406</v>
      </c>
      <c r="N70" s="131">
        <v>0.99121112062050309</v>
      </c>
      <c r="O70" s="89">
        <f t="shared" si="6"/>
        <v>0.81062423529610406</v>
      </c>
      <c r="P70" s="4">
        <v>40384</v>
      </c>
      <c r="Q70" s="4">
        <v>0.99771287634461936</v>
      </c>
      <c r="R70" s="4">
        <v>2623</v>
      </c>
      <c r="S70" s="100">
        <f t="shared" si="25"/>
        <v>2164.7151653763253</v>
      </c>
      <c r="T70" s="101">
        <f t="shared" si="33"/>
        <v>458.28483462367467</v>
      </c>
      <c r="U70" s="49">
        <v>40732</v>
      </c>
      <c r="AE70" s="93">
        <f t="shared" si="26"/>
        <v>37827.5</v>
      </c>
      <c r="AF70" s="92">
        <f>Logistic2010!Q70</f>
        <v>0.93793849093008874</v>
      </c>
      <c r="AG70" s="4">
        <f t="shared" si="20"/>
        <v>0.99771287634461936</v>
      </c>
      <c r="AH70" s="92">
        <f>Logistic2011!Q70</f>
        <v>0.97364364314605079</v>
      </c>
      <c r="AI70" s="92">
        <f>Logistic2012!Q70</f>
        <v>0.99771287634461936</v>
      </c>
      <c r="AJ70" s="92">
        <f>Logistic2013!L70</f>
        <v>0.96617295862288388</v>
      </c>
      <c r="AK70" s="119">
        <f>Logistic2014!AK70</f>
        <v>0.9644291830100955</v>
      </c>
      <c r="AL70" s="119">
        <f t="shared" si="27"/>
        <v>0.81062423529610406</v>
      </c>
      <c r="AM70" s="110"/>
      <c r="AN70" s="110"/>
      <c r="AO70" s="110"/>
      <c r="AP70" s="110"/>
      <c r="AQ70" s="110"/>
      <c r="AR70"/>
      <c r="AS70"/>
      <c r="AT70"/>
      <c r="AU70"/>
      <c r="AV70"/>
      <c r="AW70"/>
      <c r="AX70"/>
    </row>
    <row r="71" spans="1:50" ht="16.5" thickBot="1" x14ac:dyDescent="0.3">
      <c r="B71" s="63"/>
      <c r="C71" s="64"/>
      <c r="D71" s="65"/>
      <c r="E71" s="64"/>
      <c r="F71" s="64"/>
      <c r="G71" s="64"/>
      <c r="H71" s="64"/>
      <c r="I71" s="53"/>
      <c r="J71" s="105">
        <f t="shared" si="10"/>
        <v>37828.5</v>
      </c>
      <c r="K71" s="109">
        <v>63</v>
      </c>
      <c r="L71" s="125">
        <f t="shared" si="5"/>
        <v>0.83994013022149039</v>
      </c>
      <c r="M71" s="46">
        <f t="shared" si="11"/>
        <v>0.83994013022149039</v>
      </c>
      <c r="N71" s="131">
        <v>0.99324195641616453</v>
      </c>
      <c r="O71" s="89">
        <f t="shared" si="6"/>
        <v>0.83994013022149039</v>
      </c>
      <c r="P71" s="4">
        <v>40385</v>
      </c>
      <c r="Q71" s="4">
        <v>0.99828187726084372</v>
      </c>
      <c r="U71" s="40">
        <v>40733</v>
      </c>
      <c r="V71" s="95"/>
      <c r="W71" s="95"/>
      <c r="X71" s="95"/>
      <c r="Y71" s="95"/>
      <c r="Z71" s="95"/>
      <c r="AE71" s="93">
        <f t="shared" si="26"/>
        <v>37828.5</v>
      </c>
      <c r="AF71" s="92">
        <f>Logistic2010!Q71</f>
        <v>0.94860370829645768</v>
      </c>
      <c r="AG71" s="4">
        <f t="shared" si="20"/>
        <v>0.99828187726084372</v>
      </c>
      <c r="AH71" s="92">
        <f>Logistic2011!Q71</f>
        <v>0.97938794995342149</v>
      </c>
      <c r="AI71" s="92">
        <f>Logistic2012!Q71</f>
        <v>0.99828187726084372</v>
      </c>
      <c r="AJ71" s="92">
        <f>Logistic2013!L71</f>
        <v>0.97207191636988943</v>
      </c>
      <c r="AK71" s="119">
        <f>Logistic2014!AK71</f>
        <v>0.97043490859995651</v>
      </c>
      <c r="AL71" s="119">
        <f t="shared" si="27"/>
        <v>0.83994013022149039</v>
      </c>
      <c r="AM71" s="110"/>
      <c r="AN71" s="110"/>
      <c r="AO71" s="110"/>
      <c r="AP71" s="110"/>
      <c r="AQ71" s="110"/>
      <c r="AR71" t="s">
        <v>35</v>
      </c>
      <c r="AS71"/>
      <c r="AT71"/>
      <c r="AU71"/>
      <c r="AV71"/>
      <c r="AW71"/>
      <c r="AX71"/>
    </row>
    <row r="72" spans="1:50" x14ac:dyDescent="0.25">
      <c r="B72" s="63"/>
      <c r="C72" s="64"/>
      <c r="D72" s="65"/>
      <c r="E72" s="64"/>
      <c r="F72" s="64"/>
      <c r="G72" s="64"/>
      <c r="H72" s="64"/>
      <c r="I72" s="53"/>
      <c r="J72" s="105">
        <f t="shared" si="10"/>
        <v>37829.5</v>
      </c>
      <c r="K72" s="109">
        <v>64</v>
      </c>
      <c r="L72" s="125">
        <f t="shared" si="5"/>
        <v>0.86547098755737129</v>
      </c>
      <c r="M72" s="46">
        <f t="shared" si="11"/>
        <v>0.86547098755737129</v>
      </c>
      <c r="N72" s="131">
        <v>0.99480598839313295</v>
      </c>
      <c r="O72" s="89">
        <f t="shared" si="6"/>
        <v>0.86547098755737129</v>
      </c>
      <c r="P72" s="4">
        <v>40386</v>
      </c>
      <c r="Q72" s="4">
        <v>0.99870950266811021</v>
      </c>
      <c r="U72" s="49">
        <v>40734</v>
      </c>
      <c r="V72" s="95"/>
      <c r="W72" s="95"/>
      <c r="X72" s="95"/>
      <c r="Y72" s="95"/>
      <c r="Z72" s="95"/>
      <c r="AE72" s="93">
        <f t="shared" si="26"/>
        <v>37829.5</v>
      </c>
      <c r="AF72" s="92">
        <f>Logistic2010!Q72</f>
        <v>0.95751912825764318</v>
      </c>
      <c r="AG72" s="4">
        <f t="shared" si="20"/>
        <v>0.99870950266811021</v>
      </c>
      <c r="AH72" s="92">
        <f>Logistic2011!Q72</f>
        <v>0.98390099930162234</v>
      </c>
      <c r="AI72" s="92">
        <f>Logistic2012!Q72</f>
        <v>0.99870950266811021</v>
      </c>
      <c r="AJ72" s="92">
        <f>Logistic2013!L72</f>
        <v>0.97696670309022537</v>
      </c>
      <c r="AK72" s="119">
        <f>Logistic2014!AK72</f>
        <v>0.97545244534588094</v>
      </c>
      <c r="AL72" s="119">
        <f t="shared" si="27"/>
        <v>0.86547098755737129</v>
      </c>
      <c r="AM72" s="110"/>
      <c r="AN72" s="110"/>
      <c r="AO72" s="110"/>
      <c r="AP72" s="110"/>
      <c r="AQ72" s="110"/>
      <c r="AR72" s="112" t="s">
        <v>36</v>
      </c>
      <c r="AS72" s="112" t="s">
        <v>37</v>
      </c>
      <c r="AT72" s="112" t="s">
        <v>38</v>
      </c>
      <c r="AU72" s="112" t="s">
        <v>39</v>
      </c>
      <c r="AV72" s="112" t="s">
        <v>40</v>
      </c>
      <c r="AW72" s="112" t="s">
        <v>41</v>
      </c>
      <c r="AX72" s="112" t="s">
        <v>42</v>
      </c>
    </row>
    <row r="73" spans="1:50" x14ac:dyDescent="0.25">
      <c r="B73" s="63"/>
      <c r="C73" s="64"/>
      <c r="D73" s="65"/>
      <c r="E73" s="64"/>
      <c r="F73" s="64"/>
      <c r="G73" s="64"/>
      <c r="H73" s="64"/>
      <c r="I73" s="53"/>
      <c r="J73" s="105">
        <f t="shared" si="10"/>
        <v>37830.5</v>
      </c>
      <c r="K73" s="109">
        <v>65</v>
      </c>
      <c r="L73" s="125">
        <f t="shared" ref="L73:L104" si="35">$G$3/(1+EXP(-$G$4*(K73-$G$5)))</f>
        <v>0.88747503251240256</v>
      </c>
      <c r="M73" s="46">
        <f t="shared" si="11"/>
        <v>0.88747503251240256</v>
      </c>
      <c r="N73" s="132">
        <v>0.99600950655454856</v>
      </c>
      <c r="O73" s="89">
        <f t="shared" ref="O73:O104" si="36">IF(N73=M73,N73,M73)</f>
        <v>0.88747503251240256</v>
      </c>
      <c r="P73" s="4">
        <v>40387</v>
      </c>
      <c r="Q73" s="4">
        <v>0.99903079926177196</v>
      </c>
      <c r="U73" s="49">
        <v>40735</v>
      </c>
      <c r="AE73" s="93">
        <f t="shared" si="26"/>
        <v>37830.5</v>
      </c>
      <c r="AF73" s="92">
        <f>Logistic2010!Q73</f>
        <v>0.96494519123476252</v>
      </c>
      <c r="AG73" s="4">
        <f t="shared" si="20"/>
        <v>0.99903079926177196</v>
      </c>
      <c r="AH73" s="92">
        <f>Logistic2011!Q73</f>
        <v>0.98743858120527517</v>
      </c>
      <c r="AI73" s="92">
        <f>Logistic2012!Q73</f>
        <v>0.99903079926177196</v>
      </c>
      <c r="AJ73" s="92">
        <f>Logistic2013!L73</f>
        <v>0.98102036011876015</v>
      </c>
      <c r="AK73" s="119">
        <f>Logistic2014!AK73</f>
        <v>0.97963631693234787</v>
      </c>
      <c r="AL73" s="119">
        <f t="shared" si="27"/>
        <v>0.88747503251240256</v>
      </c>
      <c r="AM73" s="110"/>
      <c r="AN73" s="110"/>
      <c r="AO73" s="110"/>
      <c r="AP73" s="110"/>
      <c r="AQ73" s="110"/>
      <c r="AR73" s="110" t="s">
        <v>43</v>
      </c>
      <c r="AS73" s="110">
        <v>0.17604654545454501</v>
      </c>
      <c r="AT73" s="110">
        <v>1</v>
      </c>
      <c r="AU73" s="110">
        <v>0.17604654545454501</v>
      </c>
      <c r="AV73" s="110">
        <v>1.1344241194471747</v>
      </c>
      <c r="AW73" s="110">
        <v>0.29952392223625568</v>
      </c>
      <c r="AX73" s="110">
        <v>4.351243478421539</v>
      </c>
    </row>
    <row r="74" spans="1:50" x14ac:dyDescent="0.25">
      <c r="B74" s="63"/>
      <c r="C74" s="64"/>
      <c r="D74" s="65"/>
      <c r="E74" s="64"/>
      <c r="F74" s="64"/>
      <c r="G74" s="64"/>
      <c r="H74" s="64"/>
      <c r="I74" s="53"/>
      <c r="J74" s="105">
        <f t="shared" ref="J74:J107" si="37">J73+1</f>
        <v>37831.5</v>
      </c>
      <c r="K74" s="109">
        <v>66</v>
      </c>
      <c r="L74" s="125">
        <f t="shared" si="35"/>
        <v>0.90626979436277777</v>
      </c>
      <c r="M74" s="46">
        <f t="shared" ref="M74:M107" si="38">IF(J75&gt;MAX($B$9:$B$64),L74,N74)</f>
        <v>0.90626979436277777</v>
      </c>
      <c r="N74" s="132">
        <v>0.99693501353750869</v>
      </c>
      <c r="O74" s="89">
        <f t="shared" si="36"/>
        <v>0.90626979436277777</v>
      </c>
      <c r="P74" s="4">
        <v>40388</v>
      </c>
      <c r="Q74" s="4">
        <v>0.99927216057350388</v>
      </c>
      <c r="U74" s="49">
        <v>40736</v>
      </c>
      <c r="V74" s="95"/>
      <c r="W74" s="95"/>
      <c r="X74" s="95"/>
      <c r="Y74" s="95"/>
      <c r="Z74" s="95"/>
      <c r="AE74" s="93">
        <f t="shared" si="26"/>
        <v>37831.5</v>
      </c>
      <c r="AF74" s="92">
        <f>Logistic2010!Q74</f>
        <v>0.97111227157250635</v>
      </c>
      <c r="AG74" s="4">
        <f t="shared" si="20"/>
        <v>0.99927216057350388</v>
      </c>
      <c r="AH74" s="92">
        <f>Logistic2011!Q74</f>
        <v>0.9902065550659539</v>
      </c>
      <c r="AI74" s="92">
        <f>Logistic2012!Q74</f>
        <v>0.99927216057350388</v>
      </c>
      <c r="AJ74" s="92">
        <f>Logistic2013!L74</f>
        <v>0.98437202125506518</v>
      </c>
      <c r="AK74" s="119">
        <f>Logistic2014!AK74</f>
        <v>0.98311943217332176</v>
      </c>
      <c r="AL74" s="119">
        <f t="shared" si="27"/>
        <v>0.90626979436277777</v>
      </c>
      <c r="AR74" s="110" t="s">
        <v>44</v>
      </c>
      <c r="AS74" s="110">
        <v>3.1037165454545459</v>
      </c>
      <c r="AT74" s="110">
        <v>20</v>
      </c>
      <c r="AU74" s="110">
        <v>0.15518582727272728</v>
      </c>
      <c r="AV74" s="110"/>
      <c r="AW74" s="110"/>
      <c r="AX74" s="110"/>
    </row>
    <row r="75" spans="1:50" x14ac:dyDescent="0.25">
      <c r="B75" s="63"/>
      <c r="C75" s="64"/>
      <c r="D75" s="65" t="s">
        <v>46</v>
      </c>
      <c r="E75" s="64"/>
      <c r="F75" s="64"/>
      <c r="G75" s="64"/>
      <c r="H75" s="64"/>
      <c r="I75" s="53"/>
      <c r="J75" s="105">
        <f t="shared" si="37"/>
        <v>37832.5</v>
      </c>
      <c r="K75" s="109">
        <v>67</v>
      </c>
      <c r="L75" s="125">
        <f t="shared" si="35"/>
        <v>0.92220051253709923</v>
      </c>
      <c r="M75" s="46">
        <f t="shared" si="38"/>
        <v>0.92220051253709923</v>
      </c>
      <c r="N75" s="132">
        <v>0.99764637681040835</v>
      </c>
      <c r="O75" s="89">
        <f t="shared" si="36"/>
        <v>0.92220051253709923</v>
      </c>
      <c r="P75" s="4">
        <v>40389</v>
      </c>
      <c r="Q75" s="4">
        <v>0.99945344824920912</v>
      </c>
      <c r="U75" s="49">
        <v>40737</v>
      </c>
      <c r="V75" s="95"/>
      <c r="W75" s="95"/>
      <c r="X75" s="95"/>
      <c r="Y75" s="95"/>
      <c r="Z75" s="95"/>
      <c r="AE75" s="93">
        <f t="shared" si="26"/>
        <v>37832.5</v>
      </c>
      <c r="AF75" s="92">
        <f>Logistic2010!Q75</f>
        <v>0.97622113342645345</v>
      </c>
      <c r="AG75" s="4">
        <f t="shared" si="20"/>
        <v>0.99945344824920912</v>
      </c>
      <c r="AH75" s="92">
        <f>Logistic2011!Q75</f>
        <v>0.99236930496689024</v>
      </c>
      <c r="AI75" s="92">
        <f>Logistic2012!Q75</f>
        <v>0.99945344824920912</v>
      </c>
      <c r="AJ75" s="92">
        <f>Logistic2013!L75</f>
        <v>0.98713956340918307</v>
      </c>
      <c r="AK75" s="119">
        <f>Logistic2014!AK75</f>
        <v>0.98601528129691507</v>
      </c>
      <c r="AL75" s="119">
        <f t="shared" si="27"/>
        <v>0.92220051253709923</v>
      </c>
      <c r="AR75" s="110"/>
      <c r="AS75" s="110"/>
      <c r="AT75" s="110"/>
      <c r="AU75" s="110"/>
      <c r="AV75" s="110"/>
      <c r="AW75" s="110"/>
      <c r="AX75" s="110"/>
    </row>
    <row r="76" spans="1:50" ht="16.5" thickBot="1" x14ac:dyDescent="0.3">
      <c r="B76" s="63"/>
      <c r="C76" s="64"/>
      <c r="D76" s="65">
        <v>4151.6603167552539</v>
      </c>
      <c r="E76" s="64">
        <v>-5.5643801560793964</v>
      </c>
      <c r="F76" s="64"/>
      <c r="G76" s="64"/>
      <c r="H76" s="64"/>
      <c r="I76" s="53"/>
      <c r="J76" s="105">
        <f t="shared" si="37"/>
        <v>37833.5</v>
      </c>
      <c r="K76" s="109">
        <v>68</v>
      </c>
      <c r="L76" s="125">
        <f t="shared" si="35"/>
        <v>0.93561594809732263</v>
      </c>
      <c r="M76" s="46">
        <f t="shared" si="38"/>
        <v>0.93561594809732263</v>
      </c>
      <c r="N76" s="132">
        <v>0.9981929365976735</v>
      </c>
      <c r="O76" s="89">
        <f t="shared" si="36"/>
        <v>0.93561594809732263</v>
      </c>
      <c r="P76" s="4">
        <v>40390</v>
      </c>
      <c r="Q76" s="4">
        <v>0.99958959997534225</v>
      </c>
      <c r="U76" s="49">
        <v>40738</v>
      </c>
      <c r="AE76" s="93">
        <f t="shared" si="26"/>
        <v>37833.5</v>
      </c>
      <c r="AF76" s="92">
        <f>Logistic2010!Q76</f>
        <v>0.98044467529540402</v>
      </c>
      <c r="AG76" s="4">
        <f t="shared" ref="AG76" si="39">AI76</f>
        <v>0.99958959997534225</v>
      </c>
      <c r="AH76" s="92">
        <f>Logistic2011!Q76</f>
        <v>0.99405730717928753</v>
      </c>
      <c r="AI76" s="92">
        <f>Logistic2012!Q76</f>
        <v>0.99958959997534225</v>
      </c>
      <c r="AJ76" s="92">
        <f>Logistic2013!L76</f>
        <v>0.98942227092402102</v>
      </c>
      <c r="AK76" s="119">
        <f>Logistic2014!AK76</f>
        <v>0.98842020100800998</v>
      </c>
      <c r="AL76" s="119">
        <f t="shared" si="27"/>
        <v>0.93561594809732263</v>
      </c>
      <c r="AR76" s="111" t="s">
        <v>45</v>
      </c>
      <c r="AS76" s="111">
        <v>3.2797630909090909</v>
      </c>
      <c r="AT76" s="111">
        <v>21</v>
      </c>
      <c r="AU76" s="111"/>
      <c r="AV76" s="111"/>
      <c r="AW76" s="111"/>
      <c r="AX76" s="111"/>
    </row>
    <row r="77" spans="1:50" ht="16.5" thickBot="1" x14ac:dyDescent="0.3">
      <c r="B77" s="63"/>
      <c r="C77" s="64"/>
      <c r="D77" s="65">
        <v>-5.5643801560793964</v>
      </c>
      <c r="E77" s="64">
        <v>4.8714051609066225</v>
      </c>
      <c r="F77" s="64"/>
      <c r="G77" s="64"/>
      <c r="H77" s="64"/>
      <c r="I77" s="53"/>
      <c r="J77" s="105">
        <f t="shared" si="37"/>
        <v>37834.5</v>
      </c>
      <c r="K77" s="109">
        <v>69</v>
      </c>
      <c r="L77" s="125">
        <f t="shared" si="35"/>
        <v>0.94685140029212012</v>
      </c>
      <c r="M77" s="46">
        <f t="shared" si="38"/>
        <v>0.94685140029212012</v>
      </c>
      <c r="N77" s="132">
        <v>0.99861275043215647</v>
      </c>
      <c r="O77" s="89">
        <f t="shared" si="36"/>
        <v>0.94685140029212012</v>
      </c>
      <c r="P77" s="4">
        <v>40391</v>
      </c>
      <c r="Q77" s="4">
        <v>0.999691845347639</v>
      </c>
      <c r="U77" s="49">
        <v>40739</v>
      </c>
      <c r="V77" s="95"/>
      <c r="W77" s="95"/>
      <c r="X77" s="95"/>
      <c r="Y77" s="95"/>
      <c r="Z77" s="95"/>
    </row>
    <row r="78" spans="1:50" x14ac:dyDescent="0.25">
      <c r="B78" s="63"/>
      <c r="C78" s="64"/>
      <c r="D78" s="65"/>
      <c r="E78" s="64"/>
      <c r="F78" s="64"/>
      <c r="G78" s="64"/>
      <c r="H78" s="64"/>
      <c r="I78" s="53"/>
      <c r="J78" s="105">
        <f t="shared" si="37"/>
        <v>37835.5</v>
      </c>
      <c r="K78" s="109">
        <v>70</v>
      </c>
      <c r="L78" s="125">
        <f t="shared" si="35"/>
        <v>0.95621793915550612</v>
      </c>
      <c r="M78" s="46">
        <f t="shared" si="38"/>
        <v>0.95621793915550612</v>
      </c>
      <c r="N78" s="132">
        <v>0.99893513788942956</v>
      </c>
      <c r="O78" s="89">
        <f t="shared" si="36"/>
        <v>0.95621793915550612</v>
      </c>
      <c r="P78" s="4">
        <v>40392</v>
      </c>
      <c r="Q78" s="4">
        <v>0.99976862362515118</v>
      </c>
      <c r="U78" s="40">
        <v>40740</v>
      </c>
      <c r="V78" s="95"/>
      <c r="W78" s="95"/>
      <c r="X78" s="95"/>
      <c r="Y78" s="95"/>
      <c r="Z78" s="95"/>
    </row>
    <row r="79" spans="1:50" x14ac:dyDescent="0.25">
      <c r="B79" s="63"/>
      <c r="C79" s="64"/>
      <c r="D79" s="65" t="s">
        <v>47</v>
      </c>
      <c r="E79" s="64"/>
      <c r="F79" s="64" t="s">
        <v>8</v>
      </c>
      <c r="G79" s="64"/>
      <c r="H79" s="64"/>
      <c r="I79" s="53"/>
      <c r="J79" s="105">
        <f t="shared" si="37"/>
        <v>37836.5</v>
      </c>
      <c r="K79" s="109">
        <v>71</v>
      </c>
      <c r="L79" s="125">
        <f t="shared" si="35"/>
        <v>0.96399655109581761</v>
      </c>
      <c r="M79" s="46">
        <f t="shared" si="38"/>
        <v>0.96399655109581761</v>
      </c>
      <c r="N79" s="132">
        <v>0.99918266599299976</v>
      </c>
      <c r="O79" s="89">
        <f t="shared" si="36"/>
        <v>0.96399655109581761</v>
      </c>
      <c r="P79" s="4">
        <v>40393</v>
      </c>
      <c r="Q79" s="4">
        <v>0.99982627553397851</v>
      </c>
      <c r="U79" s="49">
        <v>40741</v>
      </c>
    </row>
    <row r="80" spans="1:50" x14ac:dyDescent="0.25">
      <c r="B80" s="63"/>
      <c r="C80" s="64"/>
      <c r="D80" s="65">
        <f t="array" ref="D80:E81">2* 0.611435536720971^2*MINVERSE($D$76:$E$77)</f>
        <v>1.8037440968718963E-4</v>
      </c>
      <c r="E80" s="64">
        <v>2.0603332155216152E-4</v>
      </c>
      <c r="F80" s="64">
        <v>1.3430354041766346E-2</v>
      </c>
      <c r="G80" s="64"/>
      <c r="H80" s="64"/>
      <c r="I80" s="53"/>
      <c r="J80" s="105">
        <f t="shared" si="37"/>
        <v>37837.5</v>
      </c>
      <c r="K80" s="109">
        <v>72</v>
      </c>
      <c r="L80" s="125">
        <f t="shared" si="35"/>
        <v>0.97043589146528242</v>
      </c>
      <c r="M80" s="46">
        <f t="shared" si="38"/>
        <v>0.97043589146528242</v>
      </c>
      <c r="N80" s="132">
        <v>0.99937269211089375</v>
      </c>
      <c r="O80" s="89">
        <f t="shared" si="36"/>
        <v>0.97043589146528242</v>
      </c>
      <c r="P80" s="4">
        <v>40394</v>
      </c>
      <c r="Q80" s="4">
        <v>0.99986956422634365</v>
      </c>
      <c r="U80" s="49">
        <v>40742</v>
      </c>
      <c r="V80" s="95"/>
      <c r="W80" s="95"/>
      <c r="X80" s="95"/>
      <c r="Y80" s="95"/>
      <c r="Z80" s="95"/>
    </row>
    <row r="81" spans="2:41" x14ac:dyDescent="0.25">
      <c r="B81" s="63"/>
      <c r="C81" s="64"/>
      <c r="D81" s="65">
        <v>2.0603332155216152E-4</v>
      </c>
      <c r="E81" s="64">
        <v>0.15372428572890245</v>
      </c>
      <c r="F81" s="71">
        <v>0.39207688752195335</v>
      </c>
      <c r="G81" s="64"/>
      <c r="H81" s="64"/>
      <c r="I81" s="53"/>
      <c r="J81" s="105">
        <f t="shared" si="37"/>
        <v>37838.5</v>
      </c>
      <c r="K81" s="109">
        <v>73</v>
      </c>
      <c r="L81" s="125">
        <f t="shared" si="35"/>
        <v>0.97575250248839906</v>
      </c>
      <c r="M81" s="46">
        <f t="shared" si="38"/>
        <v>0.97575250248839906</v>
      </c>
      <c r="N81" s="132">
        <v>0.99951855938287282</v>
      </c>
      <c r="O81" s="89">
        <f t="shared" si="36"/>
        <v>0.97575250248839906</v>
      </c>
      <c r="P81" s="4">
        <v>40395</v>
      </c>
      <c r="Q81" s="4">
        <v>0.99990206729144204</v>
      </c>
      <c r="U81" s="49">
        <v>40743</v>
      </c>
      <c r="V81" s="95"/>
      <c r="W81" s="95"/>
      <c r="X81" s="95"/>
      <c r="Y81" s="95"/>
      <c r="Z81" s="95"/>
    </row>
    <row r="82" spans="2:41" x14ac:dyDescent="0.25">
      <c r="B82" s="63"/>
      <c r="C82" s="64"/>
      <c r="D82" s="65"/>
      <c r="E82" s="64"/>
      <c r="F82" s="71"/>
      <c r="G82" s="64"/>
      <c r="H82" s="64"/>
      <c r="I82" s="53"/>
      <c r="J82" s="105">
        <f t="shared" si="37"/>
        <v>37839.5</v>
      </c>
      <c r="K82" s="109">
        <v>74</v>
      </c>
      <c r="L82" s="125">
        <f t="shared" si="35"/>
        <v>0.98013258383546453</v>
      </c>
      <c r="M82" s="46">
        <f t="shared" si="38"/>
        <v>0.98013258383546453</v>
      </c>
      <c r="N82" s="132">
        <v>0.99963052082493253</v>
      </c>
      <c r="O82" s="89">
        <f t="shared" si="36"/>
        <v>0.98013258383546453</v>
      </c>
      <c r="P82" s="4">
        <v>40396</v>
      </c>
      <c r="Q82" s="4">
        <v>0.99992647156951309</v>
      </c>
      <c r="U82" s="49">
        <v>40744</v>
      </c>
      <c r="V82" s="95"/>
      <c r="W82" s="95"/>
      <c r="X82" s="95"/>
      <c r="Y82" s="95"/>
      <c r="Z82" s="95"/>
    </row>
    <row r="83" spans="2:41" x14ac:dyDescent="0.25">
      <c r="B83" s="63"/>
      <c r="C83" s="64"/>
      <c r="D83" s="65" t="s">
        <v>48</v>
      </c>
      <c r="E83" s="64"/>
      <c r="F83" s="71"/>
      <c r="G83" s="64"/>
      <c r="H83" s="64"/>
      <c r="I83" s="53"/>
      <c r="J83" s="105">
        <f t="shared" si="37"/>
        <v>37840.5</v>
      </c>
      <c r="K83" s="109">
        <v>75</v>
      </c>
      <c r="L83" s="125">
        <f t="shared" si="35"/>
        <v>0.98373463416330931</v>
      </c>
      <c r="M83" s="46">
        <f t="shared" si="38"/>
        <v>0.98373463416330931</v>
      </c>
      <c r="N83" s="132">
        <v>0.99971645245567509</v>
      </c>
      <c r="O83" s="89">
        <f t="shared" si="36"/>
        <v>0.98373463416330931</v>
      </c>
      <c r="P83" s="4">
        <v>40397</v>
      </c>
      <c r="Q83" s="4">
        <v>0.99994479477502707</v>
      </c>
      <c r="U83" s="94">
        <v>40745</v>
      </c>
    </row>
    <row r="84" spans="2:41" x14ac:dyDescent="0.25">
      <c r="B84" s="63"/>
      <c r="C84" s="64"/>
      <c r="D84" s="65">
        <v>1</v>
      </c>
      <c r="E84" s="64">
        <v>3.9127199142977333E-2</v>
      </c>
      <c r="F84" s="71"/>
      <c r="G84" s="64"/>
      <c r="H84" s="64"/>
      <c r="I84" s="53"/>
      <c r="J84" s="105">
        <f t="shared" si="37"/>
        <v>37841.5</v>
      </c>
      <c r="K84" s="109">
        <v>76</v>
      </c>
      <c r="L84" s="125">
        <f t="shared" si="35"/>
        <v>0.9866924837223503</v>
      </c>
      <c r="M84" s="46">
        <f t="shared" si="38"/>
        <v>0.9866924837223503</v>
      </c>
      <c r="N84" s="132">
        <v>0.99978240288510523</v>
      </c>
      <c r="O84" s="89">
        <f t="shared" si="36"/>
        <v>0.9866924837223503</v>
      </c>
      <c r="P84" s="4">
        <v>40398</v>
      </c>
      <c r="Q84" s="4">
        <v>0.99995855204677475</v>
      </c>
    </row>
    <row r="85" spans="2:41" x14ac:dyDescent="0.25">
      <c r="B85" s="63"/>
      <c r="C85" s="64"/>
      <c r="D85" s="65">
        <v>3.9127199142977333E-2</v>
      </c>
      <c r="E85" s="64">
        <v>1</v>
      </c>
      <c r="F85" s="71"/>
      <c r="G85" s="64"/>
      <c r="H85" s="64"/>
      <c r="I85" s="53"/>
      <c r="J85" s="105">
        <f t="shared" si="37"/>
        <v>37842.5</v>
      </c>
      <c r="K85" s="109">
        <v>77</v>
      </c>
      <c r="L85" s="125">
        <f t="shared" si="35"/>
        <v>0.98911839946237579</v>
      </c>
      <c r="M85" s="46">
        <f t="shared" si="38"/>
        <v>0.98911839946237579</v>
      </c>
      <c r="N85" s="132">
        <v>0.99983301644163747</v>
      </c>
      <c r="O85" s="89">
        <f t="shared" si="36"/>
        <v>0.98911839946237579</v>
      </c>
      <c r="P85" s="4">
        <v>40399</v>
      </c>
      <c r="Q85" s="4">
        <v>0.99996888108077731</v>
      </c>
    </row>
    <row r="86" spans="2:41" x14ac:dyDescent="0.25">
      <c r="B86" s="63"/>
      <c r="C86" s="64"/>
      <c r="D86" s="65"/>
      <c r="E86" s="64"/>
      <c r="F86" s="71"/>
      <c r="G86" s="64"/>
      <c r="H86" s="64"/>
      <c r="I86" s="53"/>
      <c r="J86" s="105">
        <f t="shared" si="37"/>
        <v>37843.5</v>
      </c>
      <c r="K86" s="109">
        <v>78</v>
      </c>
      <c r="L86" s="125">
        <f t="shared" si="35"/>
        <v>0.99110606513953048</v>
      </c>
      <c r="M86" s="46">
        <f t="shared" si="38"/>
        <v>0.99110606513953048</v>
      </c>
      <c r="N86" s="132">
        <v>0.99987185868506689</v>
      </c>
      <c r="O86" s="89">
        <f t="shared" si="36"/>
        <v>0.99110606513953048</v>
      </c>
      <c r="P86" s="4">
        <v>40400</v>
      </c>
      <c r="Q86" s="4">
        <v>0.99997663612879639</v>
      </c>
      <c r="AO86" s="4">
        <v>0.96399999999999997</v>
      </c>
    </row>
    <row r="87" spans="2:41" x14ac:dyDescent="0.25">
      <c r="B87" s="63"/>
      <c r="C87" s="64"/>
      <c r="D87" s="65"/>
      <c r="E87" s="64"/>
      <c r="F87" s="71"/>
      <c r="G87" s="64"/>
      <c r="H87" s="64"/>
      <c r="I87" s="53"/>
      <c r="J87" s="105">
        <f t="shared" si="37"/>
        <v>37844.5</v>
      </c>
      <c r="K87" s="109">
        <v>79</v>
      </c>
      <c r="L87" s="125">
        <f t="shared" si="35"/>
        <v>0.99273332522155544</v>
      </c>
      <c r="M87" s="46">
        <f t="shared" si="38"/>
        <v>0.99273332522155544</v>
      </c>
      <c r="N87" s="132">
        <v>0.9999016666768179</v>
      </c>
      <c r="O87" s="89">
        <f t="shared" si="36"/>
        <v>0.99273332522155544</v>
      </c>
      <c r="P87" s="4">
        <v>40401</v>
      </c>
      <c r="Q87" s="4">
        <v>0.99998245859958268</v>
      </c>
    </row>
    <row r="88" spans="2:41" x14ac:dyDescent="0.25">
      <c r="B88" s="63"/>
      <c r="C88" s="64"/>
      <c r="D88" s="65" t="s">
        <v>46</v>
      </c>
      <c r="E88" s="64"/>
      <c r="F88" s="71"/>
      <c r="G88" s="64"/>
      <c r="H88" s="64"/>
      <c r="I88" s="53"/>
      <c r="J88" s="105">
        <f t="shared" si="37"/>
        <v>37845.5</v>
      </c>
      <c r="K88" s="109">
        <v>80</v>
      </c>
      <c r="L88" s="125">
        <f t="shared" si="35"/>
        <v>0.99406464006771611</v>
      </c>
      <c r="M88" s="46">
        <f t="shared" si="38"/>
        <v>0.99406464006771611</v>
      </c>
      <c r="N88" s="132">
        <v>0.99992454131286057</v>
      </c>
      <c r="O88" s="89">
        <f t="shared" si="36"/>
        <v>0.99406464006771611</v>
      </c>
      <c r="P88" s="4">
        <v>40402</v>
      </c>
      <c r="Q88" s="4">
        <v>0.99998683008139233</v>
      </c>
    </row>
    <row r="89" spans="2:41" x14ac:dyDescent="0.25">
      <c r="B89" s="63"/>
      <c r="C89" s="64"/>
      <c r="D89" s="65">
        <v>9.55619890821783</v>
      </c>
      <c r="E89" s="64">
        <v>-6.9767944351029924E-3</v>
      </c>
      <c r="F89" s="71"/>
      <c r="G89" s="64"/>
      <c r="H89" s="64"/>
      <c r="I89" s="53"/>
      <c r="J89" s="105">
        <f t="shared" si="37"/>
        <v>37846.5</v>
      </c>
      <c r="K89" s="109">
        <v>81</v>
      </c>
      <c r="L89" s="125">
        <f t="shared" si="35"/>
        <v>0.99515323785340815</v>
      </c>
      <c r="M89" s="46">
        <f t="shared" si="38"/>
        <v>0.99515323785340815</v>
      </c>
      <c r="N89" s="132">
        <v>0.99994209508049881</v>
      </c>
      <c r="O89" s="89">
        <f t="shared" si="36"/>
        <v>0.99515323785340815</v>
      </c>
      <c r="P89" s="4">
        <v>40403</v>
      </c>
      <c r="Q89" s="4">
        <v>0.99999011215963096</v>
      </c>
    </row>
    <row r="90" spans="2:41" x14ac:dyDescent="0.25">
      <c r="B90" s="63"/>
      <c r="C90" s="64"/>
      <c r="D90" s="65">
        <v>-6.9767944351029924E-3</v>
      </c>
      <c r="E90" s="64">
        <v>1.5680049670732246E-2</v>
      </c>
      <c r="F90" s="71"/>
      <c r="G90" s="64"/>
      <c r="H90" s="64"/>
      <c r="I90" s="53"/>
      <c r="J90" s="105">
        <f t="shared" si="37"/>
        <v>37847.5</v>
      </c>
      <c r="K90" s="109">
        <v>82</v>
      </c>
      <c r="L90" s="125">
        <f t="shared" si="35"/>
        <v>0.99604297189756608</v>
      </c>
      <c r="M90" s="46">
        <f t="shared" si="38"/>
        <v>0.99604297189756608</v>
      </c>
      <c r="N90" s="132">
        <v>0.99995556554007625</v>
      </c>
      <c r="O90" s="89">
        <f t="shared" si="36"/>
        <v>0.99604297189756608</v>
      </c>
      <c r="P90" s="4">
        <v>40404</v>
      </c>
      <c r="Q90" s="4">
        <v>0.9999925763165205</v>
      </c>
    </row>
    <row r="91" spans="2:41" x14ac:dyDescent="0.25">
      <c r="B91" s="63"/>
      <c r="C91" s="64"/>
      <c r="D91" s="65"/>
      <c r="E91" s="64"/>
      <c r="F91" s="71"/>
      <c r="G91" s="64"/>
      <c r="H91" s="64"/>
      <c r="I91" s="53"/>
      <c r="J91" s="105">
        <f t="shared" si="37"/>
        <v>37848.5</v>
      </c>
      <c r="K91" s="109">
        <v>83</v>
      </c>
      <c r="L91" s="125">
        <f t="shared" si="35"/>
        <v>0.99676990505269947</v>
      </c>
      <c r="M91" s="46">
        <f t="shared" si="38"/>
        <v>0.99676990505269947</v>
      </c>
      <c r="N91" s="132">
        <v>0.99996590246462225</v>
      </c>
      <c r="O91" s="89">
        <f t="shared" si="36"/>
        <v>0.99676990505269947</v>
      </c>
      <c r="P91" s="4">
        <v>40405</v>
      </c>
      <c r="Q91" s="4">
        <v>0.99999442638225311</v>
      </c>
    </row>
    <row r="92" spans="2:41" x14ac:dyDescent="0.25">
      <c r="B92" s="63"/>
      <c r="C92" s="64"/>
      <c r="D92" s="65" t="s">
        <v>47</v>
      </c>
      <c r="E92" s="64"/>
      <c r="F92" s="71" t="s">
        <v>8</v>
      </c>
      <c r="G92" s="64"/>
      <c r="H92" s="64"/>
      <c r="I92" s="53"/>
      <c r="J92" s="105">
        <f t="shared" si="37"/>
        <v>37849.5</v>
      </c>
      <c r="K92" s="109">
        <v>84</v>
      </c>
      <c r="L92" s="125">
        <f t="shared" si="35"/>
        <v>0.9973636490739346</v>
      </c>
      <c r="M92" s="46">
        <f t="shared" si="38"/>
        <v>0.9973636490739346</v>
      </c>
      <c r="N92" s="132">
        <v>0.99997383474166435</v>
      </c>
      <c r="O92" s="89">
        <f t="shared" si="36"/>
        <v>0.9973636490739346</v>
      </c>
      <c r="P92" s="4">
        <v>40406</v>
      </c>
      <c r="Q92" s="4">
        <v>0.99999581539264815</v>
      </c>
    </row>
    <row r="93" spans="2:41" x14ac:dyDescent="0.25">
      <c r="B93" s="63"/>
      <c r="C93" s="64"/>
      <c r="D93" s="65">
        <f t="array" ref="D93:E94">2* 0.0314698233458808^2*MINVERSE($D$89:$E$90)</f>
        <v>2.0733591000214347E-4</v>
      </c>
      <c r="E93" s="64">
        <v>9.2253535765261216E-5</v>
      </c>
      <c r="F93" s="71">
        <v>1.4399163517445848E-2</v>
      </c>
      <c r="G93" s="64"/>
      <c r="H93" s="64"/>
      <c r="I93" s="53"/>
      <c r="J93" s="105">
        <f t="shared" si="37"/>
        <v>37850.5</v>
      </c>
      <c r="K93" s="109">
        <v>85</v>
      </c>
      <c r="L93" s="125">
        <f t="shared" si="35"/>
        <v>0.99784848885732069</v>
      </c>
      <c r="M93" s="46">
        <f t="shared" si="38"/>
        <v>0.99784848885732069</v>
      </c>
      <c r="N93" s="132">
        <v>0.99997992173121009</v>
      </c>
      <c r="O93" s="89">
        <f t="shared" si="36"/>
        <v>0.99784848885732069</v>
      </c>
      <c r="P93" s="4">
        <v>40407</v>
      </c>
      <c r="Q93" s="4">
        <v>0.99999685824657825</v>
      </c>
    </row>
    <row r="94" spans="2:41" x14ac:dyDescent="0.25">
      <c r="B94" s="63"/>
      <c r="C94" s="64"/>
      <c r="D94" s="65">
        <v>9.2253535765261202E-5</v>
      </c>
      <c r="E94" s="64">
        <v>0.12636077298244341</v>
      </c>
      <c r="F94" s="71">
        <v>0.35547260510824658</v>
      </c>
      <c r="G94" s="64"/>
      <c r="H94" s="64"/>
      <c r="I94" s="53"/>
      <c r="J94" s="105">
        <f t="shared" si="37"/>
        <v>37851.5</v>
      </c>
      <c r="K94" s="109">
        <v>86</v>
      </c>
      <c r="L94" s="125">
        <f t="shared" si="35"/>
        <v>0.99824432083241732</v>
      </c>
      <c r="M94" s="46">
        <f t="shared" si="38"/>
        <v>0.99824432083241732</v>
      </c>
      <c r="N94" s="132">
        <v>0.99998459268769502</v>
      </c>
      <c r="O94" s="89">
        <f t="shared" si="36"/>
        <v>0.99824432083241732</v>
      </c>
      <c r="P94" s="4">
        <v>40408</v>
      </c>
      <c r="Q94" s="4">
        <v>0.99999764120951673</v>
      </c>
    </row>
    <row r="95" spans="2:41" x14ac:dyDescent="0.25">
      <c r="B95" s="63"/>
      <c r="C95" s="64"/>
      <c r="D95" s="65"/>
      <c r="E95" s="64"/>
      <c r="F95" s="71"/>
      <c r="G95" s="64"/>
      <c r="H95" s="64"/>
      <c r="I95" s="53"/>
      <c r="J95" s="105">
        <f t="shared" si="37"/>
        <v>37852.5</v>
      </c>
      <c r="K95" s="109">
        <v>87</v>
      </c>
      <c r="L95" s="125">
        <f t="shared" si="35"/>
        <v>0.99856743275202731</v>
      </c>
      <c r="M95" s="46">
        <f t="shared" si="38"/>
        <v>0.99856743275202731</v>
      </c>
      <c r="N95" s="132">
        <v>0.99998817701780018</v>
      </c>
      <c r="O95" s="89">
        <f t="shared" si="36"/>
        <v>0.99856743275202731</v>
      </c>
      <c r="P95" s="4">
        <v>40409</v>
      </c>
      <c r="Q95" s="4">
        <v>0.99999822904897007</v>
      </c>
    </row>
    <row r="96" spans="2:41" x14ac:dyDescent="0.25">
      <c r="B96" s="63"/>
      <c r="C96" s="64"/>
      <c r="D96" s="65" t="s">
        <v>48</v>
      </c>
      <c r="E96" s="64"/>
      <c r="F96" s="71"/>
      <c r="G96" s="64"/>
      <c r="H96" s="64"/>
      <c r="I96" s="53"/>
      <c r="J96" s="105">
        <f t="shared" si="37"/>
        <v>37853.5</v>
      </c>
      <c r="K96" s="109">
        <v>88</v>
      </c>
      <c r="L96" s="125">
        <f t="shared" si="35"/>
        <v>0.99883114938441198</v>
      </c>
      <c r="M96" s="46">
        <f t="shared" si="38"/>
        <v>0.99883114938441198</v>
      </c>
      <c r="N96" s="132">
        <v>0.99999092750320295</v>
      </c>
      <c r="O96" s="89">
        <f t="shared" si="36"/>
        <v>0.99883114938441198</v>
      </c>
      <c r="P96" s="4">
        <v>40410</v>
      </c>
      <c r="Q96" s="4">
        <v>0.99999867039183277</v>
      </c>
    </row>
    <row r="97" spans="2:17" x14ac:dyDescent="0.25">
      <c r="B97" s="63"/>
      <c r="C97" s="64"/>
      <c r="D97" s="65">
        <v>0.99999999999999989</v>
      </c>
      <c r="E97" s="64">
        <v>1.8023520282993657E-2</v>
      </c>
      <c r="F97" s="71"/>
      <c r="G97" s="64"/>
      <c r="H97" s="64"/>
      <c r="I97" s="53"/>
      <c r="J97" s="105">
        <f t="shared" si="37"/>
        <v>37854.5</v>
      </c>
      <c r="K97" s="109">
        <v>89</v>
      </c>
      <c r="L97" s="125">
        <f t="shared" si="35"/>
        <v>0.99904636564429949</v>
      </c>
      <c r="M97" s="46">
        <f t="shared" si="38"/>
        <v>0.99904636564429949</v>
      </c>
      <c r="N97" s="132">
        <v>0.99999303812320184</v>
      </c>
      <c r="O97" s="89">
        <f t="shared" si="36"/>
        <v>0.99904636564429949</v>
      </c>
      <c r="P97" s="4">
        <v>40411</v>
      </c>
      <c r="Q97" s="4">
        <v>0.99999900174671486</v>
      </c>
    </row>
    <row r="98" spans="2:17" x14ac:dyDescent="0.25">
      <c r="B98" s="63"/>
      <c r="C98" s="64"/>
      <c r="D98" s="65">
        <v>1.8023520282993654E-2</v>
      </c>
      <c r="E98" s="64">
        <v>1</v>
      </c>
      <c r="F98" s="71"/>
      <c r="G98" s="64"/>
      <c r="H98" s="64"/>
      <c r="I98" s="53"/>
      <c r="J98" s="105">
        <f t="shared" si="37"/>
        <v>37855.5</v>
      </c>
      <c r="K98" s="109">
        <v>90</v>
      </c>
      <c r="L98" s="125">
        <f t="shared" si="35"/>
        <v>0.99922198577475896</v>
      </c>
      <c r="M98" s="46">
        <f t="shared" si="38"/>
        <v>0.99922198577475896</v>
      </c>
      <c r="N98" s="132">
        <v>0.99999465773250285</v>
      </c>
      <c r="O98" s="89">
        <f t="shared" si="36"/>
        <v>0.99922198577475896</v>
      </c>
      <c r="P98" s="4">
        <v>40412</v>
      </c>
      <c r="Q98" s="4">
        <v>0.99999925052390337</v>
      </c>
    </row>
    <row r="99" spans="2:17" x14ac:dyDescent="0.25">
      <c r="B99" s="63"/>
      <c r="C99" s="64"/>
      <c r="D99" s="65"/>
      <c r="E99" s="64"/>
      <c r="F99" s="71"/>
      <c r="G99" s="64"/>
      <c r="H99" s="64"/>
      <c r="I99" s="53"/>
      <c r="J99" s="105">
        <f t="shared" si="37"/>
        <v>37856.5</v>
      </c>
      <c r="K99" s="109">
        <v>91</v>
      </c>
      <c r="L99" s="125">
        <f t="shared" si="35"/>
        <v>0.99936528446547324</v>
      </c>
      <c r="M99" s="46">
        <f t="shared" si="38"/>
        <v>0.99936528446547324</v>
      </c>
      <c r="N99" s="132">
        <v>0.99999590055784027</v>
      </c>
      <c r="O99" s="89">
        <f t="shared" si="36"/>
        <v>0.99936528446547324</v>
      </c>
      <c r="P99" s="4">
        <v>40413</v>
      </c>
      <c r="Q99" s="4">
        <v>0.99999943730274388</v>
      </c>
    </row>
    <row r="100" spans="2:17" x14ac:dyDescent="0.25">
      <c r="B100" s="63"/>
      <c r="C100" s="64"/>
      <c r="D100" s="65"/>
      <c r="E100" s="64"/>
      <c r="F100" s="71"/>
      <c r="G100" s="64"/>
      <c r="H100" s="64"/>
      <c r="I100" s="53"/>
      <c r="J100" s="105">
        <f t="shared" si="37"/>
        <v>37857.5</v>
      </c>
      <c r="K100" s="109">
        <v>92</v>
      </c>
      <c r="L100" s="125">
        <f t="shared" si="35"/>
        <v>0.9994822033380395</v>
      </c>
      <c r="M100" s="46">
        <f t="shared" si="38"/>
        <v>0.9994822033380395</v>
      </c>
      <c r="N100" s="132">
        <v>0.99999685425314822</v>
      </c>
      <c r="O100" s="89">
        <f t="shared" si="36"/>
        <v>0.9994822033380395</v>
      </c>
      <c r="P100" s="4">
        <v>40414</v>
      </c>
      <c r="Q100" s="4">
        <v>0.99999957753397495</v>
      </c>
    </row>
    <row r="101" spans="2:17" x14ac:dyDescent="0.25">
      <c r="B101" s="63"/>
      <c r="C101" s="64"/>
      <c r="D101" s="65"/>
      <c r="E101" s="64"/>
      <c r="F101" s="71"/>
      <c r="G101" s="64"/>
      <c r="H101" s="64"/>
      <c r="I101" s="53"/>
      <c r="J101" s="105">
        <f t="shared" si="37"/>
        <v>37858.5</v>
      </c>
      <c r="K101" s="109">
        <v>93</v>
      </c>
      <c r="L101" s="125">
        <f t="shared" si="35"/>
        <v>0.99957759407074986</v>
      </c>
      <c r="M101" s="46">
        <f t="shared" si="38"/>
        <v>0.99957759407074986</v>
      </c>
      <c r="N101" s="132">
        <v>0.99999758608106293</v>
      </c>
      <c r="O101" s="89">
        <f t="shared" si="36"/>
        <v>0.99957759407074986</v>
      </c>
      <c r="P101" s="4">
        <v>40415</v>
      </c>
      <c r="Q101" s="4">
        <v>0.99999968281783125</v>
      </c>
    </row>
    <row r="102" spans="2:17" x14ac:dyDescent="0.25">
      <c r="B102" s="63"/>
      <c r="C102" s="64"/>
      <c r="D102" s="65"/>
      <c r="E102" s="64"/>
      <c r="F102" s="71"/>
      <c r="G102" s="64"/>
      <c r="H102" s="64"/>
      <c r="I102" s="53"/>
      <c r="J102" s="105">
        <f t="shared" si="37"/>
        <v>37859.5</v>
      </c>
      <c r="K102" s="109">
        <v>94</v>
      </c>
      <c r="L102" s="125">
        <f t="shared" si="35"/>
        <v>0.99965541757014187</v>
      </c>
      <c r="M102" s="46">
        <f t="shared" si="38"/>
        <v>0.99965541757014187</v>
      </c>
      <c r="N102" s="132">
        <v>0.99999814765652884</v>
      </c>
      <c r="O102" s="89">
        <f t="shared" si="36"/>
        <v>0.99965541757014187</v>
      </c>
      <c r="P102" s="4">
        <v>40416</v>
      </c>
      <c r="Q102" s="4">
        <v>0.99999976186363015</v>
      </c>
    </row>
    <row r="103" spans="2:17" x14ac:dyDescent="0.25">
      <c r="B103" s="63"/>
      <c r="C103" s="64"/>
      <c r="D103" s="65"/>
      <c r="E103" s="64"/>
      <c r="F103" s="71"/>
      <c r="G103" s="64"/>
      <c r="H103" s="64"/>
      <c r="I103" s="53"/>
      <c r="J103" s="105">
        <f t="shared" si="37"/>
        <v>37860.5</v>
      </c>
      <c r="K103" s="109">
        <v>95</v>
      </c>
      <c r="L103" s="125">
        <f t="shared" si="35"/>
        <v>0.99971890700488164</v>
      </c>
      <c r="M103" s="46">
        <f t="shared" si="38"/>
        <v>0.99971890700488164</v>
      </c>
      <c r="N103" s="132">
        <v>0.99999857858694674</v>
      </c>
      <c r="O103" s="89">
        <f t="shared" si="36"/>
        <v>0.99971890700488164</v>
      </c>
      <c r="P103" s="4">
        <v>40417</v>
      </c>
      <c r="Q103" s="4">
        <v>0.99999982121022213</v>
      </c>
    </row>
    <row r="104" spans="2:17" x14ac:dyDescent="0.25">
      <c r="B104" s="63"/>
      <c r="C104" s="64"/>
      <c r="D104" s="65"/>
      <c r="E104" s="64"/>
      <c r="F104" s="71"/>
      <c r="G104" s="64"/>
      <c r="H104" s="64"/>
      <c r="I104" s="53"/>
      <c r="J104" s="105">
        <f t="shared" si="37"/>
        <v>37861.5</v>
      </c>
      <c r="K104" s="109">
        <v>96</v>
      </c>
      <c r="L104" s="125">
        <f t="shared" si="35"/>
        <v>0.99977070117203615</v>
      </c>
      <c r="M104" s="46">
        <f t="shared" si="38"/>
        <v>0.99977070117203615</v>
      </c>
      <c r="N104" s="132">
        <v>0.99999890926553481</v>
      </c>
      <c r="O104" s="89">
        <f t="shared" si="36"/>
        <v>0.99977070117203615</v>
      </c>
      <c r="P104" s="4">
        <v>40418</v>
      </c>
      <c r="Q104" s="4">
        <v>0.99999986576689559</v>
      </c>
    </row>
    <row r="105" spans="2:17" x14ac:dyDescent="0.25">
      <c r="B105" s="63"/>
      <c r="C105" s="64"/>
      <c r="D105" s="65"/>
      <c r="E105" s="64"/>
      <c r="F105" s="71"/>
      <c r="G105" s="64"/>
      <c r="H105" s="64"/>
      <c r="I105" s="53"/>
      <c r="J105" s="105">
        <f t="shared" si="37"/>
        <v>37862.5</v>
      </c>
      <c r="K105" s="109">
        <v>97</v>
      </c>
      <c r="L105" s="125">
        <f>$G$3/(1+EXP(-$G$4*(K105-$G$5)))</f>
        <v>0.9998129535367295</v>
      </c>
      <c r="M105" s="46">
        <f t="shared" si="38"/>
        <v>0.9998129535367295</v>
      </c>
      <c r="N105" s="132">
        <v>0.99999916301487501</v>
      </c>
      <c r="O105" s="89">
        <f>IF(N105=M105,N105,M105)</f>
        <v>0.9998129535367295</v>
      </c>
      <c r="P105" s="4">
        <v>40419</v>
      </c>
      <c r="Q105" s="4">
        <v>0.99999989921948373</v>
      </c>
    </row>
    <row r="106" spans="2:17" x14ac:dyDescent="0.25">
      <c r="B106" s="63"/>
      <c r="C106" s="64"/>
      <c r="D106" s="65"/>
      <c r="E106" s="64"/>
      <c r="F106" s="71"/>
      <c r="G106" s="64"/>
      <c r="H106" s="64"/>
      <c r="I106" s="53"/>
      <c r="J106" s="105">
        <f t="shared" si="37"/>
        <v>37863.5</v>
      </c>
      <c r="K106" s="109">
        <v>98</v>
      </c>
      <c r="L106" s="125">
        <f>$G$3/(1+EXP(-$G$4*(K106-$G$5)))</f>
        <v>0.99984742134411575</v>
      </c>
      <c r="M106" s="46">
        <f t="shared" si="38"/>
        <v>0.99984742134411575</v>
      </c>
      <c r="N106" s="132">
        <v>0.99999935773180315</v>
      </c>
      <c r="O106" s="89">
        <f>IF(N106=M106,N106,M106)</f>
        <v>0.99984742134411575</v>
      </c>
      <c r="P106" s="4">
        <v>40420</v>
      </c>
      <c r="Q106" s="4">
        <v>0.99999992433526419</v>
      </c>
    </row>
    <row r="107" spans="2:17" x14ac:dyDescent="0.25">
      <c r="B107" s="63"/>
      <c r="C107" s="64"/>
      <c r="D107" s="65"/>
      <c r="E107" s="64"/>
      <c r="F107" s="71"/>
      <c r="G107" s="64"/>
      <c r="H107" s="64"/>
      <c r="I107" s="53"/>
      <c r="J107" s="105">
        <f t="shared" si="37"/>
        <v>37864.5</v>
      </c>
      <c r="K107" s="109">
        <v>99</v>
      </c>
      <c r="L107" s="125">
        <f>$G$3/(1+EXP(-$G$4*(K107-$G$5)))</f>
        <v>0.9998755384200656</v>
      </c>
      <c r="M107" s="46">
        <f t="shared" si="38"/>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controls>
    <mc:AlternateContent xmlns:mc="http://schemas.openxmlformats.org/markup-compatibility/2006">
      <mc:Choice Requires="x14">
        <control shapeId="47105" r:id="rId4" name="CommandButton1">
          <controlPr defaultSize="0" autoLine="0" r:id="rId5">
            <anchor moveWithCells="1">
              <from>
                <xdr:col>4</xdr:col>
                <xdr:colOff>114300</xdr:colOff>
                <xdr:row>4</xdr:row>
                <xdr:rowOff>0</xdr:rowOff>
              </from>
              <to>
                <xdr:col>4</xdr:col>
                <xdr:colOff>1790700</xdr:colOff>
                <xdr:row>5</xdr:row>
                <xdr:rowOff>152400</xdr:rowOff>
              </to>
            </anchor>
          </controlPr>
        </control>
      </mc:Choice>
      <mc:Fallback>
        <control shapeId="47105" r:id="rId4" name="CommandButton1"/>
      </mc:Fallback>
    </mc:AlternateContent>
  </control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S146"/>
  <sheetViews>
    <sheetView topLeftCell="I1" zoomScaleNormal="100" workbookViewId="0">
      <selection activeCell="AD116" sqref="AD116"/>
    </sheetView>
  </sheetViews>
  <sheetFormatPr defaultRowHeight="15.75" x14ac:dyDescent="0.25"/>
  <cols>
    <col min="21" max="21" width="15.875" bestFit="1" customWidth="1"/>
    <col min="22" max="22" width="9.625" bestFit="1" customWidth="1"/>
    <col min="42" max="42" width="12.5" bestFit="1" customWidth="1"/>
  </cols>
  <sheetData>
    <row r="4" spans="1:45" x14ac:dyDescent="0.25">
      <c r="Q4" s="135" t="s">
        <v>53</v>
      </c>
    </row>
    <row r="5" spans="1:45" x14ac:dyDescent="0.25">
      <c r="C5">
        <v>2018</v>
      </c>
      <c r="D5">
        <v>2017</v>
      </c>
      <c r="E5">
        <v>2016</v>
      </c>
      <c r="F5">
        <v>2015</v>
      </c>
      <c r="G5">
        <v>2014</v>
      </c>
      <c r="H5">
        <v>2013</v>
      </c>
      <c r="I5">
        <v>2012</v>
      </c>
      <c r="J5">
        <v>2011</v>
      </c>
      <c r="K5">
        <v>2010</v>
      </c>
      <c r="L5">
        <v>2008</v>
      </c>
      <c r="M5">
        <v>2007</v>
      </c>
      <c r="N5">
        <v>2006</v>
      </c>
      <c r="S5" s="135" t="s">
        <v>51</v>
      </c>
      <c r="T5" s="135" t="s">
        <v>52</v>
      </c>
    </row>
    <row r="6" spans="1:45" x14ac:dyDescent="0.25">
      <c r="A6" s="134">
        <v>42149</v>
      </c>
      <c r="B6" s="136">
        <f>Logistic2014!K9</f>
        <v>1</v>
      </c>
      <c r="C6" s="133">
        <f>'Logistic 2018'!L9</f>
        <v>1.9572930470528326E-6</v>
      </c>
      <c r="D6" s="140">
        <f>'Logistic 2017'!L9</f>
        <v>6.2810268233822917E-4</v>
      </c>
      <c r="E6" s="140">
        <f>'Logistic 2016'!L9</f>
        <v>5.4567010890120445E-5</v>
      </c>
      <c r="F6" s="140">
        <f>'Logistic 2015'!L9</f>
        <v>1.7170216429653574E-5</v>
      </c>
      <c r="G6" s="133">
        <f>Logistic2014!L9</f>
        <v>2.3411176981798289E-4</v>
      </c>
      <c r="H6" s="133">
        <f>Logistic2013!L9</f>
        <v>1.6514633949483483E-4</v>
      </c>
      <c r="I6" s="133">
        <f>Logistic2012!L9</f>
        <v>1.3047124400263937E-5</v>
      </c>
      <c r="J6" s="133">
        <f>Logistic2011!L9</f>
        <v>7.836471740093746E-6</v>
      </c>
      <c r="K6" s="133">
        <f>Logistic2010!L9</f>
        <v>8.5022378766966617E-5</v>
      </c>
      <c r="L6" s="149">
        <f>'Logistic 2008'!L9</f>
        <v>4.9115396781314151E-4</v>
      </c>
      <c r="M6" s="149">
        <f>'Logistic 2007'!L9</f>
        <v>1.3692230767313023E-5</v>
      </c>
      <c r="N6" s="149">
        <f>'Logistic 2006'!L9</f>
        <v>1.2136687818076173E-4</v>
      </c>
      <c r="O6" s="133"/>
      <c r="Q6" s="133">
        <f t="shared" ref="Q6:Q37" si="0">AVERAGE(D6:K6)</f>
        <v>1.5062549923476815E-4</v>
      </c>
      <c r="R6" s="133"/>
      <c r="S6" s="133"/>
      <c r="T6" s="133"/>
      <c r="U6" s="137"/>
      <c r="V6" s="137"/>
    </row>
    <row r="7" spans="1:45" x14ac:dyDescent="0.25">
      <c r="A7" s="134">
        <v>42150</v>
      </c>
      <c r="B7" s="136">
        <f>Logistic2014!K10</f>
        <v>2</v>
      </c>
      <c r="C7" s="133">
        <f>'Logistic 2018'!L10</f>
        <v>2.4669709330491471E-6</v>
      </c>
      <c r="D7" s="140">
        <f>'Logistic 2017'!L10</f>
        <v>7.2966559960320053E-4</v>
      </c>
      <c r="E7" s="140">
        <f>'Logistic 2016'!L10</f>
        <v>6.7373238456564966E-5</v>
      </c>
      <c r="F7" s="140">
        <f>'Logistic 2015'!L10</f>
        <v>2.1049644832087176E-5</v>
      </c>
      <c r="G7" s="133">
        <f>Logistic2014!L10</f>
        <v>2.8340826727151088E-4</v>
      </c>
      <c r="H7" s="133">
        <f>Logistic2013!L10</f>
        <v>2.0124248390877318E-4</v>
      </c>
      <c r="I7" s="133">
        <f>Logistic2012!L10</f>
        <v>1.7293316460842745E-5</v>
      </c>
      <c r="J7" s="133">
        <f>Logistic2011!L10</f>
        <v>1.0064370839566216E-5</v>
      </c>
      <c r="K7" s="133">
        <f>Logistic2010!L10</f>
        <v>1.035310256575905E-4</v>
      </c>
      <c r="L7" s="149">
        <f>'Logistic 2008'!L10</f>
        <v>5.8721032738094322E-4</v>
      </c>
      <c r="M7" s="149">
        <f>'Logistic 2007'!L10</f>
        <v>1.7848748479884167E-5</v>
      </c>
      <c r="N7" s="149">
        <f>'Logistic 2006'!L10</f>
        <v>1.454767462997331E-4</v>
      </c>
      <c r="O7" s="133"/>
      <c r="Q7" s="133">
        <f t="shared" si="0"/>
        <v>1.7920349337876703E-4</v>
      </c>
      <c r="R7" s="133"/>
      <c r="S7" s="133"/>
      <c r="T7" s="133"/>
      <c r="U7" s="137"/>
      <c r="V7" s="137"/>
      <c r="AM7" s="137">
        <f t="shared" ref="AM7:AM58" si="1">B22</f>
        <v>17</v>
      </c>
      <c r="AN7" s="134">
        <v>42165</v>
      </c>
      <c r="AO7">
        <v>5.3146144845662704E-3</v>
      </c>
      <c r="AP7" s="144">
        <f>AVERAGE(AO5:AO9)</f>
        <v>2.4963330434763842E-2</v>
      </c>
      <c r="AS7" s="134"/>
    </row>
    <row r="8" spans="1:45" x14ac:dyDescent="0.25">
      <c r="A8" s="134">
        <v>42151</v>
      </c>
      <c r="B8" s="136">
        <f>Logistic2014!K11</f>
        <v>3</v>
      </c>
      <c r="C8" s="133">
        <f>'Logistic 2018'!L11</f>
        <v>3.1093682092961121E-6</v>
      </c>
      <c r="D8" s="140">
        <f>'Logistic 2017'!L11</f>
        <v>8.4763710348795935E-4</v>
      </c>
      <c r="E8" s="140">
        <f>'Logistic 2016'!L11</f>
        <v>8.3184685088893813E-5</v>
      </c>
      <c r="F8" s="140">
        <f>'Logistic 2015'!L11</f>
        <v>2.5805566341741293E-5</v>
      </c>
      <c r="G8" s="133">
        <f>Logistic2014!L11</f>
        <v>3.4308147807959839E-4</v>
      </c>
      <c r="H8" s="133">
        <f>Logistic2013!L11</f>
        <v>2.4522625138307812E-4</v>
      </c>
      <c r="I8" s="133">
        <f>Logistic2012!L11</f>
        <v>2.2921401816876036E-5</v>
      </c>
      <c r="J8" s="133">
        <f>Logistic2011!L11</f>
        <v>1.2925650675246917E-5</v>
      </c>
      <c r="K8" s="133">
        <f>Logistic2010!L11</f>
        <v>1.2606833916263888E-4</v>
      </c>
      <c r="L8" s="149">
        <f>'Logistic 2008'!L11</f>
        <v>7.0203950370174926E-4</v>
      </c>
      <c r="M8" s="149">
        <f>'Logistic 2007'!L11</f>
        <v>2.3267020964710778E-5</v>
      </c>
      <c r="N8" s="149">
        <f>'Logistic 2006'!L11</f>
        <v>1.7437527154875112E-4</v>
      </c>
      <c r="O8" s="133"/>
      <c r="Q8" s="133">
        <f t="shared" si="0"/>
        <v>2.1335630950450411E-4</v>
      </c>
      <c r="R8" s="133">
        <f t="shared" ref="R8:R70" si="2">1-Q8</f>
        <v>0.99978664369049552</v>
      </c>
      <c r="S8" s="133"/>
      <c r="T8" s="133"/>
      <c r="U8" s="137"/>
      <c r="V8" s="137"/>
      <c r="AM8" s="137">
        <f t="shared" si="1"/>
        <v>18</v>
      </c>
      <c r="AN8" s="134">
        <v>42166</v>
      </c>
      <c r="AO8">
        <v>3.4350697761845399E-2</v>
      </c>
      <c r="AP8" s="144">
        <f t="shared" ref="AP8:AP58" si="3">AVERAGE(AO6:AO10)</f>
        <v>2.7528667590542844E-2</v>
      </c>
      <c r="AS8" s="134"/>
    </row>
    <row r="9" spans="1:45" x14ac:dyDescent="0.25">
      <c r="A9" s="134">
        <v>42152</v>
      </c>
      <c r="B9" s="136">
        <f>Logistic2014!K12</f>
        <v>4</v>
      </c>
      <c r="C9" s="133">
        <f>'Logistic 2018'!L12</f>
        <v>3.919044571692126E-6</v>
      </c>
      <c r="D9" s="140">
        <f>'Logistic 2017'!L12</f>
        <v>9.8466331119742329E-4</v>
      </c>
      <c r="E9" s="140">
        <f>'Logistic 2016'!L12</f>
        <v>1.0270645011768952E-4</v>
      </c>
      <c r="F9" s="140">
        <f>'Logistic 2015'!L12</f>
        <v>3.1635998799364258E-5</v>
      </c>
      <c r="G9" s="133">
        <f>Logistic2014!L12</f>
        <v>4.1531400063546034E-4</v>
      </c>
      <c r="H9" s="133">
        <f>Logistic2013!L12</f>
        <v>2.9882028383729665E-4</v>
      </c>
      <c r="I9" s="133">
        <f>Logistic2012!L12</f>
        <v>3.0381083934500269E-5</v>
      </c>
      <c r="J9" s="133">
        <f>Logistic2011!L12</f>
        <v>1.6600372952710151E-5</v>
      </c>
      <c r="K9" s="133">
        <f>Logistic2010!L12</f>
        <v>1.5351096984987485E-4</v>
      </c>
      <c r="L9" s="149">
        <f>'Logistic 2008'!L12</f>
        <v>8.3930470637357565E-4</v>
      </c>
      <c r="M9" s="149">
        <f>'Logistic 2007'!L12</f>
        <v>3.0330046655473192E-5</v>
      </c>
      <c r="N9" s="149">
        <f>'Logistic 2006'!L12</f>
        <v>2.0901320330298033E-4</v>
      </c>
      <c r="O9" s="133"/>
      <c r="Q9" s="133">
        <f t="shared" si="0"/>
        <v>2.5420405891553993E-4</v>
      </c>
      <c r="R9" s="133">
        <f t="shared" si="2"/>
        <v>0.99974579594108448</v>
      </c>
      <c r="S9" s="133"/>
      <c r="T9" s="133"/>
      <c r="U9" s="137"/>
      <c r="V9" s="137"/>
      <c r="AM9" s="137">
        <f t="shared" si="1"/>
        <v>19</v>
      </c>
      <c r="AN9" s="134">
        <v>42167</v>
      </c>
      <c r="AO9">
        <f>AVERAGE(AO8,AO11)</f>
        <v>3.5224679057879849E-2</v>
      </c>
      <c r="AP9" s="144">
        <f t="shared" si="3"/>
        <v>2.9242666143217133E-2</v>
      </c>
    </row>
    <row r="10" spans="1:45" x14ac:dyDescent="0.25">
      <c r="A10" s="134">
        <v>42153</v>
      </c>
      <c r="B10" s="136">
        <f>Logistic2014!K13</f>
        <v>5</v>
      </c>
      <c r="C10" s="133">
        <f>'Logistic 2018'!L13</f>
        <v>4.9395588051377941E-6</v>
      </c>
      <c r="D10" s="140">
        <f>'Logistic 2017'!L13</f>
        <v>1.14381536358425E-3</v>
      </c>
      <c r="E10" s="140">
        <f>'Logistic 2016'!L13</f>
        <v>1.2680899799840468E-4</v>
      </c>
      <c r="F10" s="140">
        <f>'Logistic 2015'!L13</f>
        <v>3.8783690632277242E-5</v>
      </c>
      <c r="G10" s="133">
        <f>Logistic2014!L13</f>
        <v>5.0274674135478853E-4</v>
      </c>
      <c r="H10" s="133">
        <f>Logistic2013!L13</f>
        <v>3.6412299007382412E-4</v>
      </c>
      <c r="I10" s="133">
        <f>Logistic2012!L13</f>
        <v>4.0268393161481414E-5</v>
      </c>
      <c r="J10" s="133">
        <f>Logistic2011!L13</f>
        <v>2.1319785068892179E-5</v>
      </c>
      <c r="K10" s="133">
        <f>Logistic2010!L13</f>
        <v>1.8692621184091302E-4</v>
      </c>
      <c r="L10" s="149">
        <f>'Logistic 2008'!L13</f>
        <v>1.0033815300921221E-3</v>
      </c>
      <c r="M10" s="149">
        <f>'Logistic 2007'!L13</f>
        <v>3.9537066610860712E-5</v>
      </c>
      <c r="N10" s="149">
        <f>'Logistic 2006'!L13</f>
        <v>2.5052989527816132E-4</v>
      </c>
      <c r="O10" s="133"/>
      <c r="Q10" s="133">
        <f t="shared" si="0"/>
        <v>3.0309902171435387E-4</v>
      </c>
      <c r="R10" s="133">
        <f t="shared" si="2"/>
        <v>0.99969690097828567</v>
      </c>
      <c r="S10" s="133"/>
      <c r="T10" s="133"/>
      <c r="U10" s="137"/>
      <c r="V10" s="137"/>
      <c r="AM10" s="137">
        <f t="shared" si="1"/>
        <v>20</v>
      </c>
      <c r="AN10" s="134">
        <v>42168</v>
      </c>
      <c r="AO10">
        <f>AO9</f>
        <v>3.5224679057879849E-2</v>
      </c>
      <c r="AP10" s="144">
        <f t="shared" si="3"/>
        <v>3.1963207947075405E-2</v>
      </c>
    </row>
    <row r="11" spans="1:45" x14ac:dyDescent="0.25">
      <c r="A11" s="134">
        <v>42154</v>
      </c>
      <c r="B11" s="136">
        <f>Logistic2014!K14</f>
        <v>6</v>
      </c>
      <c r="C11" s="133">
        <f>'Logistic 2018'!L14</f>
        <v>6.2258119955462864E-6</v>
      </c>
      <c r="D11" s="140">
        <f>'Logistic 2017'!L14</f>
        <v>1.3286570992016391E-3</v>
      </c>
      <c r="E11" s="140">
        <f>'Logistic 2016'!L14</f>
        <v>1.5656690490945612E-4</v>
      </c>
      <c r="F11" s="140">
        <f>'Logistic 2015'!L14</f>
        <v>4.7546222245428585E-5</v>
      </c>
      <c r="G11" s="133">
        <f>Logistic2014!L14</f>
        <v>6.0857479252525697E-4</v>
      </c>
      <c r="H11" s="133">
        <f>Logistic2013!L14</f>
        <v>4.436902928409236E-4</v>
      </c>
      <c r="I11" s="133">
        <f>Logistic2012!L14</f>
        <v>5.3373285608644894E-5</v>
      </c>
      <c r="J11" s="133">
        <f>Logistic2011!L14</f>
        <v>2.7380868298470043E-5</v>
      </c>
      <c r="K11" s="133">
        <f>Logistic2010!L14</f>
        <v>2.2761340456733088E-4</v>
      </c>
      <c r="L11" s="149">
        <f>'Logistic 2008'!L14</f>
        <v>1.1994954493852676E-3</v>
      </c>
      <c r="M11" s="149">
        <f>'Logistic 2007'!L14</f>
        <v>5.1538834902200428E-5</v>
      </c>
      <c r="N11" s="149">
        <f>'Logistic 2006'!L14</f>
        <v>3.0029065023805794E-4</v>
      </c>
      <c r="O11" s="133"/>
      <c r="Q11" s="133">
        <f t="shared" si="0"/>
        <v>3.6167535877464378E-4</v>
      </c>
      <c r="R11" s="133">
        <f t="shared" si="2"/>
        <v>0.99963832464122537</v>
      </c>
      <c r="S11" s="133"/>
      <c r="T11" s="133"/>
      <c r="U11" s="137"/>
      <c r="V11" s="137"/>
      <c r="AM11" s="137">
        <f t="shared" si="1"/>
        <v>21</v>
      </c>
      <c r="AN11" s="134">
        <v>42169</v>
      </c>
      <c r="AO11">
        <v>3.6098660353914298E-2</v>
      </c>
      <c r="AP11" s="144">
        <f t="shared" si="3"/>
        <v>2.8876533095477851E-2</v>
      </c>
    </row>
    <row r="12" spans="1:45" x14ac:dyDescent="0.25">
      <c r="A12" s="134">
        <v>42155</v>
      </c>
      <c r="B12" s="136">
        <f>Logistic2014!K15</f>
        <v>7</v>
      </c>
      <c r="C12" s="133">
        <f>'Logistic 2018'!L15</f>
        <v>7.84700082547019E-6</v>
      </c>
      <c r="D12" s="140">
        <f>'Logistic 2017'!L15</f>
        <v>1.5433232960257708E-3</v>
      </c>
      <c r="E12" s="140">
        <f>'Logistic 2016'!L15</f>
        <v>1.9330666513183464E-4</v>
      </c>
      <c r="F12" s="140">
        <f>'Logistic 2015'!L15</f>
        <v>5.8288387136114664E-5</v>
      </c>
      <c r="G12" s="133">
        <f>Logistic2014!L15</f>
        <v>7.3666320070702633E-4</v>
      </c>
      <c r="H12" s="133">
        <f>Logistic2013!L15</f>
        <v>5.4063505283763783E-4</v>
      </c>
      <c r="I12" s="133">
        <f>Logistic2012!L15</f>
        <v>7.0742715149375355E-5</v>
      </c>
      <c r="J12" s="133">
        <f>Logistic2011!L15</f>
        <v>3.5165019463385926E-5</v>
      </c>
      <c r="K12" s="133">
        <f>Logistic2010!L15</f>
        <v>2.7715429809603467E-4</v>
      </c>
      <c r="L12" s="149">
        <f>'Logistic 2008'!L15</f>
        <v>1.433885402874883E-3</v>
      </c>
      <c r="M12" s="149">
        <f>'Logistic 2007'!L15</f>
        <v>6.7183583738013395E-5</v>
      </c>
      <c r="N12" s="149">
        <f>'Logistic 2006'!L15</f>
        <v>3.599314287779756E-4</v>
      </c>
      <c r="O12" s="133"/>
      <c r="Q12" s="133">
        <f t="shared" si="0"/>
        <v>4.3190982931839755E-4</v>
      </c>
      <c r="R12" s="133">
        <f t="shared" si="2"/>
        <v>0.9995680901706816</v>
      </c>
      <c r="S12" s="133"/>
      <c r="T12" s="133"/>
      <c r="U12" s="137"/>
      <c r="V12" s="137"/>
      <c r="AM12" s="137">
        <f t="shared" si="1"/>
        <v>22</v>
      </c>
      <c r="AN12" s="134">
        <v>42170</v>
      </c>
      <c r="AO12">
        <f>AVERAGE(AO11,AO14)</f>
        <v>1.8917323503857629E-2</v>
      </c>
      <c r="AP12" s="144">
        <f t="shared" si="3"/>
        <v>2.2178794614662076E-2</v>
      </c>
    </row>
    <row r="13" spans="1:45" x14ac:dyDescent="0.25">
      <c r="A13" s="134">
        <v>42156</v>
      </c>
      <c r="B13" s="136">
        <f>Logistic2014!K16</f>
        <v>8</v>
      </c>
      <c r="C13" s="133">
        <f>'Logistic 2018'!L16</f>
        <v>9.8903397668447557E-6</v>
      </c>
      <c r="D13" s="140">
        <f>'Logistic 2017'!L16</f>
        <v>1.7926100581472778E-3</v>
      </c>
      <c r="E13" s="140">
        <f>'Logistic 2016'!L16</f>
        <v>2.3866566566067658E-4</v>
      </c>
      <c r="F13" s="140">
        <f>'Logistic 2015'!L16</f>
        <v>7.1457366502029548E-5</v>
      </c>
      <c r="G13" s="133">
        <f>Logistic2014!L16</f>
        <v>8.9168667425910237E-4</v>
      </c>
      <c r="H13" s="133">
        <f>Logistic2013!L16</f>
        <v>6.5874794022489089E-4</v>
      </c>
      <c r="I13" s="133">
        <f>Logistic2012!L16</f>
        <v>9.376420056852192E-5</v>
      </c>
      <c r="J13" s="133">
        <f>Logistic2011!L16</f>
        <v>4.516203955995761E-5</v>
      </c>
      <c r="K13" s="133">
        <f>Logistic2010!L16</f>
        <v>3.3747430933301909E-4</v>
      </c>
      <c r="L13" s="149">
        <f>'Logistic 2008'!L16</f>
        <v>1.7139982246672178E-3</v>
      </c>
      <c r="M13" s="149">
        <f>'Logistic 2007'!L16</f>
        <v>8.7576921290056169E-5</v>
      </c>
      <c r="N13" s="149">
        <f>'Logistic 2006'!L16</f>
        <v>4.3141236104103273E-4</v>
      </c>
      <c r="O13" s="133"/>
      <c r="Q13" s="133">
        <f t="shared" si="0"/>
        <v>5.1619603178193452E-4</v>
      </c>
      <c r="R13" s="133">
        <f t="shared" si="2"/>
        <v>0.99948380396821812</v>
      </c>
      <c r="S13" s="133"/>
      <c r="T13" s="133"/>
      <c r="U13" s="137"/>
      <c r="V13" s="137"/>
      <c r="AM13" s="137">
        <f t="shared" si="1"/>
        <v>23</v>
      </c>
      <c r="AN13" s="134">
        <v>42171</v>
      </c>
      <c r="AO13">
        <f>AO12</f>
        <v>1.8917323503857629E-2</v>
      </c>
      <c r="AP13" s="144">
        <f t="shared" si="3"/>
        <v>2.3566481835453085E-2</v>
      </c>
    </row>
    <row r="14" spans="1:45" x14ac:dyDescent="0.25">
      <c r="A14" s="134">
        <v>42157</v>
      </c>
      <c r="B14" s="136">
        <f>Logistic2014!K17</f>
        <v>9</v>
      </c>
      <c r="C14" s="133">
        <f>'Logistic 2018'!L17</f>
        <v>1.2465752308612508E-5</v>
      </c>
      <c r="D14" s="140">
        <f>'Logistic 2017'!L17</f>
        <v>2.0820791342632487E-3</v>
      </c>
      <c r="E14" s="140">
        <f>'Logistic 2016'!L17</f>
        <v>2.9466492298187109E-4</v>
      </c>
      <c r="F14" s="140">
        <f>'Logistic 2015'!L17</f>
        <v>8.7601326531770458E-5</v>
      </c>
      <c r="G14" s="133">
        <f>Logistic2014!L17</f>
        <v>1.0792980661665267E-3</v>
      </c>
      <c r="H14" s="133">
        <f>Logistic2013!L17</f>
        <v>8.0264430321866907E-4</v>
      </c>
      <c r="I14" s="133">
        <f>Logistic2012!L17</f>
        <v>1.2427653391392171E-4</v>
      </c>
      <c r="J14" s="133">
        <f>Logistic2011!L17</f>
        <v>5.8000935347062004E-5</v>
      </c>
      <c r="K14" s="133">
        <f>Logistic2010!L17</f>
        <v>4.1091700437125326E-4</v>
      </c>
      <c r="L14" s="149">
        <f>'Logistic 2008'!L17</f>
        <v>2.0487194641742226E-3</v>
      </c>
      <c r="M14" s="149">
        <f>'Logistic 2007'!L17</f>
        <v>1.1415987708567967E-4</v>
      </c>
      <c r="N14" s="149">
        <f>'Logistic 2006'!L17</f>
        <v>5.1708177554267367E-4</v>
      </c>
      <c r="O14" s="133"/>
      <c r="Q14" s="133">
        <f t="shared" si="0"/>
        <v>6.1743527834929029E-4</v>
      </c>
      <c r="R14" s="133">
        <f t="shared" si="2"/>
        <v>0.99938256472165066</v>
      </c>
      <c r="S14" s="133"/>
      <c r="T14" s="133"/>
      <c r="U14" s="137"/>
      <c r="V14" s="137"/>
      <c r="AM14" s="137">
        <f t="shared" si="1"/>
        <v>24</v>
      </c>
      <c r="AN14" s="134">
        <v>42172</v>
      </c>
      <c r="AO14">
        <v>1.7359866538009599E-3</v>
      </c>
      <c r="AP14" s="144">
        <f t="shared" si="3"/>
        <v>2.1928711813479596E-2</v>
      </c>
    </row>
    <row r="15" spans="1:45" x14ac:dyDescent="0.25">
      <c r="A15" s="134">
        <v>42158</v>
      </c>
      <c r="B15" s="136">
        <f>Logistic2014!K18</f>
        <v>10</v>
      </c>
      <c r="C15" s="133">
        <f>'Logistic 2018'!L18</f>
        <v>1.5711783423987859E-5</v>
      </c>
      <c r="D15" s="140">
        <f>'Logistic 2017'!L18</f>
        <v>2.4181781826617546E-3</v>
      </c>
      <c r="E15" s="140">
        <f>'Logistic 2016'!L18</f>
        <v>3.637987704705253E-4</v>
      </c>
      <c r="F15" s="140">
        <f>'Logistic 2015'!L18</f>
        <v>1.073922087312116E-4</v>
      </c>
      <c r="G15" s="133">
        <f>Logistic2014!L18</f>
        <v>1.3063313918701522E-3</v>
      </c>
      <c r="H15" s="133">
        <f>Logistic2013!L18</f>
        <v>9.7794251088522961E-4</v>
      </c>
      <c r="I15" s="133">
        <f>Logistic2012!L18</f>
        <v>1.6471642078997898E-4</v>
      </c>
      <c r="J15" s="133">
        <f>Logistic2011!L18</f>
        <v>7.4489466257937842E-5</v>
      </c>
      <c r="K15" s="133">
        <f>Logistic2010!L18</f>
        <v>5.0033463342563623E-4</v>
      </c>
      <c r="L15" s="149">
        <f>'Logistic 2008'!L18</f>
        <v>2.4486470109403081E-3</v>
      </c>
      <c r="M15" s="149">
        <f>'Logistic 2007'!L18</f>
        <v>1.4881057906022496E-4</v>
      </c>
      <c r="N15" s="149">
        <f>'Logistic 2006'!L18</f>
        <v>6.1975278471460764E-4</v>
      </c>
      <c r="O15" s="133"/>
      <c r="Q15" s="133">
        <f t="shared" si="0"/>
        <v>7.3914794813655343E-4</v>
      </c>
      <c r="R15" s="133">
        <f t="shared" si="2"/>
        <v>0.99926085205186344</v>
      </c>
      <c r="S15" s="133"/>
      <c r="T15" s="133"/>
      <c r="U15" s="137"/>
      <c r="V15" s="137"/>
      <c r="AM15" s="137">
        <f t="shared" si="1"/>
        <v>25</v>
      </c>
      <c r="AN15" s="134">
        <v>42173</v>
      </c>
      <c r="AO15">
        <v>4.2163115161834901E-2</v>
      </c>
      <c r="AP15" s="144">
        <f t="shared" si="3"/>
        <v>2.3727209161517437E-2</v>
      </c>
    </row>
    <row r="16" spans="1:45" x14ac:dyDescent="0.25">
      <c r="A16" s="134">
        <v>42159</v>
      </c>
      <c r="B16" s="136">
        <f>Logistic2014!K19</f>
        <v>11</v>
      </c>
      <c r="C16" s="133">
        <f>'Logistic 2018'!L19</f>
        <v>1.9803051078592358E-5</v>
      </c>
      <c r="D16" s="140">
        <f>'Logistic 2017'!L19</f>
        <v>2.8083792413261389E-3</v>
      </c>
      <c r="E16" s="140">
        <f>'Logistic 2016'!L19</f>
        <v>4.4914541146716158E-4</v>
      </c>
      <c r="F16" s="140">
        <f>'Logistic 2015'!L19</f>
        <v>1.316536561976944E-4</v>
      </c>
      <c r="G16" s="133">
        <f>Logistic2014!L19</f>
        <v>1.5810462162153941E-3</v>
      </c>
      <c r="H16" s="133">
        <f>Logistic2013!L19</f>
        <v>1.19148034540422E-3</v>
      </c>
      <c r="I16" s="133">
        <f>Logistic2012!L19</f>
        <v>2.1831267218257427E-4</v>
      </c>
      <c r="J16" s="133">
        <f>Logistic2011!L19</f>
        <v>9.5664915403581588E-5</v>
      </c>
      <c r="K16" s="133">
        <f>Logistic2010!L19</f>
        <v>6.091981346321452E-4</v>
      </c>
      <c r="L16" s="149">
        <f>'Logistic 2008'!L19</f>
        <v>2.9264149003148288E-3</v>
      </c>
      <c r="M16" s="149">
        <f>'Logistic 2007'!L19</f>
        <v>1.939766937100772E-4</v>
      </c>
      <c r="N16" s="149">
        <f>'Logistic 2006'!L19</f>
        <v>7.4279485030652231E-4</v>
      </c>
      <c r="O16" s="133"/>
      <c r="Q16" s="133">
        <f t="shared" si="0"/>
        <v>8.8561007410361376E-4</v>
      </c>
      <c r="R16" s="133">
        <f t="shared" si="2"/>
        <v>0.99911438992589641</v>
      </c>
      <c r="S16" s="133"/>
      <c r="T16" s="133"/>
      <c r="U16" s="137"/>
      <c r="V16" s="137"/>
      <c r="AM16" s="137">
        <f t="shared" si="1"/>
        <v>26</v>
      </c>
      <c r="AN16" s="134">
        <v>42174</v>
      </c>
      <c r="AO16">
        <f>AVERAGE(AO15,AO18)</f>
        <v>2.7909810244046852E-2</v>
      </c>
      <c r="AP16" s="144">
        <f t="shared" si="3"/>
        <v>2.267504552599767E-2</v>
      </c>
    </row>
    <row r="17" spans="1:42" x14ac:dyDescent="0.25">
      <c r="A17" s="134">
        <v>42160</v>
      </c>
      <c r="B17" s="136">
        <f>Logistic2014!K20</f>
        <v>12</v>
      </c>
      <c r="C17" s="133">
        <f>'Logistic 2018'!L20</f>
        <v>2.495963721278651E-5</v>
      </c>
      <c r="D17" s="140">
        <f>'Logistic 2017'!L20</f>
        <v>3.2613379174796378E-3</v>
      </c>
      <c r="E17" s="140">
        <f>'Logistic 2016'!L20</f>
        <v>5.5450313887280044E-4</v>
      </c>
      <c r="F17" s="140">
        <f>'Logistic 2015'!L20</f>
        <v>1.6139522954861882E-4</v>
      </c>
      <c r="G17" s="133">
        <f>Logistic2014!L20</f>
        <v>1.9134214809037675E-3</v>
      </c>
      <c r="H17" s="133">
        <f>Logistic2013!L20</f>
        <v>1.4515773097888444E-3</v>
      </c>
      <c r="I17" s="133">
        <f>Logistic2012!L20</f>
        <v>2.8934329263929074E-4</v>
      </c>
      <c r="J17" s="133">
        <f>Logistic2011!L20</f>
        <v>1.2285926325918643E-4</v>
      </c>
      <c r="K17" s="133">
        <f>Logistic2010!L20</f>
        <v>7.4173072899810018E-4</v>
      </c>
      <c r="L17" s="149">
        <f>'Logistic 2008'!L20</f>
        <v>3.4970756997867421E-3</v>
      </c>
      <c r="M17" s="149">
        <f>'Logistic 2007'!L20</f>
        <v>2.5284789602608666E-4</v>
      </c>
      <c r="N17" s="149">
        <f>'Logistic 2006'!L20</f>
        <v>8.9024320210936362E-4</v>
      </c>
      <c r="O17" s="133"/>
      <c r="Q17" s="133">
        <f t="shared" si="0"/>
        <v>1.0620210451862809E-3</v>
      </c>
      <c r="R17" s="133">
        <f t="shared" si="2"/>
        <v>0.99893797895481373</v>
      </c>
      <c r="S17" s="133"/>
      <c r="T17" s="133"/>
      <c r="U17" s="137"/>
      <c r="V17" s="137"/>
      <c r="AM17" s="137">
        <f t="shared" si="1"/>
        <v>27</v>
      </c>
      <c r="AN17" s="134">
        <v>42175</v>
      </c>
      <c r="AO17">
        <f>AO16</f>
        <v>2.7909810244046852E-2</v>
      </c>
      <c r="AP17" s="144">
        <f t="shared" si="3"/>
        <v>2.7714466665976555E-2</v>
      </c>
    </row>
    <row r="18" spans="1:42" x14ac:dyDescent="0.25">
      <c r="A18" s="134">
        <v>42161</v>
      </c>
      <c r="B18" s="136">
        <f>Logistic2014!K21</f>
        <v>13</v>
      </c>
      <c r="C18" s="133">
        <f>'Logistic 2018'!L21</f>
        <v>3.1458922708434801E-5</v>
      </c>
      <c r="D18" s="140">
        <f>'Logistic 2017'!L21</f>
        <v>3.7870760711068165E-3</v>
      </c>
      <c r="E18" s="140">
        <f>'Logistic 2016'!L21</f>
        <v>6.8455809853298325E-4</v>
      </c>
      <c r="F18" s="140">
        <f>'Logistic 2015'!L21</f>
        <v>1.978543235034611E-4</v>
      </c>
      <c r="G18" s="133">
        <f>Logistic2014!L21</f>
        <v>2.3155082495920514E-3</v>
      </c>
      <c r="H18" s="133">
        <f>Logistic2013!L21</f>
        <v>1.7683522199292421E-3</v>
      </c>
      <c r="I18" s="133">
        <f>Logistic2012!L21</f>
        <v>3.8347570467222935E-4</v>
      </c>
      <c r="J18" s="133">
        <f>Logistic2011!L21</f>
        <v>1.5778283823492166E-4</v>
      </c>
      <c r="K18" s="133">
        <f>Logistic2010!L21</f>
        <v>9.0307007042611108E-4</v>
      </c>
      <c r="L18" s="149">
        <f>'Logistic 2008'!L21</f>
        <v>4.1785509273186972E-3</v>
      </c>
      <c r="M18" s="149">
        <f>'Logistic 2007'!L21</f>
        <v>3.2958039862729708E-4</v>
      </c>
      <c r="N18" s="149">
        <f>'Logistic 2006'!L21</f>
        <v>1.0669295098102768E-3</v>
      </c>
      <c r="O18" s="133"/>
      <c r="Q18" s="133">
        <f t="shared" si="0"/>
        <v>1.2747096969997272E-3</v>
      </c>
      <c r="R18" s="133">
        <f t="shared" si="2"/>
        <v>0.99872529030300028</v>
      </c>
      <c r="S18" s="133"/>
      <c r="T18" s="133"/>
      <c r="U18" s="137"/>
      <c r="V18" s="137"/>
      <c r="AM18" s="137">
        <f t="shared" si="1"/>
        <v>28</v>
      </c>
      <c r="AN18" s="134">
        <v>42176</v>
      </c>
      <c r="AO18">
        <v>1.3656505326258801E-2</v>
      </c>
      <c r="AP18" s="144">
        <f t="shared" si="3"/>
        <v>2.466846210434866E-2</v>
      </c>
    </row>
    <row r="19" spans="1:42" x14ac:dyDescent="0.25">
      <c r="A19" s="134">
        <v>42162</v>
      </c>
      <c r="B19" s="136">
        <f>Logistic2014!K22</f>
        <v>14</v>
      </c>
      <c r="C19" s="133">
        <f>'Logistic 2018'!L22</f>
        <v>3.9650501913587503E-5</v>
      </c>
      <c r="D19" s="140">
        <f>'Logistic 2017'!L22</f>
        <v>4.3971910204306536E-3</v>
      </c>
      <c r="E19" s="140">
        <f>'Logistic 2016'!L22</f>
        <v>8.4509077654013206E-4</v>
      </c>
      <c r="F19" s="140">
        <f>'Logistic 2015'!L22</f>
        <v>2.425475088477299E-4</v>
      </c>
      <c r="G19" s="133">
        <f>Logistic2014!L22</f>
        <v>2.801852416196298E-3</v>
      </c>
      <c r="H19" s="133">
        <f>Logistic2013!L22</f>
        <v>2.1541071781976768E-3</v>
      </c>
      <c r="I19" s="133">
        <f>Logistic2012!L22</f>
        <v>5.0821676274457185E-4</v>
      </c>
      <c r="J19" s="133">
        <f>Logistic2011!L22</f>
        <v>2.0263166333366929E-4</v>
      </c>
      <c r="K19" s="133">
        <f>Logistic2010!L22</f>
        <v>1.0994649129130458E-3</v>
      </c>
      <c r="L19" s="149">
        <f>'Logistic 2008'!L22</f>
        <v>4.9921599683218926E-3</v>
      </c>
      <c r="M19" s="149">
        <f>'Logistic 2007'!L22</f>
        <v>4.2958913583540827E-4</v>
      </c>
      <c r="N19" s="149">
        <f>'Logistic 2006'!L22</f>
        <v>1.2786378194842444E-3</v>
      </c>
      <c r="O19" s="133"/>
      <c r="Q19" s="133">
        <f t="shared" si="0"/>
        <v>1.5313877799004721E-3</v>
      </c>
      <c r="R19" s="133">
        <f t="shared" si="2"/>
        <v>0.99846861222009953</v>
      </c>
      <c r="S19" s="133"/>
      <c r="T19" s="133"/>
      <c r="U19" s="137"/>
      <c r="V19" s="137"/>
      <c r="X19">
        <f>0.04/24</f>
        <v>1.6666666666666668E-3</v>
      </c>
      <c r="AM19" s="137">
        <f t="shared" si="1"/>
        <v>29</v>
      </c>
      <c r="AN19" s="134">
        <v>42177</v>
      </c>
      <c r="AO19">
        <f>AVERAGE(AO18,AO21)</f>
        <v>2.6933092353695398E-2</v>
      </c>
      <c r="AP19" s="144">
        <f t="shared" si="3"/>
        <v>2.7128435931765692E-2</v>
      </c>
    </row>
    <row r="20" spans="1:42" x14ac:dyDescent="0.25">
      <c r="A20" s="134">
        <v>42163</v>
      </c>
      <c r="B20" s="136">
        <f>Logistic2014!K23</f>
        <v>15</v>
      </c>
      <c r="C20" s="133">
        <f>'Logistic 2018'!L23</f>
        <v>4.9974977307565407E-5</v>
      </c>
      <c r="D20" s="140">
        <f>'Logistic 2017'!L23</f>
        <v>5.1050945271386566E-3</v>
      </c>
      <c r="E20" s="140">
        <f>'Logistic 2016'!L23</f>
        <v>1.0432299594410378E-3</v>
      </c>
      <c r="F20" s="140">
        <f>'Logistic 2015'!L23</f>
        <v>2.9733340657528011E-4</v>
      </c>
      <c r="G20" s="133">
        <f>Logistic2014!L23</f>
        <v>3.3900001278880923E-3</v>
      </c>
      <c r="H20" s="133">
        <f>Logistic2013!L23</f>
        <v>2.6237909806921655E-3</v>
      </c>
      <c r="I20" s="133">
        <f>Logistic2012!L23</f>
        <v>6.7350758018346741E-4</v>
      </c>
      <c r="J20" s="133">
        <f>Logistic2011!L23</f>
        <v>2.6022518000504499E-4</v>
      </c>
      <c r="K20" s="133">
        <f>Logistic2010!L23</f>
        <v>1.3385134331574686E-3</v>
      </c>
      <c r="L20" s="149">
        <f>'Logistic 2008'!L23</f>
        <v>5.9632388345596315E-3</v>
      </c>
      <c r="M20" s="149">
        <f>'Logistic 2007'!L23</f>
        <v>5.5992778785911323E-4</v>
      </c>
      <c r="N20" s="149">
        <f>'Logistic 2006'!L23</f>
        <v>1.5322904720000579E-3</v>
      </c>
      <c r="O20" s="133"/>
      <c r="Q20" s="133">
        <f t="shared" si="0"/>
        <v>1.8414618993851518E-3</v>
      </c>
      <c r="R20" s="133">
        <f t="shared" si="2"/>
        <v>0.99815853810061483</v>
      </c>
      <c r="S20" s="133">
        <f>IF(R20-(1.96*V20)&gt;0,R20-(1.96*V20),0)</f>
        <v>0.88839853810061487</v>
      </c>
      <c r="T20" s="133">
        <f>IF(R20+(1.96*V20)&lt;1,R20+(1.96*V20),1)</f>
        <v>1</v>
      </c>
      <c r="U20" s="137">
        <f t="shared" ref="U20:U51" si="4">(-0.0673*B20^2)+5.7429*B20-69.563</f>
        <v>1.4379999999999882</v>
      </c>
      <c r="V20" s="142">
        <v>5.6000000000000001E-2</v>
      </c>
      <c r="W20" s="133"/>
      <c r="AM20" s="137">
        <f t="shared" si="1"/>
        <v>30</v>
      </c>
      <c r="AN20" s="134">
        <v>42178</v>
      </c>
      <c r="AO20">
        <f>AO19</f>
        <v>2.6933092353695398E-2</v>
      </c>
      <c r="AP20" s="144">
        <f t="shared" si="3"/>
        <v>2.5002448060921018E-2</v>
      </c>
    </row>
    <row r="21" spans="1:42" x14ac:dyDescent="0.25">
      <c r="A21" s="134">
        <v>42164</v>
      </c>
      <c r="B21" s="136">
        <f>Logistic2014!K24</f>
        <v>16</v>
      </c>
      <c r="C21" s="133">
        <f>'Logistic 2018'!L24</f>
        <v>6.2987642575463554E-5</v>
      </c>
      <c r="D21" s="140">
        <f>'Logistic 2017'!L24</f>
        <v>5.9262850009791299E-3</v>
      </c>
      <c r="E21" s="140">
        <f>'Logistic 2016'!L24</f>
        <v>1.2877647930757902E-3</v>
      </c>
      <c r="F21" s="140">
        <f>'Logistic 2015'!L24</f>
        <v>3.6448966557717813E-4</v>
      </c>
      <c r="G21" s="133">
        <f>Logistic2014!L24</f>
        <v>4.101100461714453E-3</v>
      </c>
      <c r="H21" s="133">
        <f>Logistic2013!L24</f>
        <v>3.1955571705628975E-3</v>
      </c>
      <c r="I21" s="133">
        <f>Logistic2012!L24</f>
        <v>8.9250905741042764E-4</v>
      </c>
      <c r="J21" s="133">
        <f>Logistic2011!L24</f>
        <v>3.3418289363510773E-4</v>
      </c>
      <c r="K21" s="133">
        <f>Logistic2010!L24</f>
        <v>1.6294517210207725E-3</v>
      </c>
      <c r="L21" s="149">
        <f>'Logistic 2008'!L24</f>
        <v>7.1218606886827678E-3</v>
      </c>
      <c r="M21" s="149">
        <f>'Logistic 2007'!L24</f>
        <v>7.2978271205669562E-4</v>
      </c>
      <c r="N21" s="149">
        <f>'Logistic 2006'!L24</f>
        <v>1.8361695274595857E-3</v>
      </c>
      <c r="O21" s="133"/>
      <c r="Q21" s="133">
        <f t="shared" si="0"/>
        <v>2.2164175954969695E-3</v>
      </c>
      <c r="R21" s="133">
        <f t="shared" si="2"/>
        <v>0.99778358240450304</v>
      </c>
      <c r="S21" s="133">
        <f t="shared" ref="S21:S74" si="5">IF(R21-(1.96*V21)&gt;0,R21-(1.96*V21),0)</f>
        <v>0.88802358240450308</v>
      </c>
      <c r="T21" s="133">
        <f t="shared" ref="T21:T74" si="6">IF(R21+(1.96*V21)&lt;1,R21+(1.96*V21),1)</f>
        <v>1</v>
      </c>
      <c r="U21" s="137">
        <f t="shared" si="4"/>
        <v>5.0945999999999998</v>
      </c>
      <c r="V21" s="142">
        <v>5.6000000000000001E-2</v>
      </c>
      <c r="W21" s="133"/>
      <c r="AM21" s="137">
        <f t="shared" si="1"/>
        <v>31</v>
      </c>
      <c r="AN21" s="134">
        <v>42179</v>
      </c>
      <c r="AO21">
        <v>4.0209679381131999E-2</v>
      </c>
      <c r="AP21" s="144">
        <f t="shared" si="3"/>
        <v>2.9076134084651605E-2</v>
      </c>
    </row>
    <row r="22" spans="1:42" x14ac:dyDescent="0.25">
      <c r="A22" s="134">
        <v>42165</v>
      </c>
      <c r="B22" s="136">
        <f>Logistic2014!K25</f>
        <v>17</v>
      </c>
      <c r="C22" s="133">
        <f>'Logistic 2018'!L25</f>
        <v>7.9388323667335236E-5</v>
      </c>
      <c r="D22" s="140">
        <f>'Logistic 2017'!L25</f>
        <v>6.8786564628367675E-3</v>
      </c>
      <c r="E22" s="140">
        <f>'Logistic 2016'!L25</f>
        <v>1.5895277916154621E-3</v>
      </c>
      <c r="F22" s="140">
        <f>'Logistic 2015'!L25</f>
        <v>4.4680717905035274E-4</v>
      </c>
      <c r="G22" s="133">
        <f>Logistic2014!L25</f>
        <v>4.960621659003208E-3</v>
      </c>
      <c r="H22" s="133">
        <f>Logistic2013!L25</f>
        <v>3.8914342584479623E-3</v>
      </c>
      <c r="I22" s="133">
        <f>Logistic2012!L25</f>
        <v>1.1826380006716123E-3</v>
      </c>
      <c r="J22" s="133">
        <f>Logistic2011!L25</f>
        <v>4.2915085481010497E-4</v>
      </c>
      <c r="K22" s="133">
        <f>Logistic2010!L25</f>
        <v>1.9835025384092424E-3</v>
      </c>
      <c r="L22" s="149">
        <f>'Logistic 2008'!L25</f>
        <v>8.5036701076474583E-3</v>
      </c>
      <c r="M22" s="149">
        <f>'Logistic 2007'!L25</f>
        <v>9.5111434488672039E-4</v>
      </c>
      <c r="N22" s="149">
        <f>'Logistic 2006'!L25</f>
        <v>2.2001801311776078E-3</v>
      </c>
      <c r="O22" s="133"/>
      <c r="Q22" s="133">
        <f t="shared" si="0"/>
        <v>2.670292343105589E-3</v>
      </c>
      <c r="R22" s="133">
        <f t="shared" si="2"/>
        <v>0.99732970765689444</v>
      </c>
      <c r="S22" s="133">
        <f t="shared" si="5"/>
        <v>0.88756970765689447</v>
      </c>
      <c r="T22" s="133">
        <f t="shared" si="6"/>
        <v>1</v>
      </c>
      <c r="U22" s="137">
        <f t="shared" si="4"/>
        <v>8.6165999999999912</v>
      </c>
      <c r="V22" s="142">
        <v>5.6000000000000001E-2</v>
      </c>
      <c r="W22" s="133"/>
      <c r="AM22" s="137">
        <f t="shared" si="1"/>
        <v>32</v>
      </c>
      <c r="AN22" s="134">
        <v>42180</v>
      </c>
      <c r="AO22">
        <v>1.7279870889823499E-2</v>
      </c>
      <c r="AP22" s="144">
        <f t="shared" si="3"/>
        <v>3.384351561391253E-2</v>
      </c>
    </row>
    <row r="23" spans="1:42" x14ac:dyDescent="0.25">
      <c r="A23" s="134">
        <v>42166</v>
      </c>
      <c r="B23" s="136">
        <f>Logistic2014!K26</f>
        <v>18</v>
      </c>
      <c r="C23" s="133">
        <f>'Logistic 2018'!L26</f>
        <v>1.0005897603432107E-4</v>
      </c>
      <c r="D23" s="140">
        <f>'Logistic 2017'!L26</f>
        <v>7.9828477750707172E-3</v>
      </c>
      <c r="E23" s="140">
        <f>'Logistic 2016'!L26</f>
        <v>1.96186425844861E-3</v>
      </c>
      <c r="F23" s="140">
        <f>'Logistic 2015'!L26</f>
        <v>5.47705357394158E-4</v>
      </c>
      <c r="G23" s="133">
        <f>Logistic2014!L26</f>
        <v>5.9991987892107617E-3</v>
      </c>
      <c r="H23" s="133">
        <f>Logistic2013!L26</f>
        <v>4.7381279726284222E-3</v>
      </c>
      <c r="I23" s="133">
        <f>Logistic2012!L26</f>
        <v>1.5669315790569664E-3</v>
      </c>
      <c r="J23" s="133">
        <f>Logistic2011!L26</f>
        <v>5.510918954265417E-4</v>
      </c>
      <c r="K23" s="133">
        <f>Logistic2010!L26</f>
        <v>2.4142962558322549E-3</v>
      </c>
      <c r="L23" s="149">
        <f>'Logistic 2008'!L26</f>
        <v>1.0150842236798916E-2</v>
      </c>
      <c r="M23" s="149">
        <f>'Logistic 2007'!L26</f>
        <v>1.2394891219668987E-3</v>
      </c>
      <c r="N23" s="149">
        <f>'Logistic 2006'!L26</f>
        <v>2.6361632699189656E-3</v>
      </c>
      <c r="O23" s="133"/>
      <c r="Q23" s="133">
        <f t="shared" si="0"/>
        <v>3.2202579853835545E-3</v>
      </c>
      <c r="R23" s="133">
        <f t="shared" si="2"/>
        <v>0.9967797420146165</v>
      </c>
      <c r="S23" s="133">
        <f t="shared" si="5"/>
        <v>0.88701974201461653</v>
      </c>
      <c r="T23" s="133">
        <f t="shared" si="6"/>
        <v>1</v>
      </c>
      <c r="U23" s="137">
        <f t="shared" si="4"/>
        <v>12.003999999999991</v>
      </c>
      <c r="V23" s="142">
        <v>5.6000000000000001E-2</v>
      </c>
      <c r="W23" s="133"/>
      <c r="AM23" s="137">
        <f t="shared" si="1"/>
        <v>33</v>
      </c>
      <c r="AN23" s="134">
        <v>42181</v>
      </c>
      <c r="AO23">
        <f>AVERAGE(AO22,AO24)</f>
        <v>3.4024935444911752E-2</v>
      </c>
      <c r="AP23" s="144">
        <f t="shared" si="3"/>
        <v>3.849289714317345E-2</v>
      </c>
    </row>
    <row r="24" spans="1:42" x14ac:dyDescent="0.25">
      <c r="A24" s="134">
        <v>42167</v>
      </c>
      <c r="B24" s="136">
        <f>Logistic2014!K27</f>
        <v>19</v>
      </c>
      <c r="C24" s="133">
        <f>'Logistic 2018'!L27</f>
        <v>1.2611104925836739E-4</v>
      </c>
      <c r="D24" s="140">
        <f>'Logistic 2017'!L27</f>
        <v>9.2626354233094708E-3</v>
      </c>
      <c r="E24" s="140">
        <f>'Logistic 2016'!L27</f>
        <v>2.4212065947213633E-3</v>
      </c>
      <c r="F24" s="140">
        <f>'Logistic 2015'!L27</f>
        <v>6.7137309929851967E-4</v>
      </c>
      <c r="G24" s="133">
        <f>Logistic2014!L27</f>
        <v>7.2536318036214055E-3</v>
      </c>
      <c r="H24" s="133">
        <f>Logistic2013!L27</f>
        <v>5.7679775716238009E-3</v>
      </c>
      <c r="I24" s="133">
        <f>Logistic2012!L27</f>
        <v>2.0758403211665732E-3</v>
      </c>
      <c r="J24" s="133">
        <f>Logistic2011!L27</f>
        <v>7.0765733468636032E-4</v>
      </c>
      <c r="K24" s="133">
        <f>Logistic2010!L27</f>
        <v>2.9383778949773321E-3</v>
      </c>
      <c r="L24" s="149">
        <f>'Logistic 2008'!L27</f>
        <v>1.2113175812640223E-2</v>
      </c>
      <c r="M24" s="149">
        <f>'Logistic 2007'!L27</f>
        <v>1.6151568393420366E-3</v>
      </c>
      <c r="N24" s="149">
        <f>'Logistic 2006'!L27</f>
        <v>3.1582664692195958E-3</v>
      </c>
      <c r="O24" s="133"/>
      <c r="Q24" s="133">
        <f t="shared" si="0"/>
        <v>3.8873375054256027E-3</v>
      </c>
      <c r="R24" s="133">
        <f t="shared" si="2"/>
        <v>0.99611266249457442</v>
      </c>
      <c r="S24" s="133">
        <f t="shared" si="5"/>
        <v>0.88635266249457445</v>
      </c>
      <c r="T24" s="133">
        <f t="shared" si="6"/>
        <v>1</v>
      </c>
      <c r="U24" s="137">
        <f t="shared" si="4"/>
        <v>15.256799999999998</v>
      </c>
      <c r="V24" s="142">
        <v>5.6000000000000001E-2</v>
      </c>
      <c r="W24" s="133"/>
      <c r="AM24" s="137">
        <f t="shared" si="1"/>
        <v>34</v>
      </c>
      <c r="AN24" s="134">
        <v>42182</v>
      </c>
      <c r="AO24">
        <v>5.0770000000000003E-2</v>
      </c>
      <c r="AP24" s="144">
        <f t="shared" si="3"/>
        <v>4.0773961266947052E-2</v>
      </c>
    </row>
    <row r="25" spans="1:42" x14ac:dyDescent="0.25">
      <c r="A25" s="134">
        <v>42168</v>
      </c>
      <c r="B25" s="136">
        <f>Logistic2014!K28</f>
        <v>20</v>
      </c>
      <c r="C25" s="133">
        <f>'Logistic 2018'!L28</f>
        <v>1.5894514901942751E-4</v>
      </c>
      <c r="D25" s="140">
        <f>'Logistic 2017'!L28</f>
        <v>1.0745372629015171E-2</v>
      </c>
      <c r="E25" s="140">
        <f>'Logistic 2016'!L28</f>
        <v>2.9877753789890583E-3</v>
      </c>
      <c r="F25" s="140">
        <f>'Logistic 2015'!L28</f>
        <v>8.2294109352207961E-4</v>
      </c>
      <c r="G25" s="133">
        <f>Logistic2014!L28</f>
        <v>8.7680531167695416E-3</v>
      </c>
      <c r="H25" s="133">
        <f>Logistic2013!L28</f>
        <v>7.0200899120878707E-3</v>
      </c>
      <c r="I25" s="133">
        <f>Logistic2012!L28</f>
        <v>2.7495774998194159E-3</v>
      </c>
      <c r="J25" s="133">
        <f>Logistic2011!L28</f>
        <v>9.0866264120614631E-4</v>
      </c>
      <c r="K25" s="133">
        <f>Logistic2010!L28</f>
        <v>3.5758163964330005E-3</v>
      </c>
      <c r="L25" s="149">
        <f>'Logistic 2008'!L28</f>
        <v>1.4449324841393623E-2</v>
      </c>
      <c r="M25" s="149">
        <f>'Logistic 2007'!L28</f>
        <v>2.1044430392726981E-3</v>
      </c>
      <c r="N25" s="149">
        <f>'Logistic 2006'!L28</f>
        <v>3.7833821446993888E-3</v>
      </c>
      <c r="O25" s="133"/>
      <c r="Q25" s="133">
        <f t="shared" si="0"/>
        <v>4.6972860834802862E-3</v>
      </c>
      <c r="R25" s="133">
        <f t="shared" si="2"/>
        <v>0.9953027139165197</v>
      </c>
      <c r="S25" s="133">
        <f t="shared" si="5"/>
        <v>0.88554271391651973</v>
      </c>
      <c r="T25" s="133">
        <f t="shared" si="6"/>
        <v>1</v>
      </c>
      <c r="U25" s="137">
        <f t="shared" si="4"/>
        <v>18.374999999999986</v>
      </c>
      <c r="V25" s="142">
        <v>5.6000000000000001E-2</v>
      </c>
      <c r="W25" s="133"/>
      <c r="AM25" s="137">
        <f t="shared" si="1"/>
        <v>35</v>
      </c>
      <c r="AN25" s="134">
        <v>42183</v>
      </c>
      <c r="AO25">
        <v>5.0180000000000002E-2</v>
      </c>
      <c r="AP25" s="144">
        <f t="shared" si="3"/>
        <v>4.7640987088982352E-2</v>
      </c>
    </row>
    <row r="26" spans="1:42" x14ac:dyDescent="0.25">
      <c r="A26" s="134">
        <v>42169</v>
      </c>
      <c r="B26" s="136">
        <f>Logistic2014!K29</f>
        <v>21</v>
      </c>
      <c r="C26" s="133">
        <f>'Logistic 2018'!L29</f>
        <v>2.0032617721342627E-4</v>
      </c>
      <c r="D26" s="140">
        <f>'Logistic 2017'!L29</f>
        <v>1.2462476674028592E-2</v>
      </c>
      <c r="E26" s="140">
        <f>'Logistic 2016'!L29</f>
        <v>3.6864328376781316E-3</v>
      </c>
      <c r="F26" s="140">
        <f>'Logistic 2015'!L29</f>
        <v>1.0086922696245666E-3</v>
      </c>
      <c r="G26" s="133">
        <f>Logistic2014!L29</f>
        <v>1.0595282474405681E-2</v>
      </c>
      <c r="H26" s="133">
        <f>Logistic2013!L29</f>
        <v>8.5416755801183825E-3</v>
      </c>
      <c r="I26" s="133">
        <f>Logistic2012!L29</f>
        <v>3.6411857399598351E-3</v>
      </c>
      <c r="J26" s="133">
        <f>Logistic2011!L29</f>
        <v>1.1666954944441379E-3</v>
      </c>
      <c r="K26" s="133">
        <f>Logistic2010!L29</f>
        <v>4.350934509456012E-3</v>
      </c>
      <c r="L26" s="149">
        <f>'Logistic 2008'!L29</f>
        <v>1.7228166617287311E-2</v>
      </c>
      <c r="M26" s="149">
        <f>'Logistic 2007'!L29</f>
        <v>2.7415437359551219E-3</v>
      </c>
      <c r="N26" s="149">
        <f>'Logistic 2006'!L29</f>
        <v>4.531664489069576E-3</v>
      </c>
      <c r="O26" s="133"/>
      <c r="Q26" s="133">
        <f t="shared" si="0"/>
        <v>5.6816719474644178E-3</v>
      </c>
      <c r="R26" s="133">
        <f t="shared" si="2"/>
        <v>0.99431832805253562</v>
      </c>
      <c r="S26" s="133">
        <f t="shared" si="5"/>
        <v>0.88455832805253565</v>
      </c>
      <c r="T26" s="133">
        <f t="shared" si="6"/>
        <v>1</v>
      </c>
      <c r="U26" s="137">
        <f t="shared" si="4"/>
        <v>21.358599999999996</v>
      </c>
      <c r="V26" s="142">
        <v>5.6000000000000001E-2</v>
      </c>
      <c r="W26" s="133"/>
      <c r="AM26" s="137">
        <f t="shared" si="1"/>
        <v>36</v>
      </c>
      <c r="AN26" s="134">
        <v>42184</v>
      </c>
      <c r="AO26">
        <f>AVERAGE(AO25,AO28)</f>
        <v>5.1615000000000001E-2</v>
      </c>
      <c r="AP26" s="144">
        <f t="shared" si="3"/>
        <v>5.1446000000000006E-2</v>
      </c>
    </row>
    <row r="27" spans="1:42" x14ac:dyDescent="0.25">
      <c r="A27" s="134">
        <v>42170</v>
      </c>
      <c r="B27" s="136">
        <f>Logistic2014!K30</f>
        <v>22</v>
      </c>
      <c r="C27" s="133">
        <f>'Logistic 2018'!L30</f>
        <v>2.5247794673322852E-4</v>
      </c>
      <c r="D27" s="140">
        <f>'Logistic 2017'!L30</f>
        <v>1.4449964881365145E-2</v>
      </c>
      <c r="E27" s="140">
        <f>'Logistic 2016'!L30</f>
        <v>4.547718234632037E-3</v>
      </c>
      <c r="F27" s="140">
        <f>'Logistic 2015'!L30</f>
        <v>1.2363186263959175E-3</v>
      </c>
      <c r="G27" s="133">
        <f>Logistic2014!L30</f>
        <v>1.2798382995327439E-2</v>
      </c>
      <c r="H27" s="133">
        <f>Logistic2013!L30</f>
        <v>1.0389610148679944E-2</v>
      </c>
      <c r="I27" s="133">
        <f>Logistic2012!L30</f>
        <v>4.8205191098368919E-3</v>
      </c>
      <c r="J27" s="133">
        <f>Logistic2011!L30</f>
        <v>1.4978920594379374E-3</v>
      </c>
      <c r="K27" s="133">
        <f>Logistic2010!L30</f>
        <v>5.2931799089521074E-3</v>
      </c>
      <c r="L27" s="149">
        <f>'Logistic 2008'!L30</f>
        <v>2.0530292579226589E-2</v>
      </c>
      <c r="M27" s="149">
        <f>'Logistic 2007'!L30</f>
        <v>3.5708306040285677E-3</v>
      </c>
      <c r="N27" s="149">
        <f>'Logistic 2006'!L30</f>
        <v>5.4271368627399966E-3</v>
      </c>
      <c r="O27" s="133"/>
      <c r="Q27" s="133">
        <f t="shared" si="0"/>
        <v>6.8791982455784269E-3</v>
      </c>
      <c r="R27" s="133">
        <f t="shared" si="2"/>
        <v>0.99312080175442152</v>
      </c>
      <c r="S27" s="133">
        <f t="shared" si="5"/>
        <v>0.88336080175442155</v>
      </c>
      <c r="T27" s="133">
        <f t="shared" si="6"/>
        <v>1</v>
      </c>
      <c r="U27" s="137">
        <f t="shared" si="4"/>
        <v>24.207599999999985</v>
      </c>
      <c r="V27" s="142">
        <v>5.6000000000000001E-2</v>
      </c>
      <c r="W27" s="133"/>
      <c r="AM27" s="137">
        <f t="shared" si="1"/>
        <v>37</v>
      </c>
      <c r="AN27" s="134">
        <v>42185</v>
      </c>
      <c r="AO27">
        <f>AO26</f>
        <v>5.1615000000000001E-2</v>
      </c>
      <c r="AP27" s="144">
        <f t="shared" si="3"/>
        <v>5.0507999999999997E-2</v>
      </c>
    </row>
    <row r="28" spans="1:42" x14ac:dyDescent="0.25">
      <c r="A28" s="134">
        <v>42171</v>
      </c>
      <c r="B28" s="136">
        <f>Logistic2014!K31</f>
        <v>23</v>
      </c>
      <c r="C28" s="133">
        <f>'Logistic 2018'!L31</f>
        <v>3.1820228814368314E-4</v>
      </c>
      <c r="D28" s="140">
        <f>'Logistic 2017'!L31</f>
        <v>1.674903753666766E-2</v>
      </c>
      <c r="E28" s="140">
        <f>'Logistic 2016'!L31</f>
        <v>5.6090984854155097E-3</v>
      </c>
      <c r="F28" s="140">
        <f>'Logistic 2015'!L31</f>
        <v>1.5152343313630965E-3</v>
      </c>
      <c r="G28" s="133">
        <f>Logistic2014!L31</f>
        <v>1.5452424589650317E-2</v>
      </c>
      <c r="H28" s="133">
        <f>Logistic2013!L31</f>
        <v>1.263223931108238E-2</v>
      </c>
      <c r="I28" s="133">
        <f>Logistic2012!L31</f>
        <v>6.3793777934349673E-3</v>
      </c>
      <c r="J28" s="133">
        <f>Logistic2011!L31</f>
        <v>1.9229262974009872E-3</v>
      </c>
      <c r="K28" s="133">
        <f>Logistic2010!L31</f>
        <v>6.4381600184477937E-3</v>
      </c>
      <c r="L28" s="149">
        <f>'Logistic 2008'!L31</f>
        <v>2.4449591763765832E-2</v>
      </c>
      <c r="M28" s="149">
        <f>'Logistic 2007'!L31</f>
        <v>4.6497980319720284E-3</v>
      </c>
      <c r="N28" s="149">
        <f>'Logistic 2006'!L31</f>
        <v>6.4984025179808729E-3</v>
      </c>
      <c r="O28" s="133"/>
      <c r="Q28" s="133">
        <f t="shared" si="0"/>
        <v>8.3373122954328392E-3</v>
      </c>
      <c r="R28" s="133">
        <f t="shared" si="2"/>
        <v>0.99166268770456711</v>
      </c>
      <c r="S28" s="133">
        <f t="shared" si="5"/>
        <v>0.88190268770456715</v>
      </c>
      <c r="T28" s="133">
        <f t="shared" si="6"/>
        <v>1</v>
      </c>
      <c r="U28" s="137">
        <f t="shared" si="4"/>
        <v>26.921999999999983</v>
      </c>
      <c r="V28" s="142">
        <v>5.6000000000000001E-2</v>
      </c>
      <c r="W28" s="133"/>
      <c r="AM28" s="137">
        <f t="shared" si="1"/>
        <v>38</v>
      </c>
      <c r="AN28" s="134">
        <v>42186</v>
      </c>
      <c r="AO28">
        <v>5.305E-2</v>
      </c>
      <c r="AP28" s="144">
        <f t="shared" si="3"/>
        <v>5.0429999999999996E-2</v>
      </c>
    </row>
    <row r="29" spans="1:42" x14ac:dyDescent="0.25">
      <c r="A29" s="134">
        <v>42172</v>
      </c>
      <c r="B29" s="136">
        <f>Logistic2014!K32</f>
        <v>24</v>
      </c>
      <c r="C29" s="133">
        <f>'Logistic 2018'!L32</f>
        <v>4.0102894027830405E-4</v>
      </c>
      <c r="D29" s="140">
        <f>'Logistic 2017'!L32</f>
        <v>1.9406702924581232E-2</v>
      </c>
      <c r="E29" s="140">
        <f>'Logistic 2016'!L32</f>
        <v>6.9164704149544112E-3</v>
      </c>
      <c r="F29" s="140">
        <f>'Logistic 2015'!L32</f>
        <v>1.8569569292680875E-3</v>
      </c>
      <c r="G29" s="133">
        <f>Logistic2014!L32</f>
        <v>1.864644764878538E-2</v>
      </c>
      <c r="H29" s="133">
        <f>Logistic2013!L32</f>
        <v>1.5351437527105454E-2</v>
      </c>
      <c r="I29" s="133">
        <f>Logistic2012!L32</f>
        <v>8.4380656815857633E-3</v>
      </c>
      <c r="J29" s="133">
        <f>Logistic2011!L32</f>
        <v>2.4682679571534747E-3</v>
      </c>
      <c r="K29" s="133">
        <f>Logistic2010!L32</f>
        <v>7.8288641309012582E-3</v>
      </c>
      <c r="L29" s="149">
        <f>'Logistic 2008'!L32</f>
        <v>2.9094872550333824E-2</v>
      </c>
      <c r="M29" s="149">
        <f>'Logistic 2007'!L32</f>
        <v>6.0528074226192984E-3</v>
      </c>
      <c r="N29" s="149">
        <f>'Logistic 2006'!L32</f>
        <v>7.7794719086979602E-3</v>
      </c>
      <c r="O29" s="133"/>
      <c r="Q29" s="133">
        <f t="shared" si="0"/>
        <v>1.0114151651791883E-2</v>
      </c>
      <c r="R29" s="133">
        <f t="shared" si="2"/>
        <v>0.98988584834820814</v>
      </c>
      <c r="S29" s="133">
        <f t="shared" si="5"/>
        <v>0.88012584834820817</v>
      </c>
      <c r="T29" s="133">
        <f t="shared" si="6"/>
        <v>1</v>
      </c>
      <c r="U29" s="137">
        <f t="shared" si="4"/>
        <v>29.501799999999989</v>
      </c>
      <c r="V29" s="142">
        <v>5.6000000000000001E-2</v>
      </c>
      <c r="W29" s="133"/>
      <c r="AM29" s="137">
        <f t="shared" si="1"/>
        <v>39</v>
      </c>
      <c r="AN29" s="134">
        <v>42187</v>
      </c>
      <c r="AO29">
        <v>4.6080000000000003E-2</v>
      </c>
      <c r="AP29" s="144">
        <f t="shared" si="3"/>
        <v>5.0065000000000005E-2</v>
      </c>
    </row>
    <row r="30" spans="1:42" x14ac:dyDescent="0.25">
      <c r="A30" s="134">
        <v>42173</v>
      </c>
      <c r="B30" s="136">
        <f>Logistic2014!K33</f>
        <v>25</v>
      </c>
      <c r="C30" s="133">
        <f>'Logistic 2018'!L33</f>
        <v>5.0540410496298165E-4</v>
      </c>
      <c r="D30" s="140">
        <f>'Logistic 2017'!L33</f>
        <v>2.2476435321096288E-2</v>
      </c>
      <c r="E30" s="140">
        <f>'Logistic 2016'!L33</f>
        <v>8.5259526435283294E-3</v>
      </c>
      <c r="F30" s="140">
        <f>'Logistic 2015'!L33</f>
        <v>2.2755707379901648E-3</v>
      </c>
      <c r="G30" s="133">
        <f>Logistic2014!L33</f>
        <v>2.2485598579313124E-2</v>
      </c>
      <c r="H30" s="133">
        <f>Logistic2013!L33</f>
        <v>1.8644913491254085E-2</v>
      </c>
      <c r="I30" s="133">
        <f>Logistic2012!L33</f>
        <v>1.1153654773175007E-2</v>
      </c>
      <c r="J30" s="133">
        <f>Logistic2011!L33</f>
        <v>3.1677775753922201E-3</v>
      </c>
      <c r="K30" s="133">
        <f>Logistic2010!L33</f>
        <v>9.5170961139080332E-3</v>
      </c>
      <c r="L30" s="149">
        <f>'Logistic 2008'!L33</f>
        <v>3.4591435045107526E-2</v>
      </c>
      <c r="M30" s="149">
        <f>'Logistic 2007'!L33</f>
        <v>7.8758049291703502E-3</v>
      </c>
      <c r="N30" s="149">
        <f>'Logistic 2006'!L33</f>
        <v>9.3107195009323306E-3</v>
      </c>
      <c r="O30" s="133"/>
      <c r="Q30" s="133">
        <f t="shared" si="0"/>
        <v>1.2280874904457157E-2</v>
      </c>
      <c r="R30" s="133">
        <f t="shared" si="2"/>
        <v>0.98771912509554283</v>
      </c>
      <c r="S30" s="133">
        <f t="shared" si="5"/>
        <v>0.87795912509554286</v>
      </c>
      <c r="T30" s="133">
        <f t="shared" si="6"/>
        <v>1</v>
      </c>
      <c r="U30" s="137">
        <f t="shared" si="4"/>
        <v>31.946999999999989</v>
      </c>
      <c r="V30" s="142">
        <v>5.6000000000000001E-2</v>
      </c>
      <c r="W30" s="133"/>
      <c r="AM30" s="137">
        <f t="shared" si="1"/>
        <v>40</v>
      </c>
      <c r="AN30" s="134">
        <v>42188</v>
      </c>
      <c r="AO30">
        <f>AVERAGE(AO29,AO32)</f>
        <v>4.9790000000000001E-2</v>
      </c>
      <c r="AP30" s="144">
        <f t="shared" si="3"/>
        <v>5.0442000000000001E-2</v>
      </c>
    </row>
    <row r="31" spans="1:42" x14ac:dyDescent="0.25">
      <c r="A31" s="134">
        <v>42174</v>
      </c>
      <c r="B31" s="136">
        <f>Logistic2014!K34</f>
        <v>26</v>
      </c>
      <c r="C31" s="133">
        <f>'Logistic 2018'!L34</f>
        <v>6.3692751837946644E-4</v>
      </c>
      <c r="D31" s="140">
        <f>'Logistic 2017'!L34</f>
        <v>2.6018850911388943E-2</v>
      </c>
      <c r="E31" s="140">
        <f>'Logistic 2016'!L34</f>
        <v>1.0506003709638681E-2</v>
      </c>
      <c r="F31" s="140">
        <f>'Logistic 2015'!L34</f>
        <v>2.7882890443545636E-3</v>
      </c>
      <c r="G31" s="133">
        <f>Logistic2014!L34</f>
        <v>2.7093376387433324E-2</v>
      </c>
      <c r="H31" s="133">
        <f>Logistic2013!L34</f>
        <v>2.2628728952144059E-2</v>
      </c>
      <c r="I31" s="133">
        <f>Logistic2012!L34</f>
        <v>1.4730208117273366E-2</v>
      </c>
      <c r="J31" s="133">
        <f>Logistic2011!L34</f>
        <v>4.0647211308547405E-3</v>
      </c>
      <c r="K31" s="133">
        <f>Logistic2010!L34</f>
        <v>1.1565138278020349E-2</v>
      </c>
      <c r="L31" s="149">
        <f>'Logistic 2008'!L34</f>
        <v>4.1082461880864354E-2</v>
      </c>
      <c r="M31" s="149">
        <f>'Logistic 2007'!L34</f>
        <v>1.0242198961466395E-2</v>
      </c>
      <c r="N31" s="149">
        <f>'Logistic 2006'!L34</f>
        <v>1.1139981443457733E-2</v>
      </c>
      <c r="O31" s="133"/>
      <c r="Q31" s="133">
        <f t="shared" si="0"/>
        <v>1.4924414566388503E-2</v>
      </c>
      <c r="R31" s="133">
        <f t="shared" si="2"/>
        <v>0.98507558543361151</v>
      </c>
      <c r="S31" s="133">
        <f t="shared" si="5"/>
        <v>0.87531558543361154</v>
      </c>
      <c r="T31" s="133">
        <f t="shared" si="6"/>
        <v>1</v>
      </c>
      <c r="U31" s="137">
        <f t="shared" si="4"/>
        <v>34.257599999999982</v>
      </c>
      <c r="V31" s="142">
        <v>5.6000000000000001E-2</v>
      </c>
      <c r="W31" s="133"/>
      <c r="AM31" s="137">
        <f t="shared" si="1"/>
        <v>41</v>
      </c>
      <c r="AN31" s="134">
        <v>42189</v>
      </c>
      <c r="AO31">
        <f>AO30</f>
        <v>4.9790000000000001E-2</v>
      </c>
      <c r="AP31" s="144">
        <f t="shared" si="3"/>
        <v>5.1710335736001214E-2</v>
      </c>
    </row>
    <row r="32" spans="1:42" x14ac:dyDescent="0.25">
      <c r="A32" s="134">
        <v>42175</v>
      </c>
      <c r="B32" s="136">
        <f>Logistic2014!K35</f>
        <v>27</v>
      </c>
      <c r="C32" s="133">
        <f>'Logistic 2018'!L35</f>
        <v>8.0265033087679885E-4</v>
      </c>
      <c r="D32" s="140">
        <f>'Logistic 2017'!L35</f>
        <v>3.0102378847461919E-2</v>
      </c>
      <c r="E32" s="140">
        <f>'Logistic 2016'!L35</f>
        <v>1.2939896585467332E-2</v>
      </c>
      <c r="F32" s="140">
        <f>'Logistic 2015'!L35</f>
        <v>3.4161345034189796E-3</v>
      </c>
      <c r="G32" s="133">
        <f>Logistic2014!L35</f>
        <v>3.2613882518552371E-2</v>
      </c>
      <c r="H32" s="133">
        <f>Logistic2013!L35</f>
        <v>2.7439956026617411E-2</v>
      </c>
      <c r="I32" s="133">
        <f>Logistic2012!L35</f>
        <v>1.9431090047243374E-2</v>
      </c>
      <c r="J32" s="133">
        <f>Logistic2011!L35</f>
        <v>5.2143022043441012E-3</v>
      </c>
      <c r="K32" s="133">
        <f>Logistic2010!L35</f>
        <v>1.404766044652417E-2</v>
      </c>
      <c r="L32" s="149">
        <f>'Logistic 2008'!L35</f>
        <v>4.8730037991433259E-2</v>
      </c>
      <c r="M32" s="149">
        <f>'Logistic 2007'!L35</f>
        <v>1.3310069869533399E-2</v>
      </c>
      <c r="N32" s="149">
        <f>'Logistic 2006'!L35</f>
        <v>1.3323802037039761E-2</v>
      </c>
      <c r="O32" s="133"/>
      <c r="Q32" s="133">
        <f t="shared" si="0"/>
        <v>1.8150662647453707E-2</v>
      </c>
      <c r="R32" s="133">
        <f t="shared" si="2"/>
        <v>0.98184933735254631</v>
      </c>
      <c r="S32" s="133">
        <f t="shared" si="5"/>
        <v>0.87208933735254635</v>
      </c>
      <c r="T32" s="133">
        <f t="shared" si="6"/>
        <v>1</v>
      </c>
      <c r="U32" s="137">
        <f t="shared" si="4"/>
        <v>36.433599999999998</v>
      </c>
      <c r="V32" s="142">
        <v>5.6000000000000001E-2</v>
      </c>
      <c r="W32" s="133"/>
      <c r="AM32" s="137">
        <f t="shared" si="1"/>
        <v>42</v>
      </c>
      <c r="AN32" s="134">
        <v>42190</v>
      </c>
      <c r="AO32">
        <v>5.3499999999999999E-2</v>
      </c>
      <c r="AP32" s="144">
        <f t="shared" si="3"/>
        <v>5.449920360400181E-2</v>
      </c>
    </row>
    <row r="33" spans="1:42" x14ac:dyDescent="0.25">
      <c r="A33" s="134">
        <v>42176</v>
      </c>
      <c r="B33" s="136">
        <f>Logistic2014!K36</f>
        <v>28</v>
      </c>
      <c r="C33" s="133">
        <f>'Logistic 2018'!L36</f>
        <v>1.0114490878061807E-3</v>
      </c>
      <c r="D33" s="140">
        <f>'Logistic 2017'!L36</f>
        <v>3.480389467243887E-2</v>
      </c>
      <c r="E33" s="140">
        <f>'Logistic 2016'!L36</f>
        <v>1.5928565059655404E-2</v>
      </c>
      <c r="F33" s="140">
        <f>'Logistic 2015'!L36</f>
        <v>4.1847601009758822E-3</v>
      </c>
      <c r="G33" s="133">
        <f>Logistic2014!L36</f>
        <v>3.9213900655283261E-2</v>
      </c>
      <c r="H33" s="133">
        <f>Logistic2013!L36</f>
        <v>3.3239337178441269E-2</v>
      </c>
      <c r="I33" s="133">
        <f>Logistic2012!L36</f>
        <v>2.5593205192476959E-2</v>
      </c>
      <c r="J33" s="133">
        <f>Logistic2011!L36</f>
        <v>6.6868239306713288E-3</v>
      </c>
      <c r="K33" s="133">
        <f>Logistic2010!L36</f>
        <v>1.7053875875314754E-2</v>
      </c>
      <c r="L33" s="149">
        <f>'Logistic 2008'!L36</f>
        <v>5.7715539934368836E-2</v>
      </c>
      <c r="M33" s="149">
        <f>'Logistic 2007'!L36</f>
        <v>1.7280823514453189E-2</v>
      </c>
      <c r="N33" s="149">
        <f>'Logistic 2006'!L36</f>
        <v>1.5928830769191979E-2</v>
      </c>
      <c r="O33" s="133"/>
      <c r="Q33" s="133">
        <f t="shared" si="0"/>
        <v>2.2088045333157218E-2</v>
      </c>
      <c r="R33" s="133">
        <f t="shared" si="2"/>
        <v>0.97791195466684278</v>
      </c>
      <c r="S33" s="133">
        <f t="shared" si="5"/>
        <v>0.86815195466684281</v>
      </c>
      <c r="T33" s="133">
        <f t="shared" si="6"/>
        <v>1</v>
      </c>
      <c r="U33" s="137">
        <f t="shared" si="4"/>
        <v>38.474999999999994</v>
      </c>
      <c r="V33" s="142">
        <v>5.6000000000000001E-2</v>
      </c>
      <c r="W33" s="133"/>
      <c r="AM33" s="137">
        <f t="shared" si="1"/>
        <v>43</v>
      </c>
      <c r="AN33" s="134">
        <v>42191</v>
      </c>
      <c r="AO33">
        <v>5.9391678680006048E-2</v>
      </c>
      <c r="AP33" s="144">
        <f t="shared" si="3"/>
        <v>5.6672603604001816E-2</v>
      </c>
    </row>
    <row r="34" spans="1:42" x14ac:dyDescent="0.25">
      <c r="A34" s="134">
        <v>42177</v>
      </c>
      <c r="B34" s="136">
        <f>Logistic2014!K37</f>
        <v>29</v>
      </c>
      <c r="C34" s="133">
        <f>'Logistic 2018'!L37</f>
        <v>1.2744947696271423E-3</v>
      </c>
      <c r="D34" s="140">
        <f>'Logistic 2017'!L37</f>
        <v>4.020927081666377E-2</v>
      </c>
      <c r="E34" s="140">
        <f>'Logistic 2016'!L37</f>
        <v>1.9593810057528405E-2</v>
      </c>
      <c r="F34" s="140">
        <f>'Logistic 2015'!L37</f>
        <v>5.1254359783822296E-3</v>
      </c>
      <c r="G34" s="133">
        <f>Logistic2014!L37</f>
        <v>4.7084545759597696E-2</v>
      </c>
      <c r="H34" s="133">
        <f>Logistic2013!L37</f>
        <v>4.0213726080353264E-2</v>
      </c>
      <c r="I34" s="133">
        <f>Logistic2012!L37</f>
        <v>3.3642444995717141E-2</v>
      </c>
      <c r="J34" s="133">
        <f>Logistic2011!L37</f>
        <v>8.5716034717757232E-3</v>
      </c>
      <c r="K34" s="133">
        <f>Logistic2010!L37</f>
        <v>2.0689924681449409E-2</v>
      </c>
      <c r="L34" s="149">
        <f>'Logistic 2008'!L37</f>
        <v>6.8239055053547118E-2</v>
      </c>
      <c r="M34" s="149">
        <f>'Logistic 2007'!L37</f>
        <v>2.24092565924069E-2</v>
      </c>
      <c r="N34" s="149">
        <f>'Logistic 2006'!L37</f>
        <v>1.9033361578084801E-2</v>
      </c>
      <c r="O34" s="133"/>
      <c r="Q34" s="133">
        <f t="shared" si="0"/>
        <v>2.6891345230183453E-2</v>
      </c>
      <c r="R34" s="133">
        <f t="shared" si="2"/>
        <v>0.97310865476981656</v>
      </c>
      <c r="S34" s="133">
        <f t="shared" si="5"/>
        <v>0.86334865476981659</v>
      </c>
      <c r="T34" s="133">
        <f t="shared" si="6"/>
        <v>1</v>
      </c>
      <c r="U34" s="137">
        <f t="shared" si="4"/>
        <v>40.381799999999984</v>
      </c>
      <c r="V34" s="142">
        <v>5.6000000000000001E-2</v>
      </c>
      <c r="W34" s="133"/>
      <c r="AM34" s="137">
        <f t="shared" si="1"/>
        <v>44</v>
      </c>
      <c r="AN34" s="134">
        <v>42192</v>
      </c>
      <c r="AO34">
        <f>AVERAGE(AO33,AO35)</f>
        <v>6.0024339340003022E-2</v>
      </c>
      <c r="AP34" s="144">
        <f t="shared" si="3"/>
        <v>5.7735586805906167E-2</v>
      </c>
    </row>
    <row r="35" spans="1:42" x14ac:dyDescent="0.25">
      <c r="A35" s="134">
        <v>42178</v>
      </c>
      <c r="B35" s="136">
        <f>Logistic2014!K38</f>
        <v>30</v>
      </c>
      <c r="C35" s="133">
        <f>'Logistic 2018'!L38</f>
        <v>1.6058402859156643E-3</v>
      </c>
      <c r="D35" s="140">
        <f>'Logistic 2017'!L38</f>
        <v>4.6413783640961097E-2</v>
      </c>
      <c r="E35" s="140">
        <f>'Logistic 2016'!L38</f>
        <v>2.4081807688119922E-2</v>
      </c>
      <c r="F35" s="140">
        <f>'Logistic 2015'!L38</f>
        <v>6.2762300207819238E-3</v>
      </c>
      <c r="G35" s="133">
        <f>Logistic2014!L38</f>
        <v>5.6442110719466705E-2</v>
      </c>
      <c r="H35" s="133">
        <f>Logistic2013!L38</f>
        <v>4.8577971912167145E-2</v>
      </c>
      <c r="I35" s="133">
        <f>Logistic2012!L38</f>
        <v>4.4108630611742444E-2</v>
      </c>
      <c r="J35" s="133">
        <f>Logistic2011!L38</f>
        <v>1.0981762444047746E-2</v>
      </c>
      <c r="K35" s="133">
        <f>Logistic2010!L38</f>
        <v>2.5081432246389319E-2</v>
      </c>
      <c r="L35" s="149">
        <f>'Logistic 2008'!L38</f>
        <v>8.0517407052908399E-2</v>
      </c>
      <c r="M35" s="149">
        <f>'Logistic 2007'!L38</f>
        <v>2.9014719722937614E-2</v>
      </c>
      <c r="N35" s="149">
        <f>'Logistic 2006'!L38</f>
        <v>2.2728990453749348E-2</v>
      </c>
      <c r="O35" s="133"/>
      <c r="Q35" s="133">
        <f t="shared" si="0"/>
        <v>3.2745466160459542E-2</v>
      </c>
      <c r="R35" s="133">
        <f t="shared" si="2"/>
        <v>0.96725453383954041</v>
      </c>
      <c r="S35" s="133">
        <f t="shared" si="5"/>
        <v>0.85749453383954044</v>
      </c>
      <c r="T35" s="133">
        <f t="shared" si="6"/>
        <v>1</v>
      </c>
      <c r="U35" s="137">
        <f t="shared" si="4"/>
        <v>42.153999999999982</v>
      </c>
      <c r="V35" s="142">
        <v>5.6000000000000001E-2</v>
      </c>
      <c r="W35" s="133"/>
      <c r="AM35" s="137">
        <f t="shared" si="1"/>
        <v>45</v>
      </c>
      <c r="AN35" s="134">
        <v>42193</v>
      </c>
      <c r="AO35">
        <v>6.0657000000000003E-2</v>
      </c>
      <c r="AP35" s="144">
        <f t="shared" si="3"/>
        <v>5.9353975039693418E-2</v>
      </c>
    </row>
    <row r="36" spans="1:42" x14ac:dyDescent="0.25">
      <c r="A36" s="134">
        <v>42179</v>
      </c>
      <c r="B36" s="136">
        <f>Logistic2014!K39</f>
        <v>31</v>
      </c>
      <c r="C36" s="133">
        <f>'Logistic 2018'!L39</f>
        <v>2.0231551199461507E-3</v>
      </c>
      <c r="D36" s="140">
        <f>'Logistic 2017'!L39</f>
        <v>5.3522298643357551E-2</v>
      </c>
      <c r="E36" s="140">
        <f>'Logistic 2016'!L39</f>
        <v>2.9566787669067538E-2</v>
      </c>
      <c r="F36" s="140">
        <f>'Logistic 2015'!L39</f>
        <v>7.6834118441578003E-3</v>
      </c>
      <c r="G36" s="133">
        <f>Logistic2014!L39</f>
        <v>6.7527607102486259E-2</v>
      </c>
      <c r="H36" s="133">
        <f>Logistic2013!L39</f>
        <v>5.8575762266613804E-2</v>
      </c>
      <c r="I36" s="133">
        <f>Logistic2012!L39</f>
        <v>5.7636652655196713E-2</v>
      </c>
      <c r="J36" s="133">
        <f>Logistic2011!L39</f>
        <v>1.405999799315154E-2</v>
      </c>
      <c r="K36" s="133">
        <f>Logistic2010!L39</f>
        <v>3.0376140200346863E-2</v>
      </c>
      <c r="L36" s="149">
        <f>'Logistic 2008'!L39</f>
        <v>9.4780290896444228E-2</v>
      </c>
      <c r="M36" s="149">
        <f>'Logistic 2007'!L39</f>
        <v>3.7492568163758913E-2</v>
      </c>
      <c r="N36" s="149">
        <f>'Logistic 2006'!L39</f>
        <v>2.7122344601640591E-2</v>
      </c>
      <c r="O36" s="133"/>
      <c r="Q36" s="133">
        <f t="shared" si="0"/>
        <v>3.986858229679726E-2</v>
      </c>
      <c r="R36" s="133">
        <f t="shared" si="2"/>
        <v>0.96013141770320276</v>
      </c>
      <c r="S36" s="133">
        <f t="shared" si="5"/>
        <v>0.85037141770320279</v>
      </c>
      <c r="T36" s="133">
        <f t="shared" si="6"/>
        <v>1</v>
      </c>
      <c r="U36" s="137">
        <f t="shared" si="4"/>
        <v>43.791600000000003</v>
      </c>
      <c r="V36" s="142">
        <v>5.6000000000000001E-2</v>
      </c>
      <c r="W36" s="133"/>
      <c r="AM36" s="137">
        <f t="shared" si="1"/>
        <v>46</v>
      </c>
      <c r="AN36" s="134">
        <v>42194</v>
      </c>
      <c r="AO36">
        <v>5.5104916009521797E-2</v>
      </c>
      <c r="AP36" s="144">
        <f t="shared" si="3"/>
        <v>5.8901639303692209E-2</v>
      </c>
    </row>
    <row r="37" spans="1:42" x14ac:dyDescent="0.25">
      <c r="A37" s="134">
        <v>42180</v>
      </c>
      <c r="B37" s="136">
        <f>Logistic2014!K40</f>
        <v>32</v>
      </c>
      <c r="C37" s="133">
        <f>'Logistic 2018'!L40</f>
        <v>2.5486420480856664E-3</v>
      </c>
      <c r="D37" s="140">
        <f>'Logistic 2017'!L40</f>
        <v>6.1649135465821917E-2</v>
      </c>
      <c r="E37" s="140">
        <f>'Logistic 2016'!L40</f>
        <v>3.6254641205059529E-2</v>
      </c>
      <c r="F37" s="140">
        <f>'Logistic 2015'!L40</f>
        <v>9.4031098451942668E-3</v>
      </c>
      <c r="G37" s="133">
        <f>Logistic2014!L40</f>
        <v>8.060435401777398E-2</v>
      </c>
      <c r="H37" s="133">
        <f>Logistic2013!L40</f>
        <v>7.0478765060004542E-2</v>
      </c>
      <c r="I37" s="133">
        <f>Logistic2012!L40</f>
        <v>7.4988206077094277E-2</v>
      </c>
      <c r="J37" s="133">
        <f>Logistic2011!L40</f>
        <v>1.7985385418392414E-2</v>
      </c>
      <c r="K37" s="133">
        <f>Logistic2010!L40</f>
        <v>3.6746435970581054E-2</v>
      </c>
      <c r="L37" s="149">
        <f>'Logistic 2008'!L40</f>
        <v>0.1112639788201478</v>
      </c>
      <c r="M37" s="149">
        <f>'Logistic 2007'!L40</f>
        <v>4.8324286376203736E-2</v>
      </c>
      <c r="N37" s="149">
        <f>'Logistic 2006'!L40</f>
        <v>3.2336804010024853E-2</v>
      </c>
      <c r="O37" s="133"/>
      <c r="Q37" s="133">
        <f t="shared" si="0"/>
        <v>4.8513754132490247E-2</v>
      </c>
      <c r="R37" s="133">
        <f t="shared" si="2"/>
        <v>0.95148624586750974</v>
      </c>
      <c r="S37" s="133">
        <f t="shared" si="5"/>
        <v>0.84172624586750977</v>
      </c>
      <c r="T37" s="133">
        <f t="shared" si="6"/>
        <v>1</v>
      </c>
      <c r="U37" s="137">
        <f t="shared" si="4"/>
        <v>45.294599999999988</v>
      </c>
      <c r="V37" s="142">
        <v>5.6000000000000001E-2</v>
      </c>
      <c r="W37" s="133"/>
      <c r="AM37" s="137">
        <f t="shared" si="1"/>
        <v>47</v>
      </c>
      <c r="AN37" s="134">
        <v>42195</v>
      </c>
      <c r="AO37">
        <v>6.1591941168936223E-2</v>
      </c>
      <c r="AP37" s="144">
        <f t="shared" si="3"/>
        <v>5.8152771435691607E-2</v>
      </c>
    </row>
    <row r="38" spans="1:42" x14ac:dyDescent="0.25">
      <c r="A38" s="134">
        <v>42181</v>
      </c>
      <c r="B38" s="136">
        <f>Logistic2014!K41</f>
        <v>33</v>
      </c>
      <c r="C38" s="133">
        <f>'Logistic 2018'!L41</f>
        <v>3.2101779941786516E-3</v>
      </c>
      <c r="D38" s="140">
        <f>'Logistic 2017'!L41</f>
        <v>7.091749340959598E-2</v>
      </c>
      <c r="E38" s="140">
        <f>'Logistic 2016'!L41</f>
        <v>4.4386061300486328E-2</v>
      </c>
      <c r="F38" s="140">
        <f>'Logistic 2015'!L41</f>
        <v>1.1503248021332974E-2</v>
      </c>
      <c r="G38" s="133">
        <f>Logistic2014!L41</f>
        <v>9.5952838664410234E-2</v>
      </c>
      <c r="H38" s="133">
        <f>Logistic2013!L41</f>
        <v>8.458322376954866E-2</v>
      </c>
      <c r="I38" s="133">
        <f>Logistic2012!L41</f>
        <v>9.7025625185121492E-2</v>
      </c>
      <c r="J38" s="133">
        <f>Logistic2011!L41</f>
        <v>2.2981150506071208E-2</v>
      </c>
      <c r="K38" s="133">
        <f>Logistic2010!L41</f>
        <v>4.4391508453304682E-2</v>
      </c>
      <c r="L38" s="149">
        <f>'Logistic 2008'!L41</f>
        <v>0.13020208350653326</v>
      </c>
      <c r="M38" s="149">
        <f>'Logistic 2007'!L41</f>
        <v>6.208347468090588E-2</v>
      </c>
      <c r="N38" s="149">
        <f>'Logistic 2006'!L41</f>
        <v>3.8514092097830847E-2</v>
      </c>
      <c r="O38" s="133"/>
      <c r="Q38" s="133">
        <f t="shared" ref="Q38:Q74" si="7">AVERAGE(D38:K38)</f>
        <v>5.8967643663733943E-2</v>
      </c>
      <c r="R38" s="133">
        <f t="shared" si="2"/>
        <v>0.94103235633626603</v>
      </c>
      <c r="S38" s="133">
        <f t="shared" si="5"/>
        <v>0.83127235633626606</v>
      </c>
      <c r="T38" s="133">
        <f t="shared" si="6"/>
        <v>1</v>
      </c>
      <c r="U38" s="137">
        <f t="shared" si="4"/>
        <v>46.662999999999982</v>
      </c>
      <c r="V38" s="142">
        <v>5.6000000000000001E-2</v>
      </c>
      <c r="W38" s="133"/>
      <c r="AM38" s="137">
        <f t="shared" si="1"/>
        <v>48</v>
      </c>
      <c r="AN38" s="134">
        <v>42196</v>
      </c>
      <c r="AO38">
        <v>5.713E-2</v>
      </c>
      <c r="AP38" s="144">
        <f t="shared" si="3"/>
        <v>5.6587371435691605E-2</v>
      </c>
    </row>
    <row r="39" spans="1:42" x14ac:dyDescent="0.25">
      <c r="A39" s="134">
        <v>42182</v>
      </c>
      <c r="B39" s="136">
        <f>Logistic2014!K42</f>
        <v>34</v>
      </c>
      <c r="C39" s="133">
        <f>'Logistic 2018'!L42</f>
        <v>4.0427289594171054E-3</v>
      </c>
      <c r="D39" s="140">
        <f>'Logistic 2017'!L42</f>
        <v>8.1458298411023491E-2</v>
      </c>
      <c r="E39" s="140">
        <f>'Logistic 2016'!L42</f>
        <v>5.4238607982524778E-2</v>
      </c>
      <c r="F39" s="140">
        <f>'Logistic 2015'!L42</f>
        <v>1.4065781434915823E-2</v>
      </c>
      <c r="G39" s="133">
        <f>Logistic2014!L42</f>
        <v>0.11386199412717302</v>
      </c>
      <c r="H39" s="133">
        <f>Logistic2013!L42</f>
        <v>0.1012029979928537</v>
      </c>
      <c r="I39" s="133">
        <f>Logistic2012!L42</f>
        <v>0.12466653434235597</v>
      </c>
      <c r="J39" s="133">
        <f>Logistic2011!L42</f>
        <v>2.9323143517230983E-2</v>
      </c>
      <c r="K39" s="133">
        <f>Logistic2010!L42</f>
        <v>5.3538728659080159E-2</v>
      </c>
      <c r="L39" s="149">
        <f>'Logistic 2008'!L42</f>
        <v>0.15181299631758194</v>
      </c>
      <c r="M39" s="149">
        <f>'Logistic 2007'!L42</f>
        <v>7.9433274394375253E-2</v>
      </c>
      <c r="N39" s="149">
        <f>'Logistic 2006'!L42</f>
        <v>4.5815554201554094E-2</v>
      </c>
      <c r="O39" s="133"/>
      <c r="Q39" s="133">
        <f t="shared" si="7"/>
        <v>7.1544510808394746E-2</v>
      </c>
      <c r="R39" s="133">
        <f t="shared" si="2"/>
        <v>0.92845548919160525</v>
      </c>
      <c r="S39" s="133">
        <f t="shared" si="5"/>
        <v>0.81869548919160529</v>
      </c>
      <c r="T39" s="133">
        <f t="shared" si="6"/>
        <v>1</v>
      </c>
      <c r="U39" s="137">
        <f t="shared" si="4"/>
        <v>47.896799999999999</v>
      </c>
      <c r="V39" s="142">
        <v>5.6000000000000001E-2</v>
      </c>
      <c r="W39" s="133"/>
      <c r="AM39" s="137">
        <f t="shared" si="1"/>
        <v>49</v>
      </c>
      <c r="AN39" s="134">
        <v>42197</v>
      </c>
      <c r="AO39">
        <v>5.6279999999999997E-2</v>
      </c>
      <c r="AP39" s="144">
        <f t="shared" si="3"/>
        <v>5.5442388233787242E-2</v>
      </c>
    </row>
    <row r="40" spans="1:42" x14ac:dyDescent="0.25">
      <c r="A40" s="134">
        <v>42183</v>
      </c>
      <c r="B40" s="136">
        <f>Logistic2014!K43</f>
        <v>35</v>
      </c>
      <c r="C40" s="133">
        <f>'Logistic 2018'!L43</f>
        <v>5.0900971693337094E-3</v>
      </c>
      <c r="D40" s="140">
        <f>'Logistic 2017'!L43</f>
        <v>9.3408317211831279E-2</v>
      </c>
      <c r="E40" s="140">
        <f>'Logistic 2016'!L43</f>
        <v>6.6126825611814793E-2</v>
      </c>
      <c r="F40" s="140">
        <f>'Logistic 2015'!L43</f>
        <v>1.7189233774663696E-2</v>
      </c>
      <c r="G40" s="133">
        <f>Logistic2014!L43</f>
        <v>0.13461607593232877</v>
      </c>
      <c r="H40" s="133">
        <f>Logistic2013!L43</f>
        <v>0.12065796431808783</v>
      </c>
      <c r="I40" s="133">
        <f>Logistic2012!L43</f>
        <v>0.15879706245150543</v>
      </c>
      <c r="J40" s="133">
        <f>Logistic2011!L43</f>
        <v>3.7348401080151791E-2</v>
      </c>
      <c r="K40" s="133">
        <f>Logistic2010!L43</f>
        <v>6.4443695952991653E-2</v>
      </c>
      <c r="L40" s="149">
        <f>'Logistic 2008'!L43</f>
        <v>0.17628390341988612</v>
      </c>
      <c r="M40" s="149">
        <f>'Logistic 2007'!L43</f>
        <v>0.10110895273016507</v>
      </c>
      <c r="N40" s="149">
        <f>'Logistic 2006'!L43</f>
        <v>5.4422870092997587E-2</v>
      </c>
      <c r="O40" s="133"/>
      <c r="Q40" s="133">
        <f t="shared" si="7"/>
        <v>8.6573447041671914E-2</v>
      </c>
      <c r="R40" s="133">
        <f t="shared" si="2"/>
        <v>0.91342655295832809</v>
      </c>
      <c r="S40" s="133">
        <f t="shared" si="5"/>
        <v>0.80366655295832812</v>
      </c>
      <c r="T40" s="133">
        <f t="shared" si="6"/>
        <v>1</v>
      </c>
      <c r="U40" s="137">
        <f t="shared" si="4"/>
        <v>48.995999999999995</v>
      </c>
      <c r="V40" s="142">
        <v>5.6000000000000001E-2</v>
      </c>
      <c r="W40" s="133"/>
      <c r="AM40" s="137">
        <f t="shared" si="1"/>
        <v>50</v>
      </c>
      <c r="AN40" s="134">
        <v>42198</v>
      </c>
      <c r="AO40">
        <f>AVERAGE(AO39,AO41)</f>
        <v>5.2830000000000002E-2</v>
      </c>
      <c r="AP40" s="144">
        <f t="shared" si="3"/>
        <v>4.8926975543264771E-2</v>
      </c>
    </row>
    <row r="41" spans="1:42" x14ac:dyDescent="0.25">
      <c r="A41" s="134">
        <v>42184</v>
      </c>
      <c r="B41" s="136">
        <f>Logistic2014!K44</f>
        <v>36</v>
      </c>
      <c r="C41" s="133">
        <f>'Logistic 2018'!L44</f>
        <v>6.4070662414739627E-3</v>
      </c>
      <c r="D41" s="140">
        <f>'Logistic 2017'!L44</f>
        <v>0.10690737864264127</v>
      </c>
      <c r="E41" s="140">
        <f>'Logistic 2016'!L44</f>
        <v>8.0399235515699191E-2</v>
      </c>
      <c r="F41" s="140">
        <f>'Logistic 2015'!L44</f>
        <v>2.0991513711110195E-2</v>
      </c>
      <c r="G41" s="133">
        <f>Logistic2014!L44</f>
        <v>0.15847654981878281</v>
      </c>
      <c r="H41" s="133">
        <f>Logistic2013!L44</f>
        <v>0.14325679323024673</v>
      </c>
      <c r="I41" s="133">
        <f>Logistic2012!L44</f>
        <v>0.20013524384424056</v>
      </c>
      <c r="J41" s="133">
        <f>Logistic2011!L44</f>
        <v>4.7462643251595896E-2</v>
      </c>
      <c r="K41" s="133">
        <f>Logistic2010!L44</f>
        <v>7.7388212137128543E-2</v>
      </c>
      <c r="L41" s="149">
        <f>'Logistic 2008'!L44</f>
        <v>0.2037517561047178</v>
      </c>
      <c r="M41" s="149">
        <f>'Logistic 2007'!L44</f>
        <v>0.12787782757069291</v>
      </c>
      <c r="N41" s="149">
        <f>'Logistic 2006'!L44</f>
        <v>6.4537860947374764E-2</v>
      </c>
      <c r="O41" s="133"/>
      <c r="Q41" s="133">
        <f t="shared" si="7"/>
        <v>0.10437719626893065</v>
      </c>
      <c r="R41" s="133">
        <f t="shared" si="2"/>
        <v>0.89562280373106939</v>
      </c>
      <c r="S41" s="133">
        <f t="shared" si="5"/>
        <v>0.78586280373106943</v>
      </c>
      <c r="T41" s="133">
        <f t="shared" si="6"/>
        <v>1</v>
      </c>
      <c r="U41" s="137">
        <f t="shared" si="4"/>
        <v>49.960599999999985</v>
      </c>
      <c r="V41" s="142">
        <v>5.6000000000000001E-2</v>
      </c>
      <c r="W41" s="133"/>
      <c r="AM41" s="137">
        <f t="shared" si="1"/>
        <v>51</v>
      </c>
      <c r="AN41" s="134">
        <v>42199</v>
      </c>
      <c r="AO41">
        <v>4.938E-2</v>
      </c>
      <c r="AP41" s="144">
        <f t="shared" si="3"/>
        <v>4.3303951086529541E-2</v>
      </c>
    </row>
    <row r="42" spans="1:42" x14ac:dyDescent="0.25">
      <c r="A42" s="134">
        <v>42185</v>
      </c>
      <c r="B42" s="136">
        <f>Logistic2014!K45</f>
        <v>37</v>
      </c>
      <c r="C42" s="133">
        <f>'Logistic 2018'!L45</f>
        <v>8.0620157334055764E-3</v>
      </c>
      <c r="D42" s="140">
        <f>'Logistic 2017'!L45</f>
        <v>0.12209455196183429</v>
      </c>
      <c r="E42" s="140">
        <f>'Logistic 2016'!L45</f>
        <v>9.7430730590327086E-2</v>
      </c>
      <c r="F42" s="140">
        <f>'Logistic 2015'!L45</f>
        <v>2.5612943683085747E-2</v>
      </c>
      <c r="G42" s="133">
        <f>Logistic2014!L45</f>
        <v>0.18565891661671166</v>
      </c>
      <c r="H42" s="133">
        <f>Logistic2013!L45</f>
        <v>0.16927351386641812</v>
      </c>
      <c r="I42" s="133">
        <f>Logistic2012!L45</f>
        <v>0.24904863007932609</v>
      </c>
      <c r="J42" s="133">
        <f>Logistic2011!L45</f>
        <v>6.0144773203586376E-2</v>
      </c>
      <c r="K42" s="133">
        <f>Logistic2010!L45</f>
        <v>9.2675271243984961E-2</v>
      </c>
      <c r="L42" s="149">
        <f>'Logistic 2008'!L45</f>
        <v>0.23428223706447021</v>
      </c>
      <c r="M42" s="149">
        <f>'Logistic 2007'!L45</f>
        <v>0.16046865181814796</v>
      </c>
      <c r="N42" s="149">
        <f>'Logistic 2006'!L45</f>
        <v>7.6380957860502405E-2</v>
      </c>
      <c r="O42" s="133"/>
      <c r="Q42" s="133">
        <f t="shared" si="7"/>
        <v>0.12524241640565928</v>
      </c>
      <c r="R42" s="133">
        <f t="shared" si="2"/>
        <v>0.87475758359434075</v>
      </c>
      <c r="S42" s="133">
        <f t="shared" si="5"/>
        <v>0.76499758359434078</v>
      </c>
      <c r="T42" s="133">
        <f t="shared" si="6"/>
        <v>0.98451758359434072</v>
      </c>
      <c r="U42" s="137">
        <f t="shared" si="4"/>
        <v>50.790599999999969</v>
      </c>
      <c r="V42" s="142">
        <v>5.6000000000000001E-2</v>
      </c>
      <c r="W42" s="133"/>
      <c r="AM42" s="137">
        <f t="shared" si="1"/>
        <v>52</v>
      </c>
      <c r="AN42" s="134">
        <v>42200</v>
      </c>
      <c r="AO42">
        <f>AVERAGE(AO41,AO44)</f>
        <v>2.9014877716323866E-2</v>
      </c>
      <c r="AP42" s="144">
        <f t="shared" si="3"/>
        <v>3.3777902173059086E-2</v>
      </c>
    </row>
    <row r="43" spans="1:42" x14ac:dyDescent="0.25">
      <c r="A43" s="134">
        <v>42186</v>
      </c>
      <c r="B43" s="136">
        <f>Logistic2014!K46</f>
        <v>38</v>
      </c>
      <c r="C43" s="133">
        <f>'Logistic 2018'!L46</f>
        <v>1.014007720872801E-2</v>
      </c>
      <c r="D43" s="140">
        <f>'Logistic 2017'!L46</f>
        <v>0.13910316578012397</v>
      </c>
      <c r="E43" s="140">
        <f>'Logistic 2016'!L46</f>
        <v>0.11760870130683239</v>
      </c>
      <c r="F43" s="140">
        <f>'Logistic 2015'!L46</f>
        <v>3.1219369180249767E-2</v>
      </c>
      <c r="G43" s="133">
        <f>Logistic2014!L46</f>
        <v>0.21630525971395512</v>
      </c>
      <c r="H43" s="133">
        <f>Logistic2013!L46</f>
        <v>0.19891808737150862</v>
      </c>
      <c r="I43" s="133">
        <f>Logistic2012!L46</f>
        <v>0.305352827303353</v>
      </c>
      <c r="J43" s="133">
        <f>Logistic2011!L46</f>
        <v>7.5945418837501361E-2</v>
      </c>
      <c r="K43" s="133">
        <f>Logistic2010!L46</f>
        <v>0.11062002877277062</v>
      </c>
      <c r="L43" s="149">
        <f>'Logistic 2008'!L46</f>
        <v>0.26784856577910376</v>
      </c>
      <c r="M43" s="149">
        <f>'Logistic 2007'!L46</f>
        <v>0.19946583619099989</v>
      </c>
      <c r="N43" s="149">
        <f>'Logistic 2006'!L46</f>
        <v>9.0187810496828433E-2</v>
      </c>
      <c r="O43" s="133"/>
      <c r="Q43" s="133">
        <f t="shared" si="7"/>
        <v>0.14938410728328683</v>
      </c>
      <c r="R43" s="133">
        <f t="shared" si="2"/>
        <v>0.85061589271671312</v>
      </c>
      <c r="S43" s="133">
        <f t="shared" si="5"/>
        <v>0.74085589271671315</v>
      </c>
      <c r="T43" s="133">
        <f t="shared" si="6"/>
        <v>0.96037589271671309</v>
      </c>
      <c r="U43" s="137">
        <f t="shared" si="4"/>
        <v>51.48599999999999</v>
      </c>
      <c r="V43" s="142">
        <v>5.6000000000000001E-2</v>
      </c>
      <c r="W43" s="133"/>
      <c r="AM43" s="137">
        <f t="shared" si="1"/>
        <v>53</v>
      </c>
      <c r="AN43" s="134">
        <v>42201</v>
      </c>
      <c r="AO43">
        <f>AO42</f>
        <v>2.9014877716323866E-2</v>
      </c>
      <c r="AP43" s="144">
        <f t="shared" si="3"/>
        <v>3.4339902173059093E-2</v>
      </c>
    </row>
    <row r="44" spans="1:42" x14ac:dyDescent="0.25">
      <c r="A44" s="134">
        <v>42187</v>
      </c>
      <c r="B44" s="136">
        <f>Logistic2014!K47</f>
        <v>39</v>
      </c>
      <c r="C44" s="133">
        <f>'Logistic 2018'!L47</f>
        <v>1.2746895614020702E-2</v>
      </c>
      <c r="D44" s="140">
        <f>'Logistic 2017'!L47</f>
        <v>0.15805461640374502</v>
      </c>
      <c r="E44" s="140">
        <f>'Logistic 2016'!L47</f>
        <v>0.14131127609750577</v>
      </c>
      <c r="F44" s="140">
        <f>'Logistic 2015'!L47</f>
        <v>3.8005121391425825E-2</v>
      </c>
      <c r="G44" s="133">
        <f>Logistic2014!L47</f>
        <v>0.25045449624933086</v>
      </c>
      <c r="H44" s="133">
        <f>Logistic2013!L47</f>
        <v>0.23230249502167508</v>
      </c>
      <c r="I44" s="133">
        <f>Logistic2012!L47</f>
        <v>0.36814581574831806</v>
      </c>
      <c r="J44" s="133">
        <f>Logistic2011!L47</f>
        <v>9.5475376096323186E-2</v>
      </c>
      <c r="K44" s="133">
        <f>Logistic2010!L47</f>
        <v>0.13153571480737836</v>
      </c>
      <c r="L44" s="149">
        <f>'Logistic 2008'!L47</f>
        <v>0.30431278437686776</v>
      </c>
      <c r="M44" s="149">
        <f>'Logistic 2007'!L47</f>
        <v>0.24517248913047268</v>
      </c>
      <c r="N44" s="149">
        <f>'Logistic 2006'!L47</f>
        <v>0.10620345257063696</v>
      </c>
      <c r="O44" s="133"/>
      <c r="Q44" s="133">
        <f t="shared" si="7"/>
        <v>0.17691061397696278</v>
      </c>
      <c r="R44" s="133">
        <f t="shared" si="2"/>
        <v>0.82308938602303727</v>
      </c>
      <c r="S44" s="133">
        <f t="shared" si="5"/>
        <v>0.7133293860230373</v>
      </c>
      <c r="T44" s="133">
        <f t="shared" si="6"/>
        <v>0.93284938602303724</v>
      </c>
      <c r="U44" s="137">
        <f t="shared" si="4"/>
        <v>52.04679999999999</v>
      </c>
      <c r="V44" s="142">
        <v>5.6000000000000001E-2</v>
      </c>
      <c r="W44" s="133"/>
      <c r="AM44" s="137">
        <f t="shared" si="1"/>
        <v>54</v>
      </c>
      <c r="AN44" s="134">
        <v>42202</v>
      </c>
      <c r="AO44">
        <v>8.6497554326477304E-3</v>
      </c>
      <c r="AP44" s="144">
        <f t="shared" si="3"/>
        <v>3.2878002173059098E-2</v>
      </c>
    </row>
    <row r="45" spans="1:42" x14ac:dyDescent="0.25">
      <c r="A45" s="134">
        <v>42188</v>
      </c>
      <c r="B45" s="136">
        <f>Logistic2014!K48</f>
        <v>40</v>
      </c>
      <c r="C45" s="133">
        <f>'Logistic 2018'!L48</f>
        <v>1.6013035514637217E-2</v>
      </c>
      <c r="D45" s="140">
        <f>'Logistic 2017'!L48</f>
        <v>0.17905101833573814</v>
      </c>
      <c r="E45" s="140">
        <f>'Logistic 2016'!L48</f>
        <v>0.16887657171738996</v>
      </c>
      <c r="F45" s="140">
        <f>'Logistic 2015'!L48</f>
        <v>4.6195474320518168E-2</v>
      </c>
      <c r="G45" s="133">
        <f>Logistic2014!L48</f>
        <v>0.28801370069768495</v>
      </c>
      <c r="H45" s="133">
        <f>Logistic2013!L48</f>
        <v>0.26940553732402189</v>
      </c>
      <c r="I45" s="149">
        <f>Logistic2012!L48</f>
        <v>0.43575141803734668</v>
      </c>
      <c r="J45" s="133">
        <f>Logistic2011!L48</f>
        <v>0.1193787848889972</v>
      </c>
      <c r="K45" s="133">
        <f>Logistic2010!L48</f>
        <v>0.15571368418841838</v>
      </c>
      <c r="L45" s="149">
        <f>'Logistic 2008'!L48</f>
        <v>0.34341273562500851</v>
      </c>
      <c r="M45" s="149">
        <f>'Logistic 2007'!L48</f>
        <v>0.29746089667686176</v>
      </c>
      <c r="N45" s="149">
        <f>'Logistic 2006'!L48</f>
        <v>0.12467343917118223</v>
      </c>
      <c r="O45" s="133"/>
      <c r="Q45" s="133">
        <f t="shared" si="7"/>
        <v>0.20779827368876441</v>
      </c>
      <c r="R45" s="133">
        <f t="shared" si="2"/>
        <v>0.79220172631123553</v>
      </c>
      <c r="S45" s="133">
        <f t="shared" si="5"/>
        <v>0.68244172631123556</v>
      </c>
      <c r="T45" s="133">
        <f t="shared" si="6"/>
        <v>0.9019617263112355</v>
      </c>
      <c r="U45" s="137">
        <f t="shared" si="4"/>
        <v>52.472999999999985</v>
      </c>
      <c r="V45" s="142">
        <v>5.6000000000000001E-2</v>
      </c>
      <c r="W45" s="133"/>
      <c r="AM45" s="137">
        <f t="shared" si="1"/>
        <v>55</v>
      </c>
      <c r="AN45" s="134">
        <v>42203</v>
      </c>
      <c r="AO45">
        <v>5.5640000000000002E-2</v>
      </c>
      <c r="AP45" s="144">
        <f t="shared" si="3"/>
        <v>3.5489126629794324E-2</v>
      </c>
    </row>
    <row r="46" spans="1:42" x14ac:dyDescent="0.25">
      <c r="A46" s="134">
        <v>42189</v>
      </c>
      <c r="B46" s="136">
        <f>Logistic2014!K49</f>
        <v>41</v>
      </c>
      <c r="C46" s="133">
        <f>'Logistic 2018'!L49</f>
        <v>2.0099021446439016E-2</v>
      </c>
      <c r="D46" s="140">
        <f>'Logistic 2017'!L49</f>
        <v>0.20216689519824338</v>
      </c>
      <c r="E46" s="140">
        <f>'Logistic 2016'!L49</f>
        <v>0.2005630471679109</v>
      </c>
      <c r="F46" s="140">
        <f>'Logistic 2015'!L49</f>
        <v>5.6048064653054508E-2</v>
      </c>
      <c r="G46" s="133">
        <f>Logistic2014!L49</f>
        <v>0.32873512727698778</v>
      </c>
      <c r="H46" s="133">
        <f>Logistic2013!L49</f>
        <v>0.31004134142241851</v>
      </c>
      <c r="I46" s="133">
        <f>Logistic2012!L49</f>
        <v>0.50583314045327965</v>
      </c>
      <c r="J46" s="133">
        <f>Logistic2011!L49</f>
        <v>0.14828561393161441</v>
      </c>
      <c r="K46" s="133">
        <f>Logistic2010!L49</f>
        <v>0.18339737163916756</v>
      </c>
      <c r="L46" s="149">
        <f>'Logistic 2008'!L49</f>
        <v>0.38475801451275982</v>
      </c>
      <c r="M46" s="149">
        <f>'Logistic 2007'!L49</f>
        <v>0.35564671011639831</v>
      </c>
      <c r="N46" s="149">
        <f>'Logistic 2006'!L49</f>
        <v>0.14583147470835986</v>
      </c>
      <c r="O46" s="133"/>
      <c r="Q46" s="133">
        <f t="shared" si="7"/>
        <v>0.24188382521783458</v>
      </c>
      <c r="R46" s="133">
        <f t="shared" si="2"/>
        <v>0.75811617478216542</v>
      </c>
      <c r="S46" s="133">
        <f t="shared" si="5"/>
        <v>0.64835617478216545</v>
      </c>
      <c r="T46" s="133">
        <f t="shared" si="6"/>
        <v>0.86787617478216539</v>
      </c>
      <c r="U46" s="137">
        <f t="shared" si="4"/>
        <v>52.764600000000002</v>
      </c>
      <c r="V46" s="142">
        <v>5.6000000000000001E-2</v>
      </c>
      <c r="W46" s="133"/>
      <c r="AM46" s="137">
        <f t="shared" si="1"/>
        <v>56</v>
      </c>
      <c r="AN46" s="134">
        <v>42204</v>
      </c>
      <c r="AO46">
        <f>AVERAGE(AO45,AO48)</f>
        <v>4.2070499999999997E-2</v>
      </c>
      <c r="AP46" s="144">
        <f t="shared" si="3"/>
        <v>3.5386351086529544E-2</v>
      </c>
    </row>
    <row r="47" spans="1:42" x14ac:dyDescent="0.25">
      <c r="A47" s="134">
        <v>42190</v>
      </c>
      <c r="B47" s="136">
        <f>Logistic2014!K50</f>
        <v>42</v>
      </c>
      <c r="C47" s="133">
        <f>'Logistic 2018'!L50</f>
        <v>2.5200910816831863E-2</v>
      </c>
      <c r="D47" s="140">
        <f>'Logistic 2017'!L50</f>
        <v>0.22744029222117593</v>
      </c>
      <c r="E47" s="140">
        <f>'Logistic 2016'!L50</f>
        <v>0.23650308399925971</v>
      </c>
      <c r="F47" s="140">
        <f>'Logistic 2015'!L50</f>
        <v>6.785253101900221E-2</v>
      </c>
      <c r="G47" s="133">
        <f>Logistic2014!L50</f>
        <v>0.37220420551064748</v>
      </c>
      <c r="H47" s="133">
        <f>Logistic2013!L50</f>
        <v>0.35383793526166868</v>
      </c>
      <c r="I47" s="133">
        <f>Logistic2012!L50</f>
        <v>0.57568638565895403</v>
      </c>
      <c r="J47" s="133">
        <f>Logistic2011!L50</f>
        <v>0.18273954814304952</v>
      </c>
      <c r="K47" s="133">
        <f>Logistic2010!L50</f>
        <v>0.21475093590520525</v>
      </c>
      <c r="L47" s="149">
        <f>'Logistic 2008'!L50</f>
        <v>0.42783751117814939</v>
      </c>
      <c r="M47" s="149">
        <f>'Logistic 2007'!L50</f>
        <v>0.41843520615117785</v>
      </c>
      <c r="N47" s="149">
        <f>'Logistic 2006'!L50</f>
        <v>0.16988331162664985</v>
      </c>
      <c r="O47" s="133"/>
      <c r="Q47" s="133">
        <f t="shared" si="7"/>
        <v>0.27887686471487033</v>
      </c>
      <c r="R47" s="133">
        <f t="shared" si="2"/>
        <v>0.72112313528512972</v>
      </c>
      <c r="S47" s="133">
        <f t="shared" si="5"/>
        <v>0.61136313528512976</v>
      </c>
      <c r="T47" s="133">
        <f t="shared" si="6"/>
        <v>0.83088313528512969</v>
      </c>
      <c r="U47" s="137">
        <f t="shared" si="4"/>
        <v>52.921599999999998</v>
      </c>
      <c r="V47" s="142">
        <v>5.6000000000000001E-2</v>
      </c>
      <c r="W47" s="133"/>
      <c r="AM47" s="137">
        <f t="shared" si="1"/>
        <v>57</v>
      </c>
      <c r="AN47" s="134">
        <v>42205</v>
      </c>
      <c r="AO47">
        <f>AO46</f>
        <v>4.2070499999999997E-2</v>
      </c>
      <c r="AP47" s="144">
        <f t="shared" si="3"/>
        <v>4.0205467599539177E-2</v>
      </c>
    </row>
    <row r="48" spans="1:42" x14ac:dyDescent="0.25">
      <c r="A48" s="134">
        <v>42191</v>
      </c>
      <c r="B48" s="136">
        <f>Logistic2014!K51</f>
        <v>43</v>
      </c>
      <c r="C48" s="133">
        <f>'Logistic 2018'!L51</f>
        <v>3.1556146971030666E-2</v>
      </c>
      <c r="D48" s="140">
        <f>'Logistic 2017'!L51</f>
        <v>0.25486389661814302</v>
      </c>
      <c r="E48" s="140">
        <f>'Logistic 2016'!L51</f>
        <v>0.27665467849284059</v>
      </c>
      <c r="F48" s="140">
        <f>'Logistic 2015'!L51</f>
        <v>8.1927394602301376E-2</v>
      </c>
      <c r="G48" s="133">
        <f>Logistic2014!L51</f>
        <v>0.41784330704514244</v>
      </c>
      <c r="H48" s="133">
        <f>Logistic2013!L51</f>
        <v>0.40023244913820061</v>
      </c>
      <c r="I48" s="133">
        <f>Logistic2012!L51</f>
        <v>0.64264132609442637</v>
      </c>
      <c r="J48" s="133">
        <f>Logistic2011!L51</f>
        <v>0.22310185221288506</v>
      </c>
      <c r="K48" s="133">
        <f>Logistic2010!L51</f>
        <v>0.24982484141927366</v>
      </c>
      <c r="L48" s="149">
        <f>'Logistic 2008'!L51</f>
        <v>0.47203969195019341</v>
      </c>
      <c r="M48" s="149">
        <f>'Logistic 2007'!L51</f>
        <v>0.4839826418282222</v>
      </c>
      <c r="N48" s="149">
        <f>'Logistic 2006'!L51</f>
        <v>0.19698716524640092</v>
      </c>
      <c r="O48" s="133"/>
      <c r="Q48" s="133">
        <f t="shared" si="7"/>
        <v>0.31838621820290164</v>
      </c>
      <c r="R48" s="133">
        <f t="shared" si="2"/>
        <v>0.68161378179709842</v>
      </c>
      <c r="S48" s="133">
        <f t="shared" si="5"/>
        <v>0.57185378179709845</v>
      </c>
      <c r="T48" s="133">
        <f t="shared" si="6"/>
        <v>0.79137378179709839</v>
      </c>
      <c r="U48" s="137">
        <f t="shared" si="4"/>
        <v>52.943999999999988</v>
      </c>
      <c r="V48" s="142">
        <v>5.6000000000000001E-2</v>
      </c>
      <c r="W48" s="133"/>
      <c r="AM48" s="137">
        <f t="shared" si="1"/>
        <v>58</v>
      </c>
      <c r="AN48" s="134">
        <v>42206</v>
      </c>
      <c r="AO48">
        <v>2.8500999999999999E-2</v>
      </c>
      <c r="AP48" s="144">
        <f t="shared" si="3"/>
        <v>3.6475402798617537E-2</v>
      </c>
    </row>
    <row r="49" spans="1:42" x14ac:dyDescent="0.25">
      <c r="A49" s="134">
        <v>42192</v>
      </c>
      <c r="B49" s="136">
        <f>Logistic2014!K52</f>
        <v>44</v>
      </c>
      <c r="C49" s="133">
        <f>'Logistic 2018'!L52</f>
        <v>3.9449205341788779E-2</v>
      </c>
      <c r="D49" s="140">
        <f>'Logistic 2017'!L52</f>
        <v>0.28437695132311863</v>
      </c>
      <c r="E49" s="140">
        <f>'Logistic 2016'!L52</f>
        <v>0.32075910277177222</v>
      </c>
      <c r="F49" s="140">
        <f>'Logistic 2015'!L52</f>
        <v>9.8612984121872763E-2</v>
      </c>
      <c r="G49" s="149">
        <f>Logistic2014!L52</f>
        <v>0.46493416339222882</v>
      </c>
      <c r="H49" s="133">
        <f>Logistic2013!L52</f>
        <v>0.44848792399421938</v>
      </c>
      <c r="I49" s="133">
        <f>Logistic2012!L52</f>
        <v>0.70445500599729416</v>
      </c>
      <c r="J49" s="133">
        <f>Logistic2011!L52</f>
        <v>0.26943997114703433</v>
      </c>
      <c r="K49" s="133">
        <f>Logistic2010!L52</f>
        <v>0.28852237204419506</v>
      </c>
      <c r="L49" s="149">
        <f>'Logistic 2008'!L52</f>
        <v>0.51668467362856962</v>
      </c>
      <c r="M49" s="149">
        <f>'Logistic 2007'!L52</f>
        <v>0.55008586029864304</v>
      </c>
      <c r="N49" s="149">
        <f>'Logistic 2006'!L52</f>
        <v>0.22723157660467003</v>
      </c>
      <c r="O49" s="133"/>
      <c r="Q49" s="133">
        <f t="shared" si="7"/>
        <v>0.35994855934896697</v>
      </c>
      <c r="R49" s="133">
        <f t="shared" si="2"/>
        <v>0.64005144065103303</v>
      </c>
      <c r="S49" s="133">
        <f t="shared" si="5"/>
        <v>0.53029144065103306</v>
      </c>
      <c r="T49" s="133">
        <f t="shared" si="6"/>
        <v>0.749811440651033</v>
      </c>
      <c r="U49" s="137">
        <f t="shared" si="4"/>
        <v>52.831799999999973</v>
      </c>
      <c r="V49" s="142">
        <v>5.6000000000000001E-2</v>
      </c>
      <c r="W49" s="133"/>
      <c r="AM49" s="137">
        <f t="shared" si="1"/>
        <v>59</v>
      </c>
      <c r="AN49" s="134">
        <v>42207</v>
      </c>
      <c r="AO49">
        <f>AVERAGE(AO48,AO50)</f>
        <v>3.2745337997695897E-2</v>
      </c>
      <c r="AP49" s="144">
        <f t="shared" si="3"/>
        <v>3.7868140932250348E-2</v>
      </c>
    </row>
    <row r="50" spans="1:42" x14ac:dyDescent="0.25">
      <c r="A50" s="134">
        <v>42193</v>
      </c>
      <c r="B50" s="136">
        <f>Logistic2014!K53</f>
        <v>45</v>
      </c>
      <c r="C50" s="133">
        <f>'Logistic 2018'!L53</f>
        <v>4.9216202030919046E-2</v>
      </c>
      <c r="D50" s="140">
        <f>'Logistic 2017'!L53</f>
        <v>0.31585889953633389</v>
      </c>
      <c r="E50" s="140">
        <f>'Logistic 2016'!L53</f>
        <v>0.36831454030241551</v>
      </c>
      <c r="F50" s="140">
        <f>'Logistic 2015'!L53</f>
        <v>0.11825907785428158</v>
      </c>
      <c r="G50" s="133">
        <f>Logistic2014!L53</f>
        <v>0.51265858710560919</v>
      </c>
      <c r="H50" s="149">
        <f>Logistic2013!L53</f>
        <v>0.49773319182267894</v>
      </c>
      <c r="I50" s="133">
        <f>Logistic2012!L53</f>
        <v>0.75957665857936152</v>
      </c>
      <c r="J50" s="133">
        <f>Logistic2011!L53</f>
        <v>0.32142065365089911</v>
      </c>
      <c r="K50" s="133">
        <f>Logistic2010!L53</f>
        <v>0.33057269179091786</v>
      </c>
      <c r="L50" s="149">
        <f>'Logistic 2008'!L53</f>
        <v>0.56106489451381525</v>
      </c>
      <c r="M50" s="149">
        <f>'Logistic 2007'!L53</f>
        <v>0.61446656253299436</v>
      </c>
      <c r="N50" s="149">
        <f>'Logistic 2006'!L53</f>
        <v>0.26061252043374916</v>
      </c>
      <c r="O50" s="133"/>
      <c r="Q50" s="133">
        <f t="shared" si="7"/>
        <v>0.40304928758031217</v>
      </c>
      <c r="R50" s="133">
        <f t="shared" si="2"/>
        <v>0.59695071241968778</v>
      </c>
      <c r="S50" s="133">
        <f t="shared" si="5"/>
        <v>0.48719071241968781</v>
      </c>
      <c r="T50" s="133">
        <f t="shared" si="6"/>
        <v>0.70671071241968775</v>
      </c>
      <c r="U50" s="137">
        <f t="shared" si="4"/>
        <v>52.584999999999994</v>
      </c>
      <c r="V50" s="142">
        <v>5.6000000000000001E-2</v>
      </c>
      <c r="W50" s="133"/>
      <c r="AM50" s="137">
        <f t="shared" si="1"/>
        <v>60</v>
      </c>
      <c r="AN50" s="134">
        <v>42208</v>
      </c>
      <c r="AO50">
        <v>3.6989675995391803E-2</v>
      </c>
      <c r="AP50" s="144">
        <f t="shared" si="3"/>
        <v>4.1669782000437625E-2</v>
      </c>
    </row>
    <row r="51" spans="1:42" x14ac:dyDescent="0.25">
      <c r="A51" s="134">
        <v>42194</v>
      </c>
      <c r="B51" s="136">
        <f>Logistic2014!K54</f>
        <v>46</v>
      </c>
      <c r="C51" s="133">
        <f>'Logistic 2018'!L54</f>
        <v>6.124716436704674E-2</v>
      </c>
      <c r="D51" s="140">
        <f>'Logistic 2017'!L54</f>
        <v>0.34912575338390617</v>
      </c>
      <c r="E51" s="140">
        <f>'Logistic 2016'!L54</f>
        <v>0.41857568394908989</v>
      </c>
      <c r="F51" s="140">
        <f>'Logistic 2015'!L54</f>
        <v>0.14120600828712895</v>
      </c>
      <c r="G51" s="133">
        <f>Logistic2014!L54</f>
        <v>0.56015332200960266</v>
      </c>
      <c r="H51" s="133">
        <f>Logistic2013!L54</f>
        <v>0.54702247769245926</v>
      </c>
      <c r="I51" s="133">
        <f>Logistic2012!L54</f>
        <v>0.80723088335731508</v>
      </c>
      <c r="J51" s="133">
        <f>Logistic2011!L54</f>
        <v>0.37823755968357375</v>
      </c>
      <c r="K51" s="133">
        <f>Logistic2010!L54</f>
        <v>0.37551693030931088</v>
      </c>
      <c r="L51" s="149">
        <f>'Logistic 2008'!L54</f>
        <v>0.60448939149149439</v>
      </c>
      <c r="M51" s="149">
        <f>'Logistic 2007'!L54</f>
        <v>0.67507634930060689</v>
      </c>
      <c r="N51" s="149">
        <f>'Logistic 2006'!L54</f>
        <v>0.29701246632256512</v>
      </c>
      <c r="O51" s="133"/>
      <c r="Q51" s="133">
        <f t="shared" si="7"/>
        <v>0.44713357733404824</v>
      </c>
      <c r="R51" s="133">
        <f t="shared" si="2"/>
        <v>0.55286642266595176</v>
      </c>
      <c r="S51" s="133">
        <f t="shared" si="5"/>
        <v>0.44310642266595179</v>
      </c>
      <c r="T51" s="133">
        <f t="shared" si="6"/>
        <v>0.66262642266595173</v>
      </c>
      <c r="U51" s="137">
        <f t="shared" si="4"/>
        <v>52.203599999999952</v>
      </c>
      <c r="V51" s="142">
        <v>5.6000000000000001E-2</v>
      </c>
      <c r="W51" s="133"/>
      <c r="AM51" s="137">
        <f t="shared" si="1"/>
        <v>61</v>
      </c>
      <c r="AN51" s="134">
        <v>42209</v>
      </c>
      <c r="AO51">
        <f>AVERAGE(AO50,AO52)</f>
        <v>4.9034190668164071E-2</v>
      </c>
      <c r="AP51" s="144">
        <f t="shared" si="3"/>
        <v>4.3583452534531254E-2</v>
      </c>
    </row>
    <row r="52" spans="1:42" x14ac:dyDescent="0.25">
      <c r="A52" s="134">
        <v>42195</v>
      </c>
      <c r="B52" s="136">
        <f>Logistic2014!K55</f>
        <v>47</v>
      </c>
      <c r="C52" s="133">
        <f>'Logistic 2018'!L55</f>
        <v>7.5984075050165911E-2</v>
      </c>
      <c r="D52" s="140">
        <f>'Logistic 2017'!L55</f>
        <v>0.38393009359175845</v>
      </c>
      <c r="E52" s="148">
        <f>'Logistic 2016'!L55</f>
        <v>0.47058602571885588</v>
      </c>
      <c r="F52" s="140">
        <f>'Logistic 2015'!L55</f>
        <v>0.16775840377838086</v>
      </c>
      <c r="G52" s="133">
        <f>Logistic2014!L55</f>
        <v>0.60657155343516</v>
      </c>
      <c r="H52" s="133">
        <f>Logistic2013!L55</f>
        <v>0.59540663680406558</v>
      </c>
      <c r="I52" s="133">
        <f>Logistic2012!L55</f>
        <v>0.84733797197047156</v>
      </c>
      <c r="J52" s="149">
        <f>Logistic2011!L55</f>
        <v>0.43860622355042667</v>
      </c>
      <c r="K52" s="133">
        <f>Logistic2010!L55</f>
        <v>0.42271318582697831</v>
      </c>
      <c r="L52" s="149">
        <f>'Logistic 2008'!L55</f>
        <v>0.64632590612907959</v>
      </c>
      <c r="M52" s="149">
        <f>'Logistic 2007'!L55</f>
        <v>0.73033926388266468</v>
      </c>
      <c r="N52" s="149">
        <f>'Logistic 2006'!L55</f>
        <v>0.33618482244321546</v>
      </c>
      <c r="O52" s="133"/>
      <c r="Q52" s="133">
        <f t="shared" si="7"/>
        <v>0.49161376183451216</v>
      </c>
      <c r="R52" s="133">
        <f t="shared" si="2"/>
        <v>0.50838623816548778</v>
      </c>
      <c r="S52" s="133">
        <f t="shared" si="5"/>
        <v>0.39862623816548781</v>
      </c>
      <c r="T52" s="133">
        <f t="shared" si="6"/>
        <v>0.61814623816548775</v>
      </c>
      <c r="U52" s="137">
        <f t="shared" ref="U52:U70" si="8">(-0.0673*B52^2)+5.7429*B52-69.563</f>
        <v>51.687599999999989</v>
      </c>
      <c r="V52" s="142">
        <v>5.6000000000000001E-2</v>
      </c>
      <c r="W52" s="133"/>
      <c r="AC52" s="134"/>
      <c r="AD52" s="138"/>
      <c r="AM52" s="137">
        <f t="shared" si="1"/>
        <v>62</v>
      </c>
      <c r="AN52" s="134">
        <v>42210</v>
      </c>
      <c r="AO52">
        <v>6.1078705340936339E-2</v>
      </c>
      <c r="AP52" s="144">
        <f t="shared" si="3"/>
        <v>4.4648255469085719E-2</v>
      </c>
    </row>
    <row r="53" spans="1:42" x14ac:dyDescent="0.25">
      <c r="A53" s="134">
        <v>42196</v>
      </c>
      <c r="B53" s="136">
        <f>Logistic2014!K56</f>
        <v>48</v>
      </c>
      <c r="C53" s="133">
        <f>'Logistic 2018'!L56</f>
        <v>9.3912159622428382E-2</v>
      </c>
      <c r="D53" s="140">
        <f>'Logistic 2017'!L56</f>
        <v>0.41996535004210772</v>
      </c>
      <c r="E53" s="140">
        <f>'Logistic 2016'!L56</f>
        <v>0.52324305630344725</v>
      </c>
      <c r="F53" s="140">
        <f>'Logistic 2015'!L56</f>
        <v>0.19815168709175227</v>
      </c>
      <c r="G53" s="133">
        <f>Logistic2014!L56</f>
        <v>0.65114196868570062</v>
      </c>
      <c r="H53" s="133">
        <f>Logistic2013!L56</f>
        <v>0.64200492795904929</v>
      </c>
      <c r="I53" s="133">
        <f>Logistic2012!L56</f>
        <v>0.88033746149866898</v>
      </c>
      <c r="J53" s="133">
        <f>Logistic2011!L56</f>
        <v>0.50084862987958612</v>
      </c>
      <c r="K53" s="149">
        <f>Logistic2010!L56</f>
        <v>0.47136387704819582</v>
      </c>
      <c r="L53" s="149">
        <f>'Logistic 2008'!L56</f>
        <v>0.68603551843085919</v>
      </c>
      <c r="M53" s="149">
        <f>'Logistic 2007'!L56</f>
        <v>0.77927621990047291</v>
      </c>
      <c r="N53" s="149">
        <f>'Logistic 2006'!L56</f>
        <v>0.37774741683009083</v>
      </c>
      <c r="O53" s="149"/>
      <c r="Q53" s="133">
        <f t="shared" si="7"/>
        <v>0.53588211981356348</v>
      </c>
      <c r="R53" s="133">
        <f t="shared" si="2"/>
        <v>0.46411788018643652</v>
      </c>
      <c r="S53" s="133">
        <f t="shared" si="5"/>
        <v>0.35435788018643655</v>
      </c>
      <c r="T53" s="133">
        <f t="shared" si="6"/>
        <v>0.57387788018643648</v>
      </c>
      <c r="U53" s="137">
        <f t="shared" si="8"/>
        <v>51.036999999999992</v>
      </c>
      <c r="V53" s="142">
        <v>5.6000000000000001E-2</v>
      </c>
      <c r="W53" s="133"/>
      <c r="AC53" s="134"/>
      <c r="AD53" s="138"/>
      <c r="AM53" s="137">
        <f t="shared" si="1"/>
        <v>63</v>
      </c>
      <c r="AN53" s="134">
        <v>42211</v>
      </c>
      <c r="AO53">
        <f>AVERAGE(AO52,AO55)</f>
        <v>3.8069352670468168E-2</v>
      </c>
      <c r="AP53" s="144">
        <f t="shared" si="3"/>
        <v>4.0262320270007354E-2</v>
      </c>
    </row>
    <row r="54" spans="1:42" x14ac:dyDescent="0.25">
      <c r="A54" s="134">
        <v>42197</v>
      </c>
      <c r="B54" s="136">
        <f>Logistic2014!K57</f>
        <v>49</v>
      </c>
      <c r="C54" s="133">
        <f>'Logistic 2018'!L57</f>
        <v>0.11554135520165627</v>
      </c>
      <c r="D54" s="140">
        <f>'Logistic 2017'!L57</f>
        <v>0.45687459026730809</v>
      </c>
      <c r="E54" s="140">
        <f>'Logistic 2016'!L57</f>
        <v>0.57538841127072926</v>
      </c>
      <c r="F54" s="140">
        <f>'Logistic 2015'!L57</f>
        <v>0.23251301259774254</v>
      </c>
      <c r="G54" s="133">
        <f>Logistic2014!L57</f>
        <v>0.69321686759508971</v>
      </c>
      <c r="H54" s="133">
        <f>Logistic2013!L57</f>
        <v>0.68606608243321232</v>
      </c>
      <c r="I54" s="133">
        <f>Logistic2012!L57</f>
        <v>0.90698678458713511</v>
      </c>
      <c r="J54" s="133">
        <f>Logistic2011!L57</f>
        <v>0.56306474570995069</v>
      </c>
      <c r="K54" s="133">
        <f>Logistic2010!L57</f>
        <v>0.52056473301063311</v>
      </c>
      <c r="L54" s="149">
        <f>'Logistic 2008'!L57</f>
        <v>0.72319608999712737</v>
      </c>
      <c r="M54" s="149">
        <f>'Logistic 2007'!L57</f>
        <v>0.82150280779247842</v>
      </c>
      <c r="N54" s="149">
        <f>'Logistic 2006'!L57</f>
        <v>0.42118811358400887</v>
      </c>
      <c r="O54" s="133"/>
      <c r="Q54" s="133">
        <f t="shared" si="7"/>
        <v>0.57933440343397513</v>
      </c>
      <c r="R54" s="133">
        <f t="shared" si="2"/>
        <v>0.42066559656602487</v>
      </c>
      <c r="S54" s="133">
        <f t="shared" si="5"/>
        <v>0.3109055965660249</v>
      </c>
      <c r="T54" s="133">
        <f t="shared" si="6"/>
        <v>0.53042559656602484</v>
      </c>
      <c r="U54" s="137">
        <f t="shared" si="8"/>
        <v>50.25179999999996</v>
      </c>
      <c r="V54" s="142">
        <v>5.6000000000000001E-2</v>
      </c>
      <c r="W54" s="133"/>
      <c r="AC54" s="134"/>
      <c r="AD54" s="138"/>
      <c r="AM54" s="137">
        <f t="shared" si="1"/>
        <v>64</v>
      </c>
      <c r="AN54" s="134">
        <v>42212</v>
      </c>
      <c r="AO54">
        <f>AO53</f>
        <v>3.8069352670468168E-2</v>
      </c>
      <c r="AP54" s="144">
        <f t="shared" si="3"/>
        <v>3.4163558344836135E-2</v>
      </c>
    </row>
    <row r="55" spans="1:42" x14ac:dyDescent="0.25">
      <c r="A55" s="134">
        <v>42198</v>
      </c>
      <c r="B55" s="136">
        <f>Logistic2014!K58</f>
        <v>50</v>
      </c>
      <c r="C55" s="133">
        <f>'Logistic 2018'!L58</f>
        <v>0.14137478699597048</v>
      </c>
      <c r="D55" s="148">
        <f>'Logistic 2017'!L58</f>
        <v>0.49426350212468062</v>
      </c>
      <c r="E55" s="140">
        <f>'Logistic 2016'!L58</f>
        <v>0.62590800374534272</v>
      </c>
      <c r="F55" s="140">
        <f>'Logistic 2015'!L58</f>
        <v>0.27082042958185759</v>
      </c>
      <c r="G55" s="133">
        <f>Logistic2014!L58</f>
        <v>0.73230345881884595</v>
      </c>
      <c r="H55" s="133">
        <f>Logistic2013!L58</f>
        <v>0.7270102102463335</v>
      </c>
      <c r="I55" s="133">
        <f>Logistic2012!L58</f>
        <v>0.92818534536183761</v>
      </c>
      <c r="J55" s="133">
        <f>Logistic2011!L58</f>
        <v>0.62335772182421145</v>
      </c>
      <c r="K55" s="133">
        <f>Logistic2010!L58</f>
        <v>0.56936987029593977</v>
      </c>
      <c r="L55" s="149">
        <f>'Logistic 2008'!L58</f>
        <v>0.75751299430891816</v>
      </c>
      <c r="M55" s="149">
        <f>'Logistic 2007'!L58</f>
        <v>0.85713208000135932</v>
      </c>
      <c r="N55" s="149">
        <f>'Logistic 2006'!L58</f>
        <v>0.46588418781569113</v>
      </c>
      <c r="O55" s="133"/>
      <c r="Q55" s="133">
        <f t="shared" si="7"/>
        <v>0.62140231774988108</v>
      </c>
      <c r="R55" s="133">
        <f t="shared" si="2"/>
        <v>0.37859768225011892</v>
      </c>
      <c r="S55" s="133">
        <f t="shared" si="5"/>
        <v>0.26883768225011895</v>
      </c>
      <c r="T55" s="133">
        <f t="shared" si="6"/>
        <v>0.48835768225011889</v>
      </c>
      <c r="U55" s="137">
        <f t="shared" si="8"/>
        <v>49.331999999999979</v>
      </c>
      <c r="V55" s="142">
        <v>5.6000000000000001E-2</v>
      </c>
      <c r="W55" s="133"/>
      <c r="AC55" s="134"/>
      <c r="AD55" s="138"/>
      <c r="AM55" s="137">
        <f t="shared" si="1"/>
        <v>65</v>
      </c>
      <c r="AN55" s="134">
        <v>42213</v>
      </c>
      <c r="AO55">
        <v>1.506E-2</v>
      </c>
      <c r="AP55" s="144">
        <f t="shared" si="3"/>
        <v>2.6351969693572098E-2</v>
      </c>
    </row>
    <row r="56" spans="1:42" x14ac:dyDescent="0.25">
      <c r="A56" s="134">
        <v>42199</v>
      </c>
      <c r="B56" s="136">
        <f>Logistic2014!K59</f>
        <v>51</v>
      </c>
      <c r="C56" s="133">
        <f>'Logistic 2018'!L59</f>
        <v>0.17186186191291047</v>
      </c>
      <c r="D56" s="140">
        <f>'Logistic 2017'!L59</f>
        <v>0.53171668653766868</v>
      </c>
      <c r="E56" s="140">
        <f>'Logistic 2016'!L59</f>
        <v>0.6738242209455565</v>
      </c>
      <c r="F56" s="140">
        <f>'Logistic 2015'!L59</f>
        <v>0.31286633989770485</v>
      </c>
      <c r="G56" s="133">
        <f>Logistic2014!L59</f>
        <v>0.76807620704019175</v>
      </c>
      <c r="H56" s="133">
        <f>Logistic2013!L59</f>
        <v>0.76444773045159664</v>
      </c>
      <c r="I56" s="133">
        <f>Logistic2012!L59</f>
        <v>0.94484635359283697</v>
      </c>
      <c r="J56" s="133">
        <f>Logistic2011!L59</f>
        <v>0.68005830237546694</v>
      </c>
      <c r="K56" s="133">
        <f>Logistic2010!L59</f>
        <v>0.61686340572559062</v>
      </c>
      <c r="L56" s="149">
        <f>'Logistic 2008'!L59</f>
        <v>0.78881779673794705</v>
      </c>
      <c r="M56" s="149">
        <f>'Logistic 2007'!L59</f>
        <v>0.88663095293159155</v>
      </c>
      <c r="N56" s="149">
        <f>'Logistic 2006'!L59</f>
        <v>0.51113484507702922</v>
      </c>
      <c r="O56" s="133"/>
      <c r="Q56" s="133">
        <f t="shared" si="7"/>
        <v>0.66158740582082654</v>
      </c>
      <c r="R56" s="133">
        <f t="shared" si="2"/>
        <v>0.33841259417917346</v>
      </c>
      <c r="S56" s="133">
        <f t="shared" si="5"/>
        <v>0.22865259417917347</v>
      </c>
      <c r="T56" s="133">
        <f t="shared" si="6"/>
        <v>0.44817259417917343</v>
      </c>
      <c r="U56" s="137">
        <f t="shared" si="8"/>
        <v>48.277599999999993</v>
      </c>
      <c r="V56" s="142">
        <v>5.6000000000000001E-2</v>
      </c>
      <c r="W56" s="133"/>
      <c r="AM56" s="137">
        <f t="shared" si="1"/>
        <v>66</v>
      </c>
      <c r="AN56" s="134">
        <v>42214</v>
      </c>
      <c r="AO56">
        <f>AVERAGE(AO55,AO57)</f>
        <v>1.8540381042308051E-2</v>
      </c>
      <c r="AP56" s="144">
        <f t="shared" si="3"/>
        <v>2.3142251576401686E-2</v>
      </c>
    </row>
    <row r="57" spans="1:42" x14ac:dyDescent="0.25">
      <c r="A57" s="134">
        <v>42200</v>
      </c>
      <c r="B57" s="136">
        <f>Logistic2014!K60</f>
        <v>52</v>
      </c>
      <c r="C57" s="133">
        <f>'Logistic 2018'!L60</f>
        <v>0.20733582827918828</v>
      </c>
      <c r="D57" s="140">
        <f>'Logistic 2017'!L60</f>
        <v>0.56881588816227002</v>
      </c>
      <c r="E57" s="140">
        <f>'Logistic 2016'!L60</f>
        <v>0.71836462327754991</v>
      </c>
      <c r="F57" s="140">
        <f>'Logistic 2015'!L60</f>
        <v>0.35823305161693619</v>
      </c>
      <c r="G57" s="133">
        <f>Logistic2014!L60</f>
        <v>0.80037172674720769</v>
      </c>
      <c r="H57" s="133">
        <f>Logistic2013!L60</f>
        <v>0.79817638699971571</v>
      </c>
      <c r="I57" s="133">
        <f>Logistic2012!L60</f>
        <v>0.95781767101181692</v>
      </c>
      <c r="J57" s="133">
        <f>Logistic2011!L60</f>
        <v>0.73189430501046937</v>
      </c>
      <c r="K57" s="133">
        <f>Logistic2010!L60</f>
        <v>0.66222634293750759</v>
      </c>
      <c r="L57" s="149">
        <f>'Logistic 2008'!L60</f>
        <v>0.81705720396776016</v>
      </c>
      <c r="M57" s="149">
        <f>'Logistic 2007'!L60</f>
        <v>0.91067375773721004</v>
      </c>
      <c r="N57" s="149">
        <f>'Logistic 2006'!L60</f>
        <v>0.55620374520928839</v>
      </c>
      <c r="O57" s="133"/>
      <c r="Q57" s="133">
        <f t="shared" si="7"/>
        <v>0.6994874994704342</v>
      </c>
      <c r="R57" s="133">
        <f t="shared" si="2"/>
        <v>0.3005125005295658</v>
      </c>
      <c r="S57" s="133">
        <f t="shared" si="5"/>
        <v>0.1907525005295658</v>
      </c>
      <c r="T57" s="133">
        <f t="shared" si="6"/>
        <v>0.41027250052956576</v>
      </c>
      <c r="U57" s="137">
        <f t="shared" si="8"/>
        <v>47.088599999999971</v>
      </c>
      <c r="V57" s="142">
        <v>5.6000000000000001E-2</v>
      </c>
      <c r="W57" s="133"/>
      <c r="AM57" s="137">
        <f t="shared" si="1"/>
        <v>67</v>
      </c>
      <c r="AN57" s="134">
        <v>42215</v>
      </c>
      <c r="AO57">
        <v>2.2020762084616102E-2</v>
      </c>
      <c r="AP57" s="144">
        <f t="shared" si="3"/>
        <v>1.9410476302885064E-2</v>
      </c>
    </row>
    <row r="58" spans="1:42" x14ac:dyDescent="0.25">
      <c r="A58" s="134">
        <v>42201</v>
      </c>
      <c r="B58" s="136">
        <f>Logistic2014!K61</f>
        <v>53</v>
      </c>
      <c r="C58" s="133">
        <f>'Logistic 2018'!L61</f>
        <v>0.24793975157048823</v>
      </c>
      <c r="D58" s="140">
        <f>'Logistic 2017'!L61</f>
        <v>0.60515849236891317</v>
      </c>
      <c r="E58" s="140">
        <f>'Logistic 2016'!L61</f>
        <v>0.75899823861070759</v>
      </c>
      <c r="F58" s="140">
        <f>'Logistic 2015'!L61</f>
        <v>0.40628845838076044</v>
      </c>
      <c r="G58" s="133">
        <f>Logistic2014!L61</f>
        <v>0.82917030340634412</v>
      </c>
      <c r="H58" s="133">
        <f>Logistic2013!L61</f>
        <v>0.82816108437109193</v>
      </c>
      <c r="I58" s="133">
        <f>Logistic2012!L61</f>
        <v>0.96784215671441909</v>
      </c>
      <c r="J58" s="133">
        <f>Logistic2011!L61</f>
        <v>0.77807266305660738</v>
      </c>
      <c r="K58" s="133">
        <f>Logistic2010!L61</f>
        <v>0.70478871224274076</v>
      </c>
      <c r="L58" s="149">
        <f>'Logistic 2008'!L61</f>
        <v>0.8422754723599416</v>
      </c>
      <c r="M58" s="149">
        <f>'Logistic 2007'!L61</f>
        <v>0.93002011570184584</v>
      </c>
      <c r="N58" s="149">
        <f>'Logistic 2006'!L61</f>
        <v>0.6003662690137247</v>
      </c>
      <c r="O58" s="133"/>
      <c r="Q58" s="133">
        <f t="shared" si="7"/>
        <v>0.73481001364394816</v>
      </c>
      <c r="R58" s="133">
        <f t="shared" si="2"/>
        <v>0.26518998635605184</v>
      </c>
      <c r="S58" s="133">
        <f t="shared" si="5"/>
        <v>0.15542998635605185</v>
      </c>
      <c r="T58" s="133">
        <f t="shared" si="6"/>
        <v>0.37494998635605181</v>
      </c>
      <c r="U58" s="137">
        <f t="shared" si="8"/>
        <v>45.765000000000001</v>
      </c>
      <c r="V58" s="142">
        <v>5.6000000000000001E-2</v>
      </c>
      <c r="W58" s="133"/>
      <c r="AM58" s="137">
        <f t="shared" si="1"/>
        <v>68</v>
      </c>
      <c r="AN58" s="134">
        <v>42216</v>
      </c>
      <c r="AO58">
        <f>AVERAGE(AO57,AO59)</f>
        <v>2.2020762084616102E-2</v>
      </c>
      <c r="AP58" s="144">
        <f t="shared" si="3"/>
        <v>2.0860635070513417E-2</v>
      </c>
    </row>
    <row r="59" spans="1:42" x14ac:dyDescent="0.25">
      <c r="A59" s="134">
        <v>42202</v>
      </c>
      <c r="B59" s="136">
        <f>Logistic2014!K62</f>
        <v>54</v>
      </c>
      <c r="C59" s="133">
        <f>'Logistic 2018'!L62</f>
        <v>0.29355060791962412</v>
      </c>
      <c r="D59" s="140">
        <f>'Logistic 2017'!L62</f>
        <v>0.64037457503086237</v>
      </c>
      <c r="E59" s="140">
        <f>'Logistic 2016'!L62</f>
        <v>0.79543874895142319</v>
      </c>
      <c r="F59" s="148">
        <f>'Logistic 2015'!L62</f>
        <v>0.45620777092293929</v>
      </c>
      <c r="G59" s="133">
        <f>Logistic2014!L62</f>
        <v>0.85456925965431629</v>
      </c>
      <c r="H59" s="133">
        <f>Logistic2013!L62</f>
        <v>0.85450303975835906</v>
      </c>
      <c r="I59" s="133">
        <f>Logistic2012!L62</f>
        <v>0.9755451818333517</v>
      </c>
      <c r="J59" s="133">
        <f>Logistic2011!L62</f>
        <v>0.81827218428325044</v>
      </c>
      <c r="K59" s="133">
        <f>Logistic2010!L62</f>
        <v>0.74406065435090551</v>
      </c>
      <c r="L59" s="149">
        <f>'Logistic 2008'!L62</f>
        <v>0.86459356260001419</v>
      </c>
      <c r="M59" s="149">
        <f>'Logistic 2007'!L62</f>
        <v>0.94542751255360591</v>
      </c>
      <c r="N59" s="149">
        <f>'Logistic 2006'!L62</f>
        <v>0.64295520834022113</v>
      </c>
      <c r="O59" s="133"/>
      <c r="Q59" s="133">
        <f t="shared" si="7"/>
        <v>0.76737142684817594</v>
      </c>
      <c r="R59" s="133">
        <f t="shared" si="2"/>
        <v>0.23262857315182406</v>
      </c>
      <c r="S59" s="133">
        <f t="shared" si="5"/>
        <v>0.12286857315182406</v>
      </c>
      <c r="T59" s="133">
        <f t="shared" si="6"/>
        <v>0.34238857315182403</v>
      </c>
      <c r="U59" s="137">
        <f t="shared" si="8"/>
        <v>44.306799999999996</v>
      </c>
      <c r="V59" s="142">
        <v>5.6000000000000001E-2</v>
      </c>
      <c r="W59" s="133"/>
      <c r="AN59" s="134">
        <v>42217</v>
      </c>
    </row>
    <row r="60" spans="1:42" x14ac:dyDescent="0.25">
      <c r="A60" s="134">
        <v>42203</v>
      </c>
      <c r="B60" s="136">
        <f>Logistic2014!K63</f>
        <v>55</v>
      </c>
      <c r="C60" s="133">
        <f>'Logistic 2018'!L63</f>
        <v>0.34371724460895514</v>
      </c>
      <c r="D60" s="140">
        <f>'Logistic 2017'!L63</f>
        <v>0.67414101714376395</v>
      </c>
      <c r="E60" s="140">
        <f>'Logistic 2016'!L63</f>
        <v>0.82762068736577221</v>
      </c>
      <c r="F60" s="140">
        <f>'Logistic 2015'!L63</f>
        <v>0.50702263532179892</v>
      </c>
      <c r="G60" s="133">
        <f>Logistic2014!L63</f>
        <v>0.87675320628420728</v>
      </c>
      <c r="H60" s="133">
        <f>Logistic2013!L63</f>
        <v>0.87740468827985718</v>
      </c>
      <c r="I60" s="133">
        <f>Logistic2012!L63</f>
        <v>0.98143842698436556</v>
      </c>
      <c r="J60" s="133">
        <f>Logistic2011!L63</f>
        <v>0.8525697763007879</v>
      </c>
      <c r="K60" s="133">
        <f>Logistic2010!L63</f>
        <v>0.77974095289698142</v>
      </c>
      <c r="L60" s="149">
        <f>'Logistic 2008'!L63</f>
        <v>0.88418785816453671</v>
      </c>
      <c r="M60" s="149">
        <f>'Logistic 2007'!L63</f>
        <v>0.95759734206023794</v>
      </c>
      <c r="N60" s="149">
        <f>'Logistic 2006'!L63</f>
        <v>0.68339891531991881</v>
      </c>
      <c r="O60" s="133"/>
      <c r="Q60" s="133">
        <f t="shared" si="7"/>
        <v>0.79708642382219186</v>
      </c>
      <c r="R60" s="133">
        <f t="shared" si="2"/>
        <v>0.20291357617780814</v>
      </c>
      <c r="S60" s="133">
        <f t="shared" si="5"/>
        <v>9.3153576177808145E-2</v>
      </c>
      <c r="T60" s="133">
        <f t="shared" si="6"/>
        <v>0.31267357617780811</v>
      </c>
      <c r="U60" s="137">
        <f t="shared" si="8"/>
        <v>42.713999999999956</v>
      </c>
      <c r="V60" s="142">
        <v>5.6000000000000001E-2</v>
      </c>
      <c r="W60" s="133"/>
      <c r="AN60" s="134"/>
    </row>
    <row r="61" spans="1:42" x14ac:dyDescent="0.25">
      <c r="A61" s="134">
        <v>42204</v>
      </c>
      <c r="B61" s="136">
        <f>Logistic2014!K64</f>
        <v>56</v>
      </c>
      <c r="C61" s="133">
        <f>'Logistic 2018'!L64</f>
        <v>0.39763161073620545</v>
      </c>
      <c r="D61" s="140">
        <f>'Logistic 2017'!L64</f>
        <v>0.70619163676878882</v>
      </c>
      <c r="E61" s="140">
        <f>'Logistic 2016'!L64</f>
        <v>0.85565843157518973</v>
      </c>
      <c r="F61" s="140">
        <f>'Logistic 2015'!L64</f>
        <v>0.55769281621908429</v>
      </c>
      <c r="G61" s="133">
        <f>Logistic2014!L64</f>
        <v>0.89596518054214846</v>
      </c>
      <c r="H61" s="133">
        <f>Logistic2013!L64</f>
        <v>0.8971354919418093</v>
      </c>
      <c r="I61" s="133">
        <f>Logistic2012!L64</f>
        <v>0.98593196828816942</v>
      </c>
      <c r="J61" s="133">
        <f>Logistic2011!L64</f>
        <v>0.88133308818064571</v>
      </c>
      <c r="K61" s="133">
        <f>Logistic2010!L64</f>
        <v>0.81170586540528222</v>
      </c>
      <c r="L61" s="149">
        <f>'Logistic 2008'!L64</f>
        <v>0.9012705004242717</v>
      </c>
      <c r="M61" s="149">
        <f>'Logistic 2007'!L64</f>
        <v>0.96714756779345812</v>
      </c>
      <c r="N61" s="149">
        <f>'Logistic 2006'!L64</f>
        <v>0.72124759593279253</v>
      </c>
      <c r="O61" s="133"/>
      <c r="Q61" s="133">
        <f t="shared" si="7"/>
        <v>0.82395180986513983</v>
      </c>
      <c r="R61" s="133">
        <f t="shared" si="2"/>
        <v>0.17604819013486017</v>
      </c>
      <c r="S61" s="133">
        <f t="shared" si="5"/>
        <v>6.6288190134860175E-2</v>
      </c>
      <c r="T61" s="133">
        <f t="shared" si="6"/>
        <v>0.28580819013486014</v>
      </c>
      <c r="U61" s="137">
        <f t="shared" si="8"/>
        <v>40.986599999999996</v>
      </c>
      <c r="V61" s="142">
        <v>5.6000000000000001E-2</v>
      </c>
      <c r="W61" s="133"/>
      <c r="AN61" s="134"/>
    </row>
    <row r="62" spans="1:42" x14ac:dyDescent="0.25">
      <c r="A62" s="134">
        <v>42205</v>
      </c>
      <c r="B62" s="136">
        <f>Logistic2014!K65</f>
        <v>57</v>
      </c>
      <c r="C62" s="133">
        <f>'Logistic 2018'!L65</f>
        <v>0.4541506426657137</v>
      </c>
      <c r="D62" s="140">
        <f>'Logistic 2017'!L65</f>
        <v>0.73632284821471927</v>
      </c>
      <c r="E62" s="140">
        <f>'Logistic 2016'!L65</f>
        <v>0.87979813599641254</v>
      </c>
      <c r="F62" s="140">
        <f>'Logistic 2015'!L65</f>
        <v>0.60718981875056721</v>
      </c>
      <c r="G62" s="133">
        <f>Logistic2014!L65</f>
        <v>0.91248129649139764</v>
      </c>
      <c r="H62" s="133">
        <f>Logistic2013!L65</f>
        <v>0.91400201566045702</v>
      </c>
      <c r="I62" s="133">
        <f>Logistic2012!L65</f>
        <v>0.98934948053865557</v>
      </c>
      <c r="J62" s="133">
        <f>Logistic2011!L65</f>
        <v>0.90510931670589412</v>
      </c>
      <c r="K62" s="133">
        <f>Logistic2010!L65</f>
        <v>0.83998387387261297</v>
      </c>
      <c r="L62" s="149">
        <f>'Logistic 2008'!L65</f>
        <v>0.91607257588659419</v>
      </c>
      <c r="M62" s="149">
        <f>'Logistic 2007'!L65</f>
        <v>0.97460386948012367</v>
      </c>
      <c r="N62" s="149">
        <f>'Logistic 2006'!L65</f>
        <v>0.75618584470199735</v>
      </c>
      <c r="O62" s="133"/>
      <c r="Q62" s="133">
        <f t="shared" si="7"/>
        <v>0.8480295982788395</v>
      </c>
      <c r="R62" s="133">
        <f t="shared" si="2"/>
        <v>0.1519704017211605</v>
      </c>
      <c r="S62" s="133">
        <f t="shared" si="5"/>
        <v>4.2210401721160501E-2</v>
      </c>
      <c r="T62" s="133">
        <f t="shared" si="6"/>
        <v>0.26173040172116047</v>
      </c>
      <c r="U62" s="137">
        <f t="shared" si="8"/>
        <v>39.124600000000001</v>
      </c>
      <c r="V62" s="142">
        <v>5.6000000000000001E-2</v>
      </c>
      <c r="W62" s="133"/>
      <c r="AN62" s="134"/>
    </row>
    <row r="63" spans="1:42" x14ac:dyDescent="0.25">
      <c r="A63" s="134">
        <v>42206</v>
      </c>
      <c r="B63" s="136">
        <f>Logistic2014!K66</f>
        <v>58</v>
      </c>
      <c r="C63" s="133">
        <f>'Logistic 2018'!L66</f>
        <v>0.51187653171450764</v>
      </c>
      <c r="D63" s="140">
        <f>'Logistic 2017'!L66</f>
        <v>0.76439491917175328</v>
      </c>
      <c r="E63" s="140">
        <f>'Logistic 2016'!L66</f>
        <v>0.90037077875156668</v>
      </c>
      <c r="F63" s="140">
        <f>'Logistic 2015'!L66</f>
        <v>0.65457853232225205</v>
      </c>
      <c r="G63" s="133">
        <f>Logistic2014!L66</f>
        <v>0.92659021810226538</v>
      </c>
      <c r="H63" s="133">
        <f>Logistic2013!L66</f>
        <v>0.92832391728718622</v>
      </c>
      <c r="I63" s="133">
        <f>Logistic2012!L66</f>
        <v>0.99194356891500257</v>
      </c>
      <c r="J63" s="133">
        <f>Logistic2011!L66</f>
        <v>0.92452965133108167</v>
      </c>
      <c r="K63" s="133">
        <f>Logistic2010!L66</f>
        <v>0.86472285268482063</v>
      </c>
      <c r="L63" s="149">
        <f>'Logistic 2008'!L66</f>
        <v>0.92883068298874938</v>
      </c>
      <c r="M63" s="149">
        <f>'Logistic 2007'!L66</f>
        <v>0.98040215530753172</v>
      </c>
      <c r="N63" s="149">
        <f>'Logistic 2006'!L66</f>
        <v>0.78803197927653146</v>
      </c>
      <c r="O63" s="133"/>
      <c r="Q63" s="133">
        <f t="shared" si="7"/>
        <v>0.86943180482074101</v>
      </c>
      <c r="R63" s="133">
        <f t="shared" si="2"/>
        <v>0.13056819517925899</v>
      </c>
      <c r="S63" s="133">
        <f t="shared" si="5"/>
        <v>2.0808195179258998E-2</v>
      </c>
      <c r="T63" s="133">
        <f t="shared" si="6"/>
        <v>0.24032819517925899</v>
      </c>
      <c r="U63" s="137">
        <f t="shared" si="8"/>
        <v>37.127999999999972</v>
      </c>
      <c r="V63" s="142">
        <v>5.6000000000000001E-2</v>
      </c>
      <c r="W63" s="133"/>
      <c r="AN63" s="134"/>
    </row>
    <row r="64" spans="1:42" x14ac:dyDescent="0.25">
      <c r="A64" s="134">
        <v>42207</v>
      </c>
      <c r="B64" s="136">
        <f>Logistic2014!K67</f>
        <v>59</v>
      </c>
      <c r="C64" s="133">
        <f>'Logistic 2018'!L67</f>
        <v>0.56928736372039235</v>
      </c>
      <c r="D64" s="140">
        <f>'Logistic 2017'!L67</f>
        <v>0.79032936256052932</v>
      </c>
      <c r="E64" s="140">
        <f>'Logistic 2016'!L67</f>
        <v>0.91775156260729407</v>
      </c>
      <c r="F64" s="140">
        <f>'Logistic 2015'!L67</f>
        <v>0.69908353422184055</v>
      </c>
      <c r="G64" s="133">
        <f>Logistic2014!L67</f>
        <v>0.93857774011739092</v>
      </c>
      <c r="H64" s="133">
        <f>Logistic2013!L67</f>
        <v>0.94041617027076585</v>
      </c>
      <c r="I64" s="133">
        <f>Logistic2012!L67</f>
        <v>0.99390971890382285</v>
      </c>
      <c r="J64" s="133">
        <f>Logistic2011!L67</f>
        <v>0.94023784969367341</v>
      </c>
      <c r="K64" s="133">
        <f>Logistic2010!L67</f>
        <v>0.88615548159462798</v>
      </c>
      <c r="L64" s="149">
        <f>'Logistic 2008'!L67</f>
        <v>0.93977688230442102</v>
      </c>
      <c r="M64" s="149">
        <f>'Logistic 2007'!L67</f>
        <v>0.98489712734969304</v>
      </c>
      <c r="N64" s="149">
        <f>'Logistic 2006'!L67</f>
        <v>0.8167266358806099</v>
      </c>
      <c r="O64" s="133"/>
      <c r="Q64" s="133">
        <f t="shared" si="7"/>
        <v>0.88830767749624318</v>
      </c>
      <c r="R64" s="133">
        <f t="shared" si="2"/>
        <v>0.11169232250375682</v>
      </c>
      <c r="S64" s="133">
        <f t="shared" si="5"/>
        <v>1.9323225037568281E-3</v>
      </c>
      <c r="T64" s="133">
        <f t="shared" si="6"/>
        <v>0.22145232250375682</v>
      </c>
      <c r="U64" s="137">
        <f t="shared" si="8"/>
        <v>34.996799999999993</v>
      </c>
      <c r="V64" s="142">
        <v>5.6000000000000001E-2</v>
      </c>
      <c r="W64" s="133"/>
      <c r="AN64" s="134"/>
    </row>
    <row r="65" spans="1:40" x14ac:dyDescent="0.25">
      <c r="A65" s="134">
        <v>42208</v>
      </c>
      <c r="B65" s="136">
        <f>Logistic2014!K68</f>
        <v>60</v>
      </c>
      <c r="C65" s="133">
        <f>'Logistic 2018'!L68</f>
        <v>0.62489399319355865</v>
      </c>
      <c r="D65" s="140">
        <f>'Logistic 2017'!L68</f>
        <v>0.81410331001486491</v>
      </c>
      <c r="E65" s="140">
        <f>'Logistic 2016'!L68</f>
        <v>0.93232808462366246</v>
      </c>
      <c r="F65" s="140">
        <f>'Logistic 2015'!L68</f>
        <v>0.74013086225137981</v>
      </c>
      <c r="G65" s="133">
        <f>Logistic2014!L68</f>
        <v>0.94871609038627402</v>
      </c>
      <c r="H65" s="133">
        <f>Logistic2013!L68</f>
        <v>0.95057698620331765</v>
      </c>
      <c r="I65" s="133">
        <f>Logistic2012!L68</f>
        <v>0.99539826136330956</v>
      </c>
      <c r="J65" s="133">
        <f>Logistic2011!L68</f>
        <v>0.95284334782503577</v>
      </c>
      <c r="K65" s="133">
        <f>Logistic2010!L68</f>
        <v>0.90456718771126388</v>
      </c>
      <c r="L65" s="149">
        <f>'Logistic 2008'!L68</f>
        <v>0.94913170393969815</v>
      </c>
      <c r="M65" s="149">
        <f>'Logistic 2007'!L68</f>
        <v>0.98837335654317438</v>
      </c>
      <c r="N65" s="149">
        <f>'Logistic 2006'!L68</f>
        <v>0.84231410872063994</v>
      </c>
      <c r="O65" s="133"/>
      <c r="Q65" s="133">
        <f t="shared" si="7"/>
        <v>0.90483301629738855</v>
      </c>
      <c r="R65" s="133">
        <f t="shared" si="2"/>
        <v>9.5166983702611452E-2</v>
      </c>
      <c r="S65" s="133">
        <f t="shared" si="5"/>
        <v>0</v>
      </c>
      <c r="T65" s="133">
        <f t="shared" si="6"/>
        <v>0.20492698370261145</v>
      </c>
      <c r="U65" s="137">
        <f t="shared" si="8"/>
        <v>32.730999999999952</v>
      </c>
      <c r="V65" s="142">
        <v>5.6000000000000001E-2</v>
      </c>
      <c r="W65" s="133"/>
      <c r="AN65" s="134"/>
    </row>
    <row r="66" spans="1:40" x14ac:dyDescent="0.25">
      <c r="A66" s="134">
        <v>42209</v>
      </c>
      <c r="B66" s="136">
        <f>Logistic2014!K69</f>
        <v>61</v>
      </c>
      <c r="C66" s="133">
        <f>'Logistic 2018'!L69</f>
        <v>0.67738988716471926</v>
      </c>
      <c r="D66" s="140">
        <f>'Logistic 2017'!L69</f>
        <v>0.83574185077619134</v>
      </c>
      <c r="E66" s="140">
        <f>'Logistic 2016'!L69</f>
        <v>0.94447756221334911</v>
      </c>
      <c r="F66" s="140">
        <f>'Logistic 2015'!L69</f>
        <v>0.77736219179333366</v>
      </c>
      <c r="G66" s="133">
        <f>Logistic2014!L69</f>
        <v>0.95725721401262687</v>
      </c>
      <c r="H66" s="133">
        <f>Logistic2013!L69</f>
        <v>0.95908047510394157</v>
      </c>
      <c r="I66" s="133">
        <f>Logistic2012!L69</f>
        <v>0.99652425732932814</v>
      </c>
      <c r="J66" s="133">
        <f>Logistic2011!L69</f>
        <v>0.96289492364726859</v>
      </c>
      <c r="K66" s="133">
        <f>Logistic2010!L69</f>
        <v>0.92026914027090656</v>
      </c>
      <c r="L66" s="149">
        <f>'Logistic 2008'!L69</f>
        <v>0.95709971953486128</v>
      </c>
      <c r="M66" s="149">
        <f>'Logistic 2007'!L69</f>
        <v>0.99105672728955652</v>
      </c>
      <c r="N66" s="149">
        <f>'Logistic 2006'!L69</f>
        <v>0.86492005933119276</v>
      </c>
      <c r="O66" s="133"/>
      <c r="Q66" s="133">
        <f t="shared" si="7"/>
        <v>0.91920095189336826</v>
      </c>
      <c r="R66" s="133">
        <f t="shared" si="2"/>
        <v>8.0799048106631743E-2</v>
      </c>
      <c r="S66" s="133">
        <f t="shared" si="5"/>
        <v>0</v>
      </c>
      <c r="T66" s="133">
        <f t="shared" si="6"/>
        <v>0.19055904810663174</v>
      </c>
      <c r="U66" s="137">
        <f t="shared" si="8"/>
        <v>30.33059999999999</v>
      </c>
      <c r="V66" s="142">
        <v>5.6000000000000001E-2</v>
      </c>
      <c r="W66" s="133"/>
    </row>
    <row r="67" spans="1:40" x14ac:dyDescent="0.25">
      <c r="A67" s="134">
        <v>42210</v>
      </c>
      <c r="B67" s="136">
        <f>Logistic2014!K70</f>
        <v>62</v>
      </c>
      <c r="C67" s="133">
        <f>'Logistic 2018'!L70</f>
        <v>0.72576316393978146</v>
      </c>
      <c r="D67" s="140">
        <f>'Logistic 2017'!L70</f>
        <v>0.85530930305555208</v>
      </c>
      <c r="E67" s="140">
        <f>'Logistic 2016'!L70</f>
        <v>0.95455211228380965</v>
      </c>
      <c r="F67" s="140">
        <f>'Logistic 2015'!L70</f>
        <v>0.81062423529610406</v>
      </c>
      <c r="G67" s="133">
        <f>Logistic2014!L70</f>
        <v>0.9644291830100955</v>
      </c>
      <c r="H67" s="133">
        <f>Logistic2013!L70</f>
        <v>0.96617295862288388</v>
      </c>
      <c r="I67" s="133">
        <f>Logistic2012!L70</f>
        <v>0.997375460642977</v>
      </c>
      <c r="J67" s="133">
        <f>Logistic2011!L70</f>
        <v>0.97086947884688668</v>
      </c>
      <c r="K67" s="133">
        <f>Logistic2010!L70</f>
        <v>0.93357729395018618</v>
      </c>
      <c r="L67" s="149">
        <f>'Logistic 2008'!L70</f>
        <v>0.96386713908786181</v>
      </c>
      <c r="M67" s="149">
        <f>'Logistic 2007'!L70</f>
        <v>0.99312509735404841</v>
      </c>
      <c r="N67" s="149">
        <f>'Logistic 2006'!L70</f>
        <v>0.88472871263514363</v>
      </c>
      <c r="O67" s="133"/>
      <c r="Q67" s="133">
        <f t="shared" si="7"/>
        <v>0.93161375321356199</v>
      </c>
      <c r="R67" s="133">
        <f t="shared" si="2"/>
        <v>6.838624678643801E-2</v>
      </c>
      <c r="S67" s="133">
        <f t="shared" si="5"/>
        <v>0</v>
      </c>
      <c r="T67" s="133">
        <f t="shared" si="6"/>
        <v>0.17814624678643801</v>
      </c>
      <c r="U67" s="137">
        <f t="shared" si="8"/>
        <v>27.795600000000022</v>
      </c>
      <c r="V67" s="142">
        <v>5.6000000000000001E-2</v>
      </c>
      <c r="W67" s="133"/>
    </row>
    <row r="68" spans="1:40" x14ac:dyDescent="0.25">
      <c r="A68" s="134">
        <v>42211</v>
      </c>
      <c r="B68" s="136">
        <f>Logistic2014!K71</f>
        <v>63</v>
      </c>
      <c r="C68" s="133">
        <f>'Logistic 2018'!L71</f>
        <v>0.76935287380981887</v>
      </c>
      <c r="D68" s="140">
        <f>'Logistic 2017'!L71</f>
        <v>0.87290025703202945</v>
      </c>
      <c r="E68" s="140">
        <f>'Logistic 2016'!L71</f>
        <v>0.96287049838133665</v>
      </c>
      <c r="F68" s="140">
        <f>'Logistic 2015'!L71</f>
        <v>0.83994013022149039</v>
      </c>
      <c r="G68" s="133">
        <f>Logistic2014!L71</f>
        <v>0.97043490859995651</v>
      </c>
      <c r="H68" s="133">
        <f>Logistic2013!L71</f>
        <v>0.97207191636988943</v>
      </c>
      <c r="I68" s="133">
        <f>Logistic2012!L71</f>
        <v>0.99801862022624632</v>
      </c>
      <c r="J68" s="133">
        <f>Logistic2011!L71</f>
        <v>0.97717079140287</v>
      </c>
      <c r="K68" s="133">
        <f>Logistic2010!L71</f>
        <v>0.94479738358617293</v>
      </c>
      <c r="L68" s="149">
        <f>'Logistic 2008'!L71</f>
        <v>0.96960092092793249</v>
      </c>
      <c r="M68" s="149">
        <f>'Logistic 2007'!L71</f>
        <v>0.99471765143631297</v>
      </c>
      <c r="N68" s="149">
        <f>'Logistic 2006'!L71</f>
        <v>0.9019618067218419</v>
      </c>
      <c r="O68" s="133"/>
      <c r="Q68" s="133">
        <f t="shared" si="7"/>
        <v>0.94227556322749895</v>
      </c>
      <c r="R68" s="133">
        <f t="shared" si="2"/>
        <v>5.7724436772501053E-2</v>
      </c>
      <c r="S68" s="133">
        <f t="shared" si="5"/>
        <v>0</v>
      </c>
      <c r="T68" s="133">
        <f t="shared" si="6"/>
        <v>0.16748443677250105</v>
      </c>
      <c r="U68" s="137">
        <f t="shared" si="8"/>
        <v>25.125999999999962</v>
      </c>
      <c r="V68" s="142">
        <v>5.6000000000000001E-2</v>
      </c>
      <c r="W68" s="133"/>
    </row>
    <row r="69" spans="1:40" x14ac:dyDescent="0.25">
      <c r="A69" s="134">
        <v>42212</v>
      </c>
      <c r="B69" s="136">
        <f>Logistic2014!K72</f>
        <v>64</v>
      </c>
      <c r="C69" s="133">
        <f>'Logistic 2018'!L72</f>
        <v>0.80784842465847118</v>
      </c>
      <c r="D69" s="140">
        <f>'Logistic 2017'!L72</f>
        <v>0.88863103906188901</v>
      </c>
      <c r="E69" s="140">
        <f>'Logistic 2016'!L72</f>
        <v>0.96971466500136505</v>
      </c>
      <c r="F69" s="140">
        <f>'Logistic 2015'!L72</f>
        <v>0.86547098755737129</v>
      </c>
      <c r="G69" s="133">
        <f>Logistic2014!L72</f>
        <v>0.97545244534588094</v>
      </c>
      <c r="H69" s="133">
        <f>Logistic2013!L72</f>
        <v>0.97696670309022537</v>
      </c>
      <c r="I69" s="133">
        <f>Logistic2012!L72</f>
        <v>0.99850440592154854</v>
      </c>
      <c r="J69" s="133">
        <f>Logistic2011!L72</f>
        <v>0.98213413053687093</v>
      </c>
      <c r="K69" s="133">
        <f>Logistic2010!L72</f>
        <v>0.95421513105735634</v>
      </c>
      <c r="L69" s="149">
        <f>'Logistic 2008'!L72</f>
        <v>0.97444895111855134</v>
      </c>
      <c r="M69" s="149">
        <f>'Logistic 2007'!L72</f>
        <v>0.99594280143738134</v>
      </c>
      <c r="N69" s="149">
        <f>'Logistic 2006'!L72</f>
        <v>0.91686065171343734</v>
      </c>
      <c r="O69" s="133"/>
      <c r="Q69" s="133">
        <f t="shared" si="7"/>
        <v>0.95138618844656353</v>
      </c>
      <c r="R69" s="133">
        <f t="shared" si="2"/>
        <v>4.861381155343647E-2</v>
      </c>
      <c r="S69" s="133">
        <f t="shared" si="5"/>
        <v>0</v>
      </c>
      <c r="T69" s="133">
        <f t="shared" si="6"/>
        <v>0.15837381155343647</v>
      </c>
      <c r="U69" s="137">
        <f t="shared" si="8"/>
        <v>22.321799999999982</v>
      </c>
      <c r="V69" s="142">
        <v>5.6000000000000001E-2</v>
      </c>
      <c r="W69" s="133"/>
    </row>
    <row r="70" spans="1:40" x14ac:dyDescent="0.25">
      <c r="A70" s="134">
        <v>42213</v>
      </c>
      <c r="B70" s="136">
        <f>Logistic2014!K73</f>
        <v>65</v>
      </c>
      <c r="C70" s="133">
        <f>'Logistic 2018'!L73</f>
        <v>0.84124476932687875</v>
      </c>
      <c r="D70" s="140">
        <f>'Logistic 2017'!L73</f>
        <v>0.90263203969670491</v>
      </c>
      <c r="E70" s="140">
        <f>'Logistic 2016'!L73</f>
        <v>0.97532955506085461</v>
      </c>
      <c r="F70" s="140">
        <f>'Logistic 2015'!L73</f>
        <v>0.88747503251240256</v>
      </c>
      <c r="G70" s="133">
        <f>Logistic2014!L73</f>
        <v>0.97963631693234787</v>
      </c>
      <c r="H70" s="133">
        <f>Logistic2013!L73</f>
        <v>0.98102036011876015</v>
      </c>
      <c r="I70" s="133">
        <f>Logistic2012!L73</f>
        <v>0.99887122359333258</v>
      </c>
      <c r="J70" s="133">
        <f>Logistic2011!L73</f>
        <v>0.9860338040714024</v>
      </c>
      <c r="K70" s="133">
        <f>Logistic2010!L73</f>
        <v>0.96209064760100416</v>
      </c>
      <c r="L70" s="149">
        <f>'Logistic 2008'!L73</f>
        <v>0.97854093133589115</v>
      </c>
      <c r="M70" s="149">
        <f>'Logistic 2007'!L73</f>
        <v>0.99688468886752846</v>
      </c>
      <c r="N70" s="149">
        <f>'Logistic 2006'!L73</f>
        <v>0.92967186529921186</v>
      </c>
      <c r="O70" s="133"/>
      <c r="Q70" s="133">
        <f t="shared" si="7"/>
        <v>0.95913612244835111</v>
      </c>
      <c r="R70" s="133">
        <f t="shared" si="2"/>
        <v>4.0863877551648886E-2</v>
      </c>
      <c r="S70" s="133">
        <f t="shared" si="5"/>
        <v>0</v>
      </c>
      <c r="T70" s="133">
        <f t="shared" si="6"/>
        <v>0.15062387755164888</v>
      </c>
      <c r="U70" s="137">
        <f t="shared" si="8"/>
        <v>19.383000000000024</v>
      </c>
      <c r="V70" s="142">
        <v>5.6000000000000001E-2</v>
      </c>
      <c r="W70" s="133"/>
    </row>
    <row r="71" spans="1:40" x14ac:dyDescent="0.25">
      <c r="A71" s="134">
        <v>42214</v>
      </c>
      <c r="B71" s="136">
        <f>Logistic2014!K74</f>
        <v>66</v>
      </c>
      <c r="C71" s="133">
        <f>'Logistic 2018'!L74</f>
        <v>0.86977243875394039</v>
      </c>
      <c r="D71" s="140">
        <f>'Logistic 2017'!L74</f>
        <v>0.91504115622246529</v>
      </c>
      <c r="E71" s="140">
        <f>'Logistic 2016'!L74</f>
        <v>0.97992499727171689</v>
      </c>
      <c r="F71" s="140">
        <f>'Logistic 2015'!L74</f>
        <v>0.90626979436277777</v>
      </c>
      <c r="G71" s="133">
        <f>Logistic2014!L74</f>
        <v>0.98311943217332176</v>
      </c>
      <c r="H71" s="133">
        <f>Logistic2013!L74</f>
        <v>0.98437202125506518</v>
      </c>
      <c r="I71" s="133">
        <f>Logistic2012!L74</f>
        <v>0.99914815028883153</v>
      </c>
      <c r="J71" s="133">
        <f>Logistic2011!L74</f>
        <v>0.98909173021315688</v>
      </c>
      <c r="K71" s="133">
        <f>Logistic2010!L74</f>
        <v>0.96865598441679479</v>
      </c>
      <c r="L71" s="149">
        <f>'Logistic 2008'!L74</f>
        <v>0.98198969628892063</v>
      </c>
      <c r="M71" s="149">
        <f>'Logistic 2007'!L74</f>
        <v>0.99760844016325889</v>
      </c>
      <c r="N71" s="149">
        <f>'Logistic 2006'!L74</f>
        <v>0.94063677400441748</v>
      </c>
      <c r="O71" s="133"/>
      <c r="Q71" s="133">
        <f t="shared" si="7"/>
        <v>0.96570290827551619</v>
      </c>
      <c r="R71" s="133">
        <f t="shared" ref="R71:R74" si="9">1-Q71</f>
        <v>3.4297091724483808E-2</v>
      </c>
      <c r="S71" s="133">
        <f t="shared" si="5"/>
        <v>0</v>
      </c>
      <c r="T71" s="133">
        <f t="shared" si="6"/>
        <v>0.1440570917244838</v>
      </c>
      <c r="U71" s="137">
        <f t="shared" ref="U71:U74" si="10">(-0.0673*B71^2)+5.7429*B71-69.563</f>
        <v>16.309599999999975</v>
      </c>
      <c r="V71" s="142">
        <v>5.6000000000000001E-2</v>
      </c>
      <c r="W71" s="133"/>
    </row>
    <row r="72" spans="1:40" x14ac:dyDescent="0.25">
      <c r="A72" s="134">
        <v>42215</v>
      </c>
      <c r="B72" s="136">
        <f>Logistic2014!K75</f>
        <v>67</v>
      </c>
      <c r="C72" s="133">
        <f>'Logistic 2018'!L75</f>
        <v>0.89382082763989679</v>
      </c>
      <c r="D72" s="140">
        <f>'Logistic 2017'!L75</f>
        <v>0.9259984425905613</v>
      </c>
      <c r="E72" s="140">
        <f>'Logistic 2016'!L75</f>
        <v>0.98367875635308522</v>
      </c>
      <c r="F72" s="140">
        <f>'Logistic 2015'!L75</f>
        <v>0.92220051253709923</v>
      </c>
      <c r="G72" s="133">
        <f>Logistic2014!L75</f>
        <v>0.98601528129691507</v>
      </c>
      <c r="H72" s="133">
        <f>Logistic2013!L75</f>
        <v>0.98713956340918307</v>
      </c>
      <c r="I72" s="133">
        <f>Logistic2012!L75</f>
        <v>0.99935718130385254</v>
      </c>
      <c r="J72" s="133">
        <f>Logistic2011!L75</f>
        <v>0.99148589866036696</v>
      </c>
      <c r="K72" s="133">
        <f>Logistic2010!L75</f>
        <v>0.97411489396191853</v>
      </c>
      <c r="L72" s="149">
        <f>'Logistic 2008'!L75</f>
        <v>0.98489275470738114</v>
      </c>
      <c r="M72" s="149">
        <f>'Logistic 2007'!L75</f>
        <v>0.99816435865745046</v>
      </c>
      <c r="N72" s="149">
        <f>'Logistic 2006'!L75</f>
        <v>0.94998410888829909</v>
      </c>
      <c r="O72" s="133"/>
      <c r="Q72" s="133">
        <f t="shared" si="7"/>
        <v>0.97124881626412274</v>
      </c>
      <c r="R72" s="133">
        <f t="shared" si="9"/>
        <v>2.8751183735877262E-2</v>
      </c>
      <c r="S72" s="133">
        <f t="shared" si="5"/>
        <v>0</v>
      </c>
      <c r="T72" s="133">
        <f t="shared" si="6"/>
        <v>0.13851118373587726</v>
      </c>
      <c r="U72" s="137">
        <f t="shared" si="10"/>
        <v>13.101600000000005</v>
      </c>
      <c r="V72" s="142">
        <v>5.6000000000000001E-2</v>
      </c>
      <c r="W72" s="133"/>
    </row>
    <row r="73" spans="1:40" x14ac:dyDescent="0.25">
      <c r="A73" s="134">
        <v>42216</v>
      </c>
      <c r="B73" s="136">
        <f>Logistic2014!K76</f>
        <v>68</v>
      </c>
      <c r="C73" s="133">
        <f>'Logistic 2018'!L76</f>
        <v>0.91386810808397656</v>
      </c>
      <c r="D73" s="140">
        <f>'Logistic 2017'!L76</f>
        <v>0.93564194302578907</v>
      </c>
      <c r="E73" s="140">
        <f>'Logistic 2016'!L76</f>
        <v>0.98674011013199214</v>
      </c>
      <c r="F73" s="140">
        <f>'Logistic 2015'!L76</f>
        <v>0.93561594809732263</v>
      </c>
      <c r="G73" s="133">
        <f>Logistic2014!L76</f>
        <v>0.98842020100800998</v>
      </c>
      <c r="H73" s="133">
        <f>Logistic2013!L76</f>
        <v>0.98942227092402102</v>
      </c>
      <c r="I73" s="133">
        <f>Logistic2012!L76</f>
        <v>0.99951494417545994</v>
      </c>
      <c r="J73" s="133">
        <f>Logistic2011!L76</f>
        <v>0.99335811896682091</v>
      </c>
      <c r="K73" s="133">
        <f>Logistic2010!L76</f>
        <v>0.97864403433681935</v>
      </c>
      <c r="L73" s="149">
        <f>'Logistic 2008'!L76</f>
        <v>0.98733390843592017</v>
      </c>
      <c r="M73" s="149">
        <f>'Logistic 2007'!L76</f>
        <v>0.99859123628391133</v>
      </c>
      <c r="N73" s="149">
        <f>'Logistic 2006'!L76</f>
        <v>0.95792544703602911</v>
      </c>
      <c r="O73" s="133"/>
      <c r="Q73" s="133">
        <f t="shared" si="7"/>
        <v>0.97591969633327946</v>
      </c>
      <c r="R73" s="133">
        <f t="shared" si="9"/>
        <v>2.4080303666720537E-2</v>
      </c>
      <c r="S73" s="133">
        <f t="shared" si="5"/>
        <v>0</v>
      </c>
      <c r="T73" s="133">
        <f t="shared" si="6"/>
        <v>0.13384030366672053</v>
      </c>
      <c r="U73" s="137">
        <f t="shared" si="10"/>
        <v>9.7590000000000003</v>
      </c>
      <c r="V73" s="142">
        <v>5.6000000000000001E-2</v>
      </c>
      <c r="W73" s="141">
        <f>0.02-0.00167</f>
        <v>1.8329999999999999E-2</v>
      </c>
    </row>
    <row r="74" spans="1:40" x14ac:dyDescent="0.25">
      <c r="A74" s="134">
        <v>42217</v>
      </c>
      <c r="B74" s="136">
        <f>Logistic2014!K77</f>
        <v>69</v>
      </c>
      <c r="C74" s="133">
        <f>'Logistic 2018'!L77</f>
        <v>0.93042496710431433</v>
      </c>
      <c r="D74" s="140">
        <f>'Logistic 2017'!L77</f>
        <v>0.94410460909339544</v>
      </c>
      <c r="E74" s="140">
        <f>'Logistic 2016'!L77</f>
        <v>0.98923353472043185</v>
      </c>
      <c r="F74" s="140">
        <f>'Logistic 2015'!L77</f>
        <v>0.94685140029212012</v>
      </c>
      <c r="G74" s="133">
        <f>Logistic2014!L77</f>
        <v>0.9904155722782505</v>
      </c>
      <c r="H74" s="133">
        <f>Logistic2013!L77</f>
        <v>0.99130337098214805</v>
      </c>
      <c r="I74" s="133">
        <f>Logistic2012!L77</f>
        <v>0.99963400249695022</v>
      </c>
      <c r="J74" s="133">
        <f>Logistic2011!L77</f>
        <v>0.99482079531219003</v>
      </c>
      <c r="K74" s="133">
        <f>Logistic2010!L77</f>
        <v>0.98239502903239084</v>
      </c>
      <c r="L74" s="149">
        <f>'Logistic 2008'!L77</f>
        <v>0.98938485184008818</v>
      </c>
      <c r="M74" s="149">
        <f>'Logistic 2007'!L77</f>
        <v>0.99891895121017837</v>
      </c>
      <c r="N74" s="149">
        <f>'Logistic 2006'!L77</f>
        <v>0.96465280457009817</v>
      </c>
      <c r="O74" s="133"/>
      <c r="Q74" s="133">
        <f t="shared" si="7"/>
        <v>0.97984478927598473</v>
      </c>
      <c r="R74" s="133">
        <f t="shared" si="9"/>
        <v>2.0155210724015271E-2</v>
      </c>
      <c r="S74" s="133">
        <f t="shared" si="5"/>
        <v>0</v>
      </c>
      <c r="T74" s="133">
        <f t="shared" si="6"/>
        <v>0.12991521072401527</v>
      </c>
      <c r="U74" s="137">
        <f t="shared" si="10"/>
        <v>6.2817999999999614</v>
      </c>
      <c r="V74" s="142">
        <v>5.6000000000000001E-2</v>
      </c>
      <c r="W74" s="133"/>
    </row>
    <row r="77" spans="1:40" x14ac:dyDescent="0.25">
      <c r="A77" s="135" t="s">
        <v>14</v>
      </c>
      <c r="B77">
        <v>2018</v>
      </c>
      <c r="C77">
        <v>2017</v>
      </c>
      <c r="D77">
        <v>2016</v>
      </c>
      <c r="E77">
        <v>2015</v>
      </c>
      <c r="F77">
        <v>2014</v>
      </c>
      <c r="G77">
        <v>2013</v>
      </c>
      <c r="H77">
        <v>2012</v>
      </c>
      <c r="I77">
        <v>2011</v>
      </c>
      <c r="J77">
        <v>2010</v>
      </c>
      <c r="K77">
        <v>2008</v>
      </c>
      <c r="L77">
        <v>2007</v>
      </c>
      <c r="M77">
        <v>2006</v>
      </c>
      <c r="N77" s="135" t="s">
        <v>55</v>
      </c>
    </row>
    <row r="78" spans="1:40" x14ac:dyDescent="0.25">
      <c r="A78" s="134">
        <v>42149</v>
      </c>
      <c r="B78" s="133">
        <f t="shared" ref="B78:M78" si="11">C6</f>
        <v>1.9572930470528326E-6</v>
      </c>
      <c r="C78" s="140">
        <f t="shared" si="11"/>
        <v>6.2810268233822917E-4</v>
      </c>
      <c r="D78" s="140">
        <f t="shared" si="11"/>
        <v>5.4567010890120445E-5</v>
      </c>
      <c r="E78" s="140">
        <f t="shared" si="11"/>
        <v>1.7170216429653574E-5</v>
      </c>
      <c r="F78" s="140">
        <f t="shared" si="11"/>
        <v>2.3411176981798289E-4</v>
      </c>
      <c r="G78" s="140">
        <f t="shared" si="11"/>
        <v>1.6514633949483483E-4</v>
      </c>
      <c r="H78" s="140">
        <f t="shared" si="11"/>
        <v>1.3047124400263937E-5</v>
      </c>
      <c r="I78" s="140">
        <f t="shared" si="11"/>
        <v>7.836471740093746E-6</v>
      </c>
      <c r="J78" s="140">
        <f t="shared" si="11"/>
        <v>8.5022378766966617E-5</v>
      </c>
      <c r="K78" s="140">
        <f t="shared" si="11"/>
        <v>4.9115396781314151E-4</v>
      </c>
      <c r="L78" s="140">
        <f t="shared" si="11"/>
        <v>1.3692230767313023E-5</v>
      </c>
      <c r="M78" s="140">
        <f t="shared" si="11"/>
        <v>1.2136687818076173E-4</v>
      </c>
      <c r="N78" s="133">
        <f>AVERAGE(C78:M78)</f>
        <v>1.6647427914903286E-4</v>
      </c>
    </row>
    <row r="79" spans="1:40" x14ac:dyDescent="0.25">
      <c r="A79" s="134">
        <v>42150</v>
      </c>
      <c r="B79" s="133">
        <f t="shared" ref="B79:B142" si="12">C7</f>
        <v>2.4669709330491471E-6</v>
      </c>
      <c r="C79" s="140">
        <f t="shared" ref="C79:M79" si="13">D7</f>
        <v>7.2966559960320053E-4</v>
      </c>
      <c r="D79" s="140">
        <f t="shared" si="13"/>
        <v>6.7373238456564966E-5</v>
      </c>
      <c r="E79" s="140">
        <f t="shared" si="13"/>
        <v>2.1049644832087176E-5</v>
      </c>
      <c r="F79" s="140">
        <f t="shared" si="13"/>
        <v>2.8340826727151088E-4</v>
      </c>
      <c r="G79" s="140">
        <f t="shared" si="13"/>
        <v>2.0124248390877318E-4</v>
      </c>
      <c r="H79" s="140">
        <f t="shared" si="13"/>
        <v>1.7293316460842745E-5</v>
      </c>
      <c r="I79" s="140">
        <f t="shared" si="13"/>
        <v>1.0064370839566216E-5</v>
      </c>
      <c r="J79" s="140">
        <f t="shared" si="13"/>
        <v>1.035310256575905E-4</v>
      </c>
      <c r="K79" s="140">
        <f t="shared" si="13"/>
        <v>5.8721032738094322E-4</v>
      </c>
      <c r="L79" s="140">
        <f t="shared" si="13"/>
        <v>1.7848748479884167E-5</v>
      </c>
      <c r="M79" s="140">
        <f t="shared" si="13"/>
        <v>1.454767462997331E-4</v>
      </c>
      <c r="N79" s="133">
        <f t="shared" ref="N79:N142" si="14">AVERAGE(C79:M79)</f>
        <v>1.9856034265369968E-4</v>
      </c>
    </row>
    <row r="80" spans="1:40" x14ac:dyDescent="0.25">
      <c r="A80" s="134">
        <v>42151</v>
      </c>
      <c r="B80" s="133">
        <f t="shared" si="12"/>
        <v>3.1093682092961121E-6</v>
      </c>
      <c r="C80" s="140">
        <f t="shared" ref="C80:M80" si="15">D8</f>
        <v>8.4763710348795935E-4</v>
      </c>
      <c r="D80" s="140">
        <f t="shared" si="15"/>
        <v>8.3184685088893813E-5</v>
      </c>
      <c r="E80" s="140">
        <f t="shared" si="15"/>
        <v>2.5805566341741293E-5</v>
      </c>
      <c r="F80" s="140">
        <f t="shared" si="15"/>
        <v>3.4308147807959839E-4</v>
      </c>
      <c r="G80" s="140">
        <f t="shared" si="15"/>
        <v>2.4522625138307812E-4</v>
      </c>
      <c r="H80" s="140">
        <f t="shared" si="15"/>
        <v>2.2921401816876036E-5</v>
      </c>
      <c r="I80" s="140">
        <f t="shared" si="15"/>
        <v>1.2925650675246917E-5</v>
      </c>
      <c r="J80" s="140">
        <f t="shared" si="15"/>
        <v>1.2606833916263888E-4</v>
      </c>
      <c r="K80" s="140">
        <f t="shared" si="15"/>
        <v>7.0203950370174926E-4</v>
      </c>
      <c r="L80" s="140">
        <f t="shared" si="15"/>
        <v>2.3267020964710778E-5</v>
      </c>
      <c r="M80" s="140">
        <f t="shared" si="15"/>
        <v>1.7437527154875112E-4</v>
      </c>
      <c r="N80" s="133">
        <f t="shared" si="14"/>
        <v>2.3695747929556763E-4</v>
      </c>
    </row>
    <row r="81" spans="1:14" x14ac:dyDescent="0.25">
      <c r="A81" s="134">
        <v>42152</v>
      </c>
      <c r="B81" s="133">
        <f t="shared" si="12"/>
        <v>3.919044571692126E-6</v>
      </c>
      <c r="C81" s="140">
        <f t="shared" ref="C81:M81" si="16">D9</f>
        <v>9.8466331119742329E-4</v>
      </c>
      <c r="D81" s="140">
        <f t="shared" si="16"/>
        <v>1.0270645011768952E-4</v>
      </c>
      <c r="E81" s="140">
        <f t="shared" si="16"/>
        <v>3.1635998799364258E-5</v>
      </c>
      <c r="F81" s="140">
        <f t="shared" si="16"/>
        <v>4.1531400063546034E-4</v>
      </c>
      <c r="G81" s="140">
        <f t="shared" si="16"/>
        <v>2.9882028383729665E-4</v>
      </c>
      <c r="H81" s="140">
        <f t="shared" si="16"/>
        <v>3.0381083934500269E-5</v>
      </c>
      <c r="I81" s="140">
        <f t="shared" si="16"/>
        <v>1.6600372952710151E-5</v>
      </c>
      <c r="J81" s="140">
        <f t="shared" si="16"/>
        <v>1.5351096984987485E-4</v>
      </c>
      <c r="K81" s="140">
        <f t="shared" si="16"/>
        <v>8.3930470637357565E-4</v>
      </c>
      <c r="L81" s="140">
        <f t="shared" si="16"/>
        <v>3.0330046655473192E-5</v>
      </c>
      <c r="M81" s="140">
        <f t="shared" si="16"/>
        <v>2.0901320330298033E-4</v>
      </c>
      <c r="N81" s="133">
        <f t="shared" si="14"/>
        <v>2.8293458433239534E-4</v>
      </c>
    </row>
    <row r="82" spans="1:14" x14ac:dyDescent="0.25">
      <c r="A82" s="134">
        <v>42153</v>
      </c>
      <c r="B82" s="133">
        <f t="shared" si="12"/>
        <v>4.9395588051377941E-6</v>
      </c>
      <c r="C82" s="140">
        <f t="shared" ref="C82:M82" si="17">D10</f>
        <v>1.14381536358425E-3</v>
      </c>
      <c r="D82" s="140">
        <f t="shared" si="17"/>
        <v>1.2680899799840468E-4</v>
      </c>
      <c r="E82" s="140">
        <f t="shared" si="17"/>
        <v>3.8783690632277242E-5</v>
      </c>
      <c r="F82" s="140">
        <f t="shared" si="17"/>
        <v>5.0274674135478853E-4</v>
      </c>
      <c r="G82" s="140">
        <f t="shared" si="17"/>
        <v>3.6412299007382412E-4</v>
      </c>
      <c r="H82" s="140">
        <f t="shared" si="17"/>
        <v>4.0268393161481414E-5</v>
      </c>
      <c r="I82" s="140">
        <f t="shared" si="17"/>
        <v>2.1319785068892179E-5</v>
      </c>
      <c r="J82" s="140">
        <f t="shared" si="17"/>
        <v>1.8692621184091302E-4</v>
      </c>
      <c r="K82" s="140">
        <f t="shared" si="17"/>
        <v>1.0033815300921221E-3</v>
      </c>
      <c r="L82" s="140">
        <f t="shared" si="17"/>
        <v>3.9537066610860712E-5</v>
      </c>
      <c r="M82" s="140">
        <f t="shared" si="17"/>
        <v>2.5052989527816132E-4</v>
      </c>
      <c r="N82" s="133">
        <f t="shared" si="14"/>
        <v>3.3802187869963409E-4</v>
      </c>
    </row>
    <row r="83" spans="1:14" x14ac:dyDescent="0.25">
      <c r="A83" s="134">
        <v>42154</v>
      </c>
      <c r="B83" s="133">
        <f t="shared" si="12"/>
        <v>6.2258119955462864E-6</v>
      </c>
      <c r="C83" s="140">
        <f t="shared" ref="C83:M83" si="18">D11</f>
        <v>1.3286570992016391E-3</v>
      </c>
      <c r="D83" s="140">
        <f t="shared" si="18"/>
        <v>1.5656690490945612E-4</v>
      </c>
      <c r="E83" s="140">
        <f t="shared" si="18"/>
        <v>4.7546222245428585E-5</v>
      </c>
      <c r="F83" s="140">
        <f t="shared" si="18"/>
        <v>6.0857479252525697E-4</v>
      </c>
      <c r="G83" s="140">
        <f t="shared" si="18"/>
        <v>4.436902928409236E-4</v>
      </c>
      <c r="H83" s="140">
        <f t="shared" si="18"/>
        <v>5.3373285608644894E-5</v>
      </c>
      <c r="I83" s="140">
        <f t="shared" si="18"/>
        <v>2.7380868298470043E-5</v>
      </c>
      <c r="J83" s="140">
        <f t="shared" si="18"/>
        <v>2.2761340456733088E-4</v>
      </c>
      <c r="K83" s="140">
        <f t="shared" si="18"/>
        <v>1.1994954493852676E-3</v>
      </c>
      <c r="L83" s="140">
        <f t="shared" si="18"/>
        <v>5.1538834902200428E-5</v>
      </c>
      <c r="M83" s="140">
        <f t="shared" si="18"/>
        <v>3.0029065023805794E-4</v>
      </c>
      <c r="N83" s="133">
        <f t="shared" si="14"/>
        <v>4.0406616406569784E-4</v>
      </c>
    </row>
    <row r="84" spans="1:14" x14ac:dyDescent="0.25">
      <c r="A84" s="134">
        <v>42155</v>
      </c>
      <c r="B84" s="133">
        <f t="shared" si="12"/>
        <v>7.84700082547019E-6</v>
      </c>
      <c r="C84" s="140">
        <f t="shared" ref="C84:M84" si="19">D12</f>
        <v>1.5433232960257708E-3</v>
      </c>
      <c r="D84" s="140">
        <f t="shared" si="19"/>
        <v>1.9330666513183464E-4</v>
      </c>
      <c r="E84" s="140">
        <f t="shared" si="19"/>
        <v>5.8288387136114664E-5</v>
      </c>
      <c r="F84" s="140">
        <f t="shared" si="19"/>
        <v>7.3666320070702633E-4</v>
      </c>
      <c r="G84" s="140">
        <f t="shared" si="19"/>
        <v>5.4063505283763783E-4</v>
      </c>
      <c r="H84" s="140">
        <f t="shared" si="19"/>
        <v>7.0742715149375355E-5</v>
      </c>
      <c r="I84" s="140">
        <f t="shared" si="19"/>
        <v>3.5165019463385926E-5</v>
      </c>
      <c r="J84" s="140">
        <f t="shared" si="19"/>
        <v>2.7715429809603467E-4</v>
      </c>
      <c r="K84" s="140">
        <f t="shared" si="19"/>
        <v>1.433885402874883E-3</v>
      </c>
      <c r="L84" s="140">
        <f t="shared" si="19"/>
        <v>6.7183583738013395E-5</v>
      </c>
      <c r="M84" s="140">
        <f t="shared" si="19"/>
        <v>3.599314287779756E-4</v>
      </c>
      <c r="N84" s="133">
        <f t="shared" si="14"/>
        <v>4.8329809544891381E-4</v>
      </c>
    </row>
    <row r="85" spans="1:14" x14ac:dyDescent="0.25">
      <c r="A85" s="134">
        <v>42156</v>
      </c>
      <c r="B85" s="133">
        <f t="shared" si="12"/>
        <v>9.8903397668447557E-6</v>
      </c>
      <c r="C85" s="140">
        <f t="shared" ref="C85:M85" si="20">D13</f>
        <v>1.7926100581472778E-3</v>
      </c>
      <c r="D85" s="140">
        <f t="shared" si="20"/>
        <v>2.3866566566067658E-4</v>
      </c>
      <c r="E85" s="140">
        <f t="shared" si="20"/>
        <v>7.1457366502029548E-5</v>
      </c>
      <c r="F85" s="140">
        <f t="shared" si="20"/>
        <v>8.9168667425910237E-4</v>
      </c>
      <c r="G85" s="140">
        <f t="shared" si="20"/>
        <v>6.5874794022489089E-4</v>
      </c>
      <c r="H85" s="140">
        <f t="shared" si="20"/>
        <v>9.376420056852192E-5</v>
      </c>
      <c r="I85" s="140">
        <f t="shared" si="20"/>
        <v>4.516203955995761E-5</v>
      </c>
      <c r="J85" s="140">
        <f t="shared" si="20"/>
        <v>3.3747430933301909E-4</v>
      </c>
      <c r="K85" s="140">
        <f t="shared" si="20"/>
        <v>1.7139982246672178E-3</v>
      </c>
      <c r="L85" s="140">
        <f t="shared" si="20"/>
        <v>8.7576921290056169E-5</v>
      </c>
      <c r="M85" s="140">
        <f t="shared" si="20"/>
        <v>4.3141236104103273E-4</v>
      </c>
      <c r="N85" s="133">
        <f t="shared" si="14"/>
        <v>5.7841416011398031E-4</v>
      </c>
    </row>
    <row r="86" spans="1:14" x14ac:dyDescent="0.25">
      <c r="A86" s="134">
        <v>42157</v>
      </c>
      <c r="B86" s="133">
        <f t="shared" si="12"/>
        <v>1.2465752308612508E-5</v>
      </c>
      <c r="C86" s="140">
        <f t="shared" ref="C86:M86" si="21">D14</f>
        <v>2.0820791342632487E-3</v>
      </c>
      <c r="D86" s="140">
        <f t="shared" si="21"/>
        <v>2.9466492298187109E-4</v>
      </c>
      <c r="E86" s="140">
        <f t="shared" si="21"/>
        <v>8.7601326531770458E-5</v>
      </c>
      <c r="F86" s="140">
        <f t="shared" si="21"/>
        <v>1.0792980661665267E-3</v>
      </c>
      <c r="G86" s="140">
        <f t="shared" si="21"/>
        <v>8.0264430321866907E-4</v>
      </c>
      <c r="H86" s="140">
        <f t="shared" si="21"/>
        <v>1.2427653391392171E-4</v>
      </c>
      <c r="I86" s="140">
        <f t="shared" si="21"/>
        <v>5.8000935347062004E-5</v>
      </c>
      <c r="J86" s="140">
        <f t="shared" si="21"/>
        <v>4.1091700437125326E-4</v>
      </c>
      <c r="K86" s="140">
        <f t="shared" si="21"/>
        <v>2.0487194641742226E-3</v>
      </c>
      <c r="L86" s="140">
        <f t="shared" si="21"/>
        <v>1.1415987708567967E-4</v>
      </c>
      <c r="M86" s="140">
        <f t="shared" si="21"/>
        <v>5.1708177554267367E-4</v>
      </c>
      <c r="N86" s="133">
        <f t="shared" si="14"/>
        <v>6.9267666759971805E-4</v>
      </c>
    </row>
    <row r="87" spans="1:14" x14ac:dyDescent="0.25">
      <c r="A87" s="134">
        <v>42158</v>
      </c>
      <c r="B87" s="133">
        <f t="shared" si="12"/>
        <v>1.5711783423987859E-5</v>
      </c>
      <c r="C87" s="140">
        <f t="shared" ref="C87:M87" si="22">D15</f>
        <v>2.4181781826617546E-3</v>
      </c>
      <c r="D87" s="140">
        <f t="shared" si="22"/>
        <v>3.637987704705253E-4</v>
      </c>
      <c r="E87" s="140">
        <f t="shared" si="22"/>
        <v>1.073922087312116E-4</v>
      </c>
      <c r="F87" s="140">
        <f t="shared" si="22"/>
        <v>1.3063313918701522E-3</v>
      </c>
      <c r="G87" s="140">
        <f t="shared" si="22"/>
        <v>9.7794251088522961E-4</v>
      </c>
      <c r="H87" s="140">
        <f t="shared" si="22"/>
        <v>1.6471642078997898E-4</v>
      </c>
      <c r="I87" s="140">
        <f t="shared" si="22"/>
        <v>7.4489466257937842E-5</v>
      </c>
      <c r="J87" s="140">
        <f t="shared" si="22"/>
        <v>5.0033463342563623E-4</v>
      </c>
      <c r="K87" s="140">
        <f t="shared" si="22"/>
        <v>2.4486470109403081E-3</v>
      </c>
      <c r="L87" s="140">
        <f t="shared" si="22"/>
        <v>1.4881057906022496E-4</v>
      </c>
      <c r="M87" s="140">
        <f t="shared" si="22"/>
        <v>6.1975278471460764E-4</v>
      </c>
      <c r="N87" s="133">
        <f t="shared" si="14"/>
        <v>8.3003581452796061E-4</v>
      </c>
    </row>
    <row r="88" spans="1:14" x14ac:dyDescent="0.25">
      <c r="A88" s="134">
        <v>42159</v>
      </c>
      <c r="B88" s="133">
        <f t="shared" si="12"/>
        <v>1.9803051078592358E-5</v>
      </c>
      <c r="C88" s="140">
        <f t="shared" ref="C88:M88" si="23">D16</f>
        <v>2.8083792413261389E-3</v>
      </c>
      <c r="D88" s="140">
        <f t="shared" si="23"/>
        <v>4.4914541146716158E-4</v>
      </c>
      <c r="E88" s="140">
        <f t="shared" si="23"/>
        <v>1.316536561976944E-4</v>
      </c>
      <c r="F88" s="140">
        <f t="shared" si="23"/>
        <v>1.5810462162153941E-3</v>
      </c>
      <c r="G88" s="140">
        <f t="shared" si="23"/>
        <v>1.19148034540422E-3</v>
      </c>
      <c r="H88" s="140">
        <f t="shared" si="23"/>
        <v>2.1831267218257427E-4</v>
      </c>
      <c r="I88" s="140">
        <f t="shared" si="23"/>
        <v>9.5664915403581588E-5</v>
      </c>
      <c r="J88" s="140">
        <f t="shared" si="23"/>
        <v>6.091981346321452E-4</v>
      </c>
      <c r="K88" s="140">
        <f t="shared" si="23"/>
        <v>2.9264149003148288E-3</v>
      </c>
      <c r="L88" s="140">
        <f t="shared" si="23"/>
        <v>1.939766937100772E-4</v>
      </c>
      <c r="M88" s="140">
        <f t="shared" si="23"/>
        <v>7.4279485030652231E-4</v>
      </c>
      <c r="N88" s="133">
        <f t="shared" si="14"/>
        <v>9.9527882156003077E-4</v>
      </c>
    </row>
    <row r="89" spans="1:14" x14ac:dyDescent="0.25">
      <c r="A89" s="134">
        <v>42160</v>
      </c>
      <c r="B89" s="133">
        <f t="shared" si="12"/>
        <v>2.495963721278651E-5</v>
      </c>
      <c r="C89" s="140">
        <f t="shared" ref="C89:M89" si="24">D17</f>
        <v>3.2613379174796378E-3</v>
      </c>
      <c r="D89" s="140">
        <f t="shared" si="24"/>
        <v>5.5450313887280044E-4</v>
      </c>
      <c r="E89" s="140">
        <f t="shared" si="24"/>
        <v>1.6139522954861882E-4</v>
      </c>
      <c r="F89" s="140">
        <f t="shared" si="24"/>
        <v>1.9134214809037675E-3</v>
      </c>
      <c r="G89" s="140">
        <f t="shared" si="24"/>
        <v>1.4515773097888444E-3</v>
      </c>
      <c r="H89" s="140">
        <f t="shared" si="24"/>
        <v>2.8934329263929074E-4</v>
      </c>
      <c r="I89" s="140">
        <f t="shared" si="24"/>
        <v>1.2285926325918643E-4</v>
      </c>
      <c r="J89" s="140">
        <f t="shared" si="24"/>
        <v>7.4173072899810018E-4</v>
      </c>
      <c r="K89" s="140">
        <f t="shared" si="24"/>
        <v>3.4970756997867421E-3</v>
      </c>
      <c r="L89" s="140">
        <f t="shared" si="24"/>
        <v>2.5284789602608666E-4</v>
      </c>
      <c r="M89" s="140">
        <f t="shared" si="24"/>
        <v>8.9024320210936362E-4</v>
      </c>
      <c r="N89" s="133">
        <f t="shared" si="14"/>
        <v>1.1942122872193128E-3</v>
      </c>
    </row>
    <row r="90" spans="1:14" x14ac:dyDescent="0.25">
      <c r="A90" s="134">
        <v>42161</v>
      </c>
      <c r="B90" s="133">
        <f t="shared" si="12"/>
        <v>3.1458922708434801E-5</v>
      </c>
      <c r="C90" s="140">
        <f t="shared" ref="C90:M90" si="25">D18</f>
        <v>3.7870760711068165E-3</v>
      </c>
      <c r="D90" s="140">
        <f t="shared" si="25"/>
        <v>6.8455809853298325E-4</v>
      </c>
      <c r="E90" s="140">
        <f t="shared" si="25"/>
        <v>1.978543235034611E-4</v>
      </c>
      <c r="F90" s="140">
        <f t="shared" si="25"/>
        <v>2.3155082495920514E-3</v>
      </c>
      <c r="G90" s="140">
        <f t="shared" si="25"/>
        <v>1.7683522199292421E-3</v>
      </c>
      <c r="H90" s="140">
        <f t="shared" si="25"/>
        <v>3.8347570467222935E-4</v>
      </c>
      <c r="I90" s="140">
        <f t="shared" si="25"/>
        <v>1.5778283823492166E-4</v>
      </c>
      <c r="J90" s="140">
        <f t="shared" si="25"/>
        <v>9.0307007042611108E-4</v>
      </c>
      <c r="K90" s="140">
        <f t="shared" si="25"/>
        <v>4.1785509273186972E-3</v>
      </c>
      <c r="L90" s="140">
        <f t="shared" si="25"/>
        <v>3.2958039862729708E-4</v>
      </c>
      <c r="M90" s="140">
        <f t="shared" si="25"/>
        <v>1.0669295098102768E-3</v>
      </c>
      <c r="N90" s="133">
        <f t="shared" si="14"/>
        <v>1.4338853101594628E-3</v>
      </c>
    </row>
    <row r="91" spans="1:14" x14ac:dyDescent="0.25">
      <c r="A91" s="134">
        <v>42162</v>
      </c>
      <c r="B91" s="133">
        <f t="shared" si="12"/>
        <v>3.9650501913587503E-5</v>
      </c>
      <c r="C91" s="140">
        <f t="shared" ref="C91:M91" si="26">D19</f>
        <v>4.3971910204306536E-3</v>
      </c>
      <c r="D91" s="140">
        <f t="shared" si="26"/>
        <v>8.4509077654013206E-4</v>
      </c>
      <c r="E91" s="140">
        <f t="shared" si="26"/>
        <v>2.425475088477299E-4</v>
      </c>
      <c r="F91" s="140">
        <f t="shared" si="26"/>
        <v>2.801852416196298E-3</v>
      </c>
      <c r="G91" s="140">
        <f t="shared" si="26"/>
        <v>2.1541071781976768E-3</v>
      </c>
      <c r="H91" s="140">
        <f t="shared" si="26"/>
        <v>5.0821676274457185E-4</v>
      </c>
      <c r="I91" s="140">
        <f t="shared" si="26"/>
        <v>2.0263166333366929E-4</v>
      </c>
      <c r="J91" s="140">
        <f t="shared" si="26"/>
        <v>1.0994649129130458E-3</v>
      </c>
      <c r="K91" s="140">
        <f t="shared" si="26"/>
        <v>4.9921599683218926E-3</v>
      </c>
      <c r="L91" s="140">
        <f t="shared" si="26"/>
        <v>4.2958913583540827E-4</v>
      </c>
      <c r="M91" s="140">
        <f t="shared" si="26"/>
        <v>1.2786378194842444E-3</v>
      </c>
      <c r="N91" s="133">
        <f t="shared" si="14"/>
        <v>1.7228626511677566E-3</v>
      </c>
    </row>
    <row r="92" spans="1:14" x14ac:dyDescent="0.25">
      <c r="A92" s="134">
        <v>42163</v>
      </c>
      <c r="B92" s="133">
        <f t="shared" si="12"/>
        <v>4.9974977307565407E-5</v>
      </c>
      <c r="C92" s="140">
        <f t="shared" ref="C92:M92" si="27">D20</f>
        <v>5.1050945271386566E-3</v>
      </c>
      <c r="D92" s="140">
        <f t="shared" si="27"/>
        <v>1.0432299594410378E-3</v>
      </c>
      <c r="E92" s="140">
        <f t="shared" si="27"/>
        <v>2.9733340657528011E-4</v>
      </c>
      <c r="F92" s="140">
        <f t="shared" si="27"/>
        <v>3.3900001278880923E-3</v>
      </c>
      <c r="G92" s="140">
        <f t="shared" si="27"/>
        <v>2.6237909806921655E-3</v>
      </c>
      <c r="H92" s="140">
        <f t="shared" si="27"/>
        <v>6.7350758018346741E-4</v>
      </c>
      <c r="I92" s="140">
        <f t="shared" si="27"/>
        <v>2.6022518000504499E-4</v>
      </c>
      <c r="J92" s="140">
        <f t="shared" si="27"/>
        <v>1.3385134331574686E-3</v>
      </c>
      <c r="K92" s="140">
        <f t="shared" si="27"/>
        <v>5.9632388345596315E-3</v>
      </c>
      <c r="L92" s="140">
        <f t="shared" si="27"/>
        <v>5.5992778785911323E-4</v>
      </c>
      <c r="M92" s="140">
        <f t="shared" si="27"/>
        <v>1.5322904720000579E-3</v>
      </c>
      <c r="N92" s="133">
        <f t="shared" si="14"/>
        <v>2.0715592990454561E-3</v>
      </c>
    </row>
    <row r="93" spans="1:14" x14ac:dyDescent="0.25">
      <c r="A93" s="134">
        <v>42164</v>
      </c>
      <c r="B93" s="133">
        <f t="shared" si="12"/>
        <v>6.2987642575463554E-5</v>
      </c>
      <c r="C93" s="140">
        <f t="shared" ref="C93:M93" si="28">D21</f>
        <v>5.9262850009791299E-3</v>
      </c>
      <c r="D93" s="140">
        <f t="shared" si="28"/>
        <v>1.2877647930757902E-3</v>
      </c>
      <c r="E93" s="140">
        <f t="shared" si="28"/>
        <v>3.6448966557717813E-4</v>
      </c>
      <c r="F93" s="140">
        <f t="shared" si="28"/>
        <v>4.101100461714453E-3</v>
      </c>
      <c r="G93" s="140">
        <f t="shared" si="28"/>
        <v>3.1955571705628975E-3</v>
      </c>
      <c r="H93" s="140">
        <f t="shared" si="28"/>
        <v>8.9250905741042764E-4</v>
      </c>
      <c r="I93" s="140">
        <f t="shared" si="28"/>
        <v>3.3418289363510773E-4</v>
      </c>
      <c r="J93" s="140">
        <f t="shared" si="28"/>
        <v>1.6294517210207725E-3</v>
      </c>
      <c r="K93" s="140">
        <f t="shared" si="28"/>
        <v>7.1218606886827678E-3</v>
      </c>
      <c r="L93" s="140">
        <f t="shared" si="28"/>
        <v>7.2978271205669562E-4</v>
      </c>
      <c r="M93" s="140">
        <f t="shared" si="28"/>
        <v>1.8361695274595857E-3</v>
      </c>
      <c r="N93" s="133">
        <f t="shared" si="14"/>
        <v>2.492650335652255E-3</v>
      </c>
    </row>
    <row r="94" spans="1:14" x14ac:dyDescent="0.25">
      <c r="A94" s="134">
        <v>42165</v>
      </c>
      <c r="B94" s="133">
        <f t="shared" si="12"/>
        <v>7.9388323667335236E-5</v>
      </c>
      <c r="C94" s="140">
        <f t="shared" ref="C94:M94" si="29">D22</f>
        <v>6.8786564628367675E-3</v>
      </c>
      <c r="D94" s="140">
        <f t="shared" si="29"/>
        <v>1.5895277916154621E-3</v>
      </c>
      <c r="E94" s="140">
        <f t="shared" si="29"/>
        <v>4.4680717905035274E-4</v>
      </c>
      <c r="F94" s="140">
        <f t="shared" si="29"/>
        <v>4.960621659003208E-3</v>
      </c>
      <c r="G94" s="140">
        <f t="shared" si="29"/>
        <v>3.8914342584479623E-3</v>
      </c>
      <c r="H94" s="140">
        <f t="shared" si="29"/>
        <v>1.1826380006716123E-3</v>
      </c>
      <c r="I94" s="140">
        <f t="shared" si="29"/>
        <v>4.2915085481010497E-4</v>
      </c>
      <c r="J94" s="140">
        <f t="shared" si="29"/>
        <v>1.9835025384092424E-3</v>
      </c>
      <c r="K94" s="140">
        <f t="shared" si="29"/>
        <v>8.5036701076474583E-3</v>
      </c>
      <c r="L94" s="140">
        <f t="shared" si="29"/>
        <v>9.5111434488672039E-4</v>
      </c>
      <c r="M94" s="140">
        <f t="shared" si="29"/>
        <v>2.2001801311776078E-3</v>
      </c>
      <c r="N94" s="133">
        <f t="shared" si="14"/>
        <v>3.0015730298687728E-3</v>
      </c>
    </row>
    <row r="95" spans="1:14" x14ac:dyDescent="0.25">
      <c r="A95" s="134">
        <v>42166</v>
      </c>
      <c r="B95" s="133">
        <f t="shared" si="12"/>
        <v>1.0005897603432107E-4</v>
      </c>
      <c r="C95" s="140">
        <f t="shared" ref="C95:M95" si="30">D23</f>
        <v>7.9828477750707172E-3</v>
      </c>
      <c r="D95" s="140">
        <f t="shared" si="30"/>
        <v>1.96186425844861E-3</v>
      </c>
      <c r="E95" s="140">
        <f t="shared" si="30"/>
        <v>5.47705357394158E-4</v>
      </c>
      <c r="F95" s="140">
        <f t="shared" si="30"/>
        <v>5.9991987892107617E-3</v>
      </c>
      <c r="G95" s="140">
        <f t="shared" si="30"/>
        <v>4.7381279726284222E-3</v>
      </c>
      <c r="H95" s="140">
        <f t="shared" si="30"/>
        <v>1.5669315790569664E-3</v>
      </c>
      <c r="I95" s="140">
        <f t="shared" si="30"/>
        <v>5.510918954265417E-4</v>
      </c>
      <c r="J95" s="140">
        <f t="shared" si="30"/>
        <v>2.4142962558322549E-3</v>
      </c>
      <c r="K95" s="140">
        <f t="shared" si="30"/>
        <v>1.0150842236798916E-2</v>
      </c>
      <c r="L95" s="140">
        <f t="shared" si="30"/>
        <v>1.2394891219668987E-3</v>
      </c>
      <c r="M95" s="140">
        <f t="shared" si="30"/>
        <v>2.6361632699189656E-3</v>
      </c>
      <c r="N95" s="133">
        <f t="shared" si="14"/>
        <v>3.617141682886656E-3</v>
      </c>
    </row>
    <row r="96" spans="1:14" x14ac:dyDescent="0.25">
      <c r="A96" s="134">
        <v>42167</v>
      </c>
      <c r="B96" s="133">
        <f t="shared" si="12"/>
        <v>1.2611104925836739E-4</v>
      </c>
      <c r="C96" s="140">
        <f t="shared" ref="C96:M96" si="31">D24</f>
        <v>9.2626354233094708E-3</v>
      </c>
      <c r="D96" s="140">
        <f t="shared" si="31"/>
        <v>2.4212065947213633E-3</v>
      </c>
      <c r="E96" s="140">
        <f t="shared" si="31"/>
        <v>6.7137309929851967E-4</v>
      </c>
      <c r="F96" s="140">
        <f t="shared" si="31"/>
        <v>7.2536318036214055E-3</v>
      </c>
      <c r="G96" s="140">
        <f t="shared" si="31"/>
        <v>5.7679775716238009E-3</v>
      </c>
      <c r="H96" s="140">
        <f t="shared" si="31"/>
        <v>2.0758403211665732E-3</v>
      </c>
      <c r="I96" s="140">
        <f t="shared" si="31"/>
        <v>7.0765733468636032E-4</v>
      </c>
      <c r="J96" s="140">
        <f t="shared" si="31"/>
        <v>2.9383778949773321E-3</v>
      </c>
      <c r="K96" s="140">
        <f t="shared" si="31"/>
        <v>1.2113175812640223E-2</v>
      </c>
      <c r="L96" s="140">
        <f t="shared" si="31"/>
        <v>1.6151568393420366E-3</v>
      </c>
      <c r="M96" s="140">
        <f t="shared" si="31"/>
        <v>3.1582664692195958E-3</v>
      </c>
      <c r="N96" s="133">
        <f t="shared" si="14"/>
        <v>4.3622999240551527E-3</v>
      </c>
    </row>
    <row r="97" spans="1:14" x14ac:dyDescent="0.25">
      <c r="A97" s="134">
        <v>42168</v>
      </c>
      <c r="B97" s="133">
        <f t="shared" si="12"/>
        <v>1.5894514901942751E-4</v>
      </c>
      <c r="C97" s="140">
        <f t="shared" ref="C97:M97" si="32">D25</f>
        <v>1.0745372629015171E-2</v>
      </c>
      <c r="D97" s="140">
        <f t="shared" si="32"/>
        <v>2.9877753789890583E-3</v>
      </c>
      <c r="E97" s="140">
        <f t="shared" si="32"/>
        <v>8.2294109352207961E-4</v>
      </c>
      <c r="F97" s="140">
        <f t="shared" si="32"/>
        <v>8.7680531167695416E-3</v>
      </c>
      <c r="G97" s="140">
        <f t="shared" si="32"/>
        <v>7.0200899120878707E-3</v>
      </c>
      <c r="H97" s="140">
        <f t="shared" si="32"/>
        <v>2.7495774998194159E-3</v>
      </c>
      <c r="I97" s="140">
        <f t="shared" si="32"/>
        <v>9.0866264120614631E-4</v>
      </c>
      <c r="J97" s="140">
        <f t="shared" si="32"/>
        <v>3.5758163964330005E-3</v>
      </c>
      <c r="K97" s="140">
        <f t="shared" si="32"/>
        <v>1.4449324841393623E-2</v>
      </c>
      <c r="L97" s="140">
        <f t="shared" si="32"/>
        <v>2.1044430392726981E-3</v>
      </c>
      <c r="M97" s="140">
        <f t="shared" si="32"/>
        <v>3.7833821446993888E-3</v>
      </c>
      <c r="N97" s="133">
        <f t="shared" si="14"/>
        <v>5.265039881200727E-3</v>
      </c>
    </row>
    <row r="98" spans="1:14" x14ac:dyDescent="0.25">
      <c r="A98" s="134">
        <v>42169</v>
      </c>
      <c r="B98" s="133">
        <f t="shared" si="12"/>
        <v>2.0032617721342627E-4</v>
      </c>
      <c r="C98" s="140">
        <f t="shared" ref="C98:M98" si="33">D26</f>
        <v>1.2462476674028592E-2</v>
      </c>
      <c r="D98" s="140">
        <f t="shared" si="33"/>
        <v>3.6864328376781316E-3</v>
      </c>
      <c r="E98" s="140">
        <f t="shared" si="33"/>
        <v>1.0086922696245666E-3</v>
      </c>
      <c r="F98" s="140">
        <f t="shared" si="33"/>
        <v>1.0595282474405681E-2</v>
      </c>
      <c r="G98" s="140">
        <f t="shared" si="33"/>
        <v>8.5416755801183825E-3</v>
      </c>
      <c r="H98" s="140">
        <f t="shared" si="33"/>
        <v>3.6411857399598351E-3</v>
      </c>
      <c r="I98" s="140">
        <f t="shared" si="33"/>
        <v>1.1666954944441379E-3</v>
      </c>
      <c r="J98" s="140">
        <f t="shared" si="33"/>
        <v>4.350934509456012E-3</v>
      </c>
      <c r="K98" s="140">
        <f t="shared" si="33"/>
        <v>1.7228166617287311E-2</v>
      </c>
      <c r="L98" s="140">
        <f t="shared" si="33"/>
        <v>2.7415437359551219E-3</v>
      </c>
      <c r="M98" s="140">
        <f t="shared" si="33"/>
        <v>4.531664489069576E-3</v>
      </c>
      <c r="N98" s="133">
        <f t="shared" si="14"/>
        <v>6.3595227656388503E-3</v>
      </c>
    </row>
    <row r="99" spans="1:14" x14ac:dyDescent="0.25">
      <c r="A99" s="134">
        <v>42170</v>
      </c>
      <c r="B99" s="133">
        <f t="shared" si="12"/>
        <v>2.5247794673322852E-4</v>
      </c>
      <c r="C99" s="140">
        <f t="shared" ref="C99:M99" si="34">D27</f>
        <v>1.4449964881365145E-2</v>
      </c>
      <c r="D99" s="140">
        <f t="shared" si="34"/>
        <v>4.547718234632037E-3</v>
      </c>
      <c r="E99" s="140">
        <f t="shared" si="34"/>
        <v>1.2363186263959175E-3</v>
      </c>
      <c r="F99" s="140">
        <f t="shared" si="34"/>
        <v>1.2798382995327439E-2</v>
      </c>
      <c r="G99" s="140">
        <f t="shared" si="34"/>
        <v>1.0389610148679944E-2</v>
      </c>
      <c r="H99" s="140">
        <f t="shared" si="34"/>
        <v>4.8205191098368919E-3</v>
      </c>
      <c r="I99" s="140">
        <f t="shared" si="34"/>
        <v>1.4978920594379374E-3</v>
      </c>
      <c r="J99" s="140">
        <f t="shared" si="34"/>
        <v>5.2931799089521074E-3</v>
      </c>
      <c r="K99" s="140">
        <f t="shared" si="34"/>
        <v>2.0530292579226589E-2</v>
      </c>
      <c r="L99" s="140">
        <f t="shared" si="34"/>
        <v>3.5708306040285677E-3</v>
      </c>
      <c r="M99" s="140">
        <f t="shared" si="34"/>
        <v>5.4271368627399966E-3</v>
      </c>
      <c r="N99" s="133">
        <f t="shared" si="14"/>
        <v>7.6874405464202348E-3</v>
      </c>
    </row>
    <row r="100" spans="1:14" x14ac:dyDescent="0.25">
      <c r="A100" s="134">
        <v>42171</v>
      </c>
      <c r="B100" s="133">
        <f t="shared" si="12"/>
        <v>3.1820228814368314E-4</v>
      </c>
      <c r="C100" s="140">
        <f t="shared" ref="C100:M100" si="35">D28</f>
        <v>1.674903753666766E-2</v>
      </c>
      <c r="D100" s="140">
        <f t="shared" si="35"/>
        <v>5.6090984854155097E-3</v>
      </c>
      <c r="E100" s="140">
        <f t="shared" si="35"/>
        <v>1.5152343313630965E-3</v>
      </c>
      <c r="F100" s="140">
        <f t="shared" si="35"/>
        <v>1.5452424589650317E-2</v>
      </c>
      <c r="G100" s="140">
        <f t="shared" si="35"/>
        <v>1.263223931108238E-2</v>
      </c>
      <c r="H100" s="140">
        <f t="shared" si="35"/>
        <v>6.3793777934349673E-3</v>
      </c>
      <c r="I100" s="140">
        <f t="shared" si="35"/>
        <v>1.9229262974009872E-3</v>
      </c>
      <c r="J100" s="140">
        <f t="shared" si="35"/>
        <v>6.4381600184477937E-3</v>
      </c>
      <c r="K100" s="140">
        <f t="shared" si="35"/>
        <v>2.4449591763765832E-2</v>
      </c>
      <c r="L100" s="140">
        <f t="shared" si="35"/>
        <v>4.6497980319720284E-3</v>
      </c>
      <c r="M100" s="140">
        <f t="shared" si="35"/>
        <v>6.4984025179808729E-3</v>
      </c>
      <c r="N100" s="133">
        <f t="shared" si="14"/>
        <v>9.2996627888346766E-3</v>
      </c>
    </row>
    <row r="101" spans="1:14" x14ac:dyDescent="0.25">
      <c r="A101" s="134">
        <v>42172</v>
      </c>
      <c r="B101" s="133">
        <f t="shared" si="12"/>
        <v>4.0102894027830405E-4</v>
      </c>
      <c r="C101" s="140">
        <f t="shared" ref="C101:M101" si="36">D29</f>
        <v>1.9406702924581232E-2</v>
      </c>
      <c r="D101" s="140">
        <f t="shared" si="36"/>
        <v>6.9164704149544112E-3</v>
      </c>
      <c r="E101" s="140">
        <f t="shared" si="36"/>
        <v>1.8569569292680875E-3</v>
      </c>
      <c r="F101" s="140">
        <f t="shared" si="36"/>
        <v>1.864644764878538E-2</v>
      </c>
      <c r="G101" s="140">
        <f t="shared" si="36"/>
        <v>1.5351437527105454E-2</v>
      </c>
      <c r="H101" s="140">
        <f t="shared" si="36"/>
        <v>8.4380656815857633E-3</v>
      </c>
      <c r="I101" s="140">
        <f t="shared" si="36"/>
        <v>2.4682679571534747E-3</v>
      </c>
      <c r="J101" s="140">
        <f t="shared" si="36"/>
        <v>7.8288641309012582E-3</v>
      </c>
      <c r="K101" s="140">
        <f t="shared" si="36"/>
        <v>2.9094872550333824E-2</v>
      </c>
      <c r="L101" s="140">
        <f t="shared" si="36"/>
        <v>6.0528074226192984E-3</v>
      </c>
      <c r="M101" s="140">
        <f t="shared" si="36"/>
        <v>7.7794719086979602E-3</v>
      </c>
      <c r="N101" s="133">
        <f t="shared" si="14"/>
        <v>1.1258215008726013E-2</v>
      </c>
    </row>
    <row r="102" spans="1:14" x14ac:dyDescent="0.25">
      <c r="A102" s="134">
        <v>42173</v>
      </c>
      <c r="B102" s="133">
        <f t="shared" si="12"/>
        <v>5.0540410496298165E-4</v>
      </c>
      <c r="C102" s="140">
        <f t="shared" ref="C102:M102" si="37">D30</f>
        <v>2.2476435321096288E-2</v>
      </c>
      <c r="D102" s="140">
        <f t="shared" si="37"/>
        <v>8.5259526435283294E-3</v>
      </c>
      <c r="E102" s="140">
        <f t="shared" si="37"/>
        <v>2.2755707379901648E-3</v>
      </c>
      <c r="F102" s="140">
        <f t="shared" si="37"/>
        <v>2.2485598579313124E-2</v>
      </c>
      <c r="G102" s="140">
        <f t="shared" si="37"/>
        <v>1.8644913491254085E-2</v>
      </c>
      <c r="H102" s="140">
        <f t="shared" si="37"/>
        <v>1.1153654773175007E-2</v>
      </c>
      <c r="I102" s="140">
        <f t="shared" si="37"/>
        <v>3.1677775753922201E-3</v>
      </c>
      <c r="J102" s="140">
        <f t="shared" si="37"/>
        <v>9.5170961139080332E-3</v>
      </c>
      <c r="K102" s="140">
        <f t="shared" si="37"/>
        <v>3.4591435045107526E-2</v>
      </c>
      <c r="L102" s="140">
        <f t="shared" si="37"/>
        <v>7.8758049291703502E-3</v>
      </c>
      <c r="M102" s="140">
        <f t="shared" si="37"/>
        <v>9.3107195009323306E-3</v>
      </c>
      <c r="N102" s="133">
        <f t="shared" si="14"/>
        <v>1.3638632610078858E-2</v>
      </c>
    </row>
    <row r="103" spans="1:14" x14ac:dyDescent="0.25">
      <c r="A103" s="134">
        <v>42174</v>
      </c>
      <c r="B103" s="133">
        <f t="shared" si="12"/>
        <v>6.3692751837946644E-4</v>
      </c>
      <c r="C103" s="140">
        <f t="shared" ref="C103:M103" si="38">D31</f>
        <v>2.6018850911388943E-2</v>
      </c>
      <c r="D103" s="140">
        <f t="shared" si="38"/>
        <v>1.0506003709638681E-2</v>
      </c>
      <c r="E103" s="140">
        <f t="shared" si="38"/>
        <v>2.7882890443545636E-3</v>
      </c>
      <c r="F103" s="140">
        <f t="shared" si="38"/>
        <v>2.7093376387433324E-2</v>
      </c>
      <c r="G103" s="140">
        <f t="shared" si="38"/>
        <v>2.2628728952144059E-2</v>
      </c>
      <c r="H103" s="140">
        <f t="shared" si="38"/>
        <v>1.4730208117273366E-2</v>
      </c>
      <c r="I103" s="140">
        <f t="shared" si="38"/>
        <v>4.0647211308547405E-3</v>
      </c>
      <c r="J103" s="140">
        <f t="shared" si="38"/>
        <v>1.1565138278020349E-2</v>
      </c>
      <c r="K103" s="140">
        <f t="shared" si="38"/>
        <v>4.1082461880864354E-2</v>
      </c>
      <c r="L103" s="140">
        <f t="shared" si="38"/>
        <v>1.0242198961466395E-2</v>
      </c>
      <c r="M103" s="140">
        <f t="shared" si="38"/>
        <v>1.1139981443457733E-2</v>
      </c>
      <c r="N103" s="133">
        <f t="shared" si="14"/>
        <v>1.653272352880877E-2</v>
      </c>
    </row>
    <row r="104" spans="1:14" x14ac:dyDescent="0.25">
      <c r="A104" s="134">
        <v>42175</v>
      </c>
      <c r="B104" s="133">
        <f t="shared" si="12"/>
        <v>8.0265033087679885E-4</v>
      </c>
      <c r="C104" s="140">
        <f t="shared" ref="C104:M104" si="39">D32</f>
        <v>3.0102378847461919E-2</v>
      </c>
      <c r="D104" s="140">
        <f t="shared" si="39"/>
        <v>1.2939896585467332E-2</v>
      </c>
      <c r="E104" s="140">
        <f t="shared" si="39"/>
        <v>3.4161345034189796E-3</v>
      </c>
      <c r="F104" s="140">
        <f t="shared" si="39"/>
        <v>3.2613882518552371E-2</v>
      </c>
      <c r="G104" s="140">
        <f t="shared" si="39"/>
        <v>2.7439956026617411E-2</v>
      </c>
      <c r="H104" s="140">
        <f t="shared" si="39"/>
        <v>1.9431090047243374E-2</v>
      </c>
      <c r="I104" s="140">
        <f t="shared" si="39"/>
        <v>5.2143022043441012E-3</v>
      </c>
      <c r="J104" s="140">
        <f t="shared" si="39"/>
        <v>1.404766044652417E-2</v>
      </c>
      <c r="K104" s="140">
        <f t="shared" si="39"/>
        <v>4.8730037991433259E-2</v>
      </c>
      <c r="L104" s="140">
        <f t="shared" si="39"/>
        <v>1.3310069869533399E-2</v>
      </c>
      <c r="M104" s="140">
        <f t="shared" si="39"/>
        <v>1.3323802037039761E-2</v>
      </c>
      <c r="N104" s="133">
        <f t="shared" si="14"/>
        <v>2.0051746461603279E-2</v>
      </c>
    </row>
    <row r="105" spans="1:14" x14ac:dyDescent="0.25">
      <c r="A105" s="134">
        <v>42176</v>
      </c>
      <c r="B105" s="133">
        <f t="shared" si="12"/>
        <v>1.0114490878061807E-3</v>
      </c>
      <c r="C105" s="140">
        <f t="shared" ref="C105:M105" si="40">D33</f>
        <v>3.480389467243887E-2</v>
      </c>
      <c r="D105" s="140">
        <f t="shared" si="40"/>
        <v>1.5928565059655404E-2</v>
      </c>
      <c r="E105" s="140">
        <f t="shared" si="40"/>
        <v>4.1847601009758822E-3</v>
      </c>
      <c r="F105" s="140">
        <f t="shared" si="40"/>
        <v>3.9213900655283261E-2</v>
      </c>
      <c r="G105" s="140">
        <f t="shared" si="40"/>
        <v>3.3239337178441269E-2</v>
      </c>
      <c r="H105" s="140">
        <f t="shared" si="40"/>
        <v>2.5593205192476959E-2</v>
      </c>
      <c r="I105" s="140">
        <f t="shared" si="40"/>
        <v>6.6868239306713288E-3</v>
      </c>
      <c r="J105" s="140">
        <f t="shared" si="40"/>
        <v>1.7053875875314754E-2</v>
      </c>
      <c r="K105" s="140">
        <f t="shared" si="40"/>
        <v>5.7715539934368836E-2</v>
      </c>
      <c r="L105" s="140">
        <f t="shared" si="40"/>
        <v>1.7280823514453189E-2</v>
      </c>
      <c r="M105" s="140">
        <f t="shared" si="40"/>
        <v>1.5928830769191979E-2</v>
      </c>
      <c r="N105" s="133">
        <f t="shared" si="14"/>
        <v>2.4329959716661072E-2</v>
      </c>
    </row>
    <row r="106" spans="1:14" x14ac:dyDescent="0.25">
      <c r="A106" s="134">
        <v>42177</v>
      </c>
      <c r="B106" s="133">
        <f t="shared" si="12"/>
        <v>1.2744947696271423E-3</v>
      </c>
      <c r="C106" s="140">
        <f t="shared" ref="C106:M106" si="41">D34</f>
        <v>4.020927081666377E-2</v>
      </c>
      <c r="D106" s="140">
        <f t="shared" si="41"/>
        <v>1.9593810057528405E-2</v>
      </c>
      <c r="E106" s="140">
        <f t="shared" si="41"/>
        <v>5.1254359783822296E-3</v>
      </c>
      <c r="F106" s="140">
        <f t="shared" si="41"/>
        <v>4.7084545759597696E-2</v>
      </c>
      <c r="G106" s="140">
        <f t="shared" si="41"/>
        <v>4.0213726080353264E-2</v>
      </c>
      <c r="H106" s="140">
        <f t="shared" si="41"/>
        <v>3.3642444995717141E-2</v>
      </c>
      <c r="I106" s="140">
        <f t="shared" si="41"/>
        <v>8.5716034717757232E-3</v>
      </c>
      <c r="J106" s="140">
        <f t="shared" si="41"/>
        <v>2.0689924681449409E-2</v>
      </c>
      <c r="K106" s="140">
        <f t="shared" si="41"/>
        <v>6.8239055053547118E-2</v>
      </c>
      <c r="L106" s="140">
        <f t="shared" si="41"/>
        <v>2.24092565924069E-2</v>
      </c>
      <c r="M106" s="140">
        <f t="shared" si="41"/>
        <v>1.9033361578084801E-2</v>
      </c>
      <c r="N106" s="133">
        <f t="shared" si="14"/>
        <v>2.9528403187773309E-2</v>
      </c>
    </row>
    <row r="107" spans="1:14" x14ac:dyDescent="0.25">
      <c r="A107" s="134">
        <v>42178</v>
      </c>
      <c r="B107" s="133">
        <f t="shared" si="12"/>
        <v>1.6058402859156643E-3</v>
      </c>
      <c r="C107" s="140">
        <f t="shared" ref="C107:M107" si="42">D35</f>
        <v>4.6413783640961097E-2</v>
      </c>
      <c r="D107" s="140">
        <f t="shared" si="42"/>
        <v>2.4081807688119922E-2</v>
      </c>
      <c r="E107" s="140">
        <f t="shared" si="42"/>
        <v>6.2762300207819238E-3</v>
      </c>
      <c r="F107" s="140">
        <f t="shared" si="42"/>
        <v>5.6442110719466705E-2</v>
      </c>
      <c r="G107" s="140">
        <f t="shared" si="42"/>
        <v>4.8577971912167145E-2</v>
      </c>
      <c r="H107" s="140">
        <f t="shared" si="42"/>
        <v>4.4108630611742444E-2</v>
      </c>
      <c r="I107" s="140">
        <f t="shared" si="42"/>
        <v>1.0981762444047746E-2</v>
      </c>
      <c r="J107" s="140">
        <f t="shared" si="42"/>
        <v>2.5081432246389319E-2</v>
      </c>
      <c r="K107" s="140">
        <f t="shared" si="42"/>
        <v>8.0517407052908399E-2</v>
      </c>
      <c r="L107" s="140">
        <f t="shared" si="42"/>
        <v>2.9014719722937614E-2</v>
      </c>
      <c r="M107" s="140">
        <f t="shared" si="42"/>
        <v>2.2728990453749348E-2</v>
      </c>
      <c r="N107" s="133">
        <f t="shared" si="14"/>
        <v>3.5838622410297429E-2</v>
      </c>
    </row>
    <row r="108" spans="1:14" x14ac:dyDescent="0.25">
      <c r="A108" s="134">
        <v>42179</v>
      </c>
      <c r="B108" s="133">
        <f t="shared" si="12"/>
        <v>2.0231551199461507E-3</v>
      </c>
      <c r="C108" s="140">
        <f t="shared" ref="C108:M108" si="43">D36</f>
        <v>5.3522298643357551E-2</v>
      </c>
      <c r="D108" s="140">
        <f t="shared" si="43"/>
        <v>2.9566787669067538E-2</v>
      </c>
      <c r="E108" s="140">
        <f t="shared" si="43"/>
        <v>7.6834118441578003E-3</v>
      </c>
      <c r="F108" s="140">
        <f t="shared" si="43"/>
        <v>6.7527607102486259E-2</v>
      </c>
      <c r="G108" s="140">
        <f t="shared" si="43"/>
        <v>5.8575762266613804E-2</v>
      </c>
      <c r="H108" s="140">
        <f t="shared" si="43"/>
        <v>5.7636652655196713E-2</v>
      </c>
      <c r="I108" s="140">
        <f t="shared" si="43"/>
        <v>1.405999799315154E-2</v>
      </c>
      <c r="J108" s="140">
        <f t="shared" si="43"/>
        <v>3.0376140200346863E-2</v>
      </c>
      <c r="K108" s="140">
        <f t="shared" si="43"/>
        <v>9.4780290896444228E-2</v>
      </c>
      <c r="L108" s="140">
        <f t="shared" si="43"/>
        <v>3.7492568163758913E-2</v>
      </c>
      <c r="M108" s="140">
        <f t="shared" si="43"/>
        <v>2.7122344601640591E-2</v>
      </c>
      <c r="N108" s="133">
        <f t="shared" si="14"/>
        <v>4.3485805639656532E-2</v>
      </c>
    </row>
    <row r="109" spans="1:14" x14ac:dyDescent="0.25">
      <c r="A109" s="134">
        <v>42180</v>
      </c>
      <c r="B109" s="133">
        <f t="shared" si="12"/>
        <v>2.5486420480856664E-3</v>
      </c>
      <c r="C109" s="140">
        <f t="shared" ref="C109:M109" si="44">D37</f>
        <v>6.1649135465821917E-2</v>
      </c>
      <c r="D109" s="140">
        <f t="shared" si="44"/>
        <v>3.6254641205059529E-2</v>
      </c>
      <c r="E109" s="140">
        <f t="shared" si="44"/>
        <v>9.4031098451942668E-3</v>
      </c>
      <c r="F109" s="140">
        <f t="shared" si="44"/>
        <v>8.060435401777398E-2</v>
      </c>
      <c r="G109" s="140">
        <f t="shared" si="44"/>
        <v>7.0478765060004542E-2</v>
      </c>
      <c r="H109" s="140">
        <f t="shared" si="44"/>
        <v>7.4988206077094277E-2</v>
      </c>
      <c r="I109" s="140">
        <f t="shared" si="44"/>
        <v>1.7985385418392414E-2</v>
      </c>
      <c r="J109" s="140">
        <f t="shared" si="44"/>
        <v>3.6746435970581054E-2</v>
      </c>
      <c r="K109" s="140">
        <f t="shared" si="44"/>
        <v>0.1112639788201478</v>
      </c>
      <c r="L109" s="140">
        <f t="shared" si="44"/>
        <v>4.8324286376203736E-2</v>
      </c>
      <c r="M109" s="140">
        <f t="shared" si="44"/>
        <v>3.2336804010024853E-2</v>
      </c>
      <c r="N109" s="133">
        <f t="shared" si="14"/>
        <v>5.2730463842390767E-2</v>
      </c>
    </row>
    <row r="110" spans="1:14" x14ac:dyDescent="0.25">
      <c r="A110" s="134">
        <v>42181</v>
      </c>
      <c r="B110" s="133">
        <f t="shared" si="12"/>
        <v>3.2101779941786516E-3</v>
      </c>
      <c r="C110" s="140">
        <f t="shared" ref="C110:M110" si="45">D38</f>
        <v>7.091749340959598E-2</v>
      </c>
      <c r="D110" s="140">
        <f t="shared" si="45"/>
        <v>4.4386061300486328E-2</v>
      </c>
      <c r="E110" s="140">
        <f t="shared" si="45"/>
        <v>1.1503248021332974E-2</v>
      </c>
      <c r="F110" s="140">
        <f t="shared" si="45"/>
        <v>9.5952838664410234E-2</v>
      </c>
      <c r="G110" s="140">
        <f t="shared" si="45"/>
        <v>8.458322376954866E-2</v>
      </c>
      <c r="H110" s="140">
        <f t="shared" si="45"/>
        <v>9.7025625185121492E-2</v>
      </c>
      <c r="I110" s="140">
        <f t="shared" si="45"/>
        <v>2.2981150506071208E-2</v>
      </c>
      <c r="J110" s="140">
        <f t="shared" si="45"/>
        <v>4.4391508453304682E-2</v>
      </c>
      <c r="K110" s="140">
        <f t="shared" si="45"/>
        <v>0.13020208350653326</v>
      </c>
      <c r="L110" s="140">
        <f t="shared" si="45"/>
        <v>6.208347468090588E-2</v>
      </c>
      <c r="M110" s="140">
        <f t="shared" si="45"/>
        <v>3.8514092097830847E-2</v>
      </c>
      <c r="N110" s="133">
        <f t="shared" si="14"/>
        <v>6.386734541774014E-2</v>
      </c>
    </row>
    <row r="111" spans="1:14" x14ac:dyDescent="0.25">
      <c r="A111" s="134">
        <v>42182</v>
      </c>
      <c r="B111" s="133">
        <f t="shared" si="12"/>
        <v>4.0427289594171054E-3</v>
      </c>
      <c r="C111" s="140">
        <f t="shared" ref="C111:M111" si="46">D39</f>
        <v>8.1458298411023491E-2</v>
      </c>
      <c r="D111" s="140">
        <f t="shared" si="46"/>
        <v>5.4238607982524778E-2</v>
      </c>
      <c r="E111" s="140">
        <f t="shared" si="46"/>
        <v>1.4065781434915823E-2</v>
      </c>
      <c r="F111" s="140">
        <f t="shared" si="46"/>
        <v>0.11386199412717302</v>
      </c>
      <c r="G111" s="140">
        <f t="shared" si="46"/>
        <v>0.1012029979928537</v>
      </c>
      <c r="H111" s="140">
        <f t="shared" si="46"/>
        <v>0.12466653434235597</v>
      </c>
      <c r="I111" s="140">
        <f t="shared" si="46"/>
        <v>2.9323143517230983E-2</v>
      </c>
      <c r="J111" s="140">
        <f t="shared" si="46"/>
        <v>5.3538728659080159E-2</v>
      </c>
      <c r="K111" s="140">
        <f t="shared" si="46"/>
        <v>0.15181299631758194</v>
      </c>
      <c r="L111" s="140">
        <f t="shared" si="46"/>
        <v>7.9433274394375253E-2</v>
      </c>
      <c r="M111" s="140">
        <f t="shared" si="46"/>
        <v>4.5815554201554094E-2</v>
      </c>
      <c r="N111" s="133">
        <f t="shared" si="14"/>
        <v>7.721981012551539E-2</v>
      </c>
    </row>
    <row r="112" spans="1:14" x14ac:dyDescent="0.25">
      <c r="A112" s="134">
        <v>42183</v>
      </c>
      <c r="B112" s="133">
        <f t="shared" si="12"/>
        <v>5.0900971693337094E-3</v>
      </c>
      <c r="C112" s="140">
        <f t="shared" ref="C112:M112" si="47">D40</f>
        <v>9.3408317211831279E-2</v>
      </c>
      <c r="D112" s="140">
        <f t="shared" si="47"/>
        <v>6.6126825611814793E-2</v>
      </c>
      <c r="E112" s="140">
        <f t="shared" si="47"/>
        <v>1.7189233774663696E-2</v>
      </c>
      <c r="F112" s="140">
        <f t="shared" si="47"/>
        <v>0.13461607593232877</v>
      </c>
      <c r="G112" s="140">
        <f t="shared" si="47"/>
        <v>0.12065796431808783</v>
      </c>
      <c r="H112" s="140">
        <f t="shared" si="47"/>
        <v>0.15879706245150543</v>
      </c>
      <c r="I112" s="140">
        <f t="shared" si="47"/>
        <v>3.7348401080151791E-2</v>
      </c>
      <c r="J112" s="140">
        <f t="shared" si="47"/>
        <v>6.4443695952991653E-2</v>
      </c>
      <c r="K112" s="140">
        <f t="shared" si="47"/>
        <v>0.17628390341988612</v>
      </c>
      <c r="L112" s="140">
        <f t="shared" si="47"/>
        <v>0.10110895273016507</v>
      </c>
      <c r="M112" s="140">
        <f t="shared" si="47"/>
        <v>5.4422870092997587E-2</v>
      </c>
      <c r="N112" s="133">
        <f t="shared" si="14"/>
        <v>9.3127572961493099E-2</v>
      </c>
    </row>
    <row r="113" spans="1:14" x14ac:dyDescent="0.25">
      <c r="A113" s="134">
        <v>42184</v>
      </c>
      <c r="B113" s="133">
        <f t="shared" si="12"/>
        <v>6.4070662414739627E-3</v>
      </c>
      <c r="C113" s="140">
        <f t="shared" ref="C113:M113" si="48">D41</f>
        <v>0.10690737864264127</v>
      </c>
      <c r="D113" s="140">
        <f t="shared" si="48"/>
        <v>8.0399235515699191E-2</v>
      </c>
      <c r="E113" s="140">
        <f t="shared" si="48"/>
        <v>2.0991513711110195E-2</v>
      </c>
      <c r="F113" s="140">
        <f t="shared" si="48"/>
        <v>0.15847654981878281</v>
      </c>
      <c r="G113" s="140">
        <f t="shared" si="48"/>
        <v>0.14325679323024673</v>
      </c>
      <c r="H113" s="140">
        <f t="shared" si="48"/>
        <v>0.20013524384424056</v>
      </c>
      <c r="I113" s="140">
        <f t="shared" si="48"/>
        <v>4.7462643251595896E-2</v>
      </c>
      <c r="J113" s="140">
        <f t="shared" si="48"/>
        <v>7.7388212137128543E-2</v>
      </c>
      <c r="K113" s="140">
        <f t="shared" si="48"/>
        <v>0.2037517561047178</v>
      </c>
      <c r="L113" s="140">
        <f t="shared" si="48"/>
        <v>0.12787782757069291</v>
      </c>
      <c r="M113" s="140">
        <f t="shared" si="48"/>
        <v>6.4537860947374764E-2</v>
      </c>
      <c r="N113" s="133">
        <f t="shared" si="14"/>
        <v>0.11192591043402098</v>
      </c>
    </row>
    <row r="114" spans="1:14" x14ac:dyDescent="0.25">
      <c r="A114" s="134">
        <v>42185</v>
      </c>
      <c r="B114" s="133">
        <f t="shared" si="12"/>
        <v>8.0620157334055764E-3</v>
      </c>
      <c r="C114" s="140">
        <f t="shared" ref="C114:M114" si="49">D42</f>
        <v>0.12209455196183429</v>
      </c>
      <c r="D114" s="140">
        <f t="shared" si="49"/>
        <v>9.7430730590327086E-2</v>
      </c>
      <c r="E114" s="140">
        <f t="shared" si="49"/>
        <v>2.5612943683085747E-2</v>
      </c>
      <c r="F114" s="140">
        <f t="shared" si="49"/>
        <v>0.18565891661671166</v>
      </c>
      <c r="G114" s="140">
        <f t="shared" si="49"/>
        <v>0.16927351386641812</v>
      </c>
      <c r="H114" s="140">
        <f t="shared" si="49"/>
        <v>0.24904863007932609</v>
      </c>
      <c r="I114" s="140">
        <f t="shared" si="49"/>
        <v>6.0144773203586376E-2</v>
      </c>
      <c r="J114" s="140">
        <f t="shared" si="49"/>
        <v>9.2675271243984961E-2</v>
      </c>
      <c r="K114" s="140">
        <f t="shared" si="49"/>
        <v>0.23428223706447021</v>
      </c>
      <c r="L114" s="140">
        <f t="shared" si="49"/>
        <v>0.16046865181814796</v>
      </c>
      <c r="M114" s="140">
        <f t="shared" si="49"/>
        <v>7.6380957860502405E-2</v>
      </c>
      <c r="N114" s="133">
        <f t="shared" si="14"/>
        <v>0.1339155616353086</v>
      </c>
    </row>
    <row r="115" spans="1:14" x14ac:dyDescent="0.25">
      <c r="A115" s="134">
        <v>42186</v>
      </c>
      <c r="B115" s="133">
        <f t="shared" si="12"/>
        <v>1.014007720872801E-2</v>
      </c>
      <c r="C115" s="140">
        <f t="shared" ref="C115:M115" si="50">D43</f>
        <v>0.13910316578012397</v>
      </c>
      <c r="D115" s="140">
        <f t="shared" si="50"/>
        <v>0.11760870130683239</v>
      </c>
      <c r="E115" s="140">
        <f t="shared" si="50"/>
        <v>3.1219369180249767E-2</v>
      </c>
      <c r="F115" s="140">
        <f t="shared" si="50"/>
        <v>0.21630525971395512</v>
      </c>
      <c r="G115" s="140">
        <f t="shared" si="50"/>
        <v>0.19891808737150862</v>
      </c>
      <c r="H115" s="140">
        <f t="shared" si="50"/>
        <v>0.305352827303353</v>
      </c>
      <c r="I115" s="140">
        <f t="shared" si="50"/>
        <v>7.5945418837501361E-2</v>
      </c>
      <c r="J115" s="140">
        <f t="shared" si="50"/>
        <v>0.11062002877277062</v>
      </c>
      <c r="K115" s="140">
        <f t="shared" si="50"/>
        <v>0.26784856577910376</v>
      </c>
      <c r="L115" s="140">
        <f t="shared" si="50"/>
        <v>0.19946583619099989</v>
      </c>
      <c r="M115" s="140">
        <f t="shared" si="50"/>
        <v>9.0187810496828433E-2</v>
      </c>
      <c r="N115" s="133">
        <f t="shared" si="14"/>
        <v>0.15932500643029335</v>
      </c>
    </row>
    <row r="116" spans="1:14" x14ac:dyDescent="0.25">
      <c r="A116" s="134">
        <v>42187</v>
      </c>
      <c r="B116" s="133">
        <f t="shared" si="12"/>
        <v>1.2746895614020702E-2</v>
      </c>
      <c r="C116" s="140">
        <f t="shared" ref="C116:M116" si="51">D44</f>
        <v>0.15805461640374502</v>
      </c>
      <c r="D116" s="140">
        <f t="shared" si="51"/>
        <v>0.14131127609750577</v>
      </c>
      <c r="E116" s="140">
        <f t="shared" si="51"/>
        <v>3.8005121391425825E-2</v>
      </c>
      <c r="F116" s="140">
        <f t="shared" si="51"/>
        <v>0.25045449624933086</v>
      </c>
      <c r="G116" s="140">
        <f t="shared" si="51"/>
        <v>0.23230249502167508</v>
      </c>
      <c r="H116" s="140">
        <f t="shared" si="51"/>
        <v>0.36814581574831806</v>
      </c>
      <c r="I116" s="140">
        <f t="shared" si="51"/>
        <v>9.5475376096323186E-2</v>
      </c>
      <c r="J116" s="140">
        <f t="shared" si="51"/>
        <v>0.13153571480737836</v>
      </c>
      <c r="K116" s="140">
        <f t="shared" si="51"/>
        <v>0.30431278437686776</v>
      </c>
      <c r="L116" s="140">
        <f t="shared" si="51"/>
        <v>0.24517248913047268</v>
      </c>
      <c r="M116" s="140">
        <f t="shared" si="51"/>
        <v>0.10620345257063696</v>
      </c>
      <c r="N116" s="133">
        <f t="shared" si="14"/>
        <v>0.18827033071760724</v>
      </c>
    </row>
    <row r="117" spans="1:14" x14ac:dyDescent="0.25">
      <c r="A117" s="134">
        <v>42188</v>
      </c>
      <c r="B117" s="133">
        <f t="shared" si="12"/>
        <v>1.6013035514637217E-2</v>
      </c>
      <c r="C117" s="140">
        <f t="shared" ref="C117:M117" si="52">D45</f>
        <v>0.17905101833573814</v>
      </c>
      <c r="D117" s="140">
        <f t="shared" si="52"/>
        <v>0.16887657171738996</v>
      </c>
      <c r="E117" s="140">
        <f t="shared" si="52"/>
        <v>4.6195474320518168E-2</v>
      </c>
      <c r="F117" s="140">
        <f t="shared" si="52"/>
        <v>0.28801370069768495</v>
      </c>
      <c r="G117" s="140">
        <f t="shared" si="52"/>
        <v>0.26940553732402189</v>
      </c>
      <c r="H117" s="140">
        <f t="shared" si="52"/>
        <v>0.43575141803734668</v>
      </c>
      <c r="I117" s="140">
        <f t="shared" si="52"/>
        <v>0.1193787848889972</v>
      </c>
      <c r="J117" s="140">
        <f t="shared" si="52"/>
        <v>0.15571368418841838</v>
      </c>
      <c r="K117" s="140">
        <f t="shared" si="52"/>
        <v>0.34341273562500851</v>
      </c>
      <c r="L117" s="140">
        <f t="shared" si="52"/>
        <v>0.29746089667686176</v>
      </c>
      <c r="M117" s="140">
        <f t="shared" si="52"/>
        <v>0.12467343917118223</v>
      </c>
      <c r="N117" s="133">
        <f t="shared" si="14"/>
        <v>0.2207212055439243</v>
      </c>
    </row>
    <row r="118" spans="1:14" x14ac:dyDescent="0.25">
      <c r="A118" s="134">
        <v>42189</v>
      </c>
      <c r="B118" s="133">
        <f t="shared" si="12"/>
        <v>2.0099021446439016E-2</v>
      </c>
      <c r="C118" s="140">
        <f t="shared" ref="C118:M118" si="53">D46</f>
        <v>0.20216689519824338</v>
      </c>
      <c r="D118" s="140">
        <f t="shared" si="53"/>
        <v>0.2005630471679109</v>
      </c>
      <c r="E118" s="140">
        <f t="shared" si="53"/>
        <v>5.6048064653054508E-2</v>
      </c>
      <c r="F118" s="140">
        <f t="shared" si="53"/>
        <v>0.32873512727698778</v>
      </c>
      <c r="G118" s="140">
        <f t="shared" si="53"/>
        <v>0.31004134142241851</v>
      </c>
      <c r="H118" s="140">
        <f t="shared" si="53"/>
        <v>0.50583314045327965</v>
      </c>
      <c r="I118" s="140">
        <f t="shared" si="53"/>
        <v>0.14828561393161441</v>
      </c>
      <c r="J118" s="140">
        <f t="shared" si="53"/>
        <v>0.18339737163916756</v>
      </c>
      <c r="K118" s="140">
        <f t="shared" si="53"/>
        <v>0.38475801451275982</v>
      </c>
      <c r="L118" s="140">
        <f t="shared" si="53"/>
        <v>0.35564671011639831</v>
      </c>
      <c r="M118" s="140">
        <f t="shared" si="53"/>
        <v>0.14583147470835986</v>
      </c>
      <c r="N118" s="133">
        <f t="shared" si="14"/>
        <v>0.25648243646183588</v>
      </c>
    </row>
    <row r="119" spans="1:14" x14ac:dyDescent="0.25">
      <c r="A119" s="134">
        <v>42190</v>
      </c>
      <c r="B119" s="133">
        <f t="shared" si="12"/>
        <v>2.5200910816831863E-2</v>
      </c>
      <c r="C119" s="140">
        <f t="shared" ref="C119:M119" si="54">D47</f>
        <v>0.22744029222117593</v>
      </c>
      <c r="D119" s="140">
        <f t="shared" si="54"/>
        <v>0.23650308399925971</v>
      </c>
      <c r="E119" s="140">
        <f t="shared" si="54"/>
        <v>6.785253101900221E-2</v>
      </c>
      <c r="F119" s="140">
        <f t="shared" si="54"/>
        <v>0.37220420551064748</v>
      </c>
      <c r="G119" s="140">
        <f t="shared" si="54"/>
        <v>0.35383793526166868</v>
      </c>
      <c r="H119" s="140">
        <f t="shared" si="54"/>
        <v>0.57568638565895403</v>
      </c>
      <c r="I119" s="140">
        <f t="shared" si="54"/>
        <v>0.18273954814304952</v>
      </c>
      <c r="J119" s="140">
        <f t="shared" si="54"/>
        <v>0.21475093590520525</v>
      </c>
      <c r="K119" s="140">
        <f t="shared" si="54"/>
        <v>0.42783751117814939</v>
      </c>
      <c r="L119" s="140">
        <f t="shared" si="54"/>
        <v>0.41843520615117785</v>
      </c>
      <c r="M119" s="140">
        <f t="shared" si="54"/>
        <v>0.16988331162664985</v>
      </c>
      <c r="N119" s="133">
        <f t="shared" si="14"/>
        <v>0.2951973587886309</v>
      </c>
    </row>
    <row r="120" spans="1:14" x14ac:dyDescent="0.25">
      <c r="A120" s="134">
        <v>42191</v>
      </c>
      <c r="B120" s="133">
        <f t="shared" si="12"/>
        <v>3.1556146971030666E-2</v>
      </c>
      <c r="C120" s="140">
        <f t="shared" ref="C120:M120" si="55">D48</f>
        <v>0.25486389661814302</v>
      </c>
      <c r="D120" s="140">
        <f t="shared" si="55"/>
        <v>0.27665467849284059</v>
      </c>
      <c r="E120" s="140">
        <f t="shared" si="55"/>
        <v>8.1927394602301376E-2</v>
      </c>
      <c r="F120" s="140">
        <f t="shared" si="55"/>
        <v>0.41784330704514244</v>
      </c>
      <c r="G120" s="140">
        <f t="shared" si="55"/>
        <v>0.40023244913820061</v>
      </c>
      <c r="H120" s="140">
        <f t="shared" si="55"/>
        <v>0.64264132609442637</v>
      </c>
      <c r="I120" s="140">
        <f t="shared" si="55"/>
        <v>0.22310185221288506</v>
      </c>
      <c r="J120" s="140">
        <f t="shared" si="55"/>
        <v>0.24982484141927366</v>
      </c>
      <c r="K120" s="140">
        <f t="shared" si="55"/>
        <v>0.47203969195019341</v>
      </c>
      <c r="L120" s="140">
        <f t="shared" si="55"/>
        <v>0.4839826418282222</v>
      </c>
      <c r="M120" s="140">
        <f t="shared" si="55"/>
        <v>0.19698716524640092</v>
      </c>
      <c r="N120" s="133">
        <f t="shared" si="14"/>
        <v>0.33637265860436633</v>
      </c>
    </row>
    <row r="121" spans="1:14" x14ac:dyDescent="0.25">
      <c r="A121" s="134">
        <v>42192</v>
      </c>
      <c r="B121" s="133">
        <f t="shared" si="12"/>
        <v>3.9449205341788779E-2</v>
      </c>
      <c r="C121" s="140">
        <f t="shared" ref="C121:M121" si="56">D49</f>
        <v>0.28437695132311863</v>
      </c>
      <c r="D121" s="140">
        <f t="shared" si="56"/>
        <v>0.32075910277177222</v>
      </c>
      <c r="E121" s="140">
        <f t="shared" si="56"/>
        <v>9.8612984121872763E-2</v>
      </c>
      <c r="F121" s="140">
        <f t="shared" si="56"/>
        <v>0.46493416339222882</v>
      </c>
      <c r="G121" s="140">
        <f t="shared" si="56"/>
        <v>0.44848792399421938</v>
      </c>
      <c r="H121" s="140">
        <f t="shared" si="56"/>
        <v>0.70445500599729416</v>
      </c>
      <c r="I121" s="140">
        <f t="shared" si="56"/>
        <v>0.26943997114703433</v>
      </c>
      <c r="J121" s="140">
        <f t="shared" si="56"/>
        <v>0.28852237204419506</v>
      </c>
      <c r="K121" s="140">
        <f t="shared" si="56"/>
        <v>0.51668467362856962</v>
      </c>
      <c r="L121" s="140">
        <f t="shared" si="56"/>
        <v>0.55008586029864304</v>
      </c>
      <c r="M121" s="140">
        <f t="shared" si="56"/>
        <v>0.22723157660467003</v>
      </c>
      <c r="N121" s="133">
        <f t="shared" si="14"/>
        <v>0.3794173259385108</v>
      </c>
    </row>
    <row r="122" spans="1:14" x14ac:dyDescent="0.25">
      <c r="A122" s="134">
        <v>42193</v>
      </c>
      <c r="B122" s="133">
        <f t="shared" si="12"/>
        <v>4.9216202030919046E-2</v>
      </c>
      <c r="C122" s="140">
        <f t="shared" ref="C122:M122" si="57">D50</f>
        <v>0.31585889953633389</v>
      </c>
      <c r="D122" s="140">
        <f t="shared" si="57"/>
        <v>0.36831454030241551</v>
      </c>
      <c r="E122" s="140">
        <f t="shared" si="57"/>
        <v>0.11825907785428158</v>
      </c>
      <c r="F122" s="140">
        <f t="shared" si="57"/>
        <v>0.51265858710560919</v>
      </c>
      <c r="G122" s="140">
        <f t="shared" si="57"/>
        <v>0.49773319182267894</v>
      </c>
      <c r="H122" s="140">
        <f t="shared" si="57"/>
        <v>0.75957665857936152</v>
      </c>
      <c r="I122" s="140">
        <f t="shared" si="57"/>
        <v>0.32142065365089911</v>
      </c>
      <c r="J122" s="140">
        <f t="shared" si="57"/>
        <v>0.33057269179091786</v>
      </c>
      <c r="K122" s="140">
        <f t="shared" si="57"/>
        <v>0.56106489451381525</v>
      </c>
      <c r="L122" s="140">
        <f t="shared" si="57"/>
        <v>0.61446656253299436</v>
      </c>
      <c r="M122" s="140">
        <f t="shared" si="57"/>
        <v>0.26061252043374916</v>
      </c>
      <c r="N122" s="133">
        <f t="shared" si="14"/>
        <v>0.42368529801118698</v>
      </c>
    </row>
    <row r="123" spans="1:14" x14ac:dyDescent="0.25">
      <c r="A123" s="134">
        <v>42194</v>
      </c>
      <c r="B123" s="133">
        <f t="shared" si="12"/>
        <v>6.124716436704674E-2</v>
      </c>
      <c r="C123" s="140">
        <f t="shared" ref="C123:M123" si="58">D51</f>
        <v>0.34912575338390617</v>
      </c>
      <c r="D123" s="140">
        <f t="shared" si="58"/>
        <v>0.41857568394908989</v>
      </c>
      <c r="E123" s="140">
        <f t="shared" si="58"/>
        <v>0.14120600828712895</v>
      </c>
      <c r="F123" s="140">
        <f t="shared" si="58"/>
        <v>0.56015332200960266</v>
      </c>
      <c r="G123" s="140">
        <f t="shared" si="58"/>
        <v>0.54702247769245926</v>
      </c>
      <c r="H123" s="140">
        <f t="shared" si="58"/>
        <v>0.80723088335731508</v>
      </c>
      <c r="I123" s="140">
        <f t="shared" si="58"/>
        <v>0.37823755968357375</v>
      </c>
      <c r="J123" s="140">
        <f t="shared" si="58"/>
        <v>0.37551693030931088</v>
      </c>
      <c r="K123" s="140">
        <f t="shared" si="58"/>
        <v>0.60448939149149439</v>
      </c>
      <c r="L123" s="140">
        <f t="shared" si="58"/>
        <v>0.67507634930060689</v>
      </c>
      <c r="M123" s="140">
        <f t="shared" si="58"/>
        <v>0.29701246632256512</v>
      </c>
      <c r="N123" s="133">
        <f t="shared" si="14"/>
        <v>0.46851334779882292</v>
      </c>
    </row>
    <row r="124" spans="1:14" x14ac:dyDescent="0.25">
      <c r="A124" s="134">
        <v>42195</v>
      </c>
      <c r="B124" s="133">
        <f t="shared" si="12"/>
        <v>7.5984075050165911E-2</v>
      </c>
      <c r="C124" s="140">
        <f t="shared" ref="C124:M124" si="59">D52</f>
        <v>0.38393009359175845</v>
      </c>
      <c r="D124" s="140">
        <f t="shared" si="59"/>
        <v>0.47058602571885588</v>
      </c>
      <c r="E124" s="140">
        <f t="shared" si="59"/>
        <v>0.16775840377838086</v>
      </c>
      <c r="F124" s="140">
        <f t="shared" si="59"/>
        <v>0.60657155343516</v>
      </c>
      <c r="G124" s="140">
        <f t="shared" si="59"/>
        <v>0.59540663680406558</v>
      </c>
      <c r="H124" s="140">
        <f t="shared" si="59"/>
        <v>0.84733797197047156</v>
      </c>
      <c r="I124" s="140">
        <f t="shared" si="59"/>
        <v>0.43860622355042667</v>
      </c>
      <c r="J124" s="140">
        <f t="shared" si="59"/>
        <v>0.42271318582697831</v>
      </c>
      <c r="K124" s="140">
        <f t="shared" si="59"/>
        <v>0.64632590612907959</v>
      </c>
      <c r="L124" s="140">
        <f t="shared" si="59"/>
        <v>0.73033926388266468</v>
      </c>
      <c r="M124" s="140">
        <f t="shared" si="59"/>
        <v>0.33618482244321546</v>
      </c>
      <c r="N124" s="133">
        <f t="shared" si="14"/>
        <v>0.51325091701191428</v>
      </c>
    </row>
    <row r="125" spans="1:14" x14ac:dyDescent="0.25">
      <c r="A125" s="134">
        <v>42196</v>
      </c>
      <c r="B125" s="133">
        <f t="shared" si="12"/>
        <v>9.3912159622428382E-2</v>
      </c>
      <c r="C125" s="140">
        <f t="shared" ref="C125:M125" si="60">D53</f>
        <v>0.41996535004210772</v>
      </c>
      <c r="D125" s="140">
        <f t="shared" si="60"/>
        <v>0.52324305630344725</v>
      </c>
      <c r="E125" s="140">
        <f t="shared" si="60"/>
        <v>0.19815168709175227</v>
      </c>
      <c r="F125" s="140">
        <f t="shared" si="60"/>
        <v>0.65114196868570062</v>
      </c>
      <c r="G125" s="140">
        <f t="shared" si="60"/>
        <v>0.64200492795904929</v>
      </c>
      <c r="H125" s="140">
        <f t="shared" si="60"/>
        <v>0.88033746149866898</v>
      </c>
      <c r="I125" s="140">
        <f t="shared" si="60"/>
        <v>0.50084862987958612</v>
      </c>
      <c r="J125" s="140">
        <f t="shared" si="60"/>
        <v>0.47136387704819582</v>
      </c>
      <c r="K125" s="140">
        <f t="shared" si="60"/>
        <v>0.68603551843085919</v>
      </c>
      <c r="L125" s="140">
        <f t="shared" si="60"/>
        <v>0.77927621990047291</v>
      </c>
      <c r="M125" s="140">
        <f t="shared" si="60"/>
        <v>0.37774741683009083</v>
      </c>
      <c r="N125" s="133">
        <f t="shared" si="14"/>
        <v>0.5572832830609028</v>
      </c>
    </row>
    <row r="126" spans="1:14" x14ac:dyDescent="0.25">
      <c r="A126" s="134">
        <v>42197</v>
      </c>
      <c r="B126" s="133">
        <f t="shared" si="12"/>
        <v>0.11554135520165627</v>
      </c>
      <c r="C126" s="140">
        <f t="shared" ref="C126:M126" si="61">D54</f>
        <v>0.45687459026730809</v>
      </c>
      <c r="D126" s="140">
        <f t="shared" si="61"/>
        <v>0.57538841127072926</v>
      </c>
      <c r="E126" s="140">
        <f t="shared" si="61"/>
        <v>0.23251301259774254</v>
      </c>
      <c r="F126" s="140">
        <f t="shared" si="61"/>
        <v>0.69321686759508971</v>
      </c>
      <c r="G126" s="140">
        <f t="shared" si="61"/>
        <v>0.68606608243321232</v>
      </c>
      <c r="H126" s="140">
        <f t="shared" si="61"/>
        <v>0.90698678458713511</v>
      </c>
      <c r="I126" s="140">
        <f t="shared" si="61"/>
        <v>0.56306474570995069</v>
      </c>
      <c r="J126" s="140">
        <f t="shared" si="61"/>
        <v>0.52056473301063311</v>
      </c>
      <c r="K126" s="140">
        <f t="shared" si="61"/>
        <v>0.72319608999712737</v>
      </c>
      <c r="L126" s="140">
        <f t="shared" si="61"/>
        <v>0.82150280779247842</v>
      </c>
      <c r="M126" s="140">
        <f t="shared" si="61"/>
        <v>0.42118811358400887</v>
      </c>
      <c r="N126" s="133">
        <f t="shared" si="14"/>
        <v>0.60005111262231059</v>
      </c>
    </row>
    <row r="127" spans="1:14" x14ac:dyDescent="0.25">
      <c r="A127" s="134">
        <v>42198</v>
      </c>
      <c r="B127" s="133">
        <f t="shared" si="12"/>
        <v>0.14137478699597048</v>
      </c>
      <c r="C127" s="140">
        <f t="shared" ref="C127:M127" si="62">D55</f>
        <v>0.49426350212468062</v>
      </c>
      <c r="D127" s="140">
        <f t="shared" si="62"/>
        <v>0.62590800374534272</v>
      </c>
      <c r="E127" s="140">
        <f t="shared" si="62"/>
        <v>0.27082042958185759</v>
      </c>
      <c r="F127" s="140">
        <f t="shared" si="62"/>
        <v>0.73230345881884595</v>
      </c>
      <c r="G127" s="140">
        <f t="shared" si="62"/>
        <v>0.7270102102463335</v>
      </c>
      <c r="H127" s="140">
        <f t="shared" si="62"/>
        <v>0.92818534536183761</v>
      </c>
      <c r="I127" s="140">
        <f t="shared" si="62"/>
        <v>0.62335772182421145</v>
      </c>
      <c r="J127" s="140">
        <f t="shared" si="62"/>
        <v>0.56936987029593977</v>
      </c>
      <c r="K127" s="140">
        <f t="shared" si="62"/>
        <v>0.75751299430891816</v>
      </c>
      <c r="L127" s="140">
        <f t="shared" si="62"/>
        <v>0.85713208000135932</v>
      </c>
      <c r="M127" s="140">
        <f t="shared" si="62"/>
        <v>0.46588418781569113</v>
      </c>
      <c r="N127" s="133">
        <f t="shared" si="14"/>
        <v>0.64106798219318339</v>
      </c>
    </row>
    <row r="128" spans="1:14" x14ac:dyDescent="0.25">
      <c r="A128" s="134">
        <v>42199</v>
      </c>
      <c r="B128" s="133">
        <f t="shared" si="12"/>
        <v>0.17186186191291047</v>
      </c>
      <c r="C128" s="140">
        <f t="shared" ref="C128:M128" si="63">D56</f>
        <v>0.53171668653766868</v>
      </c>
      <c r="D128" s="140">
        <f t="shared" si="63"/>
        <v>0.6738242209455565</v>
      </c>
      <c r="E128" s="140">
        <f t="shared" si="63"/>
        <v>0.31286633989770485</v>
      </c>
      <c r="F128" s="140">
        <f t="shared" si="63"/>
        <v>0.76807620704019175</v>
      </c>
      <c r="G128" s="140">
        <f t="shared" si="63"/>
        <v>0.76444773045159664</v>
      </c>
      <c r="H128" s="140">
        <f t="shared" si="63"/>
        <v>0.94484635359283697</v>
      </c>
      <c r="I128" s="140">
        <f t="shared" si="63"/>
        <v>0.68005830237546694</v>
      </c>
      <c r="J128" s="140">
        <f t="shared" si="63"/>
        <v>0.61686340572559062</v>
      </c>
      <c r="K128" s="140">
        <f t="shared" si="63"/>
        <v>0.78881779673794705</v>
      </c>
      <c r="L128" s="140">
        <f t="shared" si="63"/>
        <v>0.88663095293159155</v>
      </c>
      <c r="M128" s="140">
        <f t="shared" si="63"/>
        <v>0.51113484507702922</v>
      </c>
      <c r="N128" s="133">
        <f t="shared" si="14"/>
        <v>0.67993480375574367</v>
      </c>
    </row>
    <row r="129" spans="1:14" x14ac:dyDescent="0.25">
      <c r="A129" s="134">
        <v>42200</v>
      </c>
      <c r="B129" s="133">
        <f t="shared" si="12"/>
        <v>0.20733582827918828</v>
      </c>
      <c r="C129" s="140">
        <f t="shared" ref="C129:M129" si="64">D57</f>
        <v>0.56881588816227002</v>
      </c>
      <c r="D129" s="140">
        <f t="shared" si="64"/>
        <v>0.71836462327754991</v>
      </c>
      <c r="E129" s="140">
        <f t="shared" si="64"/>
        <v>0.35823305161693619</v>
      </c>
      <c r="F129" s="140">
        <f t="shared" si="64"/>
        <v>0.80037172674720769</v>
      </c>
      <c r="G129" s="140">
        <f t="shared" si="64"/>
        <v>0.79817638699971571</v>
      </c>
      <c r="H129" s="140">
        <f t="shared" si="64"/>
        <v>0.95781767101181692</v>
      </c>
      <c r="I129" s="140">
        <f t="shared" si="64"/>
        <v>0.73189430501046937</v>
      </c>
      <c r="J129" s="140">
        <f t="shared" si="64"/>
        <v>0.66222634293750759</v>
      </c>
      <c r="K129" s="140">
        <f t="shared" si="64"/>
        <v>0.81705720396776016</v>
      </c>
      <c r="L129" s="140">
        <f t="shared" si="64"/>
        <v>0.91067375773721004</v>
      </c>
      <c r="M129" s="140">
        <f t="shared" si="64"/>
        <v>0.55620374520928839</v>
      </c>
      <c r="N129" s="133">
        <f t="shared" si="14"/>
        <v>0.7163486093343393</v>
      </c>
    </row>
    <row r="130" spans="1:14" x14ac:dyDescent="0.25">
      <c r="A130" s="134">
        <v>42201</v>
      </c>
      <c r="B130" s="133">
        <f t="shared" si="12"/>
        <v>0.24793975157048823</v>
      </c>
      <c r="C130" s="140">
        <f t="shared" ref="C130:M130" si="65">D58</f>
        <v>0.60515849236891317</v>
      </c>
      <c r="D130" s="140">
        <f t="shared" si="65"/>
        <v>0.75899823861070759</v>
      </c>
      <c r="E130" s="140">
        <f t="shared" si="65"/>
        <v>0.40628845838076044</v>
      </c>
      <c r="F130" s="140">
        <f t="shared" si="65"/>
        <v>0.82917030340634412</v>
      </c>
      <c r="G130" s="140">
        <f t="shared" si="65"/>
        <v>0.82816108437109193</v>
      </c>
      <c r="H130" s="140">
        <f t="shared" si="65"/>
        <v>0.96784215671441909</v>
      </c>
      <c r="I130" s="140">
        <f t="shared" si="65"/>
        <v>0.77807266305660738</v>
      </c>
      <c r="J130" s="140">
        <f t="shared" si="65"/>
        <v>0.70478871224274076</v>
      </c>
      <c r="K130" s="140">
        <f t="shared" si="65"/>
        <v>0.8422754723599416</v>
      </c>
      <c r="L130" s="140">
        <f t="shared" si="65"/>
        <v>0.93002011570184584</v>
      </c>
      <c r="M130" s="140">
        <f t="shared" si="65"/>
        <v>0.6003662690137247</v>
      </c>
      <c r="N130" s="133">
        <f t="shared" si="14"/>
        <v>0.75010381511155433</v>
      </c>
    </row>
    <row r="131" spans="1:14" x14ac:dyDescent="0.25">
      <c r="A131" s="134">
        <v>42202</v>
      </c>
      <c r="B131" s="133">
        <f t="shared" si="12"/>
        <v>0.29355060791962412</v>
      </c>
      <c r="C131" s="140">
        <f t="shared" ref="C131:M131" si="66">D59</f>
        <v>0.64037457503086237</v>
      </c>
      <c r="D131" s="140">
        <f t="shared" si="66"/>
        <v>0.79543874895142319</v>
      </c>
      <c r="E131" s="140">
        <f t="shared" si="66"/>
        <v>0.45620777092293929</v>
      </c>
      <c r="F131" s="140">
        <f t="shared" si="66"/>
        <v>0.85456925965431629</v>
      </c>
      <c r="G131" s="140">
        <f t="shared" si="66"/>
        <v>0.85450303975835906</v>
      </c>
      <c r="H131" s="140">
        <f t="shared" si="66"/>
        <v>0.9755451818333517</v>
      </c>
      <c r="I131" s="140">
        <f t="shared" si="66"/>
        <v>0.81827218428325044</v>
      </c>
      <c r="J131" s="140">
        <f t="shared" si="66"/>
        <v>0.74406065435090551</v>
      </c>
      <c r="K131" s="140">
        <f t="shared" si="66"/>
        <v>0.86459356260001419</v>
      </c>
      <c r="L131" s="140">
        <f t="shared" si="66"/>
        <v>0.94542751255360591</v>
      </c>
      <c r="M131" s="140">
        <f t="shared" si="66"/>
        <v>0.64295520834022113</v>
      </c>
      <c r="N131" s="133">
        <f t="shared" si="14"/>
        <v>0.78108615438902262</v>
      </c>
    </row>
    <row r="132" spans="1:14" x14ac:dyDescent="0.25">
      <c r="A132" s="134">
        <v>42203</v>
      </c>
      <c r="B132" s="133">
        <f t="shared" si="12"/>
        <v>0.34371724460895514</v>
      </c>
      <c r="C132" s="140">
        <f t="shared" ref="C132:M132" si="67">D60</f>
        <v>0.67414101714376395</v>
      </c>
      <c r="D132" s="140">
        <f t="shared" si="67"/>
        <v>0.82762068736577221</v>
      </c>
      <c r="E132" s="140">
        <f t="shared" si="67"/>
        <v>0.50702263532179892</v>
      </c>
      <c r="F132" s="140">
        <f t="shared" si="67"/>
        <v>0.87675320628420728</v>
      </c>
      <c r="G132" s="140">
        <f t="shared" si="67"/>
        <v>0.87740468827985718</v>
      </c>
      <c r="H132" s="140">
        <f t="shared" si="67"/>
        <v>0.98143842698436556</v>
      </c>
      <c r="I132" s="140">
        <f t="shared" si="67"/>
        <v>0.8525697763007879</v>
      </c>
      <c r="J132" s="140">
        <f t="shared" si="67"/>
        <v>0.77974095289698142</v>
      </c>
      <c r="K132" s="140">
        <f t="shared" si="67"/>
        <v>0.88418785816453671</v>
      </c>
      <c r="L132" s="140">
        <f t="shared" si="67"/>
        <v>0.95759734206023794</v>
      </c>
      <c r="M132" s="140">
        <f t="shared" si="67"/>
        <v>0.68339891531991881</v>
      </c>
      <c r="N132" s="133">
        <f t="shared" si="14"/>
        <v>0.80926140964747517</v>
      </c>
    </row>
    <row r="133" spans="1:14" x14ac:dyDescent="0.25">
      <c r="A133" s="134">
        <v>42204</v>
      </c>
      <c r="B133" s="133">
        <f t="shared" si="12"/>
        <v>0.39763161073620545</v>
      </c>
      <c r="C133" s="140">
        <f t="shared" ref="C133:M133" si="68">D61</f>
        <v>0.70619163676878882</v>
      </c>
      <c r="D133" s="140">
        <f t="shared" si="68"/>
        <v>0.85565843157518973</v>
      </c>
      <c r="E133" s="140">
        <f t="shared" si="68"/>
        <v>0.55769281621908429</v>
      </c>
      <c r="F133" s="140">
        <f t="shared" si="68"/>
        <v>0.89596518054214846</v>
      </c>
      <c r="G133" s="140">
        <f t="shared" si="68"/>
        <v>0.8971354919418093</v>
      </c>
      <c r="H133" s="140">
        <f t="shared" si="68"/>
        <v>0.98593196828816942</v>
      </c>
      <c r="I133" s="140">
        <f t="shared" si="68"/>
        <v>0.88133308818064571</v>
      </c>
      <c r="J133" s="140">
        <f t="shared" si="68"/>
        <v>0.81170586540528222</v>
      </c>
      <c r="K133" s="140">
        <f t="shared" si="68"/>
        <v>0.9012705004242717</v>
      </c>
      <c r="L133" s="140">
        <f t="shared" si="68"/>
        <v>0.96714756779345812</v>
      </c>
      <c r="M133" s="140">
        <f t="shared" si="68"/>
        <v>0.72124759593279253</v>
      </c>
      <c r="N133" s="133">
        <f t="shared" si="14"/>
        <v>0.83466183118833104</v>
      </c>
    </row>
    <row r="134" spans="1:14" x14ac:dyDescent="0.25">
      <c r="A134" s="134">
        <v>42205</v>
      </c>
      <c r="B134" s="133">
        <f t="shared" si="12"/>
        <v>0.4541506426657137</v>
      </c>
      <c r="C134" s="140">
        <f t="shared" ref="C134:M134" si="69">D62</f>
        <v>0.73632284821471927</v>
      </c>
      <c r="D134" s="140">
        <f t="shared" si="69"/>
        <v>0.87979813599641254</v>
      </c>
      <c r="E134" s="140">
        <f t="shared" si="69"/>
        <v>0.60718981875056721</v>
      </c>
      <c r="F134" s="140">
        <f t="shared" si="69"/>
        <v>0.91248129649139764</v>
      </c>
      <c r="G134" s="140">
        <f t="shared" si="69"/>
        <v>0.91400201566045702</v>
      </c>
      <c r="H134" s="140">
        <f t="shared" si="69"/>
        <v>0.98934948053865557</v>
      </c>
      <c r="I134" s="140">
        <f t="shared" si="69"/>
        <v>0.90510931670589412</v>
      </c>
      <c r="J134" s="140">
        <f t="shared" si="69"/>
        <v>0.83998387387261297</v>
      </c>
      <c r="K134" s="140">
        <f t="shared" si="69"/>
        <v>0.91607257588659419</v>
      </c>
      <c r="L134" s="140">
        <f t="shared" si="69"/>
        <v>0.97460386948012367</v>
      </c>
      <c r="M134" s="140">
        <f t="shared" si="69"/>
        <v>0.75618584470199735</v>
      </c>
      <c r="N134" s="133">
        <f t="shared" si="14"/>
        <v>0.85737264329994833</v>
      </c>
    </row>
    <row r="135" spans="1:14" x14ac:dyDescent="0.25">
      <c r="A135" s="134">
        <v>42206</v>
      </c>
      <c r="B135" s="133">
        <f t="shared" si="12"/>
        <v>0.51187653171450764</v>
      </c>
      <c r="C135" s="140">
        <f t="shared" ref="C135:M135" si="70">D63</f>
        <v>0.76439491917175328</v>
      </c>
      <c r="D135" s="140">
        <f t="shared" si="70"/>
        <v>0.90037077875156668</v>
      </c>
      <c r="E135" s="140">
        <f t="shared" si="70"/>
        <v>0.65457853232225205</v>
      </c>
      <c r="F135" s="140">
        <f t="shared" si="70"/>
        <v>0.92659021810226538</v>
      </c>
      <c r="G135" s="140">
        <f t="shared" si="70"/>
        <v>0.92832391728718622</v>
      </c>
      <c r="H135" s="140">
        <f t="shared" si="70"/>
        <v>0.99194356891500257</v>
      </c>
      <c r="I135" s="140">
        <f t="shared" si="70"/>
        <v>0.92452965133108167</v>
      </c>
      <c r="J135" s="140">
        <f t="shared" si="70"/>
        <v>0.86472285268482063</v>
      </c>
      <c r="K135" s="140">
        <f t="shared" si="70"/>
        <v>0.92883068298874938</v>
      </c>
      <c r="L135" s="140">
        <f t="shared" si="70"/>
        <v>0.98040215530753172</v>
      </c>
      <c r="M135" s="140">
        <f t="shared" si="70"/>
        <v>0.78803197927653146</v>
      </c>
      <c r="N135" s="133">
        <f t="shared" si="14"/>
        <v>0.87751993237624926</v>
      </c>
    </row>
    <row r="136" spans="1:14" x14ac:dyDescent="0.25">
      <c r="A136" s="134">
        <v>42207</v>
      </c>
      <c r="B136" s="133">
        <f t="shared" si="12"/>
        <v>0.56928736372039235</v>
      </c>
      <c r="C136" s="140">
        <f t="shared" ref="C136:M136" si="71">D64</f>
        <v>0.79032936256052932</v>
      </c>
      <c r="D136" s="140">
        <f t="shared" si="71"/>
        <v>0.91775156260729407</v>
      </c>
      <c r="E136" s="140">
        <f t="shared" si="71"/>
        <v>0.69908353422184055</v>
      </c>
      <c r="F136" s="140">
        <f t="shared" si="71"/>
        <v>0.93857774011739092</v>
      </c>
      <c r="G136" s="140">
        <f t="shared" si="71"/>
        <v>0.94041617027076585</v>
      </c>
      <c r="H136" s="140">
        <f t="shared" si="71"/>
        <v>0.99390971890382285</v>
      </c>
      <c r="I136" s="140">
        <f t="shared" si="71"/>
        <v>0.94023784969367341</v>
      </c>
      <c r="J136" s="140">
        <f t="shared" si="71"/>
        <v>0.88615548159462798</v>
      </c>
      <c r="K136" s="140">
        <f t="shared" si="71"/>
        <v>0.93977688230442102</v>
      </c>
      <c r="L136" s="140">
        <f t="shared" si="71"/>
        <v>0.98489712734969304</v>
      </c>
      <c r="M136" s="140">
        <f t="shared" si="71"/>
        <v>0.8167266358806099</v>
      </c>
      <c r="N136" s="133">
        <f t="shared" si="14"/>
        <v>0.89526018777315175</v>
      </c>
    </row>
    <row r="137" spans="1:14" x14ac:dyDescent="0.25">
      <c r="A137" s="134">
        <v>42208</v>
      </c>
      <c r="B137" s="133">
        <f t="shared" si="12"/>
        <v>0.62489399319355865</v>
      </c>
      <c r="C137" s="140">
        <f t="shared" ref="C137:M137" si="72">D65</f>
        <v>0.81410331001486491</v>
      </c>
      <c r="D137" s="140">
        <f t="shared" si="72"/>
        <v>0.93232808462366246</v>
      </c>
      <c r="E137" s="140">
        <f t="shared" si="72"/>
        <v>0.74013086225137981</v>
      </c>
      <c r="F137" s="140">
        <f t="shared" si="72"/>
        <v>0.94871609038627402</v>
      </c>
      <c r="G137" s="140">
        <f t="shared" si="72"/>
        <v>0.95057698620331765</v>
      </c>
      <c r="H137" s="140">
        <f t="shared" si="72"/>
        <v>0.99539826136330956</v>
      </c>
      <c r="I137" s="140">
        <f t="shared" si="72"/>
        <v>0.95284334782503577</v>
      </c>
      <c r="J137" s="140">
        <f t="shared" si="72"/>
        <v>0.90456718771126388</v>
      </c>
      <c r="K137" s="140">
        <f t="shared" si="72"/>
        <v>0.94913170393969815</v>
      </c>
      <c r="L137" s="140">
        <f t="shared" si="72"/>
        <v>0.98837335654317438</v>
      </c>
      <c r="M137" s="140">
        <f t="shared" si="72"/>
        <v>0.84231410872063994</v>
      </c>
      <c r="N137" s="133">
        <f t="shared" si="14"/>
        <v>0.9107712090529656</v>
      </c>
    </row>
    <row r="138" spans="1:14" x14ac:dyDescent="0.25">
      <c r="A138" s="134">
        <v>42209</v>
      </c>
      <c r="B138" s="133">
        <f t="shared" si="12"/>
        <v>0.67738988716471926</v>
      </c>
      <c r="C138" s="140">
        <f t="shared" ref="C138:M138" si="73">D66</f>
        <v>0.83574185077619134</v>
      </c>
      <c r="D138" s="140">
        <f t="shared" si="73"/>
        <v>0.94447756221334911</v>
      </c>
      <c r="E138" s="140">
        <f t="shared" si="73"/>
        <v>0.77736219179333366</v>
      </c>
      <c r="F138" s="140">
        <f t="shared" si="73"/>
        <v>0.95725721401262687</v>
      </c>
      <c r="G138" s="140">
        <f t="shared" si="73"/>
        <v>0.95908047510394157</v>
      </c>
      <c r="H138" s="140">
        <f t="shared" si="73"/>
        <v>0.99652425732932814</v>
      </c>
      <c r="I138" s="140">
        <f t="shared" si="73"/>
        <v>0.96289492364726859</v>
      </c>
      <c r="J138" s="140">
        <f t="shared" si="73"/>
        <v>0.92026914027090656</v>
      </c>
      <c r="K138" s="140">
        <f t="shared" si="73"/>
        <v>0.95709971953486128</v>
      </c>
      <c r="L138" s="140">
        <f t="shared" si="73"/>
        <v>0.99105672728955652</v>
      </c>
      <c r="M138" s="140">
        <f t="shared" si="73"/>
        <v>0.86492005933119276</v>
      </c>
      <c r="N138" s="133">
        <f t="shared" si="14"/>
        <v>0.92424401102750509</v>
      </c>
    </row>
    <row r="139" spans="1:14" x14ac:dyDescent="0.25">
      <c r="A139" s="134">
        <v>42210</v>
      </c>
      <c r="B139" s="133">
        <f t="shared" si="12"/>
        <v>0.72576316393978146</v>
      </c>
      <c r="C139" s="140">
        <f t="shared" ref="C139:M139" si="74">D67</f>
        <v>0.85530930305555208</v>
      </c>
      <c r="D139" s="140">
        <f t="shared" si="74"/>
        <v>0.95455211228380965</v>
      </c>
      <c r="E139" s="140">
        <f t="shared" si="74"/>
        <v>0.81062423529610406</v>
      </c>
      <c r="F139" s="140">
        <f t="shared" si="74"/>
        <v>0.9644291830100955</v>
      </c>
      <c r="G139" s="140">
        <f t="shared" si="74"/>
        <v>0.96617295862288388</v>
      </c>
      <c r="H139" s="140">
        <f t="shared" si="74"/>
        <v>0.997375460642977</v>
      </c>
      <c r="I139" s="140">
        <f t="shared" si="74"/>
        <v>0.97086947884688668</v>
      </c>
      <c r="J139" s="140">
        <f t="shared" si="74"/>
        <v>0.93357729395018618</v>
      </c>
      <c r="K139" s="140">
        <f t="shared" si="74"/>
        <v>0.96386713908786181</v>
      </c>
      <c r="L139" s="140">
        <f t="shared" si="74"/>
        <v>0.99312509735404841</v>
      </c>
      <c r="M139" s="140">
        <f t="shared" si="74"/>
        <v>0.88472871263514363</v>
      </c>
      <c r="N139" s="133">
        <f t="shared" si="14"/>
        <v>0.93587554316232269</v>
      </c>
    </row>
    <row r="140" spans="1:14" x14ac:dyDescent="0.25">
      <c r="A140" s="134">
        <v>42211</v>
      </c>
      <c r="B140" s="133">
        <f t="shared" si="12"/>
        <v>0.76935287380981887</v>
      </c>
      <c r="C140" s="140">
        <f t="shared" ref="C140:M140" si="75">D68</f>
        <v>0.87290025703202945</v>
      </c>
      <c r="D140" s="140">
        <f t="shared" si="75"/>
        <v>0.96287049838133665</v>
      </c>
      <c r="E140" s="140">
        <f t="shared" si="75"/>
        <v>0.83994013022149039</v>
      </c>
      <c r="F140" s="140">
        <f t="shared" si="75"/>
        <v>0.97043490859995651</v>
      </c>
      <c r="G140" s="140">
        <f t="shared" si="75"/>
        <v>0.97207191636988943</v>
      </c>
      <c r="H140" s="140">
        <f t="shared" si="75"/>
        <v>0.99801862022624632</v>
      </c>
      <c r="I140" s="140">
        <f t="shared" si="75"/>
        <v>0.97717079140287</v>
      </c>
      <c r="J140" s="140">
        <f t="shared" si="75"/>
        <v>0.94479738358617293</v>
      </c>
      <c r="K140" s="140">
        <f t="shared" si="75"/>
        <v>0.96960092092793249</v>
      </c>
      <c r="L140" s="140">
        <f t="shared" si="75"/>
        <v>0.99471765143631297</v>
      </c>
      <c r="M140" s="140">
        <f t="shared" si="75"/>
        <v>0.9019618067218419</v>
      </c>
      <c r="N140" s="133">
        <f t="shared" si="14"/>
        <v>0.9458622622641889</v>
      </c>
    </row>
    <row r="141" spans="1:14" x14ac:dyDescent="0.25">
      <c r="A141" s="134">
        <v>42212</v>
      </c>
      <c r="B141" s="133">
        <f t="shared" si="12"/>
        <v>0.80784842465847118</v>
      </c>
      <c r="C141" s="140">
        <f t="shared" ref="C141:M141" si="76">D69</f>
        <v>0.88863103906188901</v>
      </c>
      <c r="D141" s="140">
        <f t="shared" si="76"/>
        <v>0.96971466500136505</v>
      </c>
      <c r="E141" s="140">
        <f t="shared" si="76"/>
        <v>0.86547098755737129</v>
      </c>
      <c r="F141" s="140">
        <f t="shared" si="76"/>
        <v>0.97545244534588094</v>
      </c>
      <c r="G141" s="140">
        <f t="shared" si="76"/>
        <v>0.97696670309022537</v>
      </c>
      <c r="H141" s="140">
        <f t="shared" si="76"/>
        <v>0.99850440592154854</v>
      </c>
      <c r="I141" s="140">
        <f t="shared" si="76"/>
        <v>0.98213413053687093</v>
      </c>
      <c r="J141" s="140">
        <f t="shared" si="76"/>
        <v>0.95421513105735634</v>
      </c>
      <c r="K141" s="140">
        <f t="shared" si="76"/>
        <v>0.97444895111855134</v>
      </c>
      <c r="L141" s="140">
        <f t="shared" si="76"/>
        <v>0.99594280143738134</v>
      </c>
      <c r="M141" s="140">
        <f t="shared" si="76"/>
        <v>0.91686065171343734</v>
      </c>
      <c r="N141" s="133">
        <f t="shared" si="14"/>
        <v>0.95439471925835262</v>
      </c>
    </row>
    <row r="142" spans="1:14" x14ac:dyDescent="0.25">
      <c r="A142" s="134">
        <v>42213</v>
      </c>
      <c r="B142" s="133">
        <f t="shared" si="12"/>
        <v>0.84124476932687875</v>
      </c>
      <c r="C142" s="140">
        <f t="shared" ref="C142:M142" si="77">D70</f>
        <v>0.90263203969670491</v>
      </c>
      <c r="D142" s="140">
        <f t="shared" si="77"/>
        <v>0.97532955506085461</v>
      </c>
      <c r="E142" s="140">
        <f t="shared" si="77"/>
        <v>0.88747503251240256</v>
      </c>
      <c r="F142" s="140">
        <f t="shared" si="77"/>
        <v>0.97963631693234787</v>
      </c>
      <c r="G142" s="140">
        <f t="shared" si="77"/>
        <v>0.98102036011876015</v>
      </c>
      <c r="H142" s="140">
        <f t="shared" si="77"/>
        <v>0.99887122359333258</v>
      </c>
      <c r="I142" s="140">
        <f t="shared" si="77"/>
        <v>0.9860338040714024</v>
      </c>
      <c r="J142" s="140">
        <f t="shared" si="77"/>
        <v>0.96209064760100416</v>
      </c>
      <c r="K142" s="140">
        <f t="shared" si="77"/>
        <v>0.97854093133589115</v>
      </c>
      <c r="L142" s="140">
        <f t="shared" si="77"/>
        <v>0.99688468886752846</v>
      </c>
      <c r="M142" s="140">
        <f t="shared" si="77"/>
        <v>0.92967186529921186</v>
      </c>
      <c r="N142" s="133">
        <f t="shared" si="14"/>
        <v>0.961653315008131</v>
      </c>
    </row>
    <row r="143" spans="1:14" x14ac:dyDescent="0.25">
      <c r="A143" s="134">
        <v>42214</v>
      </c>
      <c r="B143" s="133">
        <f t="shared" ref="B143:B145" si="78">C71</f>
        <v>0.86977243875394039</v>
      </c>
      <c r="C143" s="140">
        <f t="shared" ref="C143:M143" si="79">D71</f>
        <v>0.91504115622246529</v>
      </c>
      <c r="D143" s="140">
        <f t="shared" si="79"/>
        <v>0.97992499727171689</v>
      </c>
      <c r="E143" s="140">
        <f t="shared" si="79"/>
        <v>0.90626979436277777</v>
      </c>
      <c r="F143" s="140">
        <f t="shared" si="79"/>
        <v>0.98311943217332176</v>
      </c>
      <c r="G143" s="140">
        <f t="shared" si="79"/>
        <v>0.98437202125506518</v>
      </c>
      <c r="H143" s="140">
        <f t="shared" si="79"/>
        <v>0.99914815028883153</v>
      </c>
      <c r="I143" s="140">
        <f t="shared" si="79"/>
        <v>0.98909173021315688</v>
      </c>
      <c r="J143" s="140">
        <f t="shared" si="79"/>
        <v>0.96865598441679479</v>
      </c>
      <c r="K143" s="140">
        <f t="shared" si="79"/>
        <v>0.98198969628892063</v>
      </c>
      <c r="L143" s="140">
        <f t="shared" si="79"/>
        <v>0.99760844016325889</v>
      </c>
      <c r="M143" s="140">
        <f t="shared" si="79"/>
        <v>0.94063677400441748</v>
      </c>
      <c r="N143" s="133">
        <f t="shared" ref="N143:N145" si="80">AVERAGE(C143:M143)</f>
        <v>0.96780528878733874</v>
      </c>
    </row>
    <row r="144" spans="1:14" x14ac:dyDescent="0.25">
      <c r="A144" s="134">
        <v>42215</v>
      </c>
      <c r="B144" s="133">
        <f t="shared" si="78"/>
        <v>0.89382082763989679</v>
      </c>
      <c r="C144" s="140">
        <f t="shared" ref="C144:M144" si="81">D72</f>
        <v>0.9259984425905613</v>
      </c>
      <c r="D144" s="140">
        <f t="shared" si="81"/>
        <v>0.98367875635308522</v>
      </c>
      <c r="E144" s="140">
        <f t="shared" si="81"/>
        <v>0.92220051253709923</v>
      </c>
      <c r="F144" s="140">
        <f t="shared" si="81"/>
        <v>0.98601528129691507</v>
      </c>
      <c r="G144" s="140">
        <f t="shared" si="81"/>
        <v>0.98713956340918307</v>
      </c>
      <c r="H144" s="140">
        <f t="shared" si="81"/>
        <v>0.99935718130385254</v>
      </c>
      <c r="I144" s="140">
        <f t="shared" si="81"/>
        <v>0.99148589866036696</v>
      </c>
      <c r="J144" s="140">
        <f t="shared" si="81"/>
        <v>0.97411489396191853</v>
      </c>
      <c r="K144" s="140">
        <f t="shared" si="81"/>
        <v>0.98489275470738114</v>
      </c>
      <c r="L144" s="140">
        <f t="shared" si="81"/>
        <v>0.99816435865745046</v>
      </c>
      <c r="M144" s="140">
        <f t="shared" si="81"/>
        <v>0.94998410888829909</v>
      </c>
      <c r="N144" s="133">
        <f t="shared" si="80"/>
        <v>0.97300288657873757</v>
      </c>
    </row>
    <row r="145" spans="1:15" x14ac:dyDescent="0.25">
      <c r="A145" s="134">
        <v>42216</v>
      </c>
      <c r="B145" s="133">
        <f t="shared" si="78"/>
        <v>0.91386810808397656</v>
      </c>
      <c r="C145" s="140">
        <f t="shared" ref="C145:M145" si="82">D73</f>
        <v>0.93564194302578907</v>
      </c>
      <c r="D145" s="140">
        <f t="shared" si="82"/>
        <v>0.98674011013199214</v>
      </c>
      <c r="E145" s="140">
        <f t="shared" si="82"/>
        <v>0.93561594809732263</v>
      </c>
      <c r="F145" s="140">
        <f t="shared" si="82"/>
        <v>0.98842020100800998</v>
      </c>
      <c r="G145" s="140">
        <f t="shared" si="82"/>
        <v>0.98942227092402102</v>
      </c>
      <c r="H145" s="140">
        <f t="shared" si="82"/>
        <v>0.99951494417545994</v>
      </c>
      <c r="I145" s="140">
        <f t="shared" si="82"/>
        <v>0.99335811896682091</v>
      </c>
      <c r="J145" s="140">
        <f t="shared" si="82"/>
        <v>0.97864403433681935</v>
      </c>
      <c r="K145" s="140">
        <f t="shared" si="82"/>
        <v>0.98733390843592017</v>
      </c>
      <c r="L145" s="140">
        <f t="shared" si="82"/>
        <v>0.99859123628391133</v>
      </c>
      <c r="M145" s="140">
        <f t="shared" si="82"/>
        <v>0.95792544703602911</v>
      </c>
      <c r="N145" s="133">
        <f t="shared" si="80"/>
        <v>0.97738256022019054</v>
      </c>
    </row>
    <row r="146" spans="1:15" x14ac:dyDescent="0.25">
      <c r="A146" s="134"/>
      <c r="B146" s="136"/>
      <c r="C146" s="140"/>
      <c r="D146" s="140"/>
      <c r="E146" s="140"/>
      <c r="F146" s="140"/>
      <c r="G146" s="140"/>
      <c r="H146" s="140"/>
      <c r="I146" s="140"/>
      <c r="J146" s="140"/>
      <c r="K146" s="140"/>
      <c r="L146" s="140"/>
      <c r="M146" s="140"/>
      <c r="N146" s="140"/>
      <c r="O146" s="140"/>
    </row>
  </sheetData>
  <sortState ref="AN7:AO56">
    <sortCondition ref="AN7:AN56"/>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AW1022"/>
  <sheetViews>
    <sheetView topLeftCell="A4" zoomScaleNormal="100" workbookViewId="0">
      <selection activeCell="A9" sqref="A9:A14"/>
    </sheetView>
  </sheetViews>
  <sheetFormatPr defaultRowHeight="15.75" x14ac:dyDescent="0.25"/>
  <cols>
    <col min="1" max="1" width="15.75" style="4" customWidth="1"/>
    <col min="2" max="2" width="21.375" style="4" customWidth="1"/>
    <col min="3" max="3" width="15.12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8" width="9" style="4"/>
    <col min="29" max="29" width="9.125" style="4" bestFit="1" customWidth="1"/>
    <col min="30" max="30" width="9" style="4"/>
    <col min="31" max="31" width="9.125" style="4" bestFit="1" customWidth="1"/>
    <col min="32" max="37" width="9" style="4"/>
    <col min="38" max="38" width="21" style="4" customWidth="1"/>
    <col min="39" max="16384" width="9" style="4"/>
  </cols>
  <sheetData>
    <row r="1" spans="1:49" ht="16.5" thickBot="1" x14ac:dyDescent="0.3">
      <c r="A1" s="3" t="s">
        <v>3</v>
      </c>
      <c r="B1" s="3" t="s">
        <v>4</v>
      </c>
      <c r="C1" s="4" t="s">
        <v>5</v>
      </c>
    </row>
    <row r="2" spans="1:49" ht="19.5" thickBot="1" x14ac:dyDescent="0.4">
      <c r="A2" s="5">
        <v>2014</v>
      </c>
      <c r="B2" s="6">
        <v>1.3</v>
      </c>
      <c r="C2" s="4" t="s">
        <v>6</v>
      </c>
      <c r="F2" s="3" t="s">
        <v>0</v>
      </c>
      <c r="G2" s="7" t="s">
        <v>7</v>
      </c>
      <c r="H2" s="7" t="s">
        <v>8</v>
      </c>
      <c r="I2" s="96" t="s">
        <v>27</v>
      </c>
      <c r="J2" s="98">
        <v>41459</v>
      </c>
      <c r="K2" s="99">
        <v>41459</v>
      </c>
      <c r="X2" s="4" t="s">
        <v>46</v>
      </c>
    </row>
    <row r="3" spans="1:49" ht="21" thickBot="1" x14ac:dyDescent="0.4">
      <c r="A3" s="104">
        <v>37766.5</v>
      </c>
      <c r="C3" s="9"/>
      <c r="F3" s="73" t="s">
        <v>25</v>
      </c>
      <c r="G3" s="126">
        <v>1</v>
      </c>
      <c r="H3" s="11"/>
      <c r="I3">
        <f>G5-(1/G4)*LN((2*G3)-1)</f>
        <v>44.735035084511289</v>
      </c>
      <c r="J3" s="3" t="s">
        <v>9</v>
      </c>
      <c r="X3" s="4">
        <v>1775.0814151895604</v>
      </c>
      <c r="Y3" s="4">
        <v>74.024715246423497</v>
      </c>
    </row>
    <row r="4" spans="1:49" ht="16.5" thickBot="1" x14ac:dyDescent="0.3">
      <c r="A4" s="12" t="s">
        <v>10</v>
      </c>
      <c r="C4" s="4" t="s">
        <v>11</v>
      </c>
      <c r="F4" s="13" t="s">
        <v>1</v>
      </c>
      <c r="G4" s="127">
        <v>0.19113915771458681</v>
      </c>
      <c r="H4" s="15">
        <v>1.3430354041766346E-2</v>
      </c>
      <c r="I4" s="2"/>
      <c r="J4" s="129">
        <f>SUM(H9:H66)</f>
        <v>2.2431204930875128</v>
      </c>
      <c r="K4" s="16">
        <f>SUMSQ(G9:G14)</f>
        <v>6.0320230035118315E-3</v>
      </c>
      <c r="L4" s="16"/>
      <c r="X4" s="4">
        <v>74.024715246423497</v>
      </c>
      <c r="Y4" s="4">
        <v>4.5020289576314099</v>
      </c>
    </row>
    <row r="5" spans="1:49" ht="16.5" thickBot="1" x14ac:dyDescent="0.3">
      <c r="C5" s="104">
        <v>37834.5</v>
      </c>
      <c r="F5" s="17" t="s">
        <v>2</v>
      </c>
      <c r="G5" s="128">
        <v>44.735035084511289</v>
      </c>
      <c r="H5" s="19">
        <v>0.39207688752195335</v>
      </c>
      <c r="I5" s="2"/>
      <c r="J5" s="20" t="s">
        <v>12</v>
      </c>
      <c r="K5" s="21"/>
      <c r="L5" s="21"/>
      <c r="N5" s="30"/>
    </row>
    <row r="6" spans="1:49" ht="16.5" thickBot="1" x14ac:dyDescent="0.3">
      <c r="C6" s="22"/>
      <c r="G6" s="23"/>
      <c r="H6" s="9"/>
      <c r="K6" s="24"/>
      <c r="L6" s="24"/>
      <c r="X6" s="4" t="s">
        <v>47</v>
      </c>
    </row>
    <row r="7" spans="1:49" ht="16.5" thickBot="1" x14ac:dyDescent="0.3">
      <c r="E7" s="25"/>
      <c r="F7" s="26"/>
      <c r="G7" s="27"/>
      <c r="H7" s="28"/>
      <c r="J7" s="29"/>
      <c r="M7" s="29"/>
      <c r="O7" s="3" t="s">
        <v>26</v>
      </c>
    </row>
    <row r="8" spans="1:49" s="29" customFormat="1" ht="16.5" thickBot="1" x14ac:dyDescent="0.3">
      <c r="A8" s="122" t="s">
        <v>49</v>
      </c>
      <c r="B8" s="31" t="s">
        <v>14</v>
      </c>
      <c r="C8" s="123" t="s">
        <v>50</v>
      </c>
      <c r="D8" s="83" t="s">
        <v>16</v>
      </c>
      <c r="E8" s="33" t="s">
        <v>13</v>
      </c>
      <c r="F8" s="34" t="s">
        <v>17</v>
      </c>
      <c r="G8" s="34" t="s">
        <v>18</v>
      </c>
      <c r="H8" s="35" t="s">
        <v>19</v>
      </c>
      <c r="I8" s="3"/>
      <c r="J8" s="36" t="s">
        <v>14</v>
      </c>
      <c r="K8" s="37" t="s">
        <v>20</v>
      </c>
      <c r="L8" s="37" t="s">
        <v>21</v>
      </c>
      <c r="M8" s="37" t="s">
        <v>22</v>
      </c>
      <c r="N8" s="38" t="s">
        <v>23</v>
      </c>
      <c r="O8" s="88" t="s">
        <v>24</v>
      </c>
    </row>
    <row r="9" spans="1:49" ht="16.5" thickBot="1" x14ac:dyDescent="0.3">
      <c r="A9" s="120">
        <v>4.6074626761650792E-2</v>
      </c>
      <c r="B9" s="124">
        <v>37800.5</v>
      </c>
      <c r="C9" s="121">
        <f>1/(A9^2)</f>
        <v>471.06013086943102</v>
      </c>
      <c r="D9" s="106">
        <f t="shared" ref="D9:D14" si="0">IF(B9&lt;&gt;0,B9-$A$3+1,"")</f>
        <v>35</v>
      </c>
      <c r="E9" s="81">
        <v>0.17499999999999999</v>
      </c>
      <c r="F9" s="41">
        <f t="shared" ref="F9:F65" si="1">IF(B9&lt;&gt;0,$G$3/(1+EXP(-$G$4*(D9-$G$5))),"")</f>
        <v>0.13461607593232877</v>
      </c>
      <c r="G9" s="42">
        <f t="shared" ref="G9:G65" si="2">IF(B9&lt;&gt;0,E9-F9,"")</f>
        <v>4.0383924067671217E-2</v>
      </c>
      <c r="H9" s="43">
        <f t="shared" ref="H9:H65" si="3">IF(B9&lt;&gt;0,C9*(G9)^2,"")</f>
        <v>0.76823374829099733</v>
      </c>
      <c r="J9" s="105">
        <f>A3</f>
        <v>37766.5</v>
      </c>
      <c r="K9" s="109">
        <v>1</v>
      </c>
      <c r="L9" s="125">
        <f t="shared" ref="L9:L72" si="4">$G$3/(1+EXP(-$G$4*(K9-$G$5)))</f>
        <v>2.3411176981798289E-4</v>
      </c>
      <c r="M9" s="46">
        <f>IF(J10&gt;MAX($B$9:$B$64),L9,N9)</f>
        <v>3.1121623501212576E-7</v>
      </c>
      <c r="N9" s="130">
        <v>3.1121623501212576E-7</v>
      </c>
      <c r="O9" s="89">
        <f t="shared" ref="O9:O72" si="5">IF(N9=M9,N9,M9)</f>
        <v>3.1121623501212576E-7</v>
      </c>
    </row>
    <row r="10" spans="1:49" ht="16.5" thickBot="1" x14ac:dyDescent="0.3">
      <c r="A10" s="120">
        <v>5.581041146730905E-2</v>
      </c>
      <c r="B10" s="124">
        <v>37804.5</v>
      </c>
      <c r="C10" s="121">
        <f t="shared" ref="C10:C14" si="6">1/(A10^2)</f>
        <v>321.04769130185417</v>
      </c>
      <c r="D10" s="106">
        <f t="shared" si="0"/>
        <v>39</v>
      </c>
      <c r="E10" s="81">
        <v>0.215</v>
      </c>
      <c r="F10" s="41">
        <f t="shared" ref="F10" si="7">IF(B10&lt;&gt;0,$G$3/(1+EXP(-$G$4*(D10-$G$5))),"")</f>
        <v>0.25045449624933086</v>
      </c>
      <c r="G10" s="42">
        <f t="shared" ref="G10" si="8">IF(B10&lt;&gt;0,E10-F10,"")</f>
        <v>-3.5454496249330864E-2</v>
      </c>
      <c r="H10" s="43">
        <f t="shared" ref="H10" si="9">IF(B10&lt;&gt;0,C10*(G10)^2,"")</f>
        <v>0.40356378766077527</v>
      </c>
      <c r="I10" s="52"/>
      <c r="J10" s="105">
        <f t="shared" ref="J10:J73" si="10">J9+1</f>
        <v>37767.5</v>
      </c>
      <c r="K10" s="109">
        <v>2</v>
      </c>
      <c r="L10" s="125">
        <f t="shared" si="4"/>
        <v>2.8340826727151088E-4</v>
      </c>
      <c r="M10" s="46">
        <f t="shared" ref="M10:M73" si="11">IF(J11&gt;MAX($B$9:$B$64),L10,N10)</f>
        <v>4.4350593880565207E-7</v>
      </c>
      <c r="N10" s="130">
        <v>4.4350593880565207E-7</v>
      </c>
      <c r="O10" s="89">
        <f t="shared" si="5"/>
        <v>4.4350593880565207E-7</v>
      </c>
      <c r="Q10" s="4" t="s">
        <v>48</v>
      </c>
    </row>
    <row r="11" spans="1:49" ht="16.5" thickBot="1" x14ac:dyDescent="0.3">
      <c r="A11" s="120">
        <v>5.9391678680006048E-2</v>
      </c>
      <c r="B11" s="124">
        <v>37808.5</v>
      </c>
      <c r="C11" s="121">
        <f t="shared" si="6"/>
        <v>283.49721627346156</v>
      </c>
      <c r="D11" s="106">
        <f t="shared" si="0"/>
        <v>43</v>
      </c>
      <c r="E11" s="81">
        <v>0.38200000000000001</v>
      </c>
      <c r="F11" s="41">
        <f t="shared" ref="F11" si="12">IF(B11&lt;&gt;0,$G$3/(1+EXP(-$G$4*(D11-$G$5))),"")</f>
        <v>0.41784330704514244</v>
      </c>
      <c r="G11" s="42">
        <f t="shared" ref="G11" si="13">IF(B11&lt;&gt;0,E11-F11,"")</f>
        <v>-3.5843307045142436E-2</v>
      </c>
      <c r="H11" s="43">
        <f t="shared" ref="H11" si="14">IF(B11&lt;&gt;0,C11*(G11)^2,"")</f>
        <v>0.36422096771858581</v>
      </c>
      <c r="J11" s="105">
        <f t="shared" si="10"/>
        <v>37768.5</v>
      </c>
      <c r="K11" s="109">
        <v>3</v>
      </c>
      <c r="L11" s="125">
        <f t="shared" si="4"/>
        <v>3.4308147807959839E-4</v>
      </c>
      <c r="M11" s="46">
        <f t="shared" si="11"/>
        <v>6.3202842450478264E-7</v>
      </c>
      <c r="N11" s="130">
        <v>6.3202842450478264E-7</v>
      </c>
      <c r="O11" s="89">
        <f t="shared" si="5"/>
        <v>6.3202842450478264E-7</v>
      </c>
      <c r="Q11" s="4">
        <v>1</v>
      </c>
      <c r="R11" s="4">
        <v>-0.82806316245865486</v>
      </c>
      <c r="AE11" s="102" t="s">
        <v>14</v>
      </c>
      <c r="AF11" s="4">
        <v>2010</v>
      </c>
      <c r="AG11" s="4">
        <f>AI11</f>
        <v>2012</v>
      </c>
      <c r="AH11" s="4">
        <v>2011</v>
      </c>
      <c r="AI11" s="4">
        <v>2012</v>
      </c>
      <c r="AJ11" s="4">
        <v>2013</v>
      </c>
      <c r="AK11" s="4">
        <v>2014</v>
      </c>
      <c r="AL11" s="113"/>
      <c r="AM11" s="113"/>
      <c r="AN11" s="113"/>
      <c r="AO11" s="113"/>
      <c r="AP11" s="113"/>
      <c r="AQ11" s="113"/>
      <c r="AR11" s="113"/>
      <c r="AS11" s="114"/>
      <c r="AT11" s="114"/>
    </row>
    <row r="12" spans="1:49" ht="16.5" thickBot="1" x14ac:dyDescent="0.3">
      <c r="A12" s="120">
        <v>6.1591941168936223E-2</v>
      </c>
      <c r="B12" s="124">
        <v>37812.5</v>
      </c>
      <c r="C12" s="121">
        <f t="shared" si="6"/>
        <v>263.6041337372065</v>
      </c>
      <c r="D12" s="106">
        <f t="shared" si="0"/>
        <v>47</v>
      </c>
      <c r="E12" s="81">
        <v>0.64300000000000002</v>
      </c>
      <c r="F12" s="41">
        <f t="shared" ref="F12" si="15">IF(B12&lt;&gt;0,$G$3/(1+EXP(-$G$4*(D12-$G$5))),"")</f>
        <v>0.60657155343516</v>
      </c>
      <c r="G12" s="42">
        <f t="shared" ref="G12" si="16">IF(B12&lt;&gt;0,E12-F12,"")</f>
        <v>3.6428446564840011E-2</v>
      </c>
      <c r="H12" s="43">
        <f t="shared" ref="H12" si="17">IF(B12&lt;&gt;0,C12*(G12)^2,"")</f>
        <v>0.34981104676237529</v>
      </c>
      <c r="J12" s="105">
        <f t="shared" si="10"/>
        <v>37769.5</v>
      </c>
      <c r="K12" s="109">
        <v>4</v>
      </c>
      <c r="L12" s="125">
        <f t="shared" si="4"/>
        <v>4.1531400063546034E-4</v>
      </c>
      <c r="M12" s="46">
        <f t="shared" si="11"/>
        <v>9.0068669305005554E-7</v>
      </c>
      <c r="N12" s="130">
        <v>9.0068669305005554E-7</v>
      </c>
      <c r="O12" s="89">
        <f t="shared" si="5"/>
        <v>9.0068669305005554E-7</v>
      </c>
      <c r="P12" s="44">
        <v>40326</v>
      </c>
      <c r="Q12" s="1">
        <v>1.3958317686261709E-4</v>
      </c>
      <c r="R12" s="100">
        <v>543</v>
      </c>
      <c r="S12" s="100">
        <f>R12*AVERAGE(L12:L13)</f>
        <v>0.24925349145035255</v>
      </c>
      <c r="T12" s="101">
        <f t="shared" ref="T12:T47" si="18">R12-S12</f>
        <v>542.7507465085497</v>
      </c>
      <c r="AE12" s="93">
        <f>J12</f>
        <v>37769.5</v>
      </c>
      <c r="AF12" s="92">
        <f>Logistic2010!Q12</f>
        <v>1.3958317686261709E-4</v>
      </c>
      <c r="AG12" s="4">
        <f t="shared" ref="AG12:AG75" si="19">AI12</f>
        <v>1.3958317686261709E-4</v>
      </c>
      <c r="AH12" s="92">
        <f>Logistic2011!Q12</f>
        <v>1.3958317686261709E-4</v>
      </c>
      <c r="AI12" s="92">
        <f>Logistic2012!Q12</f>
        <v>1.3958317686261709E-4</v>
      </c>
      <c r="AJ12" s="92">
        <f>Logistic2013!L12</f>
        <v>2.9882028383729665E-4</v>
      </c>
      <c r="AK12" s="119">
        <f>L12</f>
        <v>4.1531400063546034E-4</v>
      </c>
      <c r="AL12" s="113"/>
      <c r="AM12" s="113"/>
      <c r="AN12" s="113"/>
      <c r="AO12" s="113"/>
      <c r="AP12" s="113"/>
      <c r="AQ12" s="113"/>
      <c r="AR12" s="113"/>
      <c r="AS12" s="114"/>
      <c r="AT12" s="114"/>
    </row>
    <row r="13" spans="1:49" ht="16.5" thickBot="1" x14ac:dyDescent="0.3">
      <c r="A13" s="120">
        <v>5.1240916261721309E-2</v>
      </c>
      <c r="B13" s="124">
        <v>37816.5</v>
      </c>
      <c r="C13" s="121">
        <f t="shared" si="6"/>
        <v>380.86075683167576</v>
      </c>
      <c r="D13" s="106">
        <f t="shared" si="0"/>
        <v>51</v>
      </c>
      <c r="E13" s="81">
        <v>0.78</v>
      </c>
      <c r="F13" s="41">
        <f t="shared" ref="F13:F14" si="20">IF(B13&lt;&gt;0,$G$3/(1+EXP(-$G$4*(D13-$G$5))),"")</f>
        <v>0.76807620704019175</v>
      </c>
      <c r="G13" s="42">
        <f t="shared" ref="G13" si="21">IF(B13&lt;&gt;0,E13-F13,"")</f>
        <v>1.1923792959808277E-2</v>
      </c>
      <c r="H13" s="43">
        <f t="shared" ref="H13" si="22">IF(B13&lt;&gt;0,C13*(G13)^2,"")</f>
        <v>5.4149578333468479E-2</v>
      </c>
      <c r="J13" s="105">
        <f t="shared" si="10"/>
        <v>37770.5</v>
      </c>
      <c r="K13" s="109">
        <v>5</v>
      </c>
      <c r="L13" s="125">
        <f t="shared" si="4"/>
        <v>5.0274674135478853E-4</v>
      </c>
      <c r="M13" s="46">
        <f t="shared" si="11"/>
        <v>1.2835442124779599E-6</v>
      </c>
      <c r="N13" s="130">
        <v>1.2835442124779599E-6</v>
      </c>
      <c r="O13" s="89">
        <f t="shared" si="5"/>
        <v>1.2835442124779599E-6</v>
      </c>
      <c r="P13" s="48">
        <v>40327</v>
      </c>
      <c r="Q13" s="1">
        <v>1.7045928901654236E-4</v>
      </c>
      <c r="R13" s="100">
        <v>2664</v>
      </c>
      <c r="S13" s="100">
        <f t="shared" ref="S13:S70" si="23">R13*AVERAGE(L13:L14)</f>
        <v>1.4802802831282205</v>
      </c>
      <c r="T13" s="101">
        <f t="shared" si="18"/>
        <v>2662.5197197168718</v>
      </c>
      <c r="AE13" s="93">
        <f t="shared" ref="AE13:AE76" si="24">J13</f>
        <v>37770.5</v>
      </c>
      <c r="AF13" s="92">
        <f>Logistic2010!Q13</f>
        <v>1.7045928901654236E-4</v>
      </c>
      <c r="AG13" s="4">
        <f t="shared" si="19"/>
        <v>1.7045928901654236E-4</v>
      </c>
      <c r="AH13" s="92">
        <f>Logistic2011!Q13</f>
        <v>1.7045928901654236E-4</v>
      </c>
      <c r="AI13" s="92">
        <f>Logistic2012!Q13</f>
        <v>1.7045928901654236E-4</v>
      </c>
      <c r="AJ13" s="92">
        <f>Logistic2013!L13</f>
        <v>3.6412299007382412E-4</v>
      </c>
      <c r="AK13" s="119">
        <f t="shared" ref="AK13:AK76" si="25">L13</f>
        <v>5.0274674135478853E-4</v>
      </c>
      <c r="AL13" s="113">
        <v>2011</v>
      </c>
      <c r="AN13" s="113">
        <v>2010</v>
      </c>
      <c r="AO13" s="113">
        <v>2012</v>
      </c>
      <c r="AP13" s="113"/>
      <c r="AQ13" t="s">
        <v>28</v>
      </c>
      <c r="AR13"/>
      <c r="AS13"/>
      <c r="AT13"/>
      <c r="AU13"/>
      <c r="AV13"/>
      <c r="AW13"/>
    </row>
    <row r="14" spans="1:49" x14ac:dyDescent="0.25">
      <c r="A14" s="120">
        <v>0.05</v>
      </c>
      <c r="B14" s="124">
        <v>37820.5</v>
      </c>
      <c r="C14" s="121">
        <f t="shared" si="6"/>
        <v>399.99999999999994</v>
      </c>
      <c r="D14" s="106">
        <f t="shared" si="0"/>
        <v>55</v>
      </c>
      <c r="E14" s="81">
        <v>0.85699999999999998</v>
      </c>
      <c r="F14" s="41">
        <f t="shared" si="20"/>
        <v>0.87675320628420728</v>
      </c>
      <c r="G14" s="16">
        <f t="shared" si="2"/>
        <v>-1.9753206284207292E-2</v>
      </c>
      <c r="H14" s="51">
        <f t="shared" si="3"/>
        <v>0.15607566340257856</v>
      </c>
      <c r="J14" s="105">
        <f t="shared" si="10"/>
        <v>37771.5</v>
      </c>
      <c r="K14" s="109">
        <v>6</v>
      </c>
      <c r="L14" s="125">
        <f t="shared" si="4"/>
        <v>6.0857479252525697E-4</v>
      </c>
      <c r="M14" s="46">
        <f t="shared" si="11"/>
        <v>1.8291437965967419E-6</v>
      </c>
      <c r="N14" s="130">
        <v>1.8291437965967419E-6</v>
      </c>
      <c r="O14" s="89">
        <f t="shared" si="5"/>
        <v>1.8291437965967419E-6</v>
      </c>
      <c r="P14" s="48">
        <v>40328</v>
      </c>
      <c r="Q14" s="1">
        <v>0</v>
      </c>
      <c r="R14" s="100">
        <v>963</v>
      </c>
      <c r="S14" s="100">
        <f t="shared" si="23"/>
        <v>0.64773209374134444</v>
      </c>
      <c r="T14" s="101">
        <f t="shared" si="18"/>
        <v>962.3522679062587</v>
      </c>
      <c r="AE14" s="93">
        <f t="shared" si="24"/>
        <v>37771.5</v>
      </c>
      <c r="AF14" s="92">
        <f>Logistic2010!Q14</f>
        <v>2.0816384458125417E-4</v>
      </c>
      <c r="AG14" s="4">
        <f t="shared" si="19"/>
        <v>0</v>
      </c>
      <c r="AH14" s="92">
        <f>Logistic2011!Q14</f>
        <v>2.0816384458125417E-4</v>
      </c>
      <c r="AI14" s="92">
        <f>Logistic2012!Q14</f>
        <v>0</v>
      </c>
      <c r="AJ14" s="92">
        <f>Logistic2013!L14</f>
        <v>4.436902928409236E-4</v>
      </c>
      <c r="AK14" s="119">
        <f t="shared" si="25"/>
        <v>6.0857479252525697E-4</v>
      </c>
      <c r="AL14" s="115">
        <v>2E-3</v>
      </c>
      <c r="AN14" s="115">
        <v>4.1000000000000002E-2</v>
      </c>
      <c r="AO14" s="115">
        <v>2.4E-2</v>
      </c>
      <c r="AP14" s="115"/>
      <c r="AQ14"/>
      <c r="AR14"/>
      <c r="AS14"/>
      <c r="AT14"/>
      <c r="AU14"/>
      <c r="AV14"/>
      <c r="AW14"/>
    </row>
    <row r="15" spans="1:49" ht="16.5" thickBot="1" x14ac:dyDescent="0.3">
      <c r="A15" s="39"/>
      <c r="B15" s="49"/>
      <c r="C15" s="79"/>
      <c r="D15" s="86"/>
      <c r="E15" s="81"/>
      <c r="F15" s="50"/>
      <c r="G15" s="16"/>
      <c r="H15" s="51"/>
      <c r="J15" s="105">
        <f t="shared" si="10"/>
        <v>37772.5</v>
      </c>
      <c r="K15" s="109">
        <v>7</v>
      </c>
      <c r="L15" s="125">
        <f t="shared" si="4"/>
        <v>7.3666320070702633E-4</v>
      </c>
      <c r="M15" s="46">
        <f t="shared" si="11"/>
        <v>2.6066622560821447E-6</v>
      </c>
      <c r="N15" s="130">
        <v>2.6066622560821447E-6</v>
      </c>
      <c r="O15" s="89">
        <f t="shared" si="5"/>
        <v>2.6066622560821447E-6</v>
      </c>
      <c r="P15" s="48">
        <v>40329</v>
      </c>
      <c r="Q15" s="1">
        <v>6.2104077545281245E-5</v>
      </c>
      <c r="R15" s="100">
        <v>1106</v>
      </c>
      <c r="S15" s="100">
        <f t="shared" si="23"/>
        <v>0.90047748085626922</v>
      </c>
      <c r="T15" s="101">
        <f t="shared" si="18"/>
        <v>1105.0995225191436</v>
      </c>
      <c r="AE15" s="93">
        <f t="shared" si="24"/>
        <v>37772.5</v>
      </c>
      <c r="AF15" s="92">
        <f>Logistic2010!Q15</f>
        <v>2.542062975332477E-4</v>
      </c>
      <c r="AG15" s="4">
        <f t="shared" si="19"/>
        <v>6.2104077545281245E-5</v>
      </c>
      <c r="AH15" s="92">
        <f>Logistic2011!Q15</f>
        <v>3.5888786587624556E-5</v>
      </c>
      <c r="AI15" s="92">
        <f>Logistic2012!Q15</f>
        <v>6.2104077545281245E-5</v>
      </c>
      <c r="AJ15" s="92">
        <f>Logistic2013!L15</f>
        <v>5.4063505283763783E-4</v>
      </c>
      <c r="AK15" s="119">
        <f t="shared" si="25"/>
        <v>7.3666320070702633E-4</v>
      </c>
      <c r="AL15" s="4">
        <v>0</v>
      </c>
      <c r="AN15" s="115">
        <v>5.0000000000000001E-3</v>
      </c>
      <c r="AO15" s="115">
        <v>3.5999999999999997E-2</v>
      </c>
      <c r="AP15" s="110"/>
      <c r="AQ15" t="s">
        <v>29</v>
      </c>
      <c r="AR15"/>
      <c r="AS15"/>
      <c r="AT15"/>
      <c r="AU15"/>
      <c r="AV15"/>
      <c r="AW15"/>
    </row>
    <row r="16" spans="1:49" x14ac:dyDescent="0.25">
      <c r="A16" s="39"/>
      <c r="B16" s="49"/>
      <c r="C16" s="79"/>
      <c r="D16" s="86"/>
      <c r="E16" s="81"/>
      <c r="F16" s="50"/>
      <c r="G16" s="16"/>
      <c r="H16" s="51"/>
      <c r="J16" s="105">
        <f t="shared" si="10"/>
        <v>37773.5</v>
      </c>
      <c r="K16" s="109">
        <v>8</v>
      </c>
      <c r="L16" s="125">
        <f t="shared" si="4"/>
        <v>8.9168667425910237E-4</v>
      </c>
      <c r="M16" s="46">
        <f t="shared" si="11"/>
        <v>3.7146810897353246E-6</v>
      </c>
      <c r="N16" s="130">
        <v>3.7146810897353246E-6</v>
      </c>
      <c r="O16" s="89">
        <f t="shared" si="5"/>
        <v>3.7146810897353246E-6</v>
      </c>
      <c r="P16" s="48">
        <v>40330</v>
      </c>
      <c r="Q16" s="1">
        <v>8.271689671114933E-5</v>
      </c>
      <c r="R16" s="100">
        <v>3668</v>
      </c>
      <c r="S16" s="100">
        <f t="shared" si="23"/>
        <v>3.6147860139406038</v>
      </c>
      <c r="T16" s="101">
        <f t="shared" si="18"/>
        <v>3664.3852139860592</v>
      </c>
      <c r="AE16" s="93">
        <f t="shared" si="24"/>
        <v>37773.5</v>
      </c>
      <c r="AF16" s="92">
        <f>Logistic2010!Q16</f>
        <v>3.1042942936064727E-4</v>
      </c>
      <c r="AG16" s="4">
        <f t="shared" si="19"/>
        <v>8.271689671114933E-5</v>
      </c>
      <c r="AH16" s="92">
        <f>Logistic2011!Q16</f>
        <v>4.6160789501698919E-5</v>
      </c>
      <c r="AI16" s="92">
        <f>Logistic2012!Q16</f>
        <v>8.271689671114933E-5</v>
      </c>
      <c r="AJ16" s="92">
        <f>Logistic2013!L16</f>
        <v>6.5874794022489089E-4</v>
      </c>
      <c r="AK16" s="119">
        <f t="shared" si="25"/>
        <v>8.9168667425910237E-4</v>
      </c>
      <c r="AL16" s="114">
        <v>2.4E-2</v>
      </c>
      <c r="AN16" s="114">
        <v>7.5999999999999998E-2</v>
      </c>
      <c r="AO16" s="114">
        <v>7.0000000000000001E-3</v>
      </c>
      <c r="AP16" s="110"/>
      <c r="AQ16" s="112" t="s">
        <v>30</v>
      </c>
      <c r="AR16" s="112" t="s">
        <v>31</v>
      </c>
      <c r="AS16" s="112" t="s">
        <v>32</v>
      </c>
      <c r="AT16" s="112" t="s">
        <v>33</v>
      </c>
      <c r="AU16" s="112" t="s">
        <v>34</v>
      </c>
      <c r="AV16"/>
      <c r="AW16"/>
    </row>
    <row r="17" spans="1:49" x14ac:dyDescent="0.25">
      <c r="A17" s="120"/>
      <c r="B17" s="49"/>
      <c r="C17" s="79"/>
      <c r="D17" s="86" t="str">
        <f t="shared" ref="D17:D65" si="26">IF(B17&lt;&gt;0,B17-$A$3+1,"")</f>
        <v/>
      </c>
      <c r="E17" s="81"/>
      <c r="F17" s="50" t="str">
        <f t="shared" si="1"/>
        <v/>
      </c>
      <c r="G17" s="16" t="str">
        <f t="shared" si="2"/>
        <v/>
      </c>
      <c r="H17" s="51" t="str">
        <f t="shared" si="3"/>
        <v/>
      </c>
      <c r="J17" s="105">
        <f t="shared" si="10"/>
        <v>37774.5</v>
      </c>
      <c r="K17" s="109">
        <v>9</v>
      </c>
      <c r="L17" s="125">
        <f t="shared" si="4"/>
        <v>1.0792980661665267E-3</v>
      </c>
      <c r="M17" s="46">
        <f t="shared" si="11"/>
        <v>5.2936850821911276E-6</v>
      </c>
      <c r="N17" s="130">
        <v>5.2936850821911276E-6</v>
      </c>
      <c r="O17" s="89">
        <f t="shared" si="5"/>
        <v>5.2936850821911276E-6</v>
      </c>
      <c r="P17" s="48">
        <v>40331</v>
      </c>
      <c r="Q17" s="1">
        <v>1.1017051470513796E-4</v>
      </c>
      <c r="R17" s="100">
        <v>2939</v>
      </c>
      <c r="S17" s="100">
        <f t="shared" si="23"/>
        <v>3.5056824885848998</v>
      </c>
      <c r="T17" s="101">
        <f t="shared" si="18"/>
        <v>2935.4943175114149</v>
      </c>
      <c r="AE17" s="93">
        <f t="shared" si="24"/>
        <v>37774.5</v>
      </c>
      <c r="AF17" s="92">
        <f>Logistic2010!Q17</f>
        <v>3.7908278806435145E-4</v>
      </c>
      <c r="AG17" s="4">
        <f t="shared" si="19"/>
        <v>1.1017051470513796E-4</v>
      </c>
      <c r="AH17" s="92">
        <f>Logistic2011!Q17</f>
        <v>5.9372646030949961E-5</v>
      </c>
      <c r="AI17" s="92">
        <f>Logistic2012!Q17</f>
        <v>1.1017051470513796E-4</v>
      </c>
      <c r="AJ17" s="92">
        <f>Logistic2013!L17</f>
        <v>8.0264430321866907E-4</v>
      </c>
      <c r="AK17" s="119">
        <f t="shared" si="25"/>
        <v>1.0792980661665267E-3</v>
      </c>
      <c r="AL17" s="4">
        <v>0.16800000000000001</v>
      </c>
      <c r="AN17" s="113">
        <v>0.17699999999999999</v>
      </c>
      <c r="AO17" s="110">
        <v>0.35599999999999998</v>
      </c>
      <c r="AP17" s="110"/>
      <c r="AQ17" s="110">
        <v>2010</v>
      </c>
      <c r="AR17" s="110">
        <v>11</v>
      </c>
      <c r="AS17" s="110">
        <v>4.5669999999999993</v>
      </c>
      <c r="AT17" s="110">
        <v>0.4151818181818181</v>
      </c>
      <c r="AU17" s="110">
        <v>0.13328476363636368</v>
      </c>
      <c r="AV17"/>
      <c r="AW17"/>
    </row>
    <row r="18" spans="1:49" x14ac:dyDescent="0.25">
      <c r="A18" s="120"/>
      <c r="B18" s="49"/>
      <c r="C18" s="79"/>
      <c r="D18" s="86" t="str">
        <f t="shared" si="26"/>
        <v/>
      </c>
      <c r="E18" s="81"/>
      <c r="F18" s="50" t="str">
        <f t="shared" si="1"/>
        <v/>
      </c>
      <c r="G18" s="16" t="str">
        <f t="shared" si="2"/>
        <v/>
      </c>
      <c r="H18" s="51" t="str">
        <f t="shared" si="3"/>
        <v/>
      </c>
      <c r="J18" s="105">
        <f t="shared" si="10"/>
        <v>37775.5</v>
      </c>
      <c r="K18" s="109">
        <v>10</v>
      </c>
      <c r="L18" s="125">
        <f t="shared" si="4"/>
        <v>1.3063313918701522E-3</v>
      </c>
      <c r="M18" s="46">
        <f t="shared" si="11"/>
        <v>7.543873151853996E-6</v>
      </c>
      <c r="N18" s="130">
        <v>7.543873151853996E-6</v>
      </c>
      <c r="O18" s="89">
        <f t="shared" si="5"/>
        <v>7.543873151853996E-6</v>
      </c>
      <c r="P18" s="48">
        <v>40332</v>
      </c>
      <c r="Q18" s="1">
        <v>1.4673461154601208E-4</v>
      </c>
      <c r="R18" s="100">
        <v>2148</v>
      </c>
      <c r="S18" s="100">
        <f t="shared" si="23"/>
        <v>3.101043551083877</v>
      </c>
      <c r="T18" s="101">
        <f t="shared" si="18"/>
        <v>2144.8989564489161</v>
      </c>
      <c r="AE18" s="93">
        <f t="shared" si="24"/>
        <v>37775.5</v>
      </c>
      <c r="AF18" s="92">
        <f>Logistic2010!Q18</f>
        <v>4.6291222449000769E-4</v>
      </c>
      <c r="AG18" s="4">
        <f t="shared" si="19"/>
        <v>1.4673461154601208E-4</v>
      </c>
      <c r="AH18" s="92">
        <f>Logistic2011!Q18</f>
        <v>7.6365629883993208E-5</v>
      </c>
      <c r="AI18" s="92">
        <f>Logistic2012!Q18</f>
        <v>1.4673461154601208E-4</v>
      </c>
      <c r="AJ18" s="92">
        <f>Logistic2013!L18</f>
        <v>9.7794251088522961E-4</v>
      </c>
      <c r="AK18" s="119">
        <f t="shared" si="25"/>
        <v>1.3063313918701522E-3</v>
      </c>
      <c r="AL18" s="113">
        <v>4.7E-2</v>
      </c>
      <c r="AN18" s="113">
        <v>0.21199999999999999</v>
      </c>
      <c r="AO18" s="115">
        <v>0.51500000000000001</v>
      </c>
      <c r="AP18" s="113"/>
      <c r="AQ18" s="110">
        <v>2011</v>
      </c>
      <c r="AR18" s="110">
        <v>11</v>
      </c>
      <c r="AS18" s="110">
        <v>3.9729999999999994</v>
      </c>
      <c r="AT18" s="110">
        <v>0.3611818181818181</v>
      </c>
      <c r="AU18" s="110">
        <v>0.13927216363636366</v>
      </c>
      <c r="AV18"/>
      <c r="AW18"/>
    </row>
    <row r="19" spans="1:49" ht="16.5" thickBot="1" x14ac:dyDescent="0.3">
      <c r="A19" s="120"/>
      <c r="B19" s="49"/>
      <c r="C19" s="79"/>
      <c r="D19" s="86" t="str">
        <f t="shared" si="26"/>
        <v/>
      </c>
      <c r="E19" s="81"/>
      <c r="F19" s="50" t="str">
        <f t="shared" si="1"/>
        <v/>
      </c>
      <c r="G19" s="16" t="str">
        <f t="shared" si="2"/>
        <v/>
      </c>
      <c r="H19" s="51" t="str">
        <f t="shared" si="3"/>
        <v/>
      </c>
      <c r="J19" s="105">
        <f t="shared" si="10"/>
        <v>37776.5</v>
      </c>
      <c r="K19" s="109">
        <v>11</v>
      </c>
      <c r="L19" s="125">
        <f t="shared" si="4"/>
        <v>1.5810462162153941E-3</v>
      </c>
      <c r="M19" s="46">
        <f t="shared" si="11"/>
        <v>1.0750538956072072E-5</v>
      </c>
      <c r="N19" s="130">
        <v>1.0750538956072072E-5</v>
      </c>
      <c r="O19" s="89">
        <f t="shared" si="5"/>
        <v>1.0750538956072072E-5</v>
      </c>
      <c r="P19" s="48">
        <v>40333</v>
      </c>
      <c r="Q19" s="1">
        <v>1.9543146345089269E-4</v>
      </c>
      <c r="R19" s="100">
        <v>5309</v>
      </c>
      <c r="S19" s="100">
        <f t="shared" si="23"/>
        <v>9.2760645020028143</v>
      </c>
      <c r="T19" s="101">
        <f t="shared" si="18"/>
        <v>5299.7239354979974</v>
      </c>
      <c r="AE19" s="93">
        <f t="shared" si="24"/>
        <v>37776.5</v>
      </c>
      <c r="AF19" s="92">
        <f>Logistic2010!Q19</f>
        <v>5.6526901369757224E-4</v>
      </c>
      <c r="AG19" s="4">
        <f t="shared" si="19"/>
        <v>1.9543146345089269E-4</v>
      </c>
      <c r="AH19" s="92">
        <f>Logistic2011!Q19</f>
        <v>9.8221680405067934E-5</v>
      </c>
      <c r="AI19" s="92">
        <f>Logistic2012!Q19</f>
        <v>1.9543146345089269E-4</v>
      </c>
      <c r="AJ19" s="92">
        <f>Logistic2013!L19</f>
        <v>1.19148034540422E-3</v>
      </c>
      <c r="AK19" s="119">
        <f t="shared" si="25"/>
        <v>1.5810462162153941E-3</v>
      </c>
      <c r="AL19" s="110">
        <v>0.215</v>
      </c>
      <c r="AN19" s="115">
        <v>0.216</v>
      </c>
      <c r="AO19" s="110">
        <v>0.90100000000000002</v>
      </c>
      <c r="AP19" s="113"/>
      <c r="AQ19" s="111">
        <v>2012</v>
      </c>
      <c r="AR19" s="111">
        <v>11</v>
      </c>
      <c r="AS19" s="111">
        <v>6.5350000000000001</v>
      </c>
      <c r="AT19" s="111">
        <v>0.59409090909090911</v>
      </c>
      <c r="AU19" s="111">
        <v>0.17708689090909088</v>
      </c>
      <c r="AV19"/>
      <c r="AW19"/>
    </row>
    <row r="20" spans="1:49" x14ac:dyDescent="0.25">
      <c r="A20" s="120"/>
      <c r="B20" s="49"/>
      <c r="C20" s="79"/>
      <c r="D20" s="86" t="str">
        <f t="shared" si="26"/>
        <v/>
      </c>
      <c r="E20" s="81"/>
      <c r="F20" s="50" t="str">
        <f t="shared" si="1"/>
        <v/>
      </c>
      <c r="G20" s="16" t="str">
        <f t="shared" si="2"/>
        <v/>
      </c>
      <c r="H20" s="51" t="str">
        <f t="shared" si="3"/>
        <v/>
      </c>
      <c r="J20" s="105">
        <f t="shared" si="10"/>
        <v>37777.5</v>
      </c>
      <c r="K20" s="109">
        <v>12</v>
      </c>
      <c r="L20" s="125">
        <f t="shared" si="4"/>
        <v>1.9134214809037675E-3</v>
      </c>
      <c r="M20" s="46">
        <f t="shared" si="11"/>
        <v>1.5320237759159121E-5</v>
      </c>
      <c r="N20" s="130">
        <v>1.5320237759159121E-5</v>
      </c>
      <c r="O20" s="89">
        <f t="shared" si="5"/>
        <v>1.5320237759159121E-5</v>
      </c>
      <c r="P20" s="48">
        <v>40334</v>
      </c>
      <c r="Q20" s="1">
        <v>2.6028514457293443E-4</v>
      </c>
      <c r="R20" s="100">
        <v>3853</v>
      </c>
      <c r="S20" s="100">
        <f t="shared" si="23"/>
        <v>8.1470331258001956</v>
      </c>
      <c r="T20" s="101">
        <f t="shared" si="18"/>
        <v>3844.8529668741999</v>
      </c>
      <c r="U20" s="40">
        <v>40712</v>
      </c>
      <c r="V20" s="92">
        <v>3.5999999999999997E-2</v>
      </c>
      <c r="W20" s="92"/>
      <c r="X20" s="92"/>
      <c r="Y20" s="92"/>
      <c r="Z20" s="92"/>
      <c r="AE20" s="93">
        <f t="shared" si="24"/>
        <v>37777.5</v>
      </c>
      <c r="AF20" s="92">
        <f>Logistic2010!Q20</f>
        <v>6.9024278465830858E-4</v>
      </c>
      <c r="AG20" s="4">
        <f t="shared" si="19"/>
        <v>2.6028514457293443E-4</v>
      </c>
      <c r="AH20" s="92">
        <f>Logistic2011!Q20</f>
        <v>1.2633220159905076E-4</v>
      </c>
      <c r="AI20" s="92">
        <f>Logistic2012!Q20</f>
        <v>2.6028514457293443E-4</v>
      </c>
      <c r="AJ20" s="92">
        <f>Logistic2013!L20</f>
        <v>1.4515773097888444E-3</v>
      </c>
      <c r="AK20" s="119">
        <f t="shared" si="25"/>
        <v>1.9134214809037675E-3</v>
      </c>
      <c r="AL20" s="114">
        <v>0.28100000000000003</v>
      </c>
      <c r="AN20" s="110">
        <v>0.48099999999999998</v>
      </c>
      <c r="AO20" s="113">
        <v>0.77500000000000002</v>
      </c>
      <c r="AP20" s="113"/>
      <c r="AQ20"/>
      <c r="AR20"/>
      <c r="AS20"/>
      <c r="AT20"/>
      <c r="AU20"/>
      <c r="AV20"/>
      <c r="AW20"/>
    </row>
    <row r="21" spans="1:49" x14ac:dyDescent="0.25">
      <c r="A21" s="120"/>
      <c r="B21" s="49"/>
      <c r="C21" s="79"/>
      <c r="D21" s="86" t="str">
        <f t="shared" si="26"/>
        <v/>
      </c>
      <c r="E21" s="81"/>
      <c r="F21" s="50" t="str">
        <f t="shared" si="1"/>
        <v/>
      </c>
      <c r="G21" s="16" t="str">
        <f t="shared" si="2"/>
        <v/>
      </c>
      <c r="H21" s="51" t="str">
        <f t="shared" si="3"/>
        <v/>
      </c>
      <c r="I21" s="9"/>
      <c r="J21" s="105">
        <f t="shared" si="10"/>
        <v>37778.5</v>
      </c>
      <c r="K21" s="109">
        <v>13</v>
      </c>
      <c r="L21" s="125">
        <f t="shared" si="4"/>
        <v>2.3155082495920514E-3</v>
      </c>
      <c r="M21" s="46">
        <f t="shared" si="11"/>
        <v>2.1832322085948411E-5</v>
      </c>
      <c r="N21" s="130">
        <v>2.1832322085948411E-5</v>
      </c>
      <c r="O21" s="89">
        <f t="shared" si="5"/>
        <v>2.1832322085948411E-5</v>
      </c>
      <c r="P21" s="48">
        <v>40335</v>
      </c>
      <c r="Q21" s="1">
        <v>3.4665297481631412E-4</v>
      </c>
      <c r="R21" s="100">
        <v>10476</v>
      </c>
      <c r="S21" s="100">
        <f t="shared" si="23"/>
        <v>26.804735167399375</v>
      </c>
      <c r="T21" s="101">
        <f t="shared" si="18"/>
        <v>10449.195264832601</v>
      </c>
      <c r="U21" s="49">
        <v>40713</v>
      </c>
      <c r="V21" s="92"/>
      <c r="W21" s="92"/>
      <c r="X21" s="92"/>
      <c r="Y21" s="92"/>
      <c r="Z21" s="92"/>
      <c r="AE21" s="93">
        <f t="shared" si="24"/>
        <v>37778.5</v>
      </c>
      <c r="AF21" s="92">
        <f>Logistic2010!Q21</f>
        <v>8.428233623178356E-4</v>
      </c>
      <c r="AG21" s="4">
        <f t="shared" si="19"/>
        <v>3.4665297481631412E-4</v>
      </c>
      <c r="AH21" s="92">
        <f>Logistic2011!Q21</f>
        <v>1.624864967222617E-4</v>
      </c>
      <c r="AI21" s="92">
        <f>Logistic2012!Q21</f>
        <v>3.4665297481631412E-4</v>
      </c>
      <c r="AJ21" s="92">
        <f>Logistic2013!L21</f>
        <v>1.7683522199292421E-3</v>
      </c>
      <c r="AK21" s="119">
        <f t="shared" si="25"/>
        <v>2.3155082495920514E-3</v>
      </c>
      <c r="AL21" s="113">
        <v>0.70299999999999996</v>
      </c>
      <c r="AN21" s="113">
        <v>0.77300000000000002</v>
      </c>
      <c r="AO21" s="115">
        <v>0.93</v>
      </c>
      <c r="AP21" s="115"/>
      <c r="AQ21"/>
      <c r="AR21"/>
      <c r="AS21"/>
      <c r="AT21"/>
      <c r="AU21"/>
      <c r="AV21"/>
      <c r="AW21"/>
    </row>
    <row r="22" spans="1:49" ht="16.5" thickBot="1" x14ac:dyDescent="0.3">
      <c r="A22" s="120"/>
      <c r="B22" s="49"/>
      <c r="C22" s="79"/>
      <c r="D22" s="86" t="str">
        <f t="shared" si="26"/>
        <v/>
      </c>
      <c r="E22" s="81"/>
      <c r="F22" s="50" t="str">
        <f t="shared" si="1"/>
        <v/>
      </c>
      <c r="G22" s="16" t="str">
        <f t="shared" si="2"/>
        <v/>
      </c>
      <c r="H22" s="51" t="str">
        <f t="shared" si="3"/>
        <v/>
      </c>
      <c r="I22" s="53"/>
      <c r="J22" s="105">
        <f t="shared" si="10"/>
        <v>37779.5</v>
      </c>
      <c r="K22" s="109">
        <v>14</v>
      </c>
      <c r="L22" s="125">
        <f t="shared" si="4"/>
        <v>2.801852416196298E-3</v>
      </c>
      <c r="M22" s="46">
        <f t="shared" si="11"/>
        <v>3.1112374086324488E-5</v>
      </c>
      <c r="N22" s="130">
        <v>3.1112374086324488E-5</v>
      </c>
      <c r="O22" s="89">
        <f t="shared" si="5"/>
        <v>3.1112374086324488E-5</v>
      </c>
      <c r="P22" s="48">
        <v>40336</v>
      </c>
      <c r="Q22" s="1">
        <v>4.6166614885428784E-4</v>
      </c>
      <c r="R22" s="100">
        <v>15768</v>
      </c>
      <c r="S22" s="100">
        <f t="shared" si="23"/>
        <v>48.816565457561332</v>
      </c>
      <c r="T22" s="101">
        <f t="shared" si="18"/>
        <v>15719.183434542439</v>
      </c>
      <c r="U22" s="49">
        <v>40714</v>
      </c>
      <c r="V22" s="92"/>
      <c r="W22" s="92"/>
      <c r="X22" s="92"/>
      <c r="Y22" s="92"/>
      <c r="Z22" s="92"/>
      <c r="AE22" s="93">
        <f t="shared" si="24"/>
        <v>37779.5</v>
      </c>
      <c r="AF22" s="92">
        <f>Logistic2010!Q22</f>
        <v>1.0290976755680944E-3</v>
      </c>
      <c r="AG22" s="4">
        <f t="shared" si="19"/>
        <v>4.6166614885428784E-4</v>
      </c>
      <c r="AH22" s="92">
        <f>Logistic2011!Q22</f>
        <v>2.0898542158394941E-4</v>
      </c>
      <c r="AI22" s="92">
        <f>Logistic2012!Q22</f>
        <v>4.6166614885428784E-4</v>
      </c>
      <c r="AJ22" s="92">
        <f>Logistic2013!L22</f>
        <v>2.1541071781976768E-3</v>
      </c>
      <c r="AK22" s="119">
        <f t="shared" si="25"/>
        <v>2.801852416196298E-3</v>
      </c>
      <c r="AL22" s="110">
        <v>0.69199999999999995</v>
      </c>
      <c r="AN22" s="110">
        <v>0.70699999999999996</v>
      </c>
      <c r="AO22" s="113">
        <v>0.997</v>
      </c>
      <c r="AP22" s="110"/>
      <c r="AQ22" t="s">
        <v>35</v>
      </c>
      <c r="AR22"/>
      <c r="AS22"/>
      <c r="AT22"/>
      <c r="AU22"/>
      <c r="AV22"/>
      <c r="AW22"/>
    </row>
    <row r="23" spans="1:49" x14ac:dyDescent="0.25">
      <c r="A23" s="39"/>
      <c r="B23" s="49"/>
      <c r="C23" s="79"/>
      <c r="D23" s="86" t="str">
        <f t="shared" si="26"/>
        <v/>
      </c>
      <c r="E23" s="81"/>
      <c r="F23" s="50" t="str">
        <f t="shared" si="1"/>
        <v/>
      </c>
      <c r="G23" s="16" t="str">
        <f t="shared" si="2"/>
        <v/>
      </c>
      <c r="H23" s="51" t="str">
        <f t="shared" si="3"/>
        <v/>
      </c>
      <c r="I23" s="53"/>
      <c r="J23" s="105">
        <f t="shared" si="10"/>
        <v>37780.5</v>
      </c>
      <c r="K23" s="109">
        <v>15</v>
      </c>
      <c r="L23" s="125">
        <f t="shared" si="4"/>
        <v>3.3900001278880923E-3</v>
      </c>
      <c r="M23" s="46">
        <f t="shared" si="11"/>
        <v>4.4336832295415093E-5</v>
      </c>
      <c r="N23" s="130">
        <v>4.4336832295415093E-5</v>
      </c>
      <c r="O23" s="89">
        <f t="shared" si="5"/>
        <v>4.4336832295415093E-5</v>
      </c>
      <c r="P23" s="48">
        <v>40337</v>
      </c>
      <c r="Q23" s="1">
        <v>6.1481514040778599E-4</v>
      </c>
      <c r="R23" s="100">
        <v>13548</v>
      </c>
      <c r="S23" s="100">
        <f t="shared" si="23"/>
        <v>50.744715393967638</v>
      </c>
      <c r="T23" s="101">
        <f t="shared" si="18"/>
        <v>13497.255284606032</v>
      </c>
      <c r="U23" s="49">
        <v>40715</v>
      </c>
      <c r="V23" s="92"/>
      <c r="W23" s="92"/>
      <c r="X23" s="92"/>
      <c r="Y23" s="92"/>
      <c r="Z23" s="92"/>
      <c r="AE23" s="93">
        <f t="shared" si="24"/>
        <v>37780.5</v>
      </c>
      <c r="AF23" s="92">
        <f>Logistic2010!Q23</f>
        <v>1.2564891276397731E-3</v>
      </c>
      <c r="AG23" s="4">
        <f t="shared" si="19"/>
        <v>6.1481514040778599E-4</v>
      </c>
      <c r="AH23" s="92">
        <f>Logistic2011!Q23</f>
        <v>2.6878741349269233E-4</v>
      </c>
      <c r="AI23" s="92">
        <f>Logistic2012!Q23</f>
        <v>6.1481514040778599E-4</v>
      </c>
      <c r="AJ23" s="92">
        <f>Logistic2013!L23</f>
        <v>2.6237909806921655E-3</v>
      </c>
      <c r="AK23" s="119">
        <f t="shared" si="25"/>
        <v>3.3900001278880923E-3</v>
      </c>
      <c r="AL23" s="110">
        <v>0.877</v>
      </c>
      <c r="AN23" s="115">
        <v>0.89200000000000002</v>
      </c>
      <c r="AO23" s="110">
        <v>0.99399999999999999</v>
      </c>
      <c r="AP23" s="110"/>
      <c r="AQ23" s="112" t="s">
        <v>36</v>
      </c>
      <c r="AR23" s="112" t="s">
        <v>37</v>
      </c>
      <c r="AS23" s="112" t="s">
        <v>38</v>
      </c>
      <c r="AT23" s="112" t="s">
        <v>39</v>
      </c>
      <c r="AU23" s="112" t="s">
        <v>40</v>
      </c>
      <c r="AV23" s="112" t="s">
        <v>41</v>
      </c>
      <c r="AW23" s="112" t="s">
        <v>42</v>
      </c>
    </row>
    <row r="24" spans="1:49" x14ac:dyDescent="0.25">
      <c r="A24" s="39"/>
      <c r="B24" s="49"/>
      <c r="C24" s="79"/>
      <c r="D24" s="86" t="str">
        <f t="shared" si="26"/>
        <v/>
      </c>
      <c r="E24" s="81"/>
      <c r="F24" s="50" t="str">
        <f t="shared" si="1"/>
        <v/>
      </c>
      <c r="G24" s="16" t="str">
        <f t="shared" si="2"/>
        <v/>
      </c>
      <c r="H24" s="51" t="str">
        <f t="shared" si="3"/>
        <v/>
      </c>
      <c r="I24" s="53"/>
      <c r="J24" s="105">
        <f t="shared" si="10"/>
        <v>37781.5</v>
      </c>
      <c r="K24" s="109">
        <v>16</v>
      </c>
      <c r="L24" s="125">
        <f t="shared" si="4"/>
        <v>4.101100461714453E-3</v>
      </c>
      <c r="M24" s="46">
        <f t="shared" si="11"/>
        <v>6.3182052340935858E-5</v>
      </c>
      <c r="N24" s="130">
        <v>6.3182052340935858E-5</v>
      </c>
      <c r="O24" s="89">
        <f t="shared" si="5"/>
        <v>6.3182052340935858E-5</v>
      </c>
      <c r="P24" s="48">
        <v>40338</v>
      </c>
      <c r="Q24" s="1">
        <v>8.1872679212602632E-4</v>
      </c>
      <c r="R24" s="100">
        <v>8722</v>
      </c>
      <c r="S24" s="100">
        <f t="shared" si="23"/>
        <v>39.518170168449721</v>
      </c>
      <c r="T24" s="101">
        <f t="shared" si="18"/>
        <v>8682.4818298315495</v>
      </c>
      <c r="U24" s="49">
        <v>40716</v>
      </c>
      <c r="V24" s="92"/>
      <c r="W24" s="92"/>
      <c r="X24" s="92"/>
      <c r="Y24" s="92"/>
      <c r="Z24" s="92"/>
      <c r="AE24" s="93">
        <f t="shared" si="24"/>
        <v>37781.5</v>
      </c>
      <c r="AF24" s="92">
        <f>Logistic2010!Q24</f>
        <v>1.5340482859932569E-3</v>
      </c>
      <c r="AG24" s="4">
        <f t="shared" si="19"/>
        <v>8.1872679212602632E-4</v>
      </c>
      <c r="AH24" s="92">
        <f>Logistic2011!Q24</f>
        <v>3.4569606119318159E-4</v>
      </c>
      <c r="AI24" s="92">
        <f>Logistic2012!Q24</f>
        <v>8.1872679212602632E-4</v>
      </c>
      <c r="AJ24" s="92">
        <f>Logistic2013!L24</f>
        <v>3.1955571705628975E-3</v>
      </c>
      <c r="AK24" s="119">
        <f t="shared" si="25"/>
        <v>4.101100461714453E-3</v>
      </c>
      <c r="AL24" s="113">
        <v>0.96399999999999997</v>
      </c>
      <c r="AN24" s="113">
        <v>0.98699999999999999</v>
      </c>
      <c r="AO24" s="110">
        <v>1</v>
      </c>
      <c r="AP24" s="110"/>
      <c r="AQ24" s="110" t="s">
        <v>43</v>
      </c>
      <c r="AR24" s="110">
        <v>0.32696072727272707</v>
      </c>
      <c r="AS24" s="110">
        <v>2</v>
      </c>
      <c r="AT24" s="110">
        <v>0.16348036363636353</v>
      </c>
      <c r="AU24" s="110">
        <v>1.0907324221474686</v>
      </c>
      <c r="AV24" s="110">
        <v>0.34892468287406753</v>
      </c>
      <c r="AW24" s="110">
        <v>3.3158295010646679</v>
      </c>
    </row>
    <row r="25" spans="1:49" x14ac:dyDescent="0.25">
      <c r="A25" s="39"/>
      <c r="B25" s="49"/>
      <c r="C25" s="79"/>
      <c r="D25" s="86" t="str">
        <f t="shared" si="26"/>
        <v/>
      </c>
      <c r="E25" s="81"/>
      <c r="F25" s="50" t="str">
        <f t="shared" si="1"/>
        <v/>
      </c>
      <c r="G25" s="16" t="str">
        <f t="shared" si="2"/>
        <v/>
      </c>
      <c r="H25" s="51" t="str">
        <f t="shared" si="3"/>
        <v/>
      </c>
      <c r="I25" s="54"/>
      <c r="J25" s="105">
        <f t="shared" si="10"/>
        <v>37782.5</v>
      </c>
      <c r="K25" s="109">
        <v>17</v>
      </c>
      <c r="L25" s="125">
        <f t="shared" si="4"/>
        <v>4.960621659003208E-3</v>
      </c>
      <c r="M25" s="46">
        <f t="shared" si="11"/>
        <v>9.003664795384782E-5</v>
      </c>
      <c r="N25" s="130">
        <v>9.003664795384782E-5</v>
      </c>
      <c r="O25" s="89">
        <f t="shared" si="5"/>
        <v>9.003664795384782E-5</v>
      </c>
      <c r="P25" s="48">
        <v>40339</v>
      </c>
      <c r="Q25" s="1">
        <v>1.0901946909765959E-3</v>
      </c>
      <c r="R25" s="100">
        <v>10831</v>
      </c>
      <c r="S25" s="100">
        <f t="shared" si="23"/>
        <v>59.352907637302756</v>
      </c>
      <c r="T25" s="101">
        <f t="shared" si="18"/>
        <v>10771.647092362697</v>
      </c>
      <c r="U25" s="49">
        <v>40717</v>
      </c>
      <c r="V25" s="92"/>
      <c r="W25" s="92"/>
      <c r="X25" s="92"/>
      <c r="Y25" s="92"/>
      <c r="Z25" s="92"/>
      <c r="AE25" s="93">
        <f t="shared" si="24"/>
        <v>37782.5</v>
      </c>
      <c r="AF25" s="92">
        <f>Logistic2010!Q25</f>
        <v>1.8728054475450151E-3</v>
      </c>
      <c r="AG25" s="4">
        <f t="shared" si="19"/>
        <v>1.0901946909765959E-3</v>
      </c>
      <c r="AH25" s="92">
        <f>Logistic2011!Q25</f>
        <v>4.4460093825327419E-4</v>
      </c>
      <c r="AI25" s="92">
        <f>Logistic2012!Q25</f>
        <v>1.0901946909765959E-3</v>
      </c>
      <c r="AJ25" s="92">
        <f>Logistic2013!L25</f>
        <v>3.8914342584479623E-3</v>
      </c>
      <c r="AK25" s="119">
        <f t="shared" si="25"/>
        <v>4.960621659003208E-3</v>
      </c>
      <c r="AM25" s="110"/>
      <c r="AO25" s="110"/>
      <c r="AP25" s="110"/>
      <c r="AQ25" s="110" t="s">
        <v>44</v>
      </c>
      <c r="AR25" s="110">
        <v>4.4964381818181822</v>
      </c>
      <c r="AS25" s="110">
        <v>30</v>
      </c>
      <c r="AT25" s="110">
        <v>0.14988127272727275</v>
      </c>
      <c r="AU25" s="110"/>
      <c r="AV25" s="110"/>
      <c r="AW25" s="110"/>
    </row>
    <row r="26" spans="1:49" x14ac:dyDescent="0.25">
      <c r="A26" s="39"/>
      <c r="B26" s="49"/>
      <c r="C26" s="79"/>
      <c r="D26" s="86" t="str">
        <f t="shared" si="26"/>
        <v/>
      </c>
      <c r="E26" s="81"/>
      <c r="F26" s="50" t="str">
        <f t="shared" si="1"/>
        <v/>
      </c>
      <c r="G26" s="16" t="str">
        <f t="shared" si="2"/>
        <v/>
      </c>
      <c r="H26" s="51" t="str">
        <f t="shared" si="3"/>
        <v/>
      </c>
      <c r="I26" s="54"/>
      <c r="J26" s="105">
        <f t="shared" si="10"/>
        <v>37783.5</v>
      </c>
      <c r="K26" s="109">
        <v>18</v>
      </c>
      <c r="L26" s="125">
        <f t="shared" si="4"/>
        <v>5.9991987892107617E-3</v>
      </c>
      <c r="M26" s="46">
        <f t="shared" si="11"/>
        <v>1.2830392713932698E-4</v>
      </c>
      <c r="N26" s="130">
        <v>1.2830392713932698E-4</v>
      </c>
      <c r="O26" s="89">
        <f t="shared" si="5"/>
        <v>1.2830392713932698E-4</v>
      </c>
      <c r="P26" s="48">
        <v>40340</v>
      </c>
      <c r="Q26" s="1">
        <v>1.4515433191966043E-3</v>
      </c>
      <c r="R26" s="100">
        <v>10194</v>
      </c>
      <c r="S26" s="100">
        <f t="shared" si="23"/>
        <v>67.549677531665552</v>
      </c>
      <c r="T26" s="101">
        <f t="shared" si="18"/>
        <v>10126.450322468334</v>
      </c>
      <c r="U26" s="49">
        <v>40718</v>
      </c>
      <c r="V26" s="92"/>
      <c r="W26" s="92"/>
      <c r="X26" s="92"/>
      <c r="Y26" s="92"/>
      <c r="Z26" s="92"/>
      <c r="AE26" s="93">
        <f t="shared" si="24"/>
        <v>37783.5</v>
      </c>
      <c r="AF26" s="92">
        <f>Logistic2010!Q26</f>
        <v>2.2861975841660187E-3</v>
      </c>
      <c r="AG26" s="4">
        <f t="shared" si="19"/>
        <v>1.4515433191966043E-3</v>
      </c>
      <c r="AH26" s="92">
        <f>Logistic2011!Q26</f>
        <v>5.7178666821399956E-4</v>
      </c>
      <c r="AI26" s="92">
        <f>Logistic2012!Q26</f>
        <v>1.4515433191966043E-3</v>
      </c>
      <c r="AJ26" s="92">
        <f>Logistic2013!L26</f>
        <v>4.7381279726284222E-3</v>
      </c>
      <c r="AK26" s="119">
        <f t="shared" si="25"/>
        <v>5.9991987892107617E-3</v>
      </c>
      <c r="AL26" s="114"/>
      <c r="AM26" s="114"/>
      <c r="AN26" s="114"/>
      <c r="AO26" s="114"/>
      <c r="AP26" s="114"/>
      <c r="AQ26" s="110"/>
      <c r="AR26" s="110"/>
      <c r="AS26" s="110"/>
      <c r="AT26" s="110"/>
      <c r="AU26" s="110"/>
      <c r="AV26" s="110"/>
      <c r="AW26" s="110"/>
    </row>
    <row r="27" spans="1:49" ht="16.5" thickBot="1" x14ac:dyDescent="0.3">
      <c r="B27" s="49"/>
      <c r="C27" s="79"/>
      <c r="D27" s="86" t="str">
        <f t="shared" si="26"/>
        <v/>
      </c>
      <c r="E27" s="81"/>
      <c r="F27" s="50" t="str">
        <f t="shared" si="1"/>
        <v/>
      </c>
      <c r="G27" s="16" t="str">
        <f t="shared" si="2"/>
        <v/>
      </c>
      <c r="H27" s="51" t="str">
        <f t="shared" si="3"/>
        <v/>
      </c>
      <c r="I27" s="54"/>
      <c r="J27" s="105">
        <f t="shared" si="10"/>
        <v>37784.5</v>
      </c>
      <c r="K27" s="109">
        <v>19</v>
      </c>
      <c r="L27" s="125">
        <f t="shared" si="4"/>
        <v>7.2536318036214055E-3</v>
      </c>
      <c r="M27" s="46">
        <f t="shared" si="11"/>
        <v>1.8283255021357849E-4</v>
      </c>
      <c r="N27" s="130">
        <v>1.8283255021357849E-4</v>
      </c>
      <c r="O27" s="89">
        <f t="shared" si="5"/>
        <v>1.8283255021357849E-4</v>
      </c>
      <c r="P27" s="48">
        <v>40341</v>
      </c>
      <c r="Q27" s="1">
        <v>1.9324304426046567E-3</v>
      </c>
      <c r="R27" s="100">
        <v>4837</v>
      </c>
      <c r="S27" s="100">
        <f t="shared" si="23"/>
        <v>38.748444979965498</v>
      </c>
      <c r="T27" s="101">
        <f t="shared" si="18"/>
        <v>4798.2515550200342</v>
      </c>
      <c r="U27" s="49">
        <v>40719</v>
      </c>
      <c r="V27" s="92">
        <v>7.0000000000000001E-3</v>
      </c>
      <c r="W27" s="92"/>
      <c r="X27" s="92"/>
      <c r="Y27" s="92"/>
      <c r="Z27" s="92"/>
      <c r="AE27" s="93">
        <f t="shared" si="24"/>
        <v>37784.5</v>
      </c>
      <c r="AF27" s="92">
        <f>Logistic2010!Q27</f>
        <v>2.7905843687065831E-3</v>
      </c>
      <c r="AG27" s="4">
        <f t="shared" si="19"/>
        <v>1.9324304426046567E-3</v>
      </c>
      <c r="AH27" s="92">
        <f>Logistic2011!Q27</f>
        <v>7.3532929350053459E-4</v>
      </c>
      <c r="AI27" s="92">
        <f>Logistic2012!Q27</f>
        <v>1.9324304426046567E-3</v>
      </c>
      <c r="AJ27" s="92">
        <f>Logistic2013!L27</f>
        <v>5.7679775716238009E-3</v>
      </c>
      <c r="AK27" s="119">
        <f t="shared" si="25"/>
        <v>7.2536318036214055E-3</v>
      </c>
      <c r="AL27" s="114"/>
      <c r="AN27" s="114"/>
      <c r="AO27" s="114"/>
      <c r="AP27" s="114"/>
      <c r="AQ27" s="111" t="s">
        <v>45</v>
      </c>
      <c r="AR27" s="111">
        <v>4.8233989090909093</v>
      </c>
      <c r="AS27" s="111">
        <v>32</v>
      </c>
      <c r="AT27" s="111"/>
      <c r="AU27" s="111"/>
      <c r="AV27" s="111"/>
      <c r="AW27" s="111"/>
    </row>
    <row r="28" spans="1:49" x14ac:dyDescent="0.25">
      <c r="B28" s="49"/>
      <c r="C28" s="79"/>
      <c r="D28" s="86" t="str">
        <f t="shared" si="26"/>
        <v/>
      </c>
      <c r="E28" s="81"/>
      <c r="F28" s="50" t="str">
        <f t="shared" si="1"/>
        <v/>
      </c>
      <c r="G28" s="16" t="str">
        <f t="shared" si="2"/>
        <v/>
      </c>
      <c r="H28" s="51" t="str">
        <f t="shared" si="3"/>
        <v/>
      </c>
      <c r="I28" s="54"/>
      <c r="J28" s="105">
        <f t="shared" si="10"/>
        <v>37785.5</v>
      </c>
      <c r="K28" s="109">
        <v>20</v>
      </c>
      <c r="L28" s="125">
        <f t="shared" si="4"/>
        <v>8.7680531167695416E-3</v>
      </c>
      <c r="M28" s="46">
        <f t="shared" si="11"/>
        <v>2.6052956766402371E-4</v>
      </c>
      <c r="N28" s="130">
        <v>2.6052956766402371E-4</v>
      </c>
      <c r="O28" s="89">
        <f t="shared" si="5"/>
        <v>2.6052956766402371E-4</v>
      </c>
      <c r="P28" s="48">
        <v>40342</v>
      </c>
      <c r="Q28" s="1">
        <v>2.5722220404043386E-3</v>
      </c>
      <c r="R28" s="100">
        <v>8645</v>
      </c>
      <c r="S28" s="100">
        <f t="shared" si="23"/>
        <v>83.698018092854895</v>
      </c>
      <c r="T28" s="101">
        <f t="shared" si="18"/>
        <v>8561.3019819071451</v>
      </c>
      <c r="U28" s="40">
        <v>40720</v>
      </c>
      <c r="V28" s="92"/>
      <c r="W28" s="92"/>
      <c r="X28" s="92"/>
      <c r="Y28" s="92"/>
      <c r="Z28" s="92"/>
      <c r="AE28" s="93">
        <f t="shared" si="24"/>
        <v>37785.5</v>
      </c>
      <c r="AF28" s="92">
        <f>Logistic2010!Q28</f>
        <v>3.4058703908046778E-3</v>
      </c>
      <c r="AG28" s="4">
        <f t="shared" si="19"/>
        <v>2.5722220404043386E-3</v>
      </c>
      <c r="AH28" s="92">
        <f>Logistic2011!Q28</f>
        <v>9.4560418099634688E-4</v>
      </c>
      <c r="AI28" s="92">
        <f>Logistic2012!Q28</f>
        <v>2.5722220404043386E-3</v>
      </c>
      <c r="AJ28" s="92">
        <f>Logistic2013!L28</f>
        <v>7.0200899120878707E-3</v>
      </c>
      <c r="AK28" s="119">
        <f t="shared" si="25"/>
        <v>8.7680531167695416E-3</v>
      </c>
      <c r="AL28" s="114"/>
      <c r="AM28" s="114"/>
      <c r="AP28" s="114"/>
      <c r="AQ28" s="114"/>
      <c r="AR28" s="114"/>
      <c r="AS28" s="114"/>
      <c r="AT28" s="114"/>
    </row>
    <row r="29" spans="1:49" x14ac:dyDescent="0.25">
      <c r="B29" s="49"/>
      <c r="C29" s="79"/>
      <c r="D29" s="86" t="str">
        <f t="shared" si="26"/>
        <v/>
      </c>
      <c r="E29" s="81"/>
      <c r="F29" s="50" t="str">
        <f t="shared" si="1"/>
        <v/>
      </c>
      <c r="G29" s="16" t="str">
        <f t="shared" si="2"/>
        <v/>
      </c>
      <c r="H29" s="51" t="str">
        <f t="shared" si="3"/>
        <v/>
      </c>
      <c r="I29" s="54"/>
      <c r="J29" s="105">
        <f t="shared" si="10"/>
        <v>37786.5</v>
      </c>
      <c r="K29" s="109">
        <v>21</v>
      </c>
      <c r="L29" s="125">
        <f t="shared" si="4"/>
        <v>1.0595282474405681E-2</v>
      </c>
      <c r="M29" s="46">
        <f t="shared" si="11"/>
        <v>3.7123266109304417E-4</v>
      </c>
      <c r="N29" s="130">
        <v>3.7123266109304417E-4</v>
      </c>
      <c r="O29" s="89">
        <f t="shared" si="5"/>
        <v>3.7123266109304417E-4</v>
      </c>
      <c r="P29" s="48">
        <v>40343</v>
      </c>
      <c r="Q29" s="1">
        <v>3.4231101794941045E-3</v>
      </c>
      <c r="R29" s="100">
        <v>6148</v>
      </c>
      <c r="S29" s="100">
        <f t="shared" si="23"/>
        <v>71.912127653959615</v>
      </c>
      <c r="T29" s="101">
        <f t="shared" si="18"/>
        <v>6076.0878723460401</v>
      </c>
      <c r="U29" s="49">
        <v>40721</v>
      </c>
      <c r="V29" s="92"/>
      <c r="W29" s="92"/>
      <c r="X29" s="92"/>
      <c r="Y29" s="92"/>
      <c r="Z29" s="92"/>
      <c r="AE29" s="93">
        <f t="shared" si="24"/>
        <v>37786.5</v>
      </c>
      <c r="AF29" s="92">
        <f>Logistic2010!Q29</f>
        <v>4.156253215078223E-3</v>
      </c>
      <c r="AG29" s="4">
        <f t="shared" si="19"/>
        <v>3.4231101794941045E-3</v>
      </c>
      <c r="AH29" s="92">
        <f>Logistic2011!Q29</f>
        <v>1.2159361420781157E-3</v>
      </c>
      <c r="AI29" s="92">
        <f>Logistic2012!Q29</f>
        <v>3.4231101794941045E-3</v>
      </c>
      <c r="AJ29" s="92">
        <f>Logistic2013!L29</f>
        <v>8.5416755801183825E-3</v>
      </c>
      <c r="AK29" s="119">
        <f t="shared" si="25"/>
        <v>1.0595282474405681E-2</v>
      </c>
      <c r="AL29" s="113"/>
      <c r="AM29" s="113"/>
      <c r="AO29" s="113"/>
      <c r="AP29" s="113"/>
      <c r="AQ29" s="113"/>
      <c r="AR29" s="113"/>
      <c r="AS29" s="114"/>
      <c r="AT29" s="114"/>
    </row>
    <row r="30" spans="1:49" x14ac:dyDescent="0.25">
      <c r="B30" s="49"/>
      <c r="C30" s="79"/>
      <c r="D30" s="86" t="str">
        <f t="shared" si="26"/>
        <v/>
      </c>
      <c r="E30" s="81"/>
      <c r="F30" s="50" t="str">
        <f t="shared" si="1"/>
        <v/>
      </c>
      <c r="G30" s="16" t="str">
        <f t="shared" si="2"/>
        <v/>
      </c>
      <c r="H30" s="51" t="str">
        <f t="shared" si="3"/>
        <v/>
      </c>
      <c r="I30" s="54"/>
      <c r="J30" s="105">
        <f t="shared" si="10"/>
        <v>37787.5</v>
      </c>
      <c r="K30" s="109">
        <v>22</v>
      </c>
      <c r="L30" s="125">
        <f t="shared" si="4"/>
        <v>1.2798382995327439E-2</v>
      </c>
      <c r="M30" s="46">
        <f t="shared" si="11"/>
        <v>5.2895034459836269E-4</v>
      </c>
      <c r="N30" s="131">
        <v>5.2895034459836269E-4</v>
      </c>
      <c r="O30" s="89">
        <f t="shared" si="5"/>
        <v>5.2895034459836269E-4</v>
      </c>
      <c r="P30" s="48">
        <v>40344</v>
      </c>
      <c r="Q30" s="1">
        <v>4.5541859663405402E-3</v>
      </c>
      <c r="R30" s="100">
        <v>5114</v>
      </c>
      <c r="S30" s="100">
        <f t="shared" si="23"/>
        <v>72.237314994788122</v>
      </c>
      <c r="T30" s="101">
        <f t="shared" si="18"/>
        <v>5041.762685005212</v>
      </c>
      <c r="U30" s="49">
        <v>40722</v>
      </c>
      <c r="V30" s="92"/>
      <c r="W30" s="92"/>
      <c r="X30" s="92"/>
      <c r="Y30" s="92"/>
      <c r="Z30" s="92"/>
      <c r="AE30" s="93">
        <f t="shared" si="24"/>
        <v>37787.5</v>
      </c>
      <c r="AF30" s="92">
        <f>Logistic2010!Q30</f>
        <v>5.0711194585093189E-3</v>
      </c>
      <c r="AG30" s="4">
        <f t="shared" si="19"/>
        <v>4.5541859663405402E-3</v>
      </c>
      <c r="AH30" s="92">
        <f>Logistic2011!Q30</f>
        <v>1.5634304169464023E-3</v>
      </c>
      <c r="AI30" s="92">
        <f>Logistic2012!Q30</f>
        <v>4.5541859663405402E-3</v>
      </c>
      <c r="AJ30" s="92">
        <f>Logistic2013!L30</f>
        <v>1.0389610148679944E-2</v>
      </c>
      <c r="AK30" s="119">
        <f t="shared" si="25"/>
        <v>1.2798382995327439E-2</v>
      </c>
      <c r="AL30" s="113"/>
      <c r="AM30" s="113"/>
      <c r="AN30" s="113"/>
      <c r="AO30" s="113"/>
      <c r="AP30" s="113"/>
      <c r="AQ30" s="113"/>
      <c r="AR30" s="113"/>
      <c r="AS30" s="114"/>
      <c r="AT30" s="114"/>
    </row>
    <row r="31" spans="1:49" x14ac:dyDescent="0.25">
      <c r="B31" s="49"/>
      <c r="C31" s="79"/>
      <c r="D31" s="86" t="str">
        <f t="shared" si="26"/>
        <v/>
      </c>
      <c r="E31" s="81"/>
      <c r="F31" s="50" t="str">
        <f t="shared" si="1"/>
        <v/>
      </c>
      <c r="G31" s="16" t="str">
        <f t="shared" si="2"/>
        <v/>
      </c>
      <c r="H31" s="51" t="str">
        <f t="shared" si="3"/>
        <v/>
      </c>
      <c r="I31" s="54"/>
      <c r="J31" s="105">
        <f t="shared" si="10"/>
        <v>37788.5</v>
      </c>
      <c r="K31" s="109">
        <v>23</v>
      </c>
      <c r="L31" s="125">
        <f t="shared" si="4"/>
        <v>1.5452424589650317E-2</v>
      </c>
      <c r="M31" s="46">
        <f t="shared" si="11"/>
        <v>7.5362365201523903E-4</v>
      </c>
      <c r="N31" s="131">
        <v>7.5362365201523903E-4</v>
      </c>
      <c r="O31" s="89">
        <f t="shared" si="5"/>
        <v>7.5362365201523903E-4</v>
      </c>
      <c r="P31" s="48">
        <v>40345</v>
      </c>
      <c r="Q31" s="1">
        <v>6.0567243090960737E-3</v>
      </c>
      <c r="R31" s="100">
        <v>7184</v>
      </c>
      <c r="S31" s="100">
        <f t="shared" si="23"/>
        <v>122.48314908046102</v>
      </c>
      <c r="T31" s="101">
        <f t="shared" si="18"/>
        <v>7061.5168509195391</v>
      </c>
      <c r="U31" s="49">
        <v>40723</v>
      </c>
      <c r="V31" s="92"/>
      <c r="W31" s="92"/>
      <c r="X31" s="92"/>
      <c r="Y31" s="92"/>
      <c r="Z31" s="92"/>
      <c r="AE31" s="93">
        <f t="shared" si="24"/>
        <v>37788.5</v>
      </c>
      <c r="AF31" s="92">
        <f>Logistic2010!Q31</f>
        <v>6.18611330154804E-3</v>
      </c>
      <c r="AG31" s="4">
        <f t="shared" si="19"/>
        <v>6.0567243090960737E-3</v>
      </c>
      <c r="AH31" s="92">
        <f>Logistic2011!Q31</f>
        <v>2.0100329059479318E-3</v>
      </c>
      <c r="AI31" s="92">
        <f>Logistic2012!Q31</f>
        <v>6.0567243090960737E-3</v>
      </c>
      <c r="AJ31" s="92">
        <f>Logistic2013!L31</f>
        <v>1.263223931108238E-2</v>
      </c>
      <c r="AK31" s="119">
        <f t="shared" si="25"/>
        <v>1.5452424589650317E-2</v>
      </c>
      <c r="AL31" s="113"/>
      <c r="AN31" s="113"/>
      <c r="AO31" s="113"/>
      <c r="AP31" s="113"/>
      <c r="AQ31" t="s">
        <v>28</v>
      </c>
      <c r="AR31"/>
      <c r="AS31"/>
      <c r="AT31"/>
      <c r="AU31"/>
      <c r="AV31"/>
      <c r="AW31"/>
    </row>
    <row r="32" spans="1:49" x14ac:dyDescent="0.25">
      <c r="B32" s="49"/>
      <c r="C32" s="79"/>
      <c r="D32" s="86" t="str">
        <f t="shared" si="26"/>
        <v/>
      </c>
      <c r="E32" s="81"/>
      <c r="F32" s="50" t="str">
        <f t="shared" si="1"/>
        <v/>
      </c>
      <c r="G32" s="16" t="str">
        <f t="shared" si="2"/>
        <v/>
      </c>
      <c r="H32" s="51" t="str">
        <f t="shared" si="3"/>
        <v/>
      </c>
      <c r="I32" s="54"/>
      <c r="J32" s="105">
        <f t="shared" si="10"/>
        <v>37789.5</v>
      </c>
      <c r="K32" s="109">
        <v>24</v>
      </c>
      <c r="L32" s="125">
        <f t="shared" si="4"/>
        <v>1.864644764878538E-2</v>
      </c>
      <c r="M32" s="46">
        <f t="shared" si="11"/>
        <v>1.0736251359755081E-3</v>
      </c>
      <c r="N32" s="131">
        <v>1.0736251359755081E-3</v>
      </c>
      <c r="O32" s="89">
        <f t="shared" si="5"/>
        <v>1.0736251359755081E-3</v>
      </c>
      <c r="P32" s="48">
        <v>40346</v>
      </c>
      <c r="Q32" s="1">
        <v>8.0509778061675936E-3</v>
      </c>
      <c r="R32" s="100">
        <v>8109</v>
      </c>
      <c r="S32" s="100">
        <f t="shared" si="23"/>
        <v>166.76988143182538</v>
      </c>
      <c r="T32" s="101">
        <f t="shared" si="18"/>
        <v>7942.2301185681745</v>
      </c>
      <c r="U32" s="49">
        <v>40724</v>
      </c>
      <c r="V32" s="92"/>
      <c r="W32" s="92"/>
      <c r="X32" s="92"/>
      <c r="Y32" s="92"/>
      <c r="Z32" s="92"/>
      <c r="AE32" s="93">
        <f t="shared" si="24"/>
        <v>37789.5</v>
      </c>
      <c r="AF32" s="92">
        <f>Logistic2010!Q32</f>
        <v>7.5444033609171311E-3</v>
      </c>
      <c r="AG32" s="4">
        <f t="shared" si="19"/>
        <v>8.0509778061675936E-3</v>
      </c>
      <c r="AH32" s="92">
        <f>Logistic2011!Q32</f>
        <v>2.5838796966125908E-3</v>
      </c>
      <c r="AI32" s="92">
        <f>Logistic2012!Q32</f>
        <v>8.0509778061675936E-3</v>
      </c>
      <c r="AJ32" s="92">
        <f>Logistic2013!L32</f>
        <v>1.5351437527105454E-2</v>
      </c>
      <c r="AK32" s="119">
        <f t="shared" si="25"/>
        <v>1.864644764878538E-2</v>
      </c>
      <c r="AL32" s="115"/>
      <c r="AM32" s="115"/>
      <c r="AO32" s="115"/>
      <c r="AP32" s="115"/>
      <c r="AQ32"/>
      <c r="AR32"/>
      <c r="AS32"/>
      <c r="AT32"/>
      <c r="AU32"/>
      <c r="AV32"/>
      <c r="AW32"/>
    </row>
    <row r="33" spans="2:49" ht="16.5" thickBot="1" x14ac:dyDescent="0.3">
      <c r="B33" s="49"/>
      <c r="C33" s="79"/>
      <c r="D33" s="86" t="str">
        <f t="shared" si="26"/>
        <v/>
      </c>
      <c r="E33" s="81"/>
      <c r="F33" s="50" t="str">
        <f t="shared" si="1"/>
        <v/>
      </c>
      <c r="G33" s="16" t="str">
        <f t="shared" si="2"/>
        <v/>
      </c>
      <c r="H33" s="51" t="str">
        <f t="shared" si="3"/>
        <v/>
      </c>
      <c r="I33" s="54"/>
      <c r="J33" s="105">
        <f t="shared" si="10"/>
        <v>37790.5</v>
      </c>
      <c r="K33" s="109">
        <v>25</v>
      </c>
      <c r="L33" s="125">
        <f t="shared" si="4"/>
        <v>2.2485598579313124E-2</v>
      </c>
      <c r="M33" s="46">
        <f t="shared" si="11"/>
        <v>1.5292967649937837E-3</v>
      </c>
      <c r="N33" s="131">
        <v>1.5292967649937837E-3</v>
      </c>
      <c r="O33" s="89">
        <f t="shared" si="5"/>
        <v>1.5292967649937837E-3</v>
      </c>
      <c r="P33" s="48">
        <v>40347</v>
      </c>
      <c r="Q33" s="1">
        <v>1.0694799271914295E-2</v>
      </c>
      <c r="R33" s="100">
        <v>18981</v>
      </c>
      <c r="S33" s="100">
        <f t="shared" si="23"/>
        <v>470.52926192190711</v>
      </c>
      <c r="T33" s="101">
        <f t="shared" si="18"/>
        <v>18510.470738078093</v>
      </c>
      <c r="U33" s="49">
        <v>40725</v>
      </c>
      <c r="V33" s="92">
        <v>0.35599999999999998</v>
      </c>
      <c r="W33" s="92"/>
      <c r="X33" s="92"/>
      <c r="Y33" s="92"/>
      <c r="Z33" s="92"/>
      <c r="AE33" s="93">
        <f t="shared" si="24"/>
        <v>37790.5</v>
      </c>
      <c r="AF33" s="92">
        <f>Logistic2010!Q33</f>
        <v>9.1981739546595914E-3</v>
      </c>
      <c r="AG33" s="4">
        <f t="shared" si="19"/>
        <v>1.0694799271914295E-2</v>
      </c>
      <c r="AH33" s="92">
        <f>Logistic2011!Q33</f>
        <v>3.3210095492913049E-3</v>
      </c>
      <c r="AI33" s="92">
        <f>Logistic2012!Q33</f>
        <v>1.0694799271914295E-2</v>
      </c>
      <c r="AJ33" s="92">
        <f>Logistic2013!L33</f>
        <v>1.8644913491254085E-2</v>
      </c>
      <c r="AK33" s="119">
        <f t="shared" si="25"/>
        <v>2.2485598579313124E-2</v>
      </c>
      <c r="AL33" s="110"/>
      <c r="AM33" s="110"/>
      <c r="AN33" s="110"/>
      <c r="AO33" s="110"/>
      <c r="AP33" s="110"/>
      <c r="AQ33" t="s">
        <v>29</v>
      </c>
      <c r="AR33"/>
      <c r="AS33"/>
      <c r="AT33"/>
      <c r="AU33"/>
      <c r="AV33"/>
      <c r="AW33"/>
    </row>
    <row r="34" spans="2:49" ht="16.5" thickBot="1" x14ac:dyDescent="0.3">
      <c r="B34" s="49"/>
      <c r="C34" s="79"/>
      <c r="D34" s="86" t="str">
        <f t="shared" si="26"/>
        <v/>
      </c>
      <c r="E34" s="81"/>
      <c r="F34" s="50" t="str">
        <f t="shared" si="1"/>
        <v/>
      </c>
      <c r="G34" s="16" t="str">
        <f t="shared" si="2"/>
        <v/>
      </c>
      <c r="H34" s="51" t="str">
        <f t="shared" si="3"/>
        <v/>
      </c>
      <c r="I34" s="54"/>
      <c r="J34" s="105">
        <f t="shared" si="10"/>
        <v>37791.5</v>
      </c>
      <c r="K34" s="109">
        <v>26</v>
      </c>
      <c r="L34" s="125">
        <f t="shared" si="4"/>
        <v>2.7093376387433324E-2</v>
      </c>
      <c r="M34" s="46">
        <f t="shared" si="11"/>
        <v>2.1779444332849758E-3</v>
      </c>
      <c r="N34" s="131">
        <v>2.1779444332849758E-3</v>
      </c>
      <c r="O34" s="89">
        <f t="shared" si="5"/>
        <v>2.1779444332849758E-3</v>
      </c>
      <c r="P34" s="48">
        <v>40348</v>
      </c>
      <c r="Q34" s="1">
        <v>1.4194388945639416E-2</v>
      </c>
      <c r="R34" s="100">
        <v>7954</v>
      </c>
      <c r="S34" s="100">
        <f t="shared" si="23"/>
        <v>237.45576866910511</v>
      </c>
      <c r="T34" s="101">
        <f t="shared" si="18"/>
        <v>7716.5442313308949</v>
      </c>
      <c r="U34" s="49">
        <v>40726</v>
      </c>
      <c r="V34" s="92"/>
      <c r="W34" s="92"/>
      <c r="X34" s="92"/>
      <c r="Y34" s="92"/>
      <c r="Z34" s="92"/>
      <c r="AE34" s="93">
        <f t="shared" si="24"/>
        <v>37791.5</v>
      </c>
      <c r="AF34" s="92">
        <f>Logistic2010!Q34</f>
        <v>1.1210364440860094E-2</v>
      </c>
      <c r="AG34" s="4">
        <f t="shared" si="19"/>
        <v>1.4194388945639416E-2</v>
      </c>
      <c r="AH34" s="92">
        <f>Logistic2011!Q34</f>
        <v>4.2675282552662704E-3</v>
      </c>
      <c r="AI34" s="92">
        <f>Logistic2012!Q34</f>
        <v>1.4194388945639416E-2</v>
      </c>
      <c r="AJ34" s="92">
        <f>Logistic2013!L34</f>
        <v>2.2628728952144059E-2</v>
      </c>
      <c r="AK34" s="119">
        <f t="shared" si="25"/>
        <v>2.7093376387433324E-2</v>
      </c>
      <c r="AL34" s="110"/>
      <c r="AM34" s="110"/>
      <c r="AN34" s="110"/>
      <c r="AP34" s="110"/>
      <c r="AQ34" s="112" t="s">
        <v>30</v>
      </c>
      <c r="AR34" s="112" t="s">
        <v>31</v>
      </c>
      <c r="AS34" s="112" t="s">
        <v>32</v>
      </c>
      <c r="AT34" s="112" t="s">
        <v>33</v>
      </c>
      <c r="AU34" s="112" t="s">
        <v>34</v>
      </c>
      <c r="AV34"/>
      <c r="AW34"/>
    </row>
    <row r="35" spans="2:49" x14ac:dyDescent="0.25">
      <c r="B35" s="49"/>
      <c r="C35" s="79"/>
      <c r="D35" s="86" t="str">
        <f t="shared" si="26"/>
        <v/>
      </c>
      <c r="E35" s="81"/>
      <c r="F35" s="50" t="str">
        <f t="shared" si="1"/>
        <v/>
      </c>
      <c r="G35" s="16" t="str">
        <f t="shared" si="2"/>
        <v/>
      </c>
      <c r="H35" s="51" t="str">
        <f t="shared" si="3"/>
        <v/>
      </c>
      <c r="I35" s="54"/>
      <c r="J35" s="105">
        <f t="shared" si="10"/>
        <v>37792.5</v>
      </c>
      <c r="K35" s="109">
        <v>27</v>
      </c>
      <c r="L35" s="125">
        <f t="shared" si="4"/>
        <v>3.2613882518552371E-2</v>
      </c>
      <c r="M35" s="46">
        <f t="shared" si="11"/>
        <v>3.1008600796789275E-3</v>
      </c>
      <c r="N35" s="131">
        <v>3.1008600796789275E-3</v>
      </c>
      <c r="O35" s="89">
        <f t="shared" si="5"/>
        <v>3.1008600796789275E-3</v>
      </c>
      <c r="P35" s="48">
        <v>40349</v>
      </c>
      <c r="Q35" s="1">
        <v>1.8817345014281332E-2</v>
      </c>
      <c r="R35" s="100">
        <v>10420</v>
      </c>
      <c r="S35" s="100">
        <f t="shared" si="23"/>
        <v>374.22275033568366</v>
      </c>
      <c r="T35" s="101">
        <f t="shared" si="18"/>
        <v>10045.777249664316</v>
      </c>
      <c r="U35" s="40">
        <v>40727</v>
      </c>
      <c r="AE35" s="93">
        <f t="shared" si="24"/>
        <v>37792.5</v>
      </c>
      <c r="AF35" s="92">
        <f>Logistic2010!Q35</f>
        <v>1.3656673980419356E-2</v>
      </c>
      <c r="AG35" s="4">
        <f t="shared" si="19"/>
        <v>1.8817345014281332E-2</v>
      </c>
      <c r="AH35" s="92">
        <f>Logistic2011!Q35</f>
        <v>5.4823297455268887E-3</v>
      </c>
      <c r="AI35" s="92">
        <f>Logistic2012!Q35</f>
        <v>1.8817345014281332E-2</v>
      </c>
      <c r="AJ35" s="92">
        <f>Logistic2013!L35</f>
        <v>2.7439956026617411E-2</v>
      </c>
      <c r="AK35" s="119">
        <f t="shared" si="25"/>
        <v>3.2613882518552371E-2</v>
      </c>
      <c r="AL35" s="113"/>
      <c r="AN35" s="113"/>
      <c r="AO35" s="113"/>
      <c r="AP35" s="113"/>
      <c r="AQ35" s="110">
        <v>2010</v>
      </c>
      <c r="AR35" s="110">
        <v>11</v>
      </c>
      <c r="AS35" s="110">
        <v>4.5669999999999993</v>
      </c>
      <c r="AT35" s="110">
        <v>0.4151818181818181</v>
      </c>
      <c r="AU35" s="110">
        <v>0.13328476363636368</v>
      </c>
      <c r="AV35"/>
      <c r="AW35"/>
    </row>
    <row r="36" spans="2:49" ht="16.5" thickBot="1" x14ac:dyDescent="0.3">
      <c r="B36" s="49"/>
      <c r="C36" s="79"/>
      <c r="D36" s="86" t="str">
        <f t="shared" si="26"/>
        <v/>
      </c>
      <c r="E36" s="81"/>
      <c r="F36" s="50" t="str">
        <f t="shared" si="1"/>
        <v/>
      </c>
      <c r="G36" s="16" t="str">
        <f t="shared" si="2"/>
        <v/>
      </c>
      <c r="H36" s="51" t="str">
        <f t="shared" si="3"/>
        <v/>
      </c>
      <c r="I36" s="54"/>
      <c r="J36" s="105">
        <f t="shared" si="10"/>
        <v>37793.5</v>
      </c>
      <c r="K36" s="109">
        <v>28</v>
      </c>
      <c r="L36" s="125">
        <f t="shared" si="4"/>
        <v>3.9213900655283261E-2</v>
      </c>
      <c r="M36" s="46">
        <f t="shared" si="11"/>
        <v>4.4131364833405974E-3</v>
      </c>
      <c r="N36" s="131">
        <v>4.4131364833405974E-3</v>
      </c>
      <c r="O36" s="89">
        <f t="shared" si="5"/>
        <v>4.4131364833405974E-3</v>
      </c>
      <c r="P36" s="48">
        <v>40350</v>
      </c>
      <c r="Q36" s="1">
        <v>2.4907904460513997E-2</v>
      </c>
      <c r="R36" s="100">
        <v>14984</v>
      </c>
      <c r="S36" s="100">
        <f t="shared" si="23"/>
        <v>646.54796054028816</v>
      </c>
      <c r="T36" s="101">
        <f t="shared" si="18"/>
        <v>14337.452039459711</v>
      </c>
      <c r="U36" s="49">
        <v>40728</v>
      </c>
      <c r="AE36" s="93">
        <f t="shared" si="24"/>
        <v>37793.5</v>
      </c>
      <c r="AF36" s="92">
        <f>Logistic2010!Q36</f>
        <v>1.6627836578475143E-2</v>
      </c>
      <c r="AG36" s="4">
        <f t="shared" si="19"/>
        <v>2.4907904460513997E-2</v>
      </c>
      <c r="AH36" s="92">
        <f>Logistic2011!Q36</f>
        <v>7.0404935024234346E-3</v>
      </c>
      <c r="AI36" s="92">
        <f>Logistic2012!Q36</f>
        <v>2.4907904460513997E-2</v>
      </c>
      <c r="AJ36" s="92">
        <f>Logistic2013!L36</f>
        <v>3.3239337178441269E-2</v>
      </c>
      <c r="AK36" s="119">
        <f t="shared" si="25"/>
        <v>3.9213900655283261E-2</v>
      </c>
      <c r="AL36" s="113"/>
      <c r="AM36" s="113"/>
      <c r="AO36" s="113"/>
      <c r="AP36" s="113"/>
      <c r="AQ36" s="111">
        <v>2011</v>
      </c>
      <c r="AR36" s="111">
        <v>11</v>
      </c>
      <c r="AS36" s="111">
        <v>3.9729999999999994</v>
      </c>
      <c r="AT36" s="111">
        <v>0.3611818181818181</v>
      </c>
      <c r="AU36" s="111">
        <v>0.13927216363636366</v>
      </c>
      <c r="AV36"/>
      <c r="AW36"/>
    </row>
    <row r="37" spans="2:49" x14ac:dyDescent="0.25">
      <c r="B37" s="49"/>
      <c r="C37" s="79"/>
      <c r="D37" s="86" t="str">
        <f t="shared" si="26"/>
        <v/>
      </c>
      <c r="E37" s="81"/>
      <c r="F37" s="50" t="str">
        <f t="shared" si="1"/>
        <v/>
      </c>
      <c r="G37" s="16" t="str">
        <f t="shared" si="2"/>
        <v/>
      </c>
      <c r="H37" s="51" t="str">
        <f t="shared" si="3"/>
        <v/>
      </c>
      <c r="I37" s="54"/>
      <c r="J37" s="105">
        <f t="shared" si="10"/>
        <v>37794.5</v>
      </c>
      <c r="K37" s="109">
        <v>29</v>
      </c>
      <c r="L37" s="125">
        <f t="shared" si="4"/>
        <v>4.7084545759597696E-2</v>
      </c>
      <c r="M37" s="46">
        <f t="shared" si="11"/>
        <v>6.2772681143683619E-3</v>
      </c>
      <c r="N37" s="131">
        <v>6.2772681143683619E-3</v>
      </c>
      <c r="O37" s="89">
        <f t="shared" si="5"/>
        <v>6.2772681143683619E-3</v>
      </c>
      <c r="P37" s="48">
        <v>40351</v>
      </c>
      <c r="Q37" s="1">
        <v>3.2903671432563369E-2</v>
      </c>
      <c r="R37" s="100">
        <v>16806</v>
      </c>
      <c r="S37" s="100">
        <f t="shared" si="23"/>
        <v>869.93449439357812</v>
      </c>
      <c r="T37" s="101">
        <f t="shared" si="18"/>
        <v>15936.065505606422</v>
      </c>
      <c r="U37" s="49">
        <v>40729</v>
      </c>
      <c r="V37" s="4">
        <v>0.51500000000000001</v>
      </c>
      <c r="AE37" s="93">
        <f t="shared" si="24"/>
        <v>37794.5</v>
      </c>
      <c r="AF37" s="92">
        <f>Logistic2010!Q37</f>
        <v>2.0232149587218227E-2</v>
      </c>
      <c r="AG37" s="4">
        <f t="shared" si="19"/>
        <v>3.2903671432563369E-2</v>
      </c>
      <c r="AH37" s="92">
        <f>Logistic2011!Q37</f>
        <v>9.0374873855469922E-3</v>
      </c>
      <c r="AI37" s="92">
        <f>Logistic2012!Q37</f>
        <v>3.2903671432563369E-2</v>
      </c>
      <c r="AJ37" s="92">
        <f>Logistic2013!L37</f>
        <v>4.0213726080353264E-2</v>
      </c>
      <c r="AK37" s="119">
        <f t="shared" si="25"/>
        <v>4.7084545759597696E-2</v>
      </c>
      <c r="AL37" s="113"/>
      <c r="AM37" s="113"/>
      <c r="AN37" s="113"/>
      <c r="AO37" s="113"/>
      <c r="AP37" s="113"/>
      <c r="AQ37"/>
      <c r="AR37"/>
      <c r="AS37"/>
      <c r="AT37"/>
      <c r="AU37"/>
      <c r="AV37"/>
      <c r="AW37"/>
    </row>
    <row r="38" spans="2:49" x14ac:dyDescent="0.25">
      <c r="B38" s="49"/>
      <c r="C38" s="79"/>
      <c r="D38" s="86" t="str">
        <f t="shared" si="26"/>
        <v/>
      </c>
      <c r="E38" s="81"/>
      <c r="F38" s="50" t="str">
        <f t="shared" si="1"/>
        <v/>
      </c>
      <c r="G38" s="16" t="str">
        <f t="shared" si="2"/>
        <v/>
      </c>
      <c r="H38" s="51" t="str">
        <f t="shared" si="3"/>
        <v/>
      </c>
      <c r="I38" s="54"/>
      <c r="J38" s="105">
        <f t="shared" si="10"/>
        <v>37795.5</v>
      </c>
      <c r="K38" s="109">
        <v>30</v>
      </c>
      <c r="L38" s="125">
        <f t="shared" si="4"/>
        <v>5.6442110719466705E-2</v>
      </c>
      <c r="M38" s="46">
        <f t="shared" si="11"/>
        <v>8.9217622649491162E-3</v>
      </c>
      <c r="N38" s="131">
        <v>8.9217622649491162E-3</v>
      </c>
      <c r="O38" s="89">
        <f t="shared" si="5"/>
        <v>8.9217622649491162E-3</v>
      </c>
      <c r="P38" s="48">
        <v>40352</v>
      </c>
      <c r="Q38" s="1">
        <v>4.3352069231991391E-2</v>
      </c>
      <c r="R38" s="100">
        <v>28505</v>
      </c>
      <c r="S38" s="100">
        <f t="shared" si="23"/>
        <v>1766.8784032573844</v>
      </c>
      <c r="T38" s="101">
        <f t="shared" si="18"/>
        <v>26738.121596742614</v>
      </c>
      <c r="U38" s="49"/>
      <c r="AE38" s="93">
        <f t="shared" si="24"/>
        <v>37795.5</v>
      </c>
      <c r="AF38" s="92">
        <f>Logistic2010!Q38</f>
        <v>2.4598204014952465E-2</v>
      </c>
      <c r="AG38" s="4">
        <f t="shared" si="19"/>
        <v>4.3352069231991391E-2</v>
      </c>
      <c r="AH38" s="92">
        <f>Logistic2011!Q38</f>
        <v>1.1594302653630432E-2</v>
      </c>
      <c r="AI38" s="92">
        <f>Logistic2012!Q38</f>
        <v>4.3352069231991391E-2</v>
      </c>
      <c r="AJ38" s="92">
        <f>Logistic2013!L38</f>
        <v>4.8577971912167145E-2</v>
      </c>
      <c r="AK38" s="119">
        <f t="shared" si="25"/>
        <v>5.6442110719466705E-2</v>
      </c>
      <c r="AL38" s="115"/>
      <c r="AP38" s="115"/>
      <c r="AQ38"/>
      <c r="AR38"/>
      <c r="AS38"/>
      <c r="AT38"/>
      <c r="AU38"/>
      <c r="AV38"/>
      <c r="AW38"/>
    </row>
    <row r="39" spans="2:49" ht="16.5" thickBot="1" x14ac:dyDescent="0.3">
      <c r="B39" s="49"/>
      <c r="C39" s="79"/>
      <c r="D39" s="86" t="str">
        <f t="shared" si="26"/>
        <v/>
      </c>
      <c r="E39" s="81"/>
      <c r="F39" s="50" t="str">
        <f t="shared" si="1"/>
        <v/>
      </c>
      <c r="G39" s="16" t="str">
        <f t="shared" si="2"/>
        <v/>
      </c>
      <c r="H39" s="51" t="str">
        <f t="shared" si="3"/>
        <v/>
      </c>
      <c r="I39" s="54"/>
      <c r="J39" s="105">
        <f t="shared" si="10"/>
        <v>37796.5</v>
      </c>
      <c r="K39" s="109">
        <v>31</v>
      </c>
      <c r="L39" s="125">
        <f t="shared" si="4"/>
        <v>6.7527607102486259E-2</v>
      </c>
      <c r="M39" s="46">
        <f t="shared" si="11"/>
        <v>1.2666131545885561E-2</v>
      </c>
      <c r="N39" s="131">
        <v>1.2666131545885561E-2</v>
      </c>
      <c r="O39" s="89">
        <f t="shared" si="5"/>
        <v>1.2666131545885561E-2</v>
      </c>
      <c r="P39" s="48">
        <v>40353</v>
      </c>
      <c r="Q39" s="1">
        <v>5.6923017026269736E-2</v>
      </c>
      <c r="R39" s="100">
        <v>37919</v>
      </c>
      <c r="S39" s="100">
        <f t="shared" si="23"/>
        <v>2808.5079168595739</v>
      </c>
      <c r="T39" s="101">
        <f t="shared" si="18"/>
        <v>35110.492083140423</v>
      </c>
      <c r="U39" s="49"/>
      <c r="AE39" s="93">
        <f t="shared" si="24"/>
        <v>37796.5</v>
      </c>
      <c r="AF39" s="92">
        <f>Logistic2010!Q39</f>
        <v>2.9877711971165448E-2</v>
      </c>
      <c r="AG39" s="4">
        <f t="shared" si="19"/>
        <v>5.6923017026269736E-2</v>
      </c>
      <c r="AH39" s="92">
        <f>Logistic2011!Q39</f>
        <v>1.4863622388293144E-2</v>
      </c>
      <c r="AI39" s="92">
        <f>Logistic2012!Q39</f>
        <v>5.6923017026269736E-2</v>
      </c>
      <c r="AJ39" s="92">
        <f>Logistic2013!L39</f>
        <v>5.8575762266613804E-2</v>
      </c>
      <c r="AK39" s="119">
        <f t="shared" si="25"/>
        <v>6.7527607102486259E-2</v>
      </c>
      <c r="AL39" s="110"/>
      <c r="AM39" s="110"/>
      <c r="AO39" s="110"/>
      <c r="AP39" s="110"/>
      <c r="AQ39" t="s">
        <v>35</v>
      </c>
      <c r="AR39"/>
      <c r="AS39"/>
      <c r="AT39"/>
      <c r="AU39"/>
      <c r="AV39"/>
      <c r="AW39"/>
    </row>
    <row r="40" spans="2:49" x14ac:dyDescent="0.25">
      <c r="B40" s="49"/>
      <c r="C40" s="79"/>
      <c r="D40" s="86" t="str">
        <f t="shared" si="26"/>
        <v/>
      </c>
      <c r="E40" s="81"/>
      <c r="F40" s="50" t="str">
        <f t="shared" si="1"/>
        <v/>
      </c>
      <c r="G40" s="16" t="str">
        <f t="shared" si="2"/>
        <v/>
      </c>
      <c r="H40" s="51" t="str">
        <f t="shared" si="3"/>
        <v/>
      </c>
      <c r="I40" s="54"/>
      <c r="J40" s="105">
        <f t="shared" si="10"/>
        <v>37797.5</v>
      </c>
      <c r="K40" s="109">
        <v>32</v>
      </c>
      <c r="L40" s="125">
        <f t="shared" si="4"/>
        <v>8.060435401777398E-2</v>
      </c>
      <c r="M40" s="46">
        <f t="shared" si="11"/>
        <v>1.7953505605503725E-2</v>
      </c>
      <c r="N40" s="131">
        <v>1.7953505605503725E-2</v>
      </c>
      <c r="O40" s="89">
        <f t="shared" si="5"/>
        <v>1.7953505605503725E-2</v>
      </c>
      <c r="P40" s="48">
        <v>40354</v>
      </c>
      <c r="Q40" s="1">
        <v>7.4411773683001156E-2</v>
      </c>
      <c r="R40" s="100">
        <v>41134</v>
      </c>
      <c r="S40" s="100">
        <f t="shared" si="23"/>
        <v>3631.251781894483</v>
      </c>
      <c r="T40" s="101">
        <f t="shared" si="18"/>
        <v>37502.748218105517</v>
      </c>
      <c r="U40" s="49"/>
      <c r="AE40" s="93">
        <f t="shared" si="24"/>
        <v>37797.5</v>
      </c>
      <c r="AF40" s="92">
        <f>Logistic2010!Q40</f>
        <v>3.624824956962025E-2</v>
      </c>
      <c r="AG40" s="4">
        <f t="shared" si="19"/>
        <v>7.4411773683001156E-2</v>
      </c>
      <c r="AH40" s="92">
        <f>Logistic2011!Q40</f>
        <v>1.9037057560494706E-2</v>
      </c>
      <c r="AI40" s="92">
        <f>Logistic2012!Q40</f>
        <v>7.4411773683001156E-2</v>
      </c>
      <c r="AJ40" s="92">
        <f>Logistic2013!L40</f>
        <v>7.0478765060004542E-2</v>
      </c>
      <c r="AK40" s="119">
        <f t="shared" si="25"/>
        <v>8.060435401777398E-2</v>
      </c>
      <c r="AL40" s="110"/>
      <c r="AM40" s="110"/>
      <c r="AN40" s="110"/>
      <c r="AO40" s="110"/>
      <c r="AP40" s="110"/>
      <c r="AQ40" s="112" t="s">
        <v>36</v>
      </c>
      <c r="AR40" s="112" t="s">
        <v>37</v>
      </c>
      <c r="AS40" s="112" t="s">
        <v>38</v>
      </c>
      <c r="AT40" s="112" t="s">
        <v>39</v>
      </c>
      <c r="AU40" s="112" t="s">
        <v>40</v>
      </c>
      <c r="AV40" s="112" t="s">
        <v>41</v>
      </c>
      <c r="AW40" s="112" t="s">
        <v>42</v>
      </c>
    </row>
    <row r="41" spans="2:49" x14ac:dyDescent="0.25">
      <c r="B41" s="49"/>
      <c r="C41" s="79"/>
      <c r="D41" s="86" t="str">
        <f t="shared" si="26"/>
        <v/>
      </c>
      <c r="E41" s="81"/>
      <c r="F41" s="50" t="str">
        <f t="shared" si="1"/>
        <v/>
      </c>
      <c r="G41" s="16" t="str">
        <f t="shared" si="2"/>
        <v/>
      </c>
      <c r="H41" s="51" t="str">
        <f t="shared" si="3"/>
        <v/>
      </c>
      <c r="I41" s="54"/>
      <c r="J41" s="105">
        <f t="shared" si="10"/>
        <v>37798.5</v>
      </c>
      <c r="K41" s="109">
        <v>33</v>
      </c>
      <c r="L41" s="125">
        <f t="shared" si="4"/>
        <v>9.5952838664410234E-2</v>
      </c>
      <c r="M41" s="46">
        <f t="shared" si="11"/>
        <v>2.5391289272607597E-2</v>
      </c>
      <c r="N41" s="131">
        <v>2.5391289272607597E-2</v>
      </c>
      <c r="O41" s="89">
        <f t="shared" si="5"/>
        <v>2.5391289272607597E-2</v>
      </c>
      <c r="P41" s="48">
        <v>40355</v>
      </c>
      <c r="Q41" s="1">
        <v>9.6722617460862401E-2</v>
      </c>
      <c r="R41" s="100">
        <v>21594</v>
      </c>
      <c r="S41" s="100">
        <f t="shared" si="23"/>
        <v>2265.3707496507245</v>
      </c>
      <c r="T41" s="101">
        <f t="shared" si="18"/>
        <v>19328.629250349277</v>
      </c>
      <c r="U41" s="49"/>
      <c r="AE41" s="93">
        <f t="shared" si="24"/>
        <v>37798.5</v>
      </c>
      <c r="AF41" s="92">
        <f>Logistic2010!Q41</f>
        <v>4.3915626721520266E-2</v>
      </c>
      <c r="AG41" s="4">
        <f t="shared" si="19"/>
        <v>9.6722617460862401E-2</v>
      </c>
      <c r="AH41" s="92">
        <f>Logistic2011!Q41</f>
        <v>2.4353349085554369E-2</v>
      </c>
      <c r="AI41" s="92">
        <f>Logistic2012!Q41</f>
        <v>9.6722617460862401E-2</v>
      </c>
      <c r="AJ41" s="92">
        <f>Logistic2013!L41</f>
        <v>8.458322376954866E-2</v>
      </c>
      <c r="AK41" s="119">
        <f t="shared" si="25"/>
        <v>9.5952838664410234E-2</v>
      </c>
      <c r="AL41" s="110"/>
      <c r="AN41" s="110"/>
      <c r="AP41" s="110"/>
      <c r="AQ41" s="110" t="s">
        <v>43</v>
      </c>
      <c r="AR41" s="110">
        <v>1.6037999999999553E-2</v>
      </c>
      <c r="AS41" s="110">
        <v>1</v>
      </c>
      <c r="AT41" s="110">
        <v>1.6037999999999553E-2</v>
      </c>
      <c r="AU41" s="110">
        <v>0.11768550636727371</v>
      </c>
      <c r="AV41" s="110">
        <v>0.73513802263243178</v>
      </c>
      <c r="AW41" s="110">
        <v>4.351243478421539</v>
      </c>
    </row>
    <row r="42" spans="2:49" ht="16.5" thickBot="1" x14ac:dyDescent="0.3">
      <c r="B42" s="49"/>
      <c r="C42" s="79"/>
      <c r="D42" s="86" t="str">
        <f t="shared" si="26"/>
        <v/>
      </c>
      <c r="E42" s="81"/>
      <c r="F42" s="50" t="str">
        <f t="shared" si="1"/>
        <v/>
      </c>
      <c r="G42" s="16" t="str">
        <f t="shared" si="2"/>
        <v/>
      </c>
      <c r="H42" s="51" t="str">
        <f t="shared" si="3"/>
        <v/>
      </c>
      <c r="I42" s="54"/>
      <c r="J42" s="105">
        <f t="shared" si="10"/>
        <v>37799.5</v>
      </c>
      <c r="K42" s="109">
        <v>34</v>
      </c>
      <c r="L42" s="125">
        <f t="shared" si="4"/>
        <v>0.11386199412717302</v>
      </c>
      <c r="M42" s="46">
        <f t="shared" si="11"/>
        <v>3.5798078010252969E-2</v>
      </c>
      <c r="N42" s="131">
        <v>3.5798078010252969E-2</v>
      </c>
      <c r="O42" s="89">
        <f t="shared" si="5"/>
        <v>3.5798078010252969E-2</v>
      </c>
      <c r="P42" s="48">
        <v>40356</v>
      </c>
      <c r="Q42" s="1">
        <v>0.12482080008468176</v>
      </c>
      <c r="R42" s="100">
        <v>17704</v>
      </c>
      <c r="S42" s="100">
        <f t="shared" si="23"/>
        <v>2199.52787616671</v>
      </c>
      <c r="T42" s="101">
        <f t="shared" si="18"/>
        <v>15504.47212383329</v>
      </c>
      <c r="AE42" s="93">
        <f t="shared" si="24"/>
        <v>37799.5</v>
      </c>
      <c r="AF42" s="92">
        <f>Logistic2010!Q42</f>
        <v>5.3115454143665003E-2</v>
      </c>
      <c r="AG42" s="4">
        <f t="shared" si="19"/>
        <v>0.12482080008468176</v>
      </c>
      <c r="AH42" s="92">
        <f>Logistic2011!Q42</f>
        <v>3.1107190112750017E-2</v>
      </c>
      <c r="AI42" s="92">
        <f>Logistic2012!Q42</f>
        <v>0.12482080008468176</v>
      </c>
      <c r="AJ42" s="92">
        <f>Logistic2013!L42</f>
        <v>0.1012029979928537</v>
      </c>
      <c r="AK42" s="119">
        <f t="shared" si="25"/>
        <v>0.11386199412717302</v>
      </c>
      <c r="AL42" s="110"/>
      <c r="AM42" s="110"/>
      <c r="AO42" s="110"/>
      <c r="AP42" s="110"/>
      <c r="AQ42" s="110" t="s">
        <v>44</v>
      </c>
      <c r="AR42" s="110">
        <v>2.7255692727272729</v>
      </c>
      <c r="AS42" s="110">
        <v>20</v>
      </c>
      <c r="AT42" s="110">
        <v>0.13627846363636364</v>
      </c>
      <c r="AU42" s="110"/>
      <c r="AV42" s="110"/>
      <c r="AW42" s="110"/>
    </row>
    <row r="43" spans="2:49" x14ac:dyDescent="0.25">
      <c r="B43" s="49"/>
      <c r="C43" s="79"/>
      <c r="D43" s="86" t="str">
        <f t="shared" si="26"/>
        <v/>
      </c>
      <c r="E43" s="81"/>
      <c r="F43" s="50" t="str">
        <f t="shared" si="1"/>
        <v/>
      </c>
      <c r="G43" s="16" t="str">
        <f t="shared" si="2"/>
        <v/>
      </c>
      <c r="H43" s="51" t="str">
        <f t="shared" si="3"/>
        <v/>
      </c>
      <c r="I43" s="54"/>
      <c r="J43" s="105">
        <f t="shared" si="10"/>
        <v>37800.5</v>
      </c>
      <c r="K43" s="109">
        <v>35</v>
      </c>
      <c r="L43" s="125">
        <f t="shared" si="4"/>
        <v>0.13461607593232877</v>
      </c>
      <c r="M43" s="46">
        <f t="shared" si="11"/>
        <v>5.0250242425127004E-2</v>
      </c>
      <c r="N43" s="131">
        <v>5.0250242425127004E-2</v>
      </c>
      <c r="O43" s="89">
        <f t="shared" si="5"/>
        <v>5.0250242425127004E-2</v>
      </c>
      <c r="P43" s="48">
        <v>40357</v>
      </c>
      <c r="Q43" s="1">
        <v>0.15963897994445775</v>
      </c>
      <c r="R43" s="100">
        <v>13702</v>
      </c>
      <c r="S43" s="100">
        <f t="shared" si="23"/>
        <v>2007.9775790208657</v>
      </c>
      <c r="T43" s="101">
        <f t="shared" si="18"/>
        <v>11694.022420979134</v>
      </c>
      <c r="U43" s="40">
        <v>40705</v>
      </c>
      <c r="AE43" s="93">
        <f t="shared" si="24"/>
        <v>37800.5</v>
      </c>
      <c r="AF43" s="92">
        <f>Logistic2010!Q43</f>
        <v>6.4113302836932173E-2</v>
      </c>
      <c r="AG43" s="4">
        <f t="shared" si="19"/>
        <v>0.15963897994445775</v>
      </c>
      <c r="AH43" s="92">
        <f>Logistic2011!Q43</f>
        <v>3.9657919254324193E-2</v>
      </c>
      <c r="AI43" s="92">
        <f>Logistic2012!Q43</f>
        <v>0.15963897994445775</v>
      </c>
      <c r="AJ43" s="92">
        <f>Logistic2013!L43</f>
        <v>0.12065796431808783</v>
      </c>
      <c r="AK43" s="119">
        <f t="shared" si="25"/>
        <v>0.13461607593232877</v>
      </c>
      <c r="AL43" s="114"/>
      <c r="AM43" s="114"/>
      <c r="AO43" s="114"/>
      <c r="AP43" s="114"/>
      <c r="AQ43" s="110"/>
      <c r="AR43" s="110"/>
      <c r="AS43" s="110"/>
      <c r="AT43" s="110"/>
      <c r="AU43" s="110"/>
      <c r="AV43" s="110"/>
      <c r="AW43" s="110"/>
    </row>
    <row r="44" spans="2:49" ht="16.5" thickBot="1" x14ac:dyDescent="0.3">
      <c r="B44" s="49"/>
      <c r="C44" s="79"/>
      <c r="D44" s="86" t="str">
        <f t="shared" si="26"/>
        <v/>
      </c>
      <c r="E44" s="81"/>
      <c r="F44" s="50" t="str">
        <f t="shared" si="1"/>
        <v/>
      </c>
      <c r="G44" s="16" t="str">
        <f t="shared" si="2"/>
        <v/>
      </c>
      <c r="H44" s="51" t="str">
        <f t="shared" si="3"/>
        <v/>
      </c>
      <c r="I44" s="54"/>
      <c r="J44" s="105">
        <f t="shared" si="10"/>
        <v>37801.5</v>
      </c>
      <c r="K44" s="109">
        <v>36</v>
      </c>
      <c r="L44" s="125">
        <f t="shared" si="4"/>
        <v>0.15847654981878281</v>
      </c>
      <c r="M44" s="46">
        <f t="shared" si="11"/>
        <v>7.0112677039206914E-2</v>
      </c>
      <c r="N44" s="131">
        <v>7.0112677039206914E-2</v>
      </c>
      <c r="O44" s="89">
        <f t="shared" si="5"/>
        <v>7.0112677039206914E-2</v>
      </c>
      <c r="P44" s="48">
        <v>40358</v>
      </c>
      <c r="Q44" s="1">
        <v>0.20192861027500136</v>
      </c>
      <c r="R44" s="100">
        <v>6021</v>
      </c>
      <c r="S44" s="100">
        <f t="shared" si="23"/>
        <v>1036.0198217040561</v>
      </c>
      <c r="T44" s="101">
        <f t="shared" si="18"/>
        <v>4984.9801782959439</v>
      </c>
      <c r="U44" s="49">
        <v>40706</v>
      </c>
      <c r="V44" s="95"/>
      <c r="W44" s="95"/>
      <c r="X44" s="95"/>
      <c r="Y44" s="95"/>
      <c r="Z44" s="95"/>
      <c r="AE44" s="93">
        <f t="shared" si="24"/>
        <v>37801.5</v>
      </c>
      <c r="AF44" s="92">
        <f>Logistic2010!Q44</f>
        <v>7.72026520734653E-2</v>
      </c>
      <c r="AG44" s="4">
        <f t="shared" si="19"/>
        <v>0.20192861027500136</v>
      </c>
      <c r="AH44" s="92">
        <f>Logistic2011!Q44</f>
        <v>5.0436715072649276E-2</v>
      </c>
      <c r="AI44" s="92">
        <f>Logistic2012!Q44</f>
        <v>0.20192861027500136</v>
      </c>
      <c r="AJ44" s="92">
        <f>Logistic2013!L44</f>
        <v>0.14325679323024673</v>
      </c>
      <c r="AK44" s="119">
        <f t="shared" si="25"/>
        <v>0.15847654981878281</v>
      </c>
      <c r="AL44" s="113"/>
      <c r="AP44" s="113"/>
      <c r="AQ44" s="111" t="s">
        <v>45</v>
      </c>
      <c r="AR44" s="111">
        <v>2.7416072727272724</v>
      </c>
      <c r="AS44" s="111">
        <v>21</v>
      </c>
      <c r="AT44" s="111"/>
      <c r="AU44" s="111"/>
      <c r="AV44" s="111"/>
      <c r="AW44" s="111"/>
    </row>
    <row r="45" spans="2:49" x14ac:dyDescent="0.25">
      <c r="B45" s="49"/>
      <c r="C45" s="79"/>
      <c r="D45" s="86" t="str">
        <f t="shared" si="26"/>
        <v/>
      </c>
      <c r="E45" s="81"/>
      <c r="F45" s="50" t="str">
        <f t="shared" si="1"/>
        <v/>
      </c>
      <c r="G45" s="16" t="str">
        <f t="shared" si="2"/>
        <v/>
      </c>
      <c r="H45" s="51" t="str">
        <f t="shared" si="3"/>
        <v/>
      </c>
      <c r="I45" s="54"/>
      <c r="J45" s="105">
        <f t="shared" si="10"/>
        <v>37802.5</v>
      </c>
      <c r="K45" s="109">
        <v>37</v>
      </c>
      <c r="L45" s="125">
        <f t="shared" si="4"/>
        <v>0.18565891661671166</v>
      </c>
      <c r="M45" s="46">
        <f t="shared" si="11"/>
        <v>9.7024102357607847E-2</v>
      </c>
      <c r="N45" s="131">
        <v>9.7024102357607847E-2</v>
      </c>
      <c r="O45" s="89">
        <f t="shared" si="5"/>
        <v>9.7024102357607847E-2</v>
      </c>
      <c r="P45" s="48">
        <v>40359</v>
      </c>
      <c r="Q45" s="1">
        <v>0.25206087357123486</v>
      </c>
      <c r="R45" s="100">
        <v>4676</v>
      </c>
      <c r="S45" s="100">
        <f t="shared" si="23"/>
        <v>939.79224426109897</v>
      </c>
      <c r="T45" s="101">
        <f t="shared" si="18"/>
        <v>3736.2077557389011</v>
      </c>
      <c r="U45" s="49">
        <v>40707</v>
      </c>
      <c r="V45" s="95"/>
      <c r="W45" s="95"/>
      <c r="X45" s="95"/>
      <c r="Y45" s="95"/>
      <c r="Z45" s="95"/>
      <c r="AE45" s="93">
        <f t="shared" si="24"/>
        <v>37802.5</v>
      </c>
      <c r="AF45" s="92">
        <f>Logistic2010!Q45</f>
        <v>9.2699625095272714E-2</v>
      </c>
      <c r="AG45" s="4">
        <f t="shared" si="19"/>
        <v>0.25206087357123486</v>
      </c>
      <c r="AH45" s="92">
        <f>Logistic2011!Q45</f>
        <v>6.3950040299436198E-2</v>
      </c>
      <c r="AI45" s="92">
        <f>Logistic2012!Q45</f>
        <v>0.25206087357123486</v>
      </c>
      <c r="AJ45" s="92">
        <f>Logistic2013!L45</f>
        <v>0.16927351386641812</v>
      </c>
      <c r="AK45" s="119">
        <f t="shared" si="25"/>
        <v>0.18565891661671166</v>
      </c>
      <c r="AL45" s="113"/>
      <c r="AM45" s="113"/>
      <c r="AO45" s="113"/>
      <c r="AP45" s="113"/>
      <c r="AQ45" s="113"/>
      <c r="AR45" s="113"/>
      <c r="AS45" s="114"/>
      <c r="AT45" s="114"/>
    </row>
    <row r="46" spans="2:49" x14ac:dyDescent="0.25">
      <c r="B46" s="49"/>
      <c r="C46" s="79"/>
      <c r="D46" s="86" t="str">
        <f t="shared" si="26"/>
        <v/>
      </c>
      <c r="E46" s="81"/>
      <c r="F46" s="50" t="str">
        <f t="shared" si="1"/>
        <v/>
      </c>
      <c r="G46" s="16" t="str">
        <f t="shared" si="2"/>
        <v/>
      </c>
      <c r="H46" s="51" t="str">
        <f t="shared" si="3"/>
        <v/>
      </c>
      <c r="I46" s="54"/>
      <c r="J46" s="105">
        <f t="shared" si="10"/>
        <v>37803.5</v>
      </c>
      <c r="K46" s="109">
        <v>38</v>
      </c>
      <c r="L46" s="125">
        <f t="shared" si="4"/>
        <v>0.21630525971395512</v>
      </c>
      <c r="M46" s="46">
        <f t="shared" si="11"/>
        <v>0.13278990299316346</v>
      </c>
      <c r="N46" s="131">
        <v>0.13278990299316346</v>
      </c>
      <c r="O46" s="89">
        <f t="shared" si="5"/>
        <v>0.13278990299316346</v>
      </c>
      <c r="P46" s="48">
        <v>40360</v>
      </c>
      <c r="Q46" s="1">
        <v>0.30980777704027063</v>
      </c>
      <c r="R46" s="100">
        <v>3828</v>
      </c>
      <c r="S46" s="100">
        <f t="shared" si="23"/>
        <v>893.37817291372937</v>
      </c>
      <c r="T46" s="101">
        <f t="shared" si="18"/>
        <v>2934.6218270862705</v>
      </c>
      <c r="U46" s="49">
        <v>40708</v>
      </c>
      <c r="V46" s="95"/>
      <c r="W46" s="95"/>
      <c r="X46" s="95"/>
      <c r="Y46" s="95"/>
      <c r="Z46" s="95"/>
      <c r="AE46" s="93">
        <f t="shared" si="24"/>
        <v>37803.5</v>
      </c>
      <c r="AF46" s="92">
        <f>Logistic2010!Q46</f>
        <v>0.11093336918210217</v>
      </c>
      <c r="AG46" s="4">
        <f t="shared" si="19"/>
        <v>0.30980777704027063</v>
      </c>
      <c r="AH46" s="92">
        <f>Logistic2011!Q46</f>
        <v>8.0775952050874497E-2</v>
      </c>
      <c r="AI46" s="92">
        <f>Logistic2012!Q46</f>
        <v>0.30980777704027063</v>
      </c>
      <c r="AJ46" s="92">
        <f>Logistic2013!L46</f>
        <v>0.19891808737150862</v>
      </c>
      <c r="AK46" s="119">
        <f t="shared" si="25"/>
        <v>0.21630525971395512</v>
      </c>
      <c r="AL46" s="113"/>
      <c r="AM46" s="113"/>
      <c r="AO46" s="113"/>
      <c r="AP46" s="113"/>
      <c r="AQ46" s="113"/>
      <c r="AR46" s="113"/>
      <c r="AS46" s="114"/>
      <c r="AT46" s="114"/>
    </row>
    <row r="47" spans="2:49" x14ac:dyDescent="0.25">
      <c r="B47" s="49"/>
      <c r="C47" s="79"/>
      <c r="D47" s="86" t="str">
        <f t="shared" si="26"/>
        <v/>
      </c>
      <c r="E47" s="81"/>
      <c r="F47" s="50" t="str">
        <f t="shared" si="1"/>
        <v/>
      </c>
      <c r="G47" s="16" t="str">
        <f t="shared" si="2"/>
        <v/>
      </c>
      <c r="H47" s="51" t="str">
        <f t="shared" si="3"/>
        <v/>
      </c>
      <c r="I47" s="54"/>
      <c r="J47" s="105">
        <f t="shared" si="10"/>
        <v>37804.5</v>
      </c>
      <c r="K47" s="109">
        <v>39</v>
      </c>
      <c r="L47" s="125">
        <f t="shared" si="4"/>
        <v>0.25045449624933086</v>
      </c>
      <c r="M47" s="46">
        <f t="shared" si="11"/>
        <v>0.17912459589298799</v>
      </c>
      <c r="N47" s="131">
        <v>0.17912459589298799</v>
      </c>
      <c r="O47" s="89">
        <f t="shared" si="5"/>
        <v>0.17912459589298799</v>
      </c>
      <c r="P47" s="48">
        <v>40361</v>
      </c>
      <c r="Q47" s="1">
        <v>0.37416608438208854</v>
      </c>
      <c r="R47" s="100">
        <v>3893</v>
      </c>
      <c r="S47" s="100">
        <f t="shared" si="23"/>
        <v>1048.1283453573662</v>
      </c>
      <c r="T47" s="101">
        <f t="shared" si="18"/>
        <v>2844.871654642634</v>
      </c>
      <c r="U47" s="49">
        <v>40709</v>
      </c>
      <c r="V47" s="95"/>
      <c r="W47" s="95"/>
      <c r="X47" s="95"/>
      <c r="Y47" s="95"/>
      <c r="Z47" s="95"/>
      <c r="AE47" s="93">
        <f t="shared" si="24"/>
        <v>37804.5</v>
      </c>
      <c r="AF47" s="92">
        <f>Logistic2010!Q47</f>
        <v>0.13223093333791724</v>
      </c>
      <c r="AG47" s="4">
        <f t="shared" si="19"/>
        <v>0.37416608438208854</v>
      </c>
      <c r="AH47" s="92">
        <f>Logistic2011!Q47</f>
        <v>0.10154865709169383</v>
      </c>
      <c r="AI47" s="92">
        <f>Logistic2012!Q47</f>
        <v>0.37416608438208854</v>
      </c>
      <c r="AJ47" s="92">
        <f>Logistic2013!L47</f>
        <v>0.23230249502167508</v>
      </c>
      <c r="AK47" s="119">
        <f t="shared" si="25"/>
        <v>0.25045449624933086</v>
      </c>
      <c r="AL47" s="115"/>
      <c r="AM47" s="115"/>
      <c r="AP47" s="115"/>
      <c r="AQ47" t="s">
        <v>28</v>
      </c>
      <c r="AR47"/>
      <c r="AS47"/>
      <c r="AT47"/>
      <c r="AU47"/>
      <c r="AV47"/>
      <c r="AW47"/>
    </row>
    <row r="48" spans="2:49" x14ac:dyDescent="0.25">
      <c r="B48" s="49"/>
      <c r="C48" s="79"/>
      <c r="D48" s="86" t="str">
        <f t="shared" si="26"/>
        <v/>
      </c>
      <c r="E48" s="81"/>
      <c r="F48" s="50" t="str">
        <f t="shared" si="1"/>
        <v/>
      </c>
      <c r="G48" s="16" t="str">
        <f t="shared" si="2"/>
        <v/>
      </c>
      <c r="H48" s="51" t="str">
        <f t="shared" si="3"/>
        <v/>
      </c>
      <c r="I48" s="54"/>
      <c r="J48" s="105">
        <f t="shared" si="10"/>
        <v>37805.5</v>
      </c>
      <c r="K48" s="109">
        <v>40</v>
      </c>
      <c r="L48" s="125">
        <f t="shared" si="4"/>
        <v>0.28801370069768495</v>
      </c>
      <c r="M48" s="46">
        <f t="shared" si="11"/>
        <v>0.23720467988333704</v>
      </c>
      <c r="N48" s="131">
        <v>0.23720467988333704</v>
      </c>
      <c r="O48" s="89">
        <f t="shared" si="5"/>
        <v>0.23720467988333704</v>
      </c>
      <c r="P48" s="48">
        <v>40362</v>
      </c>
      <c r="Q48" s="1">
        <v>0.44330675299696459</v>
      </c>
      <c r="R48" s="100">
        <v>3621</v>
      </c>
      <c r="S48" s="100">
        <f t="shared" si="23"/>
        <v>1116.6237530481449</v>
      </c>
      <c r="T48" s="101">
        <f>R48-S48</f>
        <v>2504.3762469518551</v>
      </c>
      <c r="U48" s="49">
        <v>40710</v>
      </c>
      <c r="V48" s="95"/>
      <c r="W48" s="95"/>
      <c r="X48" s="95"/>
      <c r="Y48" s="95"/>
      <c r="Z48" s="95"/>
      <c r="AE48" s="93">
        <f t="shared" si="24"/>
        <v>37805.5</v>
      </c>
      <c r="AF48" s="92">
        <f>Logistic2010!Q48</f>
        <v>0.15689575096130998</v>
      </c>
      <c r="AG48" s="4">
        <f t="shared" si="19"/>
        <v>0.44330675299696459</v>
      </c>
      <c r="AH48" s="92">
        <f>Logistic2011!Q48</f>
        <v>0.12692574439278323</v>
      </c>
      <c r="AI48" s="92">
        <f>Logistic2012!Q48</f>
        <v>0.44330675299696459</v>
      </c>
      <c r="AJ48" s="92">
        <f>Logistic2013!L48</f>
        <v>0.26940553732402189</v>
      </c>
      <c r="AK48" s="119">
        <f t="shared" si="25"/>
        <v>0.28801370069768495</v>
      </c>
      <c r="AL48" s="110"/>
      <c r="AO48" s="110"/>
      <c r="AP48" s="110"/>
      <c r="AQ48"/>
      <c r="AR48"/>
      <c r="AS48"/>
      <c r="AT48"/>
      <c r="AU48"/>
      <c r="AV48"/>
      <c r="AW48"/>
    </row>
    <row r="49" spans="2:49" ht="16.5" thickBot="1" x14ac:dyDescent="0.3">
      <c r="B49" s="49"/>
      <c r="C49" s="79"/>
      <c r="D49" s="86" t="str">
        <f t="shared" si="26"/>
        <v/>
      </c>
      <c r="E49" s="81"/>
      <c r="F49" s="50" t="str">
        <f t="shared" si="1"/>
        <v/>
      </c>
      <c r="G49" s="16" t="str">
        <f t="shared" si="2"/>
        <v/>
      </c>
      <c r="H49" s="51" t="str">
        <f t="shared" si="3"/>
        <v/>
      </c>
      <c r="I49" s="54"/>
      <c r="J49" s="105">
        <f t="shared" si="10"/>
        <v>37806.5</v>
      </c>
      <c r="K49" s="109">
        <v>41</v>
      </c>
      <c r="L49" s="125">
        <f t="shared" si="4"/>
        <v>0.32873512727698778</v>
      </c>
      <c r="M49" s="46">
        <f t="shared" si="11"/>
        <v>0.30707218568713457</v>
      </c>
      <c r="N49" s="131">
        <v>0.30707218568713457</v>
      </c>
      <c r="O49" s="89">
        <f t="shared" si="5"/>
        <v>0.30707218568713457</v>
      </c>
      <c r="P49" s="4">
        <v>40363</v>
      </c>
      <c r="Q49" s="4">
        <v>0.51471586655781365</v>
      </c>
      <c r="R49" s="4">
        <v>2271</v>
      </c>
      <c r="S49" s="100">
        <f t="shared" si="23"/>
        <v>795.91661238035977</v>
      </c>
      <c r="T49" s="101">
        <f t="shared" ref="T49:T70" si="27">R49-S49</f>
        <v>1475.0833876196402</v>
      </c>
      <c r="U49" s="49">
        <v>40711</v>
      </c>
      <c r="V49" s="95"/>
      <c r="W49" s="95"/>
      <c r="X49" s="95"/>
      <c r="Y49" s="95"/>
      <c r="Z49" s="95"/>
      <c r="AE49" s="93">
        <f t="shared" si="24"/>
        <v>37806.5</v>
      </c>
      <c r="AF49" s="92">
        <f>Logistic2010!Q49</f>
        <v>0.1851794824455581</v>
      </c>
      <c r="AG49" s="4">
        <f t="shared" si="19"/>
        <v>0.51471586655781365</v>
      </c>
      <c r="AH49" s="92">
        <f>Logistic2011!Q49</f>
        <v>0.15753263507351994</v>
      </c>
      <c r="AI49" s="92">
        <f>Logistic2012!Q49</f>
        <v>0.51471586655781365</v>
      </c>
      <c r="AJ49" s="92">
        <f>Logistic2013!L49</f>
        <v>0.31004134142241851</v>
      </c>
      <c r="AK49" s="119">
        <f t="shared" si="25"/>
        <v>0.32873512727698778</v>
      </c>
      <c r="AL49" s="110"/>
      <c r="AM49" s="110"/>
      <c r="AN49" s="110"/>
      <c r="AO49" s="110"/>
      <c r="AP49" s="110"/>
      <c r="AQ49" t="s">
        <v>29</v>
      </c>
      <c r="AR49"/>
      <c r="AS49"/>
      <c r="AT49"/>
      <c r="AU49"/>
      <c r="AV49"/>
      <c r="AW49"/>
    </row>
    <row r="50" spans="2:49" ht="16.5" thickBot="1" x14ac:dyDescent="0.3">
      <c r="B50" s="49"/>
      <c r="C50" s="79"/>
      <c r="D50" s="86" t="str">
        <f t="shared" si="26"/>
        <v/>
      </c>
      <c r="E50" s="81"/>
      <c r="F50" s="50" t="str">
        <f t="shared" si="1"/>
        <v/>
      </c>
      <c r="G50" s="16" t="str">
        <f t="shared" si="2"/>
        <v/>
      </c>
      <c r="H50" s="51" t="str">
        <f t="shared" si="3"/>
        <v/>
      </c>
      <c r="I50" s="54"/>
      <c r="J50" s="105">
        <f t="shared" si="10"/>
        <v>37807.5</v>
      </c>
      <c r="K50" s="109">
        <v>42</v>
      </c>
      <c r="L50" s="125">
        <f t="shared" si="4"/>
        <v>0.37220420551064748</v>
      </c>
      <c r="M50" s="46">
        <f t="shared" si="11"/>
        <v>0.38707606622199253</v>
      </c>
      <c r="N50" s="131">
        <v>0.38707606622199253</v>
      </c>
      <c r="O50" s="89">
        <f t="shared" si="5"/>
        <v>0.38707606622199253</v>
      </c>
      <c r="P50" s="4">
        <v>40364</v>
      </c>
      <c r="Q50" s="4">
        <v>0.58552915257129856</v>
      </c>
      <c r="R50" s="4">
        <v>2403</v>
      </c>
      <c r="S50" s="100">
        <f t="shared" si="23"/>
        <v>949.24208633578166</v>
      </c>
      <c r="T50" s="101">
        <f t="shared" si="27"/>
        <v>1453.7579136642184</v>
      </c>
      <c r="U50" s="49">
        <v>40712</v>
      </c>
      <c r="V50" s="95">
        <v>3.5999999999999997E-2</v>
      </c>
      <c r="W50" s="95"/>
      <c r="X50" s="95"/>
      <c r="Y50" s="95"/>
      <c r="Z50" s="95"/>
      <c r="AE50" s="93">
        <f t="shared" si="24"/>
        <v>37807.5</v>
      </c>
      <c r="AF50" s="92">
        <f>Logistic2010!Q50</f>
        <v>0.21724812306999194</v>
      </c>
      <c r="AG50" s="4">
        <f t="shared" si="19"/>
        <v>0.58552915257129856</v>
      </c>
      <c r="AH50" s="92">
        <f>Logistic2011!Q50</f>
        <v>0.19388109788722835</v>
      </c>
      <c r="AI50" s="92">
        <f>Logistic2012!Q50</f>
        <v>0.58552915257129856</v>
      </c>
      <c r="AJ50" s="92">
        <f>Logistic2013!L50</f>
        <v>0.35383793526166868</v>
      </c>
      <c r="AK50" s="119">
        <f t="shared" si="25"/>
        <v>0.37220420551064748</v>
      </c>
      <c r="AL50" s="113"/>
      <c r="AM50" s="113"/>
      <c r="AN50" s="113"/>
      <c r="AP50" s="113"/>
      <c r="AQ50" s="112" t="s">
        <v>30</v>
      </c>
      <c r="AR50" s="112" t="s">
        <v>31</v>
      </c>
      <c r="AS50" s="112" t="s">
        <v>32</v>
      </c>
      <c r="AT50" s="112" t="s">
        <v>33</v>
      </c>
      <c r="AU50" s="112" t="s">
        <v>34</v>
      </c>
      <c r="AV50"/>
      <c r="AW50"/>
    </row>
    <row r="51" spans="2:49" x14ac:dyDescent="0.25">
      <c r="B51" s="49"/>
      <c r="C51" s="79"/>
      <c r="D51" s="86" t="str">
        <f t="shared" si="26"/>
        <v/>
      </c>
      <c r="E51" s="81"/>
      <c r="F51" s="50" t="str">
        <f t="shared" si="1"/>
        <v/>
      </c>
      <c r="G51" s="16" t="str">
        <f t="shared" si="2"/>
        <v/>
      </c>
      <c r="H51" s="51" t="str">
        <f t="shared" si="3"/>
        <v/>
      </c>
      <c r="I51" s="54"/>
      <c r="J51" s="105">
        <f t="shared" si="10"/>
        <v>37808.5</v>
      </c>
      <c r="K51" s="109">
        <v>43</v>
      </c>
      <c r="L51" s="125">
        <f t="shared" si="4"/>
        <v>0.41784330704514244</v>
      </c>
      <c r="M51" s="46">
        <f t="shared" si="11"/>
        <v>0.47367530224191001</v>
      </c>
      <c r="N51" s="131">
        <v>0.47367530224191001</v>
      </c>
      <c r="O51" s="89">
        <f t="shared" si="5"/>
        <v>0.47367530224191001</v>
      </c>
      <c r="P51" s="4">
        <v>40365</v>
      </c>
      <c r="Q51" s="4">
        <v>0.65297594566306583</v>
      </c>
      <c r="R51" s="4">
        <v>2644</v>
      </c>
      <c r="S51" s="100">
        <f t="shared" si="23"/>
        <v>1167.0318159182048</v>
      </c>
      <c r="T51" s="101">
        <f t="shared" si="27"/>
        <v>1476.9681840817952</v>
      </c>
      <c r="U51" s="40">
        <v>40713</v>
      </c>
      <c r="V51" s="95"/>
      <c r="W51" s="95"/>
      <c r="X51" s="95"/>
      <c r="Y51" s="95"/>
      <c r="Z51" s="95"/>
      <c r="AE51" s="93">
        <f t="shared" si="24"/>
        <v>37808.5</v>
      </c>
      <c r="AF51" s="92">
        <f>Logistic2010!Q51</f>
        <v>0.25314493902860469</v>
      </c>
      <c r="AG51" s="4">
        <f t="shared" si="19"/>
        <v>0.65297594566306583</v>
      </c>
      <c r="AH51" s="92">
        <f>Logistic2011!Q51</f>
        <v>0.2362644112915534</v>
      </c>
      <c r="AI51" s="92">
        <f>Logistic2012!Q51</f>
        <v>0.65297594566306583</v>
      </c>
      <c r="AJ51" s="92">
        <f>Logistic2013!L51</f>
        <v>0.40023244913820061</v>
      </c>
      <c r="AK51" s="119">
        <f t="shared" si="25"/>
        <v>0.41784330704514244</v>
      </c>
      <c r="AL51" s="113"/>
      <c r="AM51" s="113"/>
      <c r="AN51" s="113"/>
      <c r="AO51" s="113"/>
      <c r="AP51" s="113"/>
      <c r="AQ51" s="110">
        <v>2011</v>
      </c>
      <c r="AR51" s="110">
        <v>11</v>
      </c>
      <c r="AS51" s="110">
        <v>3.9729999999999994</v>
      </c>
      <c r="AT51" s="110">
        <v>0.3611818181818181</v>
      </c>
      <c r="AU51" s="110">
        <v>0.13927216363636366</v>
      </c>
      <c r="AV51"/>
      <c r="AW51"/>
    </row>
    <row r="52" spans="2:49" ht="16.5" thickBot="1" x14ac:dyDescent="0.3">
      <c r="B52" s="49"/>
      <c r="C52" s="79"/>
      <c r="D52" s="86" t="str">
        <f t="shared" si="26"/>
        <v/>
      </c>
      <c r="E52" s="81"/>
      <c r="F52" s="50" t="str">
        <f t="shared" si="1"/>
        <v/>
      </c>
      <c r="G52" s="16" t="str">
        <f t="shared" si="2"/>
        <v/>
      </c>
      <c r="H52" s="51" t="str">
        <f t="shared" si="3"/>
        <v/>
      </c>
      <c r="I52" s="54"/>
      <c r="J52" s="105">
        <f t="shared" si="10"/>
        <v>37809.5</v>
      </c>
      <c r="K52" s="109">
        <v>44</v>
      </c>
      <c r="L52" s="125">
        <f t="shared" si="4"/>
        <v>0.46493416339222882</v>
      </c>
      <c r="M52" s="46">
        <f t="shared" si="11"/>
        <v>0.56188779335925654</v>
      </c>
      <c r="N52" s="131">
        <v>0.56188779335925654</v>
      </c>
      <c r="O52" s="89">
        <f t="shared" si="5"/>
        <v>0.56188779335925654</v>
      </c>
      <c r="P52" s="4">
        <v>40366</v>
      </c>
      <c r="Q52" s="4">
        <v>0.71479326435445212</v>
      </c>
      <c r="R52" s="4">
        <v>1901</v>
      </c>
      <c r="S52" s="100">
        <f t="shared" si="23"/>
        <v>929.20190934819504</v>
      </c>
      <c r="T52" s="101">
        <f t="shared" si="27"/>
        <v>971.79809065180496</v>
      </c>
      <c r="U52" s="49">
        <v>40714</v>
      </c>
      <c r="V52" s="95"/>
      <c r="W52" s="95"/>
      <c r="X52" s="95"/>
      <c r="Y52" s="95"/>
      <c r="Z52" s="95"/>
      <c r="AE52" s="93">
        <f t="shared" si="24"/>
        <v>37809.5</v>
      </c>
      <c r="AF52" s="92">
        <f>Logistic2010!Q52</f>
        <v>0.29275475741502793</v>
      </c>
      <c r="AG52" s="4">
        <f t="shared" si="19"/>
        <v>0.71479326435445212</v>
      </c>
      <c r="AH52" s="92">
        <f>Logistic2011!Q52</f>
        <v>0.28464136726106892</v>
      </c>
      <c r="AI52" s="92">
        <f>Logistic2012!Q52</f>
        <v>0.71479326435445212</v>
      </c>
      <c r="AJ52" s="92">
        <f>Logistic2013!L52</f>
        <v>0.44848792399421938</v>
      </c>
      <c r="AK52" s="119">
        <f t="shared" si="25"/>
        <v>0.46493416339222882</v>
      </c>
      <c r="AL52" s="113"/>
      <c r="AM52" s="113"/>
      <c r="AO52" s="113"/>
      <c r="AP52" s="113"/>
      <c r="AQ52" s="111">
        <v>2012</v>
      </c>
      <c r="AR52" s="111">
        <v>11</v>
      </c>
      <c r="AS52" s="111">
        <v>6.5350000000000001</v>
      </c>
      <c r="AT52" s="111">
        <v>0.59409090909090911</v>
      </c>
      <c r="AU52" s="111">
        <v>0.17708689090909088</v>
      </c>
      <c r="AV52"/>
      <c r="AW52"/>
    </row>
    <row r="53" spans="2:49" x14ac:dyDescent="0.25">
      <c r="B53" s="49"/>
      <c r="C53" s="79"/>
      <c r="D53" s="86" t="str">
        <f t="shared" si="26"/>
        <v/>
      </c>
      <c r="E53" s="81"/>
      <c r="F53" s="50" t="str">
        <f t="shared" si="1"/>
        <v/>
      </c>
      <c r="G53" s="16" t="str">
        <f t="shared" si="2"/>
        <v/>
      </c>
      <c r="H53" s="51" t="str">
        <f t="shared" si="3"/>
        <v/>
      </c>
      <c r="I53" s="54"/>
      <c r="J53" s="105">
        <f t="shared" si="10"/>
        <v>37810.5</v>
      </c>
      <c r="K53" s="109">
        <v>45</v>
      </c>
      <c r="L53" s="125">
        <f t="shared" si="4"/>
        <v>0.51265858710560919</v>
      </c>
      <c r="M53" s="46">
        <f t="shared" si="11"/>
        <v>0.64635389784882469</v>
      </c>
      <c r="N53" s="130">
        <v>0.64635389784882469</v>
      </c>
      <c r="O53" s="89">
        <f t="shared" si="5"/>
        <v>0.64635389784882469</v>
      </c>
      <c r="P53" s="4">
        <v>40367</v>
      </c>
      <c r="Q53" s="4">
        <v>0.76948613379160047</v>
      </c>
      <c r="R53" s="4">
        <v>2421</v>
      </c>
      <c r="S53" s="100">
        <f t="shared" si="23"/>
        <v>1298.6388159839637</v>
      </c>
      <c r="T53" s="101">
        <f t="shared" si="27"/>
        <v>1122.3611840160363</v>
      </c>
      <c r="U53" s="49">
        <v>40715</v>
      </c>
      <c r="V53" s="95"/>
      <c r="W53" s="95"/>
      <c r="X53" s="95"/>
      <c r="Y53" s="95"/>
      <c r="Z53" s="95"/>
      <c r="AE53" s="93">
        <f t="shared" si="24"/>
        <v>37810.5</v>
      </c>
      <c r="AF53" s="92">
        <f>Logistic2010!Q53</f>
        <v>0.33577592018640684</v>
      </c>
      <c r="AG53" s="4">
        <f t="shared" si="19"/>
        <v>0.76948613379160047</v>
      </c>
      <c r="AH53" s="92">
        <f>Logistic2011!Q53</f>
        <v>0.33853314511451504</v>
      </c>
      <c r="AI53" s="92">
        <f>Logistic2012!Q53</f>
        <v>0.76948613379160047</v>
      </c>
      <c r="AJ53" s="92">
        <f>Logistic2013!L53</f>
        <v>0.49773319182267894</v>
      </c>
      <c r="AK53" s="119">
        <f t="shared" si="25"/>
        <v>0.51265858710560919</v>
      </c>
      <c r="AL53" s="115"/>
      <c r="AN53" s="115"/>
      <c r="AO53" s="115"/>
      <c r="AP53" s="115"/>
      <c r="AQ53"/>
      <c r="AR53"/>
      <c r="AS53"/>
      <c r="AT53"/>
      <c r="AU53"/>
      <c r="AV53"/>
      <c r="AW53"/>
    </row>
    <row r="54" spans="2:49" x14ac:dyDescent="0.25">
      <c r="B54" s="49"/>
      <c r="C54" s="79"/>
      <c r="D54" s="86" t="str">
        <f t="shared" si="26"/>
        <v/>
      </c>
      <c r="E54" s="81"/>
      <c r="F54" s="50" t="str">
        <f t="shared" si="1"/>
        <v/>
      </c>
      <c r="G54" s="16" t="str">
        <f t="shared" si="2"/>
        <v/>
      </c>
      <c r="H54" s="51" t="str">
        <f t="shared" si="3"/>
        <v/>
      </c>
      <c r="I54" s="54"/>
      <c r="J54" s="105">
        <f t="shared" si="10"/>
        <v>37811.5</v>
      </c>
      <c r="K54" s="109">
        <v>46</v>
      </c>
      <c r="L54" s="125">
        <f t="shared" si="4"/>
        <v>0.56015332200960266</v>
      </c>
      <c r="M54" s="46">
        <f t="shared" si="11"/>
        <v>0.72257565187378159</v>
      </c>
      <c r="N54" s="130">
        <v>0.72257565187378159</v>
      </c>
      <c r="O54" s="89">
        <f t="shared" si="5"/>
        <v>0.72257565187378159</v>
      </c>
      <c r="P54" s="4">
        <v>40368</v>
      </c>
      <c r="Q54" s="4">
        <v>0.81638498403003179</v>
      </c>
      <c r="R54" s="4">
        <v>2560</v>
      </c>
      <c r="S54" s="100">
        <f t="shared" si="23"/>
        <v>1493.4078405692962</v>
      </c>
      <c r="T54" s="101">
        <f t="shared" si="27"/>
        <v>1066.5921594307038</v>
      </c>
      <c r="U54" s="49">
        <v>40716</v>
      </c>
      <c r="V54" s="95"/>
      <c r="W54" s="95"/>
      <c r="X54" s="95"/>
      <c r="Y54" s="95"/>
      <c r="Z54" s="95"/>
      <c r="AE54" s="93">
        <f t="shared" si="24"/>
        <v>37811.5</v>
      </c>
      <c r="AF54" s="92">
        <f>Logistic2010!Q54</f>
        <v>0.3817070776941604</v>
      </c>
      <c r="AG54" s="4">
        <f t="shared" si="19"/>
        <v>0.81638498403003179</v>
      </c>
      <c r="AH54" s="92">
        <f>Logistic2011!Q54</f>
        <v>0.39696628169175319</v>
      </c>
      <c r="AI54" s="92">
        <f>Logistic2012!Q54</f>
        <v>0.81638498403003179</v>
      </c>
      <c r="AJ54" s="92">
        <f>Logistic2013!L54</f>
        <v>0.54702247769245926</v>
      </c>
      <c r="AK54" s="119">
        <f t="shared" si="25"/>
        <v>0.56015332200960266</v>
      </c>
      <c r="AL54" s="110"/>
      <c r="AM54" s="110"/>
      <c r="AN54" s="110"/>
      <c r="AP54" s="110"/>
      <c r="AQ54"/>
      <c r="AR54"/>
      <c r="AS54"/>
      <c r="AT54"/>
      <c r="AU54"/>
      <c r="AV54"/>
      <c r="AW54"/>
    </row>
    <row r="55" spans="2:49" ht="16.5" thickBot="1" x14ac:dyDescent="0.3">
      <c r="B55" s="49"/>
      <c r="C55" s="79"/>
      <c r="D55" s="86" t="str">
        <f t="shared" si="26"/>
        <v/>
      </c>
      <c r="E55" s="81"/>
      <c r="F55" s="50" t="str">
        <f t="shared" si="1"/>
        <v/>
      </c>
      <c r="G55" s="16" t="str">
        <f t="shared" si="2"/>
        <v/>
      </c>
      <c r="H55" s="51" t="str">
        <f t="shared" si="3"/>
        <v/>
      </c>
      <c r="I55" s="54"/>
      <c r="J55" s="105">
        <f t="shared" si="10"/>
        <v>37812.5</v>
      </c>
      <c r="K55" s="109">
        <v>47</v>
      </c>
      <c r="L55" s="125">
        <f t="shared" si="4"/>
        <v>0.60657155343516</v>
      </c>
      <c r="M55" s="46">
        <f t="shared" si="11"/>
        <v>0.67992615512835608</v>
      </c>
      <c r="N55" s="131">
        <v>0.67992615512835608</v>
      </c>
      <c r="O55" s="89">
        <f t="shared" si="5"/>
        <v>0.67992615512835608</v>
      </c>
      <c r="P55" s="4">
        <v>40369</v>
      </c>
      <c r="Q55" s="4">
        <v>0.85553350414652685</v>
      </c>
      <c r="R55" s="4">
        <v>3011</v>
      </c>
      <c r="S55" s="100">
        <f t="shared" si="23"/>
        <v>1893.4877075529557</v>
      </c>
      <c r="T55" s="101">
        <f t="shared" si="27"/>
        <v>1117.5122924470443</v>
      </c>
      <c r="U55" s="49">
        <v>40717</v>
      </c>
      <c r="V55" s="95"/>
      <c r="W55" s="95"/>
      <c r="X55" s="95"/>
      <c r="Y55" s="95"/>
      <c r="Z55" s="95"/>
      <c r="AE55" s="93">
        <f t="shared" si="24"/>
        <v>37812.5</v>
      </c>
      <c r="AF55" s="92">
        <f>Logistic2010!Q55</f>
        <v>0.42985515834963317</v>
      </c>
      <c r="AG55" s="4">
        <f t="shared" si="19"/>
        <v>0.85553350414652685</v>
      </c>
      <c r="AH55" s="92">
        <f>Logistic2011!Q55</f>
        <v>0.45849431667616858</v>
      </c>
      <c r="AI55" s="92">
        <f>Logistic2012!Q55</f>
        <v>0.85553350414652685</v>
      </c>
      <c r="AJ55" s="92">
        <f>Logistic2013!L55</f>
        <v>0.59540663680406558</v>
      </c>
      <c r="AK55" s="119">
        <f t="shared" si="25"/>
        <v>0.60657155343516</v>
      </c>
      <c r="AL55" s="110"/>
      <c r="AM55" s="110"/>
      <c r="AO55" s="110"/>
      <c r="AP55" s="110"/>
      <c r="AQ55" t="s">
        <v>35</v>
      </c>
      <c r="AR55"/>
      <c r="AS55"/>
      <c r="AT55"/>
      <c r="AU55"/>
      <c r="AV55"/>
      <c r="AW55"/>
    </row>
    <row r="56" spans="2:49" x14ac:dyDescent="0.25">
      <c r="B56" s="49"/>
      <c r="C56" s="79"/>
      <c r="D56" s="86" t="str">
        <f t="shared" si="26"/>
        <v/>
      </c>
      <c r="E56" s="81"/>
      <c r="F56" s="50" t="str">
        <f t="shared" si="1"/>
        <v/>
      </c>
      <c r="G56" s="16" t="str">
        <f t="shared" si="2"/>
        <v/>
      </c>
      <c r="H56" s="51" t="str">
        <f t="shared" si="3"/>
        <v/>
      </c>
      <c r="I56" s="54"/>
      <c r="J56" s="105">
        <f t="shared" si="10"/>
        <v>37813.5</v>
      </c>
      <c r="K56" s="109">
        <v>48</v>
      </c>
      <c r="L56" s="125">
        <f t="shared" si="4"/>
        <v>0.65114196868570062</v>
      </c>
      <c r="M56" s="46">
        <f t="shared" si="11"/>
        <v>0.73462826392623781</v>
      </c>
      <c r="N56" s="131">
        <v>0.73462826392623781</v>
      </c>
      <c r="O56" s="89">
        <f t="shared" si="5"/>
        <v>0.73462826392623781</v>
      </c>
      <c r="P56" s="4">
        <v>40370</v>
      </c>
      <c r="Q56" s="4">
        <v>0.88748554172196392</v>
      </c>
      <c r="R56" s="4">
        <v>582</v>
      </c>
      <c r="S56" s="100">
        <f t="shared" si="23"/>
        <v>391.20842135770999</v>
      </c>
      <c r="T56" s="101">
        <f t="shared" si="27"/>
        <v>190.79157864229001</v>
      </c>
      <c r="U56" s="49">
        <v>40718</v>
      </c>
      <c r="V56" s="95"/>
      <c r="W56" s="95"/>
      <c r="X56" s="95"/>
      <c r="Y56" s="95"/>
      <c r="Z56" s="95"/>
      <c r="AE56" s="93">
        <f t="shared" si="24"/>
        <v>37813.5</v>
      </c>
      <c r="AF56" s="92">
        <f>Logistic2010!Q56</f>
        <v>0.47936786629286093</v>
      </c>
      <c r="AG56" s="4">
        <f t="shared" si="19"/>
        <v>0.88748554172196392</v>
      </c>
      <c r="AH56" s="92">
        <f>Logistic2011!Q56</f>
        <v>0.52131468367366807</v>
      </c>
      <c r="AI56" s="92">
        <f>Logistic2012!Q56</f>
        <v>0.88748554172196392</v>
      </c>
      <c r="AJ56" s="92">
        <f>Logistic2013!L56</f>
        <v>0.64200492795904929</v>
      </c>
      <c r="AK56" s="119">
        <f t="shared" si="25"/>
        <v>0.65114196868570062</v>
      </c>
      <c r="AL56" s="110"/>
      <c r="AM56" s="110"/>
      <c r="AN56" s="110"/>
      <c r="AO56" s="110"/>
      <c r="AP56" s="110"/>
      <c r="AQ56" s="112" t="s">
        <v>36</v>
      </c>
      <c r="AR56" s="112" t="s">
        <v>37</v>
      </c>
      <c r="AS56" s="112" t="s">
        <v>38</v>
      </c>
      <c r="AT56" s="112" t="s">
        <v>39</v>
      </c>
      <c r="AU56" s="112" t="s">
        <v>40</v>
      </c>
      <c r="AV56" s="112" t="s">
        <v>41</v>
      </c>
      <c r="AW56" s="112" t="s">
        <v>42</v>
      </c>
    </row>
    <row r="57" spans="2:49" ht="16.5" thickBot="1" x14ac:dyDescent="0.3">
      <c r="B57" s="49"/>
      <c r="C57" s="79"/>
      <c r="D57" s="86" t="str">
        <f t="shared" si="26"/>
        <v/>
      </c>
      <c r="E57" s="81"/>
      <c r="F57" s="50" t="str">
        <f t="shared" si="1"/>
        <v/>
      </c>
      <c r="G57" s="16" t="str">
        <f t="shared" si="2"/>
        <v/>
      </c>
      <c r="H57" s="51" t="str">
        <f t="shared" si="3"/>
        <v/>
      </c>
      <c r="I57" s="54"/>
      <c r="J57" s="105">
        <f t="shared" si="10"/>
        <v>37814.5</v>
      </c>
      <c r="K57" s="109">
        <v>49</v>
      </c>
      <c r="L57" s="125">
        <f t="shared" si="4"/>
        <v>0.69321686759508971</v>
      </c>
      <c r="M57" s="46">
        <f t="shared" si="11"/>
        <v>0.78296570483334704</v>
      </c>
      <c r="N57" s="131">
        <v>0.78296570483334704</v>
      </c>
      <c r="O57" s="89">
        <f t="shared" si="5"/>
        <v>0.78296570483334704</v>
      </c>
      <c r="P57" s="4">
        <v>40371</v>
      </c>
      <c r="Q57" s="4">
        <v>0.91308857223820117</v>
      </c>
      <c r="R57" s="4">
        <v>2638</v>
      </c>
      <c r="S57" s="100">
        <f t="shared" si="23"/>
        <v>1880.261310539981</v>
      </c>
      <c r="T57" s="101">
        <f t="shared" si="27"/>
        <v>757.73868946001903</v>
      </c>
      <c r="U57" s="49">
        <v>40719</v>
      </c>
      <c r="V57" s="95">
        <v>7.0000000000000001E-3</v>
      </c>
      <c r="W57" s="95"/>
      <c r="X57" s="95"/>
      <c r="Y57" s="95"/>
      <c r="Z57" s="95"/>
      <c r="AE57" s="93">
        <f t="shared" si="24"/>
        <v>37814.5</v>
      </c>
      <c r="AF57" s="92">
        <f>Logistic2010!Q57</f>
        <v>0.52928924873066352</v>
      </c>
      <c r="AG57" s="4">
        <f t="shared" si="19"/>
        <v>0.91308857223820117</v>
      </c>
      <c r="AH57" s="92">
        <f>Logistic2011!Q57</f>
        <v>0.58346805352827824</v>
      </c>
      <c r="AI57" s="92">
        <f>Logistic2012!Q57</f>
        <v>0.91308857223820117</v>
      </c>
      <c r="AJ57" s="92">
        <f>Logistic2013!L57</f>
        <v>0.68606608243321232</v>
      </c>
      <c r="AK57" s="119">
        <f t="shared" si="25"/>
        <v>0.69321686759508971</v>
      </c>
      <c r="AL57" s="110"/>
      <c r="AM57" s="110"/>
      <c r="AN57" s="110"/>
      <c r="AO57" s="110"/>
      <c r="AP57" s="110"/>
      <c r="AQ57" s="110" t="s">
        <v>43</v>
      </c>
      <c r="AR57" s="110">
        <v>0.29835654545454471</v>
      </c>
      <c r="AS57" s="110">
        <v>1</v>
      </c>
      <c r="AT57" s="110">
        <v>0.29835654545454471</v>
      </c>
      <c r="AU57" s="110">
        <v>1.8861893861911057</v>
      </c>
      <c r="AV57" s="110">
        <v>0.18483371790912717</v>
      </c>
      <c r="AW57" s="110">
        <v>4.351243478421539</v>
      </c>
    </row>
    <row r="58" spans="2:49" x14ac:dyDescent="0.25">
      <c r="B58" s="49"/>
      <c r="C58" s="79"/>
      <c r="D58" s="86" t="str">
        <f t="shared" si="26"/>
        <v/>
      </c>
      <c r="E58" s="81"/>
      <c r="F58" s="50" t="str">
        <f t="shared" si="1"/>
        <v/>
      </c>
      <c r="G58" s="16" t="str">
        <f t="shared" si="2"/>
        <v/>
      </c>
      <c r="H58" s="51" t="str">
        <f t="shared" si="3"/>
        <v/>
      </c>
      <c r="I58" s="54"/>
      <c r="J58" s="105">
        <f t="shared" si="10"/>
        <v>37815.5</v>
      </c>
      <c r="K58" s="109">
        <v>50</v>
      </c>
      <c r="L58" s="125">
        <f t="shared" si="4"/>
        <v>0.73230345881884595</v>
      </c>
      <c r="M58" s="46">
        <f t="shared" si="11"/>
        <v>0.82460067927314873</v>
      </c>
      <c r="N58" s="130">
        <v>0.82460067927314873</v>
      </c>
      <c r="O58" s="89">
        <f t="shared" si="5"/>
        <v>0.82460067927314873</v>
      </c>
      <c r="P58" s="4">
        <v>40372</v>
      </c>
      <c r="Q58" s="4">
        <v>0.93330339143718788</v>
      </c>
      <c r="R58" s="4">
        <v>4264</v>
      </c>
      <c r="S58" s="100">
        <f t="shared" si="23"/>
        <v>3198.8094476114688</v>
      </c>
      <c r="T58" s="101">
        <f t="shared" si="27"/>
        <v>1065.1905523885312</v>
      </c>
      <c r="U58" s="40">
        <v>40720</v>
      </c>
      <c r="V58" s="95"/>
      <c r="W58" s="95"/>
      <c r="X58" s="95"/>
      <c r="Y58" s="95"/>
      <c r="Z58" s="95"/>
      <c r="AE58" s="93">
        <f t="shared" si="24"/>
        <v>37815.5</v>
      </c>
      <c r="AF58" s="92">
        <f>Logistic2010!Q58</f>
        <v>0.57863147408369076</v>
      </c>
      <c r="AG58" s="4">
        <f t="shared" si="19"/>
        <v>0.93330339143718788</v>
      </c>
      <c r="AH58" s="92">
        <f>Logistic2011!Q58</f>
        <v>0.64307659747584256</v>
      </c>
      <c r="AI58" s="92">
        <f>Logistic2012!Q58</f>
        <v>0.93330339143718788</v>
      </c>
      <c r="AJ58" s="92">
        <f>Logistic2013!L58</f>
        <v>0.7270102102463335</v>
      </c>
      <c r="AK58" s="119">
        <f t="shared" si="25"/>
        <v>0.73230345881884595</v>
      </c>
      <c r="AL58" s="114"/>
      <c r="AM58" s="114"/>
      <c r="AN58" s="114"/>
      <c r="AO58" s="114"/>
      <c r="AP58" s="114"/>
      <c r="AQ58" s="110" t="s">
        <v>44</v>
      </c>
      <c r="AR58" s="110">
        <v>3.1635905454545457</v>
      </c>
      <c r="AS58" s="110">
        <v>20</v>
      </c>
      <c r="AT58" s="110">
        <v>0.15817952727272727</v>
      </c>
      <c r="AU58" s="110"/>
      <c r="AV58" s="110"/>
      <c r="AW58" s="110"/>
    </row>
    <row r="59" spans="2:49" x14ac:dyDescent="0.25">
      <c r="B59" s="49"/>
      <c r="C59" s="79"/>
      <c r="D59" s="86" t="str">
        <f t="shared" si="26"/>
        <v/>
      </c>
      <c r="E59" s="81"/>
      <c r="F59" s="50" t="str">
        <f t="shared" si="1"/>
        <v/>
      </c>
      <c r="G59" s="16" t="str">
        <f t="shared" si="2"/>
        <v/>
      </c>
      <c r="H59" s="51" t="str">
        <f t="shared" si="3"/>
        <v/>
      </c>
      <c r="I59" s="54"/>
      <c r="J59" s="105">
        <f t="shared" si="10"/>
        <v>37816.5</v>
      </c>
      <c r="K59" s="109">
        <v>51</v>
      </c>
      <c r="L59" s="125">
        <f t="shared" si="4"/>
        <v>0.76807620704019175</v>
      </c>
      <c r="M59" s="46">
        <f t="shared" si="11"/>
        <v>0.85967998350172414</v>
      </c>
      <c r="N59" s="130">
        <v>0.85967998350172414</v>
      </c>
      <c r="O59" s="89">
        <f t="shared" si="5"/>
        <v>0.85967998350172414</v>
      </c>
      <c r="P59" s="4">
        <v>40373</v>
      </c>
      <c r="Q59" s="4">
        <v>0.94907863528681002</v>
      </c>
      <c r="R59" s="4">
        <v>29205</v>
      </c>
      <c r="S59" s="100">
        <f t="shared" si="23"/>
        <v>22903.260953130499</v>
      </c>
      <c r="T59" s="101">
        <f t="shared" si="27"/>
        <v>6301.7390468695012</v>
      </c>
      <c r="U59" s="49">
        <v>40721</v>
      </c>
      <c r="V59" s="95"/>
      <c r="W59" s="95"/>
      <c r="X59" s="95"/>
      <c r="Y59" s="95"/>
      <c r="Z59" s="95"/>
      <c r="AE59" s="93">
        <f t="shared" si="24"/>
        <v>37816.5</v>
      </c>
      <c r="AF59" s="92">
        <f>Logistic2010!Q59</f>
        <v>0.62645177427350185</v>
      </c>
      <c r="AG59" s="4">
        <f t="shared" si="19"/>
        <v>0.94907863528681002</v>
      </c>
      <c r="AH59" s="92">
        <f>Logistic2011!Q59</f>
        <v>0.69856182420049406</v>
      </c>
      <c r="AI59" s="92">
        <f>Logistic2012!Q59</f>
        <v>0.94907863528681002</v>
      </c>
      <c r="AJ59" s="92">
        <f>Logistic2013!L59</f>
        <v>0.76444773045159664</v>
      </c>
      <c r="AK59" s="119">
        <f t="shared" si="25"/>
        <v>0.76807620704019175</v>
      </c>
      <c r="AL59" s="114"/>
      <c r="AM59" s="114"/>
      <c r="AN59" s="114"/>
      <c r="AO59" s="114"/>
      <c r="AP59" s="114"/>
      <c r="AQ59" s="110"/>
      <c r="AR59" s="110"/>
      <c r="AS59" s="110"/>
      <c r="AT59" s="110"/>
      <c r="AU59" s="110"/>
      <c r="AV59" s="110"/>
      <c r="AW59" s="110"/>
    </row>
    <row r="60" spans="2:49" ht="16.5" thickBot="1" x14ac:dyDescent="0.3">
      <c r="B60" s="49"/>
      <c r="C60" s="79"/>
      <c r="D60" s="86" t="str">
        <f t="shared" si="26"/>
        <v/>
      </c>
      <c r="E60" s="81"/>
      <c r="F60" s="50" t="str">
        <f t="shared" si="1"/>
        <v/>
      </c>
      <c r="G60" s="16" t="str">
        <f t="shared" si="2"/>
        <v/>
      </c>
      <c r="H60" s="51" t="str">
        <f t="shared" si="3"/>
        <v/>
      </c>
      <c r="I60" s="54"/>
      <c r="J60" s="105">
        <f t="shared" si="10"/>
        <v>37817.5</v>
      </c>
      <c r="K60" s="109">
        <v>52</v>
      </c>
      <c r="L60" s="125">
        <f t="shared" si="4"/>
        <v>0.80037172674720769</v>
      </c>
      <c r="M60" s="46">
        <f t="shared" si="11"/>
        <v>0.8886905657803027</v>
      </c>
      <c r="N60" s="131">
        <v>0.8886905657803027</v>
      </c>
      <c r="O60" s="89">
        <f t="shared" si="5"/>
        <v>0.8886905657803027</v>
      </c>
      <c r="P60" s="4">
        <v>40374</v>
      </c>
      <c r="Q60" s="4">
        <v>0.96127748661561918</v>
      </c>
      <c r="R60" s="4">
        <v>27768</v>
      </c>
      <c r="S60" s="100">
        <f t="shared" si="23"/>
        <v>22624.561546651916</v>
      </c>
      <c r="T60" s="101">
        <f t="shared" si="27"/>
        <v>5143.4384533480843</v>
      </c>
      <c r="U60" s="49">
        <v>40722</v>
      </c>
      <c r="V60" s="95"/>
      <c r="W60" s="95"/>
      <c r="X60" s="95"/>
      <c r="Y60" s="95"/>
      <c r="Z60" s="95"/>
      <c r="AE60" s="93">
        <f t="shared" si="24"/>
        <v>37817.5</v>
      </c>
      <c r="AF60" s="92">
        <f>Logistic2010!Q60</f>
        <v>0.6719221112063114</v>
      </c>
      <c r="AG60" s="4">
        <f t="shared" si="19"/>
        <v>0.96127748661561918</v>
      </c>
      <c r="AH60" s="92">
        <f>Logistic2011!Q60</f>
        <v>0.74879103833236005</v>
      </c>
      <c r="AI60" s="92">
        <f>Logistic2012!Q60</f>
        <v>0.96127748661561918</v>
      </c>
      <c r="AJ60" s="92">
        <f>Logistic2013!L60</f>
        <v>0.79817638699971571</v>
      </c>
      <c r="AK60" s="119">
        <f t="shared" si="25"/>
        <v>0.80037172674720769</v>
      </c>
      <c r="AL60" s="113"/>
      <c r="AN60" s="113"/>
      <c r="AO60" s="113"/>
      <c r="AP60" s="113"/>
      <c r="AQ60" s="111" t="s">
        <v>45</v>
      </c>
      <c r="AR60" s="111">
        <v>3.4619470909090904</v>
      </c>
      <c r="AS60" s="111">
        <v>21</v>
      </c>
      <c r="AT60" s="111"/>
      <c r="AU60" s="111"/>
      <c r="AV60" s="111"/>
      <c r="AW60" s="111"/>
    </row>
    <row r="61" spans="2:49" x14ac:dyDescent="0.25">
      <c r="B61" s="49"/>
      <c r="C61" s="79"/>
      <c r="D61" s="86" t="str">
        <f t="shared" si="26"/>
        <v/>
      </c>
      <c r="E61" s="81"/>
      <c r="F61" s="50" t="str">
        <f t="shared" si="1"/>
        <v/>
      </c>
      <c r="G61" s="16" t="str">
        <f t="shared" si="2"/>
        <v/>
      </c>
      <c r="H61" s="51" t="str">
        <f t="shared" si="3"/>
        <v/>
      </c>
      <c r="I61" s="54"/>
      <c r="J61" s="105">
        <f t="shared" si="10"/>
        <v>37818.5</v>
      </c>
      <c r="K61" s="109">
        <v>53</v>
      </c>
      <c r="L61" s="125">
        <f t="shared" si="4"/>
        <v>0.82917030340634412</v>
      </c>
      <c r="M61" s="46">
        <f t="shared" si="11"/>
        <v>0.91231509064301375</v>
      </c>
      <c r="N61" s="130">
        <v>0.91231509064301375</v>
      </c>
      <c r="O61" s="89">
        <f t="shared" si="5"/>
        <v>0.91231509064301375</v>
      </c>
      <c r="P61" s="4">
        <v>40375</v>
      </c>
      <c r="Q61" s="4">
        <v>0.97064434164342128</v>
      </c>
      <c r="R61" s="4">
        <v>21508</v>
      </c>
      <c r="S61" s="100">
        <f t="shared" si="23"/>
        <v>18106.935261154344</v>
      </c>
      <c r="T61" s="101">
        <f t="shared" si="27"/>
        <v>3401.0647388456564</v>
      </c>
      <c r="U61" s="49">
        <v>40723</v>
      </c>
      <c r="V61" s="95"/>
      <c r="W61" s="95"/>
      <c r="X61" s="95"/>
      <c r="Y61" s="95"/>
      <c r="Z61" s="95"/>
      <c r="AC61" s="93">
        <v>37783</v>
      </c>
      <c r="AD61" s="95">
        <v>2.4E-2</v>
      </c>
      <c r="AE61" s="93">
        <f t="shared" si="24"/>
        <v>37818.5</v>
      </c>
      <c r="AF61" s="92">
        <f>Logistic2010!Q61</f>
        <v>0.71438108258813315</v>
      </c>
      <c r="AG61" s="4">
        <f t="shared" si="19"/>
        <v>0.97064434164342128</v>
      </c>
      <c r="AH61" s="92">
        <f>Logistic2011!Q61</f>
        <v>0.79312907861690396</v>
      </c>
      <c r="AI61" s="92">
        <f>Logistic2012!Q61</f>
        <v>0.97064434164342128</v>
      </c>
      <c r="AJ61" s="92">
        <f>Logistic2013!L61</f>
        <v>0.82816108437109193</v>
      </c>
      <c r="AK61" s="119">
        <f t="shared" si="25"/>
        <v>0.82917030340634412</v>
      </c>
      <c r="AL61" s="113"/>
      <c r="AM61" s="113"/>
      <c r="AN61" s="113"/>
      <c r="AO61" s="113"/>
      <c r="AP61" s="113"/>
      <c r="AQ61" s="113"/>
      <c r="AR61" s="113"/>
      <c r="AS61" s="114"/>
      <c r="AT61" s="114"/>
    </row>
    <row r="62" spans="2:49" ht="16.5" thickBot="1" x14ac:dyDescent="0.3">
      <c r="B62" s="49"/>
      <c r="C62" s="79"/>
      <c r="D62" s="86" t="str">
        <f t="shared" si="26"/>
        <v/>
      </c>
      <c r="E62" s="81"/>
      <c r="F62" s="50" t="str">
        <f t="shared" si="1"/>
        <v/>
      </c>
      <c r="G62" s="16" t="str">
        <f t="shared" si="2"/>
        <v/>
      </c>
      <c r="H62" s="51" t="str">
        <f t="shared" si="3"/>
        <v/>
      </c>
      <c r="I62" s="54"/>
      <c r="J62" s="105">
        <f t="shared" si="10"/>
        <v>37819.5</v>
      </c>
      <c r="K62" s="109">
        <v>54</v>
      </c>
      <c r="L62" s="125">
        <f t="shared" si="4"/>
        <v>0.85456925965431629</v>
      </c>
      <c r="M62" s="46">
        <f t="shared" si="11"/>
        <v>0.93131304287865924</v>
      </c>
      <c r="N62" s="130">
        <v>0.93131304287865924</v>
      </c>
      <c r="O62" s="89">
        <f t="shared" si="5"/>
        <v>0.93131304287865924</v>
      </c>
      <c r="P62" s="4">
        <v>40376</v>
      </c>
      <c r="Q62" s="4">
        <v>0.97779771637475388</v>
      </c>
      <c r="R62" s="4">
        <v>9686</v>
      </c>
      <c r="S62" s="100">
        <f t="shared" si="23"/>
        <v>8384.79470254027</v>
      </c>
      <c r="T62" s="101">
        <f t="shared" si="27"/>
        <v>1301.20529745973</v>
      </c>
      <c r="U62" s="49">
        <v>40724</v>
      </c>
      <c r="V62" s="95"/>
      <c r="W62" s="95"/>
      <c r="X62" s="95"/>
      <c r="Y62" s="95"/>
      <c r="Z62" s="95"/>
      <c r="AC62" s="93">
        <v>37810</v>
      </c>
      <c r="AD62" s="95">
        <v>0.90100000000000002</v>
      </c>
      <c r="AE62" s="93">
        <f t="shared" si="24"/>
        <v>37819.5</v>
      </c>
      <c r="AF62" s="92">
        <f>Logistic2010!Q62</f>
        <v>0.75336211213144844</v>
      </c>
      <c r="AG62" s="4">
        <f t="shared" si="19"/>
        <v>0.97779771637475388</v>
      </c>
      <c r="AH62" s="92">
        <f>Logistic2011!Q62</f>
        <v>0.83140351438424964</v>
      </c>
      <c r="AI62" s="92">
        <f>Logistic2012!Q62</f>
        <v>0.97779771637475388</v>
      </c>
      <c r="AJ62" s="92">
        <f>Logistic2013!L62</f>
        <v>0.85450303975835906</v>
      </c>
      <c r="AK62" s="119">
        <f t="shared" si="25"/>
        <v>0.85456925965431629</v>
      </c>
      <c r="AL62" s="113"/>
      <c r="AM62" s="113"/>
      <c r="AO62" s="113"/>
      <c r="AP62" s="113"/>
      <c r="AQ62" s="113"/>
      <c r="AR62" s="113"/>
      <c r="AS62" s="114"/>
      <c r="AT62" s="114"/>
    </row>
    <row r="63" spans="2:49" x14ac:dyDescent="0.25">
      <c r="B63" s="49"/>
      <c r="C63" s="79"/>
      <c r="D63" s="86" t="str">
        <f t="shared" si="26"/>
        <v/>
      </c>
      <c r="E63" s="81"/>
      <c r="F63" s="50" t="str">
        <f t="shared" si="1"/>
        <v/>
      </c>
      <c r="G63" s="16" t="str">
        <f t="shared" si="2"/>
        <v/>
      </c>
      <c r="H63" s="51" t="str">
        <f t="shared" si="3"/>
        <v/>
      </c>
      <c r="I63" s="54"/>
      <c r="J63" s="105">
        <f t="shared" si="10"/>
        <v>37820.5</v>
      </c>
      <c r="K63" s="109">
        <v>55</v>
      </c>
      <c r="L63" s="125">
        <f t="shared" si="4"/>
        <v>0.87675320628420728</v>
      </c>
      <c r="M63" s="46">
        <f t="shared" si="11"/>
        <v>0.87675320628420728</v>
      </c>
      <c r="N63" s="130">
        <v>0.94643653282667362</v>
      </c>
      <c r="O63" s="89">
        <f t="shared" si="5"/>
        <v>0.87675320628420728</v>
      </c>
      <c r="P63" s="4">
        <v>40377</v>
      </c>
      <c r="Q63" s="4">
        <v>0.98323806162233796</v>
      </c>
      <c r="R63" s="4">
        <v>3970</v>
      </c>
      <c r="S63" s="100">
        <f t="shared" si="23"/>
        <v>3518.8459978503161</v>
      </c>
      <c r="T63" s="101">
        <f t="shared" si="27"/>
        <v>451.15400214968395</v>
      </c>
      <c r="U63" s="40">
        <v>40725</v>
      </c>
      <c r="V63" s="95">
        <v>0.35599999999999998</v>
      </c>
      <c r="W63" s="95"/>
      <c r="X63" s="95"/>
      <c r="Y63" s="95"/>
      <c r="Z63" s="95"/>
      <c r="AC63" s="93">
        <v>37813</v>
      </c>
      <c r="AD63" s="95">
        <v>0.77500000000000002</v>
      </c>
      <c r="AE63" s="93">
        <f t="shared" si="24"/>
        <v>37820.5</v>
      </c>
      <c r="AF63" s="92">
        <f>Logistic2010!Q63</f>
        <v>0.78859738904460508</v>
      </c>
      <c r="AG63" s="4">
        <f t="shared" si="19"/>
        <v>0.98323806162233796</v>
      </c>
      <c r="AH63" s="92">
        <f>Logistic2011!Q63</f>
        <v>0.86381250435994517</v>
      </c>
      <c r="AI63" s="92">
        <f>Logistic2012!Q63</f>
        <v>0.98323806162233796</v>
      </c>
      <c r="AJ63" s="92">
        <f>Logistic2013!L63</f>
        <v>0.87740468827985718</v>
      </c>
      <c r="AK63" s="119">
        <f t="shared" si="25"/>
        <v>0.87675320628420728</v>
      </c>
      <c r="AL63" s="115"/>
      <c r="AM63" s="115"/>
      <c r="AN63" s="115"/>
      <c r="AO63" s="115"/>
      <c r="AP63" s="115"/>
      <c r="AQ63" t="s">
        <v>28</v>
      </c>
      <c r="AR63"/>
      <c r="AS63"/>
      <c r="AT63"/>
      <c r="AU63"/>
      <c r="AV63"/>
      <c r="AW63"/>
    </row>
    <row r="64" spans="2:49" ht="16.5" thickBot="1" x14ac:dyDescent="0.3">
      <c r="B64" s="56"/>
      <c r="C64" s="80"/>
      <c r="D64" s="87" t="str">
        <f t="shared" si="26"/>
        <v/>
      </c>
      <c r="E64" s="82"/>
      <c r="F64" s="50" t="str">
        <f t="shared" si="1"/>
        <v/>
      </c>
      <c r="G64" s="16" t="str">
        <f t="shared" si="2"/>
        <v/>
      </c>
      <c r="H64" s="51" t="str">
        <f t="shared" si="3"/>
        <v/>
      </c>
      <c r="I64" s="54"/>
      <c r="J64" s="105">
        <f t="shared" si="10"/>
        <v>37821.5</v>
      </c>
      <c r="K64" s="109">
        <v>56</v>
      </c>
      <c r="L64" s="125">
        <f t="shared" si="4"/>
        <v>0.89596518054214846</v>
      </c>
      <c r="M64" s="46">
        <f t="shared" si="11"/>
        <v>0.89596518054214846</v>
      </c>
      <c r="N64" s="131">
        <v>0.95837894884125729</v>
      </c>
      <c r="O64" s="89">
        <f t="shared" si="5"/>
        <v>0.89596518054214846</v>
      </c>
      <c r="P64" s="4">
        <v>40378</v>
      </c>
      <c r="Q64" s="4">
        <v>0.98736255895680802</v>
      </c>
      <c r="R64" s="4">
        <v>5509</v>
      </c>
      <c r="S64" s="100">
        <f t="shared" si="23"/>
        <v>4981.3658209889027</v>
      </c>
      <c r="T64" s="101">
        <f t="shared" si="27"/>
        <v>527.63417901109733</v>
      </c>
      <c r="U64" s="49">
        <v>40726</v>
      </c>
      <c r="V64" s="95"/>
      <c r="W64" s="95"/>
      <c r="X64" s="95"/>
      <c r="Y64" s="95"/>
      <c r="Z64" s="95"/>
      <c r="AC64" s="93">
        <v>37816</v>
      </c>
      <c r="AD64" s="95">
        <v>0.93</v>
      </c>
      <c r="AE64" s="93">
        <f t="shared" si="24"/>
        <v>37821.5</v>
      </c>
      <c r="AF64" s="92">
        <f>Logistic2010!Q64</f>
        <v>0.82000157910537541</v>
      </c>
      <c r="AG64" s="4">
        <f t="shared" si="19"/>
        <v>0.98736255895680802</v>
      </c>
      <c r="AH64" s="92">
        <f>Logistic2011!Q64</f>
        <v>0.89080976473363638</v>
      </c>
      <c r="AI64" s="92">
        <f>Logistic2012!Q64</f>
        <v>0.98736255895680802</v>
      </c>
      <c r="AJ64" s="92">
        <f>Logistic2013!L64</f>
        <v>0.8971354919418093</v>
      </c>
      <c r="AK64" s="119">
        <f t="shared" si="25"/>
        <v>0.89596518054214846</v>
      </c>
      <c r="AL64" s="110"/>
      <c r="AM64" s="110"/>
      <c r="AN64" s="110"/>
      <c r="AO64" s="110"/>
      <c r="AP64" s="110"/>
      <c r="AQ64"/>
      <c r="AR64"/>
      <c r="AS64"/>
      <c r="AT64"/>
      <c r="AU64"/>
      <c r="AV64"/>
      <c r="AW64"/>
    </row>
    <row r="65" spans="1:49" ht="16.5" thickBot="1" x14ac:dyDescent="0.3">
      <c r="A65" s="4">
        <v>2.5000000000000001E-2</v>
      </c>
      <c r="B65" s="104">
        <f>C5</f>
        <v>37834.5</v>
      </c>
      <c r="C65" s="121">
        <f t="shared" ref="C65" si="28">1/(A65^2)</f>
        <v>1599.9999999999998</v>
      </c>
      <c r="D65" s="84">
        <f t="shared" si="26"/>
        <v>69</v>
      </c>
      <c r="E65" s="59">
        <v>1</v>
      </c>
      <c r="F65" s="60">
        <f t="shared" si="1"/>
        <v>0.9904155722782505</v>
      </c>
      <c r="G65" s="61">
        <f t="shared" si="2"/>
        <v>9.5844277217495E-3</v>
      </c>
      <c r="H65" s="62">
        <f t="shared" si="3"/>
        <v>0.14697800760550447</v>
      </c>
      <c r="I65" s="54"/>
      <c r="J65" s="105">
        <f t="shared" si="10"/>
        <v>37822.5</v>
      </c>
      <c r="K65" s="109">
        <v>57</v>
      </c>
      <c r="L65" s="125">
        <f t="shared" si="4"/>
        <v>0.91248129649139764</v>
      </c>
      <c r="M65" s="46">
        <f t="shared" si="11"/>
        <v>0.91248129649139764</v>
      </c>
      <c r="N65" s="130">
        <v>0.96774943709406713</v>
      </c>
      <c r="O65" s="89">
        <f t="shared" si="5"/>
        <v>0.91248129649139764</v>
      </c>
      <c r="P65" s="4">
        <v>40379</v>
      </c>
      <c r="Q65" s="4">
        <v>0.99048199337810516</v>
      </c>
      <c r="R65" s="4">
        <v>2314</v>
      </c>
      <c r="S65" s="100">
        <f t="shared" si="23"/>
        <v>2127.8057423848682</v>
      </c>
      <c r="T65" s="101">
        <f t="shared" si="27"/>
        <v>186.19425761513185</v>
      </c>
      <c r="U65" s="49">
        <v>40727</v>
      </c>
      <c r="V65" s="95"/>
      <c r="W65" s="95"/>
      <c r="X65" s="95"/>
      <c r="Y65" s="95"/>
      <c r="Z65" s="95"/>
      <c r="AC65" s="93">
        <v>37819</v>
      </c>
      <c r="AD65" s="95">
        <v>0.997</v>
      </c>
      <c r="AE65" s="93">
        <f t="shared" si="24"/>
        <v>37822.5</v>
      </c>
      <c r="AF65" s="92">
        <f>Logistic2010!Q65</f>
        <v>0.84764193896050799</v>
      </c>
      <c r="AG65" s="4">
        <f t="shared" si="19"/>
        <v>0.99048199337810516</v>
      </c>
      <c r="AH65" s="92">
        <f>Logistic2011!Q65</f>
        <v>0.91299424895614467</v>
      </c>
      <c r="AI65" s="92">
        <f>Logistic2012!Q65</f>
        <v>0.99048199337810516</v>
      </c>
      <c r="AJ65" s="92">
        <f>Logistic2013!L65</f>
        <v>0.91400201566045702</v>
      </c>
      <c r="AK65" s="119">
        <f t="shared" si="25"/>
        <v>0.91248129649139764</v>
      </c>
      <c r="AL65" s="110"/>
      <c r="AM65" s="110"/>
      <c r="AN65" s="110"/>
      <c r="AO65" s="110"/>
      <c r="AP65" s="110"/>
      <c r="AQ65" t="s">
        <v>29</v>
      </c>
      <c r="AR65"/>
      <c r="AS65"/>
      <c r="AT65"/>
      <c r="AU65"/>
      <c r="AV65"/>
      <c r="AW65"/>
    </row>
    <row r="66" spans="1:49" ht="16.5" thickBot="1" x14ac:dyDescent="0.3">
      <c r="A66" s="4">
        <v>2.5000000000000001E-2</v>
      </c>
      <c r="B66" s="104">
        <f>A3</f>
        <v>37766.5</v>
      </c>
      <c r="C66" s="121">
        <f>C65</f>
        <v>1599.9999999999998</v>
      </c>
      <c r="D66" s="84">
        <f>IF(B66&lt;&gt;0,B66-$A$3+1,"")</f>
        <v>1</v>
      </c>
      <c r="E66" s="59">
        <v>0</v>
      </c>
      <c r="F66" s="60">
        <f>IF(B66&lt;&gt;0,$G$3/(1+EXP(-$G$4*(D66-$G$5))),"")</f>
        <v>2.3411176981798289E-4</v>
      </c>
      <c r="G66" s="61">
        <f>IF(B66&lt;&gt;0,E66-F66,"")</f>
        <v>-2.3411176981798289E-4</v>
      </c>
      <c r="H66" s="62">
        <f>IF(B66&lt;&gt;0,C66*(G66)^2,"")</f>
        <v>8.7693313227693107E-5</v>
      </c>
      <c r="I66" s="68"/>
      <c r="J66" s="105">
        <f t="shared" si="10"/>
        <v>37823.5</v>
      </c>
      <c r="K66" s="109">
        <v>58</v>
      </c>
      <c r="L66" s="125">
        <f t="shared" si="4"/>
        <v>0.92659021810226538</v>
      </c>
      <c r="M66" s="46">
        <f t="shared" si="11"/>
        <v>0.92659021810226538</v>
      </c>
      <c r="N66" s="130">
        <v>0.97506515897383861</v>
      </c>
      <c r="O66" s="89">
        <f t="shared" si="5"/>
        <v>0.92659021810226538</v>
      </c>
      <c r="P66" s="4">
        <v>40380</v>
      </c>
      <c r="Q66" s="4">
        <v>0.99283701063466723</v>
      </c>
      <c r="R66" s="4">
        <v>2271</v>
      </c>
      <c r="S66" s="100">
        <f t="shared" si="23"/>
        <v>2117.8982165584198</v>
      </c>
      <c r="T66" s="101">
        <f t="shared" si="27"/>
        <v>153.10178344158021</v>
      </c>
      <c r="U66" s="49">
        <v>40728</v>
      </c>
      <c r="V66" s="95"/>
      <c r="W66" s="95"/>
      <c r="X66" s="95"/>
      <c r="Y66" s="95"/>
      <c r="Z66" s="95"/>
      <c r="AC66" s="93">
        <v>37823</v>
      </c>
      <c r="AD66" s="95">
        <v>0.99399999999999999</v>
      </c>
      <c r="AE66" s="93">
        <f t="shared" si="24"/>
        <v>37823.5</v>
      </c>
      <c r="AF66" s="92">
        <f>Logistic2010!Q66</f>
        <v>0.8717019610426997</v>
      </c>
      <c r="AG66" s="4">
        <f t="shared" si="19"/>
        <v>0.99283701063466723</v>
      </c>
      <c r="AH66" s="92">
        <f>Logistic2011!Q66</f>
        <v>0.93102046958550611</v>
      </c>
      <c r="AI66" s="92">
        <f>Logistic2012!Q66</f>
        <v>0.99283701063466723</v>
      </c>
      <c r="AJ66" s="92">
        <f>Logistic2013!L66</f>
        <v>0.92832391728718622</v>
      </c>
      <c r="AK66" s="119">
        <f t="shared" si="25"/>
        <v>0.92659021810226538</v>
      </c>
      <c r="AL66" s="113"/>
      <c r="AM66" s="113"/>
      <c r="AN66" s="113"/>
      <c r="AO66" s="113"/>
      <c r="AP66" s="113"/>
      <c r="AQ66" s="112" t="s">
        <v>30</v>
      </c>
      <c r="AR66" s="112" t="s">
        <v>31</v>
      </c>
      <c r="AS66" s="112" t="s">
        <v>32</v>
      </c>
      <c r="AT66" s="112" t="s">
        <v>33</v>
      </c>
      <c r="AU66" s="112" t="s">
        <v>34</v>
      </c>
      <c r="AV66"/>
      <c r="AW66"/>
    </row>
    <row r="67" spans="1:49" x14ac:dyDescent="0.25">
      <c r="B67" s="63"/>
      <c r="C67" s="64"/>
      <c r="D67" s="65"/>
      <c r="E67" s="64"/>
      <c r="F67" s="66"/>
      <c r="G67" s="67"/>
      <c r="H67" s="67"/>
      <c r="I67" s="68"/>
      <c r="J67" s="105">
        <f t="shared" si="10"/>
        <v>37824.5</v>
      </c>
      <c r="K67" s="109">
        <v>59</v>
      </c>
      <c r="L67" s="125">
        <f t="shared" si="4"/>
        <v>0.93857774011739092</v>
      </c>
      <c r="M67" s="46">
        <f t="shared" si="11"/>
        <v>0.93857774011739092</v>
      </c>
      <c r="N67" s="131">
        <v>0.98075438398529091</v>
      </c>
      <c r="O67" s="89">
        <f t="shared" si="5"/>
        <v>0.93857774011739092</v>
      </c>
      <c r="P67" s="4">
        <v>40381</v>
      </c>
      <c r="Q67" s="4">
        <v>0.99461250113431077</v>
      </c>
      <c r="R67" s="4">
        <v>2019</v>
      </c>
      <c r="S67" s="100">
        <f t="shared" si="23"/>
        <v>1905.2231218934498</v>
      </c>
      <c r="T67" s="101">
        <f t="shared" si="27"/>
        <v>113.77687810655016</v>
      </c>
      <c r="U67" s="49">
        <v>40729</v>
      </c>
      <c r="V67" s="95">
        <v>0.51500000000000001</v>
      </c>
      <c r="W67" s="95"/>
      <c r="X67" s="95"/>
      <c r="Y67" s="95"/>
      <c r="Z67" s="95"/>
      <c r="AE67" s="93">
        <f t="shared" si="24"/>
        <v>37824.5</v>
      </c>
      <c r="AF67" s="92">
        <f>Logistic2010!Q67</f>
        <v>0.89244459206165738</v>
      </c>
      <c r="AG67" s="4">
        <f t="shared" si="19"/>
        <v>0.99461250113431077</v>
      </c>
      <c r="AH67" s="92">
        <f>Logistic2011!Q67</f>
        <v>0.94553474019587147</v>
      </c>
      <c r="AI67" s="92">
        <f>Logistic2012!Q67</f>
        <v>0.99461250113431077</v>
      </c>
      <c r="AJ67" s="92">
        <f>Logistic2013!L67</f>
        <v>0.94041617027076585</v>
      </c>
      <c r="AK67" s="119">
        <f t="shared" si="25"/>
        <v>0.93857774011739092</v>
      </c>
      <c r="AL67" s="113"/>
      <c r="AM67" s="113"/>
      <c r="AN67" s="113"/>
      <c r="AO67" s="113"/>
      <c r="AP67" s="113"/>
      <c r="AQ67" s="110">
        <v>2010</v>
      </c>
      <c r="AR67" s="110">
        <v>11</v>
      </c>
      <c r="AS67" s="110">
        <v>4.5669999999999993</v>
      </c>
      <c r="AT67" s="110">
        <v>0.4151818181818181</v>
      </c>
      <c r="AU67" s="110">
        <v>0.13328476363636368</v>
      </c>
      <c r="AV67"/>
      <c r="AW67"/>
    </row>
    <row r="68" spans="1:49" ht="16.5" thickBot="1" x14ac:dyDescent="0.3">
      <c r="B68" s="63"/>
      <c r="C68" s="64"/>
      <c r="D68" s="65"/>
      <c r="E68" s="64"/>
      <c r="F68" s="69"/>
      <c r="G68" s="67"/>
      <c r="H68" s="67"/>
      <c r="I68" s="68"/>
      <c r="J68" s="105">
        <f t="shared" si="10"/>
        <v>37825.5</v>
      </c>
      <c r="K68" s="109">
        <v>60</v>
      </c>
      <c r="L68" s="125">
        <f t="shared" si="4"/>
        <v>0.94871609038627402</v>
      </c>
      <c r="M68" s="46">
        <f t="shared" si="11"/>
        <v>0.94871609038627402</v>
      </c>
      <c r="N68" s="131">
        <v>0.98516528350488675</v>
      </c>
      <c r="O68" s="89">
        <f t="shared" si="5"/>
        <v>0.94871609038627402</v>
      </c>
      <c r="P68" s="4">
        <v>40382</v>
      </c>
      <c r="Q68" s="4">
        <v>0.99594969608518535</v>
      </c>
      <c r="R68" s="4">
        <v>2115</v>
      </c>
      <c r="S68" s="100">
        <f t="shared" si="23"/>
        <v>2015.5667694018377</v>
      </c>
      <c r="T68" s="101">
        <f t="shared" si="27"/>
        <v>99.433230598162254</v>
      </c>
      <c r="U68" s="49">
        <v>40730</v>
      </c>
      <c r="V68" s="95"/>
      <c r="W68" s="95"/>
      <c r="X68" s="95"/>
      <c r="Y68" s="95"/>
      <c r="Z68" s="95"/>
      <c r="AE68" s="93">
        <f t="shared" si="24"/>
        <v>37825.5</v>
      </c>
      <c r="AF68" s="92">
        <f>Logistic2010!Q68</f>
        <v>0.91017920532930874</v>
      </c>
      <c r="AG68" s="4">
        <f t="shared" si="19"/>
        <v>0.99594969608518535</v>
      </c>
      <c r="AH68" s="92">
        <f>Logistic2011!Q68</f>
        <v>0.95713560982756274</v>
      </c>
      <c r="AI68" s="92">
        <f>Logistic2012!Q68</f>
        <v>0.99594969608518535</v>
      </c>
      <c r="AJ68" s="92">
        <f>Logistic2013!L68</f>
        <v>0.95057698620331765</v>
      </c>
      <c r="AK68" s="119">
        <f t="shared" si="25"/>
        <v>0.94871609038627402</v>
      </c>
      <c r="AL68" s="113"/>
      <c r="AM68" s="113"/>
      <c r="AN68" s="113"/>
      <c r="AO68" s="113"/>
      <c r="AP68" s="113"/>
      <c r="AQ68" s="111">
        <v>2012</v>
      </c>
      <c r="AR68" s="111">
        <v>11</v>
      </c>
      <c r="AS68" s="111">
        <v>6.5350000000000001</v>
      </c>
      <c r="AT68" s="111">
        <v>0.59409090909090911</v>
      </c>
      <c r="AU68" s="111">
        <v>0.17708689090909088</v>
      </c>
      <c r="AV68"/>
      <c r="AW68"/>
    </row>
    <row r="69" spans="1:49" x14ac:dyDescent="0.25">
      <c r="B69" s="63"/>
      <c r="C69" s="64"/>
      <c r="D69" s="65"/>
      <c r="E69" s="64"/>
      <c r="F69" s="64"/>
      <c r="G69" s="64"/>
      <c r="H69" s="64"/>
      <c r="I69" s="53"/>
      <c r="J69" s="105">
        <f t="shared" si="10"/>
        <v>37826.5</v>
      </c>
      <c r="K69" s="109">
        <v>61</v>
      </c>
      <c r="L69" s="125">
        <f t="shared" si="4"/>
        <v>0.95725721401262687</v>
      </c>
      <c r="M69" s="46">
        <f t="shared" si="11"/>
        <v>0.95725721401262687</v>
      </c>
      <c r="N69" s="131">
        <v>0.9885770241743157</v>
      </c>
      <c r="O69" s="89">
        <f t="shared" si="5"/>
        <v>0.95725721401262687</v>
      </c>
      <c r="P69" s="4">
        <v>40383</v>
      </c>
      <c r="Q69" s="4">
        <v>0.99695601060889649</v>
      </c>
      <c r="R69" s="4">
        <v>2946</v>
      </c>
      <c r="S69" s="100">
        <f t="shared" si="23"/>
        <v>2830.6440628144701</v>
      </c>
      <c r="T69" s="101">
        <f t="shared" si="27"/>
        <v>115.35593718552991</v>
      </c>
      <c r="U69" s="49">
        <v>40731</v>
      </c>
      <c r="V69" s="95"/>
      <c r="W69" s="95"/>
      <c r="X69" s="95"/>
      <c r="Y69" s="95"/>
      <c r="Z69" s="95"/>
      <c r="AE69" s="93">
        <f t="shared" si="24"/>
        <v>37826.5</v>
      </c>
      <c r="AF69" s="92">
        <f>Logistic2010!Q69</f>
        <v>0.92523457092805417</v>
      </c>
      <c r="AG69" s="4">
        <f t="shared" si="19"/>
        <v>0.99695601060889649</v>
      </c>
      <c r="AH69" s="92">
        <f>Logistic2011!Q69</f>
        <v>0.96635347078003297</v>
      </c>
      <c r="AI69" s="92">
        <f>Logistic2012!Q69</f>
        <v>0.99695601060889649</v>
      </c>
      <c r="AJ69" s="92">
        <f>Logistic2013!L69</f>
        <v>0.95908047510394157</v>
      </c>
      <c r="AK69" s="119">
        <f t="shared" si="25"/>
        <v>0.95725721401262687</v>
      </c>
      <c r="AL69" s="115"/>
      <c r="AM69" s="115"/>
      <c r="AN69" s="115"/>
      <c r="AO69" s="115"/>
      <c r="AP69" s="115"/>
      <c r="AQ69"/>
      <c r="AR69"/>
      <c r="AS69"/>
      <c r="AT69"/>
      <c r="AU69"/>
      <c r="AV69"/>
      <c r="AW69"/>
    </row>
    <row r="70" spans="1:49" ht="16.5" thickBot="1" x14ac:dyDescent="0.3">
      <c r="B70" s="63"/>
      <c r="C70" s="64"/>
      <c r="D70" s="65"/>
      <c r="E70" s="64"/>
      <c r="F70" s="64"/>
      <c r="G70" s="64"/>
      <c r="H70" s="64"/>
      <c r="I70" s="53"/>
      <c r="J70" s="105">
        <f t="shared" si="10"/>
        <v>37827.5</v>
      </c>
      <c r="K70" s="109">
        <v>62</v>
      </c>
      <c r="L70" s="125">
        <f t="shared" si="4"/>
        <v>0.9644291830100955</v>
      </c>
      <c r="M70" s="46">
        <f t="shared" si="11"/>
        <v>0.9644291830100955</v>
      </c>
      <c r="N70" s="131">
        <v>0.99121112062050309</v>
      </c>
      <c r="O70" s="89">
        <f t="shared" si="5"/>
        <v>0.9644291830100955</v>
      </c>
      <c r="P70" s="4">
        <v>40384</v>
      </c>
      <c r="Q70" s="4">
        <v>0.99771287634461936</v>
      </c>
      <c r="R70" s="4">
        <v>2623</v>
      </c>
      <c r="S70" s="100">
        <f t="shared" si="23"/>
        <v>2537.5742561465831</v>
      </c>
      <c r="T70" s="101">
        <f t="shared" si="27"/>
        <v>85.425743853416861</v>
      </c>
      <c r="U70" s="49">
        <v>40732</v>
      </c>
      <c r="AE70" s="93">
        <f t="shared" si="24"/>
        <v>37827.5</v>
      </c>
      <c r="AF70" s="92">
        <f>Logistic2010!Q70</f>
        <v>0.93793849093008874</v>
      </c>
      <c r="AG70" s="4">
        <f t="shared" si="19"/>
        <v>0.99771287634461936</v>
      </c>
      <c r="AH70" s="92">
        <f>Logistic2011!Q70</f>
        <v>0.97364364314605079</v>
      </c>
      <c r="AI70" s="92">
        <f>Logistic2012!Q70</f>
        <v>0.99771287634461936</v>
      </c>
      <c r="AJ70" s="92">
        <f>Logistic2013!L70</f>
        <v>0.96617295862288388</v>
      </c>
      <c r="AK70" s="119">
        <f t="shared" si="25"/>
        <v>0.9644291830100955</v>
      </c>
      <c r="AL70" s="110"/>
      <c r="AM70" s="110"/>
      <c r="AN70" s="110"/>
      <c r="AO70" s="110"/>
      <c r="AP70" s="110"/>
      <c r="AQ70"/>
      <c r="AR70"/>
      <c r="AS70"/>
      <c r="AT70"/>
      <c r="AU70"/>
      <c r="AV70"/>
      <c r="AW70"/>
    </row>
    <row r="71" spans="1:49" ht="16.5" thickBot="1" x14ac:dyDescent="0.3">
      <c r="B71" s="63"/>
      <c r="C71" s="64"/>
      <c r="D71" s="65"/>
      <c r="E71" s="64"/>
      <c r="F71" s="64"/>
      <c r="G71" s="64"/>
      <c r="H71" s="64"/>
      <c r="I71" s="53"/>
      <c r="J71" s="105">
        <f t="shared" si="10"/>
        <v>37828.5</v>
      </c>
      <c r="K71" s="109">
        <v>63</v>
      </c>
      <c r="L71" s="125">
        <f t="shared" si="4"/>
        <v>0.97043490859995651</v>
      </c>
      <c r="M71" s="46">
        <f t="shared" si="11"/>
        <v>0.97043490859995651</v>
      </c>
      <c r="N71" s="131">
        <v>0.99324195641616453</v>
      </c>
      <c r="O71" s="89">
        <f t="shared" si="5"/>
        <v>0.97043490859995651</v>
      </c>
      <c r="P71" s="4">
        <v>40385</v>
      </c>
      <c r="Q71" s="4">
        <v>0.99828187726084372</v>
      </c>
      <c r="U71" s="40">
        <v>40733</v>
      </c>
      <c r="V71" s="95"/>
      <c r="W71" s="95"/>
      <c r="X71" s="95"/>
      <c r="Y71" s="95"/>
      <c r="Z71" s="95"/>
      <c r="AE71" s="93">
        <f t="shared" si="24"/>
        <v>37828.5</v>
      </c>
      <c r="AF71" s="92">
        <f>Logistic2010!Q71</f>
        <v>0.94860370829645768</v>
      </c>
      <c r="AG71" s="4">
        <f t="shared" si="19"/>
        <v>0.99828187726084372</v>
      </c>
      <c r="AH71" s="92">
        <f>Logistic2011!Q71</f>
        <v>0.97938794995342149</v>
      </c>
      <c r="AI71" s="92">
        <f>Logistic2012!Q71</f>
        <v>0.99828187726084372</v>
      </c>
      <c r="AJ71" s="92">
        <f>Logistic2013!L71</f>
        <v>0.97207191636988943</v>
      </c>
      <c r="AK71" s="119">
        <f t="shared" si="25"/>
        <v>0.97043490859995651</v>
      </c>
      <c r="AL71" s="110"/>
      <c r="AM71" s="110"/>
      <c r="AN71" s="110"/>
      <c r="AO71" s="110"/>
      <c r="AP71" s="110"/>
      <c r="AQ71" t="s">
        <v>35</v>
      </c>
      <c r="AR71"/>
      <c r="AS71"/>
      <c r="AT71"/>
      <c r="AU71"/>
      <c r="AV71"/>
      <c r="AW71"/>
    </row>
    <row r="72" spans="1:49" x14ac:dyDescent="0.25">
      <c r="B72" s="63"/>
      <c r="C72" s="64"/>
      <c r="D72" s="65"/>
      <c r="E72" s="64"/>
      <c r="F72" s="64"/>
      <c r="G72" s="64"/>
      <c r="H72" s="64"/>
      <c r="I72" s="53"/>
      <c r="J72" s="105">
        <f t="shared" si="10"/>
        <v>37829.5</v>
      </c>
      <c r="K72" s="109">
        <v>64</v>
      </c>
      <c r="L72" s="125">
        <f t="shared" si="4"/>
        <v>0.97545244534588094</v>
      </c>
      <c r="M72" s="46">
        <f t="shared" si="11"/>
        <v>0.97545244534588094</v>
      </c>
      <c r="N72" s="131">
        <v>0.99480598839313295</v>
      </c>
      <c r="O72" s="89">
        <f t="shared" si="5"/>
        <v>0.97545244534588094</v>
      </c>
      <c r="P72" s="4">
        <v>40386</v>
      </c>
      <c r="Q72" s="4">
        <v>0.99870950266811021</v>
      </c>
      <c r="U72" s="49">
        <v>40734</v>
      </c>
      <c r="V72" s="95"/>
      <c r="W72" s="95"/>
      <c r="X72" s="95"/>
      <c r="Y72" s="95"/>
      <c r="Z72" s="95"/>
      <c r="AE72" s="93">
        <f t="shared" si="24"/>
        <v>37829.5</v>
      </c>
      <c r="AF72" s="92">
        <f>Logistic2010!Q72</f>
        <v>0.95751912825764318</v>
      </c>
      <c r="AG72" s="4">
        <f t="shared" si="19"/>
        <v>0.99870950266811021</v>
      </c>
      <c r="AH72" s="92">
        <f>Logistic2011!Q72</f>
        <v>0.98390099930162234</v>
      </c>
      <c r="AI72" s="92">
        <f>Logistic2012!Q72</f>
        <v>0.99870950266811021</v>
      </c>
      <c r="AJ72" s="92">
        <f>Logistic2013!L72</f>
        <v>0.97696670309022537</v>
      </c>
      <c r="AK72" s="119">
        <f t="shared" si="25"/>
        <v>0.97545244534588094</v>
      </c>
      <c r="AL72" s="110"/>
      <c r="AM72" s="110"/>
      <c r="AN72" s="110"/>
      <c r="AO72" s="110"/>
      <c r="AP72" s="110"/>
      <c r="AQ72" s="112" t="s">
        <v>36</v>
      </c>
      <c r="AR72" s="112" t="s">
        <v>37</v>
      </c>
      <c r="AS72" s="112" t="s">
        <v>38</v>
      </c>
      <c r="AT72" s="112" t="s">
        <v>39</v>
      </c>
      <c r="AU72" s="112" t="s">
        <v>40</v>
      </c>
      <c r="AV72" s="112" t="s">
        <v>41</v>
      </c>
      <c r="AW72" s="112" t="s">
        <v>42</v>
      </c>
    </row>
    <row r="73" spans="1:49" x14ac:dyDescent="0.25">
      <c r="B73" s="63"/>
      <c r="C73" s="64"/>
      <c r="D73" s="65"/>
      <c r="E73" s="64"/>
      <c r="F73" s="64"/>
      <c r="G73" s="64"/>
      <c r="H73" s="64"/>
      <c r="I73" s="53"/>
      <c r="J73" s="105">
        <f t="shared" si="10"/>
        <v>37830.5</v>
      </c>
      <c r="K73" s="109">
        <v>65</v>
      </c>
      <c r="L73" s="125">
        <f t="shared" ref="L73:L104" si="29">$G$3/(1+EXP(-$G$4*(K73-$G$5)))</f>
        <v>0.97963631693234787</v>
      </c>
      <c r="M73" s="46">
        <f t="shared" si="11"/>
        <v>0.97963631693234787</v>
      </c>
      <c r="N73" s="132">
        <v>0.99600950655454856</v>
      </c>
      <c r="O73" s="89">
        <f t="shared" ref="O73:O104" si="30">IF(N73=M73,N73,M73)</f>
        <v>0.97963631693234787</v>
      </c>
      <c r="P73" s="4">
        <v>40387</v>
      </c>
      <c r="Q73" s="4">
        <v>0.99903079926177196</v>
      </c>
      <c r="U73" s="49">
        <v>40735</v>
      </c>
      <c r="AE73" s="93">
        <f t="shared" si="24"/>
        <v>37830.5</v>
      </c>
      <c r="AF73" s="92">
        <f>Logistic2010!Q73</f>
        <v>0.96494519123476252</v>
      </c>
      <c r="AG73" s="4">
        <f t="shared" si="19"/>
        <v>0.99903079926177196</v>
      </c>
      <c r="AH73" s="92">
        <f>Logistic2011!Q73</f>
        <v>0.98743858120527517</v>
      </c>
      <c r="AI73" s="92">
        <f>Logistic2012!Q73</f>
        <v>0.99903079926177196</v>
      </c>
      <c r="AJ73" s="92">
        <f>Logistic2013!L73</f>
        <v>0.98102036011876015</v>
      </c>
      <c r="AK73" s="119">
        <f t="shared" si="25"/>
        <v>0.97963631693234787</v>
      </c>
      <c r="AL73" s="110"/>
      <c r="AM73" s="110"/>
      <c r="AN73" s="110"/>
      <c r="AO73" s="110"/>
      <c r="AP73" s="110"/>
      <c r="AQ73" s="110" t="s">
        <v>43</v>
      </c>
      <c r="AR73" s="110">
        <v>0.17604654545454501</v>
      </c>
      <c r="AS73" s="110">
        <v>1</v>
      </c>
      <c r="AT73" s="110">
        <v>0.17604654545454501</v>
      </c>
      <c r="AU73" s="110">
        <v>1.1344241194471747</v>
      </c>
      <c r="AV73" s="110">
        <v>0.29952392223625568</v>
      </c>
      <c r="AW73" s="110">
        <v>4.351243478421539</v>
      </c>
    </row>
    <row r="74" spans="1:49" x14ac:dyDescent="0.25">
      <c r="B74" s="63"/>
      <c r="C74" s="64"/>
      <c r="D74" s="65"/>
      <c r="E74" s="64"/>
      <c r="F74" s="64"/>
      <c r="G74" s="64"/>
      <c r="H74" s="64"/>
      <c r="I74" s="53"/>
      <c r="J74" s="105">
        <f t="shared" ref="J74:J107" si="31">J73+1</f>
        <v>37831.5</v>
      </c>
      <c r="K74" s="109">
        <v>66</v>
      </c>
      <c r="L74" s="125">
        <f t="shared" si="29"/>
        <v>0.98311943217332176</v>
      </c>
      <c r="M74" s="46">
        <f t="shared" ref="M74:M107" si="32">IF(J75&gt;MAX($B$9:$B$64),L74,N74)</f>
        <v>0.98311943217332176</v>
      </c>
      <c r="N74" s="132">
        <v>0.99693501353750869</v>
      </c>
      <c r="O74" s="89">
        <f t="shared" si="30"/>
        <v>0.98311943217332176</v>
      </c>
      <c r="P74" s="4">
        <v>40388</v>
      </c>
      <c r="Q74" s="4">
        <v>0.99927216057350388</v>
      </c>
      <c r="U74" s="49">
        <v>40736</v>
      </c>
      <c r="V74" s="95"/>
      <c r="W74" s="95"/>
      <c r="X74" s="95"/>
      <c r="Y74" s="95"/>
      <c r="Z74" s="95"/>
      <c r="AE74" s="93">
        <f t="shared" si="24"/>
        <v>37831.5</v>
      </c>
      <c r="AF74" s="92">
        <f>Logistic2010!Q74</f>
        <v>0.97111227157250635</v>
      </c>
      <c r="AG74" s="4">
        <f t="shared" si="19"/>
        <v>0.99927216057350388</v>
      </c>
      <c r="AH74" s="92">
        <f>Logistic2011!Q74</f>
        <v>0.9902065550659539</v>
      </c>
      <c r="AI74" s="92">
        <f>Logistic2012!Q74</f>
        <v>0.99927216057350388</v>
      </c>
      <c r="AJ74" s="92">
        <f>Logistic2013!L74</f>
        <v>0.98437202125506518</v>
      </c>
      <c r="AK74" s="119">
        <f t="shared" si="25"/>
        <v>0.98311943217332176</v>
      </c>
      <c r="AQ74" s="110" t="s">
        <v>44</v>
      </c>
      <c r="AR74" s="110">
        <v>3.1037165454545459</v>
      </c>
      <c r="AS74" s="110">
        <v>20</v>
      </c>
      <c r="AT74" s="110">
        <v>0.15518582727272728</v>
      </c>
      <c r="AU74" s="110"/>
      <c r="AV74" s="110"/>
      <c r="AW74" s="110"/>
    </row>
    <row r="75" spans="1:49" x14ac:dyDescent="0.25">
      <c r="B75" s="63"/>
      <c r="C75" s="64"/>
      <c r="D75" s="65" t="s">
        <v>46</v>
      </c>
      <c r="E75" s="64"/>
      <c r="F75" s="64"/>
      <c r="G75" s="64"/>
      <c r="H75" s="64"/>
      <c r="I75" s="53"/>
      <c r="J75" s="105">
        <f t="shared" si="31"/>
        <v>37832.5</v>
      </c>
      <c r="K75" s="109">
        <v>67</v>
      </c>
      <c r="L75" s="125">
        <f t="shared" si="29"/>
        <v>0.98601528129691507</v>
      </c>
      <c r="M75" s="46">
        <f t="shared" si="32"/>
        <v>0.98601528129691507</v>
      </c>
      <c r="N75" s="132">
        <v>0.99764637681040835</v>
      </c>
      <c r="O75" s="89">
        <f t="shared" si="30"/>
        <v>0.98601528129691507</v>
      </c>
      <c r="P75" s="4">
        <v>40389</v>
      </c>
      <c r="Q75" s="4">
        <v>0.99945344824920912</v>
      </c>
      <c r="U75" s="49">
        <v>40737</v>
      </c>
      <c r="V75" s="95"/>
      <c r="W75" s="95"/>
      <c r="X75" s="95"/>
      <c r="Y75" s="95"/>
      <c r="Z75" s="95"/>
      <c r="AE75" s="93">
        <f t="shared" si="24"/>
        <v>37832.5</v>
      </c>
      <c r="AF75" s="92">
        <f>Logistic2010!Q75</f>
        <v>0.97622113342645345</v>
      </c>
      <c r="AG75" s="4">
        <f t="shared" si="19"/>
        <v>0.99945344824920912</v>
      </c>
      <c r="AH75" s="92">
        <f>Logistic2011!Q75</f>
        <v>0.99236930496689024</v>
      </c>
      <c r="AI75" s="92">
        <f>Logistic2012!Q75</f>
        <v>0.99945344824920912</v>
      </c>
      <c r="AJ75" s="92">
        <f>Logistic2013!L75</f>
        <v>0.98713956340918307</v>
      </c>
      <c r="AK75" s="119">
        <f t="shared" si="25"/>
        <v>0.98601528129691507</v>
      </c>
      <c r="AQ75" s="110"/>
      <c r="AR75" s="110"/>
      <c r="AS75" s="110"/>
      <c r="AT75" s="110"/>
      <c r="AU75" s="110"/>
      <c r="AV75" s="110"/>
      <c r="AW75" s="110"/>
    </row>
    <row r="76" spans="1:49" ht="16.5" thickBot="1" x14ac:dyDescent="0.3">
      <c r="B76" s="63"/>
      <c r="C76" s="64"/>
      <c r="D76" s="65">
        <v>4151.6603167552539</v>
      </c>
      <c r="E76" s="64">
        <v>-5.5643801560793964</v>
      </c>
      <c r="F76" s="64"/>
      <c r="G76" s="64"/>
      <c r="H76" s="64"/>
      <c r="I76" s="53"/>
      <c r="J76" s="105">
        <f t="shared" si="31"/>
        <v>37833.5</v>
      </c>
      <c r="K76" s="109">
        <v>68</v>
      </c>
      <c r="L76" s="125">
        <f t="shared" si="29"/>
        <v>0.98842020100800998</v>
      </c>
      <c r="M76" s="46">
        <f t="shared" si="32"/>
        <v>0.98842020100800998</v>
      </c>
      <c r="N76" s="132">
        <v>0.9981929365976735</v>
      </c>
      <c r="O76" s="89">
        <f t="shared" si="30"/>
        <v>0.98842020100800998</v>
      </c>
      <c r="P76" s="4">
        <v>40390</v>
      </c>
      <c r="Q76" s="4">
        <v>0.99958959997534225</v>
      </c>
      <c r="U76" s="49">
        <v>40738</v>
      </c>
      <c r="AE76" s="93">
        <f t="shared" si="24"/>
        <v>37833.5</v>
      </c>
      <c r="AF76" s="92">
        <f>Logistic2010!Q76</f>
        <v>0.98044467529540402</v>
      </c>
      <c r="AG76" s="4">
        <f t="shared" ref="AG76" si="33">AI76</f>
        <v>0.99958959997534225</v>
      </c>
      <c r="AH76" s="92">
        <f>Logistic2011!Q76</f>
        <v>0.99405730717928753</v>
      </c>
      <c r="AI76" s="92">
        <f>Logistic2012!Q76</f>
        <v>0.99958959997534225</v>
      </c>
      <c r="AJ76" s="92">
        <f>Logistic2013!L76</f>
        <v>0.98942227092402102</v>
      </c>
      <c r="AK76" s="119">
        <f t="shared" si="25"/>
        <v>0.98842020100800998</v>
      </c>
      <c r="AQ76" s="111" t="s">
        <v>45</v>
      </c>
      <c r="AR76" s="111">
        <v>3.2797630909090909</v>
      </c>
      <c r="AS76" s="111">
        <v>21</v>
      </c>
      <c r="AT76" s="111"/>
      <c r="AU76" s="111"/>
      <c r="AV76" s="111"/>
      <c r="AW76" s="111"/>
    </row>
    <row r="77" spans="1:49" ht="16.5" thickBot="1" x14ac:dyDescent="0.3">
      <c r="B77" s="63"/>
      <c r="C77" s="64"/>
      <c r="D77" s="65">
        <v>-5.5643801560793964</v>
      </c>
      <c r="E77" s="64">
        <v>4.8714051609066225</v>
      </c>
      <c r="F77" s="64"/>
      <c r="G77" s="64"/>
      <c r="H77" s="64"/>
      <c r="I77" s="53"/>
      <c r="J77" s="105">
        <f t="shared" si="31"/>
        <v>37834.5</v>
      </c>
      <c r="K77" s="109">
        <v>69</v>
      </c>
      <c r="L77" s="125">
        <f t="shared" si="29"/>
        <v>0.9904155722782505</v>
      </c>
      <c r="M77" s="46">
        <f t="shared" si="32"/>
        <v>0.9904155722782505</v>
      </c>
      <c r="N77" s="132">
        <v>0.99861275043215647</v>
      </c>
      <c r="O77" s="89">
        <f t="shared" si="30"/>
        <v>0.9904155722782505</v>
      </c>
      <c r="P77" s="4">
        <v>40391</v>
      </c>
      <c r="Q77" s="4">
        <v>0.999691845347639</v>
      </c>
      <c r="U77" s="49">
        <v>40739</v>
      </c>
      <c r="V77" s="95"/>
      <c r="W77" s="95"/>
      <c r="X77" s="95"/>
      <c r="Y77" s="95"/>
      <c r="Z77" s="95"/>
    </row>
    <row r="78" spans="1:49" x14ac:dyDescent="0.25">
      <c r="B78" s="63"/>
      <c r="C78" s="64"/>
      <c r="D78" s="65"/>
      <c r="E78" s="64"/>
      <c r="F78" s="64"/>
      <c r="G78" s="64"/>
      <c r="H78" s="64"/>
      <c r="I78" s="53"/>
      <c r="J78" s="105">
        <f t="shared" si="31"/>
        <v>37835.5</v>
      </c>
      <c r="K78" s="109">
        <v>70</v>
      </c>
      <c r="L78" s="125">
        <f t="shared" si="29"/>
        <v>0.99206987003396918</v>
      </c>
      <c r="M78" s="46">
        <f t="shared" si="32"/>
        <v>0.99206987003396918</v>
      </c>
      <c r="N78" s="132">
        <v>0.99893513788942956</v>
      </c>
      <c r="O78" s="89">
        <f t="shared" si="30"/>
        <v>0.99206987003396918</v>
      </c>
      <c r="P78" s="4">
        <v>40392</v>
      </c>
      <c r="Q78" s="4">
        <v>0.99976862362515118</v>
      </c>
      <c r="U78" s="40">
        <v>40740</v>
      </c>
      <c r="V78" s="95"/>
      <c r="W78" s="95"/>
      <c r="X78" s="95"/>
      <c r="Y78" s="95"/>
      <c r="Z78" s="95"/>
    </row>
    <row r="79" spans="1:49" x14ac:dyDescent="0.25">
      <c r="B79" s="63"/>
      <c r="C79" s="64"/>
      <c r="D79" s="65" t="s">
        <v>47</v>
      </c>
      <c r="E79" s="64"/>
      <c r="F79" s="64" t="s">
        <v>8</v>
      </c>
      <c r="G79" s="64"/>
      <c r="H79" s="64"/>
      <c r="I79" s="53"/>
      <c r="J79" s="105">
        <f t="shared" si="31"/>
        <v>37836.5</v>
      </c>
      <c r="K79" s="109">
        <v>71</v>
      </c>
      <c r="L79" s="125">
        <f t="shared" si="29"/>
        <v>0.99344052268361127</v>
      </c>
      <c r="M79" s="46">
        <f t="shared" si="32"/>
        <v>0.99344052268361127</v>
      </c>
      <c r="N79" s="132">
        <v>0.99918266599299976</v>
      </c>
      <c r="O79" s="89">
        <f t="shared" si="30"/>
        <v>0.99344052268361127</v>
      </c>
      <c r="P79" s="4">
        <v>40393</v>
      </c>
      <c r="Q79" s="4">
        <v>0.99982627553397851</v>
      </c>
      <c r="U79" s="49">
        <v>40741</v>
      </c>
    </row>
    <row r="80" spans="1:49" x14ac:dyDescent="0.25">
      <c r="B80" s="63"/>
      <c r="C80" s="64"/>
      <c r="D80" s="65">
        <f t="array" ref="D80:E81">2* 0.611435536720971^2*MINVERSE($D$76:$E$77)</f>
        <v>1.8037440968718963E-4</v>
      </c>
      <c r="E80" s="64">
        <v>2.0603332155216152E-4</v>
      </c>
      <c r="F80" s="64">
        <v>1.3430354041766346E-2</v>
      </c>
      <c r="G80" s="64"/>
      <c r="H80" s="64"/>
      <c r="I80" s="53"/>
      <c r="J80" s="105">
        <f t="shared" si="31"/>
        <v>37837.5</v>
      </c>
      <c r="K80" s="109">
        <v>72</v>
      </c>
      <c r="L80" s="125">
        <f t="shared" si="29"/>
        <v>0.9945755655248707</v>
      </c>
      <c r="M80" s="46">
        <f t="shared" si="32"/>
        <v>0.9945755655248707</v>
      </c>
      <c r="N80" s="132">
        <v>0.99937269211089375</v>
      </c>
      <c r="O80" s="89">
        <f t="shared" si="30"/>
        <v>0.9945755655248707</v>
      </c>
      <c r="P80" s="4">
        <v>40394</v>
      </c>
      <c r="Q80" s="4">
        <v>0.99986956422634365</v>
      </c>
      <c r="U80" s="49">
        <v>40742</v>
      </c>
      <c r="V80" s="95"/>
      <c r="W80" s="95"/>
      <c r="X80" s="95"/>
      <c r="Y80" s="95"/>
      <c r="Z80" s="95"/>
    </row>
    <row r="81" spans="2:40" x14ac:dyDescent="0.25">
      <c r="B81" s="63"/>
      <c r="C81" s="64"/>
      <c r="D81" s="65">
        <v>2.0603332155216152E-4</v>
      </c>
      <c r="E81" s="64">
        <v>0.15372428572890245</v>
      </c>
      <c r="F81" s="71">
        <v>0.39207688752195335</v>
      </c>
      <c r="G81" s="64"/>
      <c r="H81" s="64"/>
      <c r="I81" s="53"/>
      <c r="J81" s="105">
        <f t="shared" si="31"/>
        <v>37838.5</v>
      </c>
      <c r="K81" s="109">
        <v>73</v>
      </c>
      <c r="L81" s="125">
        <f t="shared" si="29"/>
        <v>0.99551508881056627</v>
      </c>
      <c r="M81" s="46">
        <f t="shared" si="32"/>
        <v>0.99551508881056627</v>
      </c>
      <c r="N81" s="132">
        <v>0.99951855938287282</v>
      </c>
      <c r="O81" s="89">
        <f t="shared" si="30"/>
        <v>0.99551508881056627</v>
      </c>
      <c r="P81" s="4">
        <v>40395</v>
      </c>
      <c r="Q81" s="4">
        <v>0.99990206729144204</v>
      </c>
      <c r="U81" s="49">
        <v>40743</v>
      </c>
      <c r="V81" s="95"/>
      <c r="W81" s="95"/>
      <c r="X81" s="95"/>
      <c r="Y81" s="95"/>
      <c r="Z81" s="95"/>
    </row>
    <row r="82" spans="2:40" x14ac:dyDescent="0.25">
      <c r="B82" s="63"/>
      <c r="C82" s="64"/>
      <c r="D82" s="65"/>
      <c r="E82" s="64"/>
      <c r="F82" s="71"/>
      <c r="G82" s="64"/>
      <c r="H82" s="64"/>
      <c r="I82" s="53"/>
      <c r="J82" s="105">
        <f t="shared" si="31"/>
        <v>37839.5</v>
      </c>
      <c r="K82" s="109">
        <v>74</v>
      </c>
      <c r="L82" s="125">
        <f t="shared" si="29"/>
        <v>0.99629249132097453</v>
      </c>
      <c r="M82" s="46">
        <f t="shared" si="32"/>
        <v>0.99629249132097453</v>
      </c>
      <c r="N82" s="132">
        <v>0.99963052082493253</v>
      </c>
      <c r="O82" s="89">
        <f t="shared" si="30"/>
        <v>0.99629249132097453</v>
      </c>
      <c r="P82" s="4">
        <v>40396</v>
      </c>
      <c r="Q82" s="4">
        <v>0.99992647156951309</v>
      </c>
      <c r="U82" s="49">
        <v>40744</v>
      </c>
      <c r="V82" s="95"/>
      <c r="W82" s="95"/>
      <c r="X82" s="95"/>
      <c r="Y82" s="95"/>
      <c r="Z82" s="95"/>
    </row>
    <row r="83" spans="2:40" x14ac:dyDescent="0.25">
      <c r="B83" s="63"/>
      <c r="C83" s="64"/>
      <c r="D83" s="65" t="s">
        <v>48</v>
      </c>
      <c r="E83" s="64"/>
      <c r="F83" s="71"/>
      <c r="G83" s="64"/>
      <c r="H83" s="64"/>
      <c r="I83" s="53"/>
      <c r="J83" s="105">
        <f t="shared" si="31"/>
        <v>37840.5</v>
      </c>
      <c r="K83" s="109">
        <v>75</v>
      </c>
      <c r="L83" s="125">
        <f t="shared" si="29"/>
        <v>0.99693555576245541</v>
      </c>
      <c r="M83" s="46">
        <f t="shared" si="32"/>
        <v>0.99693555576245541</v>
      </c>
      <c r="N83" s="132">
        <v>0.99971645245567509</v>
      </c>
      <c r="O83" s="89">
        <f t="shared" si="30"/>
        <v>0.99693555576245541</v>
      </c>
      <c r="P83" s="4">
        <v>40397</v>
      </c>
      <c r="Q83" s="4">
        <v>0.99994479477502707</v>
      </c>
      <c r="U83" s="94">
        <v>40745</v>
      </c>
    </row>
    <row r="84" spans="2:40" x14ac:dyDescent="0.25">
      <c r="B84" s="63"/>
      <c r="C84" s="64"/>
      <c r="D84" s="65">
        <v>1</v>
      </c>
      <c r="E84" s="64">
        <v>3.9127199142977333E-2</v>
      </c>
      <c r="F84" s="71"/>
      <c r="G84" s="64"/>
      <c r="H84" s="64"/>
      <c r="I84" s="53"/>
      <c r="J84" s="105">
        <f t="shared" si="31"/>
        <v>37841.5</v>
      </c>
      <c r="K84" s="109">
        <v>76</v>
      </c>
      <c r="L84" s="125">
        <f t="shared" si="29"/>
        <v>0.99746736472518405</v>
      </c>
      <c r="M84" s="46">
        <f t="shared" si="32"/>
        <v>0.99746736472518405</v>
      </c>
      <c r="N84" s="132">
        <v>0.99978240288510523</v>
      </c>
      <c r="O84" s="89">
        <f t="shared" si="30"/>
        <v>0.99746736472518405</v>
      </c>
      <c r="P84" s="4">
        <v>40398</v>
      </c>
      <c r="Q84" s="4">
        <v>0.99995855204677475</v>
      </c>
    </row>
    <row r="85" spans="2:40" x14ac:dyDescent="0.25">
      <c r="B85" s="63"/>
      <c r="C85" s="64"/>
      <c r="D85" s="65">
        <v>3.9127199142977333E-2</v>
      </c>
      <c r="E85" s="64">
        <v>1</v>
      </c>
      <c r="F85" s="71"/>
      <c r="G85" s="64"/>
      <c r="H85" s="64"/>
      <c r="I85" s="53"/>
      <c r="J85" s="105">
        <f t="shared" si="31"/>
        <v>37842.5</v>
      </c>
      <c r="K85" s="109">
        <v>77</v>
      </c>
      <c r="L85" s="125">
        <f t="shared" si="29"/>
        <v>0.99790707639091525</v>
      </c>
      <c r="M85" s="46">
        <f t="shared" si="32"/>
        <v>0.99790707639091525</v>
      </c>
      <c r="N85" s="132">
        <v>0.99983301644163747</v>
      </c>
      <c r="O85" s="89">
        <f t="shared" si="30"/>
        <v>0.99790707639091525</v>
      </c>
      <c r="P85" s="4">
        <v>40399</v>
      </c>
      <c r="Q85" s="4">
        <v>0.99996888108077731</v>
      </c>
    </row>
    <row r="86" spans="2:40" x14ac:dyDescent="0.25">
      <c r="B86" s="63"/>
      <c r="C86" s="64"/>
      <c r="D86" s="65"/>
      <c r="E86" s="64"/>
      <c r="F86" s="71"/>
      <c r="G86" s="64"/>
      <c r="H86" s="64"/>
      <c r="I86" s="53"/>
      <c r="J86" s="105">
        <f t="shared" si="31"/>
        <v>37843.5</v>
      </c>
      <c r="K86" s="109">
        <v>78</v>
      </c>
      <c r="L86" s="125">
        <f t="shared" si="29"/>
        <v>0.99827057845609635</v>
      </c>
      <c r="M86" s="46">
        <f t="shared" si="32"/>
        <v>0.99827057845609635</v>
      </c>
      <c r="N86" s="132">
        <v>0.99987185868506689</v>
      </c>
      <c r="O86" s="89">
        <f t="shared" si="30"/>
        <v>0.99827057845609635</v>
      </c>
      <c r="P86" s="4">
        <v>40400</v>
      </c>
      <c r="Q86" s="4">
        <v>0.99997663612879639</v>
      </c>
      <c r="AN86" s="4">
        <v>0.96399999999999997</v>
      </c>
    </row>
    <row r="87" spans="2:40" x14ac:dyDescent="0.25">
      <c r="B87" s="63"/>
      <c r="C87" s="64"/>
      <c r="D87" s="65"/>
      <c r="E87" s="64"/>
      <c r="F87" s="71"/>
      <c r="G87" s="64"/>
      <c r="H87" s="64"/>
      <c r="I87" s="53"/>
      <c r="J87" s="105">
        <f t="shared" si="31"/>
        <v>37844.5</v>
      </c>
      <c r="K87" s="109">
        <v>79</v>
      </c>
      <c r="L87" s="125">
        <f t="shared" si="29"/>
        <v>0.99857103735017461</v>
      </c>
      <c r="M87" s="46">
        <f t="shared" si="32"/>
        <v>0.99857103735017461</v>
      </c>
      <c r="N87" s="132">
        <v>0.9999016666768179</v>
      </c>
      <c r="O87" s="89">
        <f t="shared" si="30"/>
        <v>0.99857103735017461</v>
      </c>
      <c r="P87" s="4">
        <v>40401</v>
      </c>
      <c r="Q87" s="4">
        <v>0.99998245859958268</v>
      </c>
    </row>
    <row r="88" spans="2:40" x14ac:dyDescent="0.25">
      <c r="B88" s="63"/>
      <c r="C88" s="64"/>
      <c r="D88" s="65" t="s">
        <v>46</v>
      </c>
      <c r="E88" s="64"/>
      <c r="F88" s="71"/>
      <c r="G88" s="64"/>
      <c r="H88" s="64"/>
      <c r="I88" s="53"/>
      <c r="J88" s="105">
        <f t="shared" si="31"/>
        <v>37845.5</v>
      </c>
      <c r="K88" s="109">
        <v>80</v>
      </c>
      <c r="L88" s="125">
        <f t="shared" si="29"/>
        <v>0.99881935812927936</v>
      </c>
      <c r="M88" s="46">
        <f t="shared" si="32"/>
        <v>0.99881935812927936</v>
      </c>
      <c r="N88" s="132">
        <v>0.99992454131286057</v>
      </c>
      <c r="O88" s="89">
        <f t="shared" si="30"/>
        <v>0.99881935812927936</v>
      </c>
      <c r="P88" s="4">
        <v>40402</v>
      </c>
      <c r="Q88" s="4">
        <v>0.99998683008139233</v>
      </c>
    </row>
    <row r="89" spans="2:40" x14ac:dyDescent="0.25">
      <c r="B89" s="63"/>
      <c r="C89" s="64"/>
      <c r="D89" s="65">
        <v>9.55619890821783</v>
      </c>
      <c r="E89" s="64">
        <v>-6.9767944351029924E-3</v>
      </c>
      <c r="F89" s="71"/>
      <c r="G89" s="64"/>
      <c r="H89" s="64"/>
      <c r="I89" s="53"/>
      <c r="J89" s="105">
        <f t="shared" si="31"/>
        <v>37846.5</v>
      </c>
      <c r="K89" s="109">
        <v>81</v>
      </c>
      <c r="L89" s="125">
        <f t="shared" si="29"/>
        <v>0.99902456863181976</v>
      </c>
      <c r="M89" s="46">
        <f t="shared" si="32"/>
        <v>0.99902456863181976</v>
      </c>
      <c r="N89" s="132">
        <v>0.99994209508049881</v>
      </c>
      <c r="O89" s="89">
        <f t="shared" si="30"/>
        <v>0.99902456863181976</v>
      </c>
      <c r="P89" s="4">
        <v>40403</v>
      </c>
      <c r="Q89" s="4">
        <v>0.99999011215963096</v>
      </c>
    </row>
    <row r="90" spans="2:40" x14ac:dyDescent="0.25">
      <c r="B90" s="63"/>
      <c r="C90" s="64"/>
      <c r="D90" s="65">
        <v>-6.9767944351029924E-3</v>
      </c>
      <c r="E90" s="64">
        <v>1.5680049670732246E-2</v>
      </c>
      <c r="F90" s="71"/>
      <c r="G90" s="64"/>
      <c r="H90" s="64"/>
      <c r="I90" s="53"/>
      <c r="J90" s="105">
        <f t="shared" si="31"/>
        <v>37847.5</v>
      </c>
      <c r="K90" s="109">
        <v>82</v>
      </c>
      <c r="L90" s="125">
        <f t="shared" si="29"/>
        <v>0.99919413972886517</v>
      </c>
      <c r="M90" s="46">
        <f t="shared" si="32"/>
        <v>0.99919413972886517</v>
      </c>
      <c r="N90" s="132">
        <v>0.99995556554007625</v>
      </c>
      <c r="O90" s="89">
        <f t="shared" si="30"/>
        <v>0.99919413972886517</v>
      </c>
      <c r="P90" s="4">
        <v>40404</v>
      </c>
      <c r="Q90" s="4">
        <v>0.9999925763165205</v>
      </c>
    </row>
    <row r="91" spans="2:40" x14ac:dyDescent="0.25">
      <c r="B91" s="63"/>
      <c r="C91" s="64"/>
      <c r="D91" s="65"/>
      <c r="E91" s="64"/>
      <c r="F91" s="71"/>
      <c r="G91" s="64"/>
      <c r="H91" s="64"/>
      <c r="I91" s="53"/>
      <c r="J91" s="105">
        <f t="shared" si="31"/>
        <v>37848.5</v>
      </c>
      <c r="K91" s="109">
        <v>83</v>
      </c>
      <c r="L91" s="125">
        <f t="shared" si="29"/>
        <v>0.99933425186442948</v>
      </c>
      <c r="M91" s="46">
        <f t="shared" si="32"/>
        <v>0.99933425186442948</v>
      </c>
      <c r="N91" s="132">
        <v>0.99996590246462225</v>
      </c>
      <c r="O91" s="89">
        <f t="shared" si="30"/>
        <v>0.99933425186442948</v>
      </c>
      <c r="P91" s="4">
        <v>40405</v>
      </c>
      <c r="Q91" s="4">
        <v>0.99999442638225311</v>
      </c>
    </row>
    <row r="92" spans="2:40" x14ac:dyDescent="0.25">
      <c r="B92" s="63"/>
      <c r="C92" s="64"/>
      <c r="D92" s="65" t="s">
        <v>47</v>
      </c>
      <c r="E92" s="64"/>
      <c r="F92" s="71" t="s">
        <v>8</v>
      </c>
      <c r="G92" s="64"/>
      <c r="H92" s="64"/>
      <c r="I92" s="53"/>
      <c r="J92" s="105">
        <f t="shared" si="31"/>
        <v>37849.5</v>
      </c>
      <c r="K92" s="109">
        <v>84</v>
      </c>
      <c r="L92" s="125">
        <f t="shared" si="29"/>
        <v>0.99945001659688004</v>
      </c>
      <c r="M92" s="46">
        <f t="shared" si="32"/>
        <v>0.99945001659688004</v>
      </c>
      <c r="N92" s="132">
        <v>0.99997383474166435</v>
      </c>
      <c r="O92" s="89">
        <f t="shared" si="30"/>
        <v>0.99945001659688004</v>
      </c>
      <c r="P92" s="4">
        <v>40406</v>
      </c>
      <c r="Q92" s="4">
        <v>0.99999581539264815</v>
      </c>
    </row>
    <row r="93" spans="2:40" x14ac:dyDescent="0.25">
      <c r="B93" s="63"/>
      <c r="C93" s="64"/>
      <c r="D93" s="65">
        <f t="array" ref="D93:E94">2* 0.0314698233458808^2*MINVERSE($D$89:$E$90)</f>
        <v>2.0733591000214347E-4</v>
      </c>
      <c r="E93" s="64">
        <v>9.2253535765261216E-5</v>
      </c>
      <c r="F93" s="71">
        <v>1.4399163517445848E-2</v>
      </c>
      <c r="G93" s="64"/>
      <c r="H93" s="64"/>
      <c r="I93" s="53"/>
      <c r="J93" s="105">
        <f t="shared" si="31"/>
        <v>37850.5</v>
      </c>
      <c r="K93" s="109">
        <v>85</v>
      </c>
      <c r="L93" s="125">
        <f t="shared" si="29"/>
        <v>0.99954566053636251</v>
      </c>
      <c r="M93" s="46">
        <f t="shared" si="32"/>
        <v>0.99954566053636251</v>
      </c>
      <c r="N93" s="132">
        <v>0.99997992173121009</v>
      </c>
      <c r="O93" s="89">
        <f t="shared" si="30"/>
        <v>0.99954566053636251</v>
      </c>
      <c r="P93" s="4">
        <v>40407</v>
      </c>
      <c r="Q93" s="4">
        <v>0.99999685824657825</v>
      </c>
    </row>
    <row r="94" spans="2:40" x14ac:dyDescent="0.25">
      <c r="B94" s="63"/>
      <c r="C94" s="64"/>
      <c r="D94" s="65">
        <v>9.2253535765261202E-5</v>
      </c>
      <c r="E94" s="64">
        <v>0.12636077298244341</v>
      </c>
      <c r="F94" s="71">
        <v>0.35547260510824658</v>
      </c>
      <c r="G94" s="64"/>
      <c r="H94" s="64"/>
      <c r="I94" s="53"/>
      <c r="J94" s="105">
        <f t="shared" si="31"/>
        <v>37851.5</v>
      </c>
      <c r="K94" s="109">
        <v>86</v>
      </c>
      <c r="L94" s="125">
        <f t="shared" si="29"/>
        <v>0.99962467792336895</v>
      </c>
      <c r="M94" s="46">
        <f t="shared" si="32"/>
        <v>0.99962467792336895</v>
      </c>
      <c r="N94" s="132">
        <v>0.99998459268769502</v>
      </c>
      <c r="O94" s="89">
        <f t="shared" si="30"/>
        <v>0.99962467792336895</v>
      </c>
      <c r="P94" s="4">
        <v>40408</v>
      </c>
      <c r="Q94" s="4">
        <v>0.99999764120951673</v>
      </c>
    </row>
    <row r="95" spans="2:40" x14ac:dyDescent="0.25">
      <c r="B95" s="63"/>
      <c r="C95" s="64"/>
      <c r="D95" s="65"/>
      <c r="E95" s="64"/>
      <c r="F95" s="71"/>
      <c r="G95" s="64"/>
      <c r="H95" s="64"/>
      <c r="I95" s="53"/>
      <c r="J95" s="105">
        <f t="shared" si="31"/>
        <v>37852.5</v>
      </c>
      <c r="K95" s="109">
        <v>87</v>
      </c>
      <c r="L95" s="125">
        <f t="shared" si="29"/>
        <v>0.99968995710086572</v>
      </c>
      <c r="M95" s="46">
        <f t="shared" si="32"/>
        <v>0.99968995710086572</v>
      </c>
      <c r="N95" s="132">
        <v>0.99998817701780018</v>
      </c>
      <c r="O95" s="89">
        <f t="shared" si="30"/>
        <v>0.99968995710086572</v>
      </c>
      <c r="P95" s="4">
        <v>40409</v>
      </c>
      <c r="Q95" s="4">
        <v>0.99999822904897007</v>
      </c>
    </row>
    <row r="96" spans="2:40" x14ac:dyDescent="0.25">
      <c r="B96" s="63"/>
      <c r="C96" s="64"/>
      <c r="D96" s="65" t="s">
        <v>48</v>
      </c>
      <c r="E96" s="64"/>
      <c r="F96" s="71"/>
      <c r="G96" s="64"/>
      <c r="H96" s="64"/>
      <c r="I96" s="53"/>
      <c r="J96" s="105">
        <f t="shared" si="31"/>
        <v>37853.5</v>
      </c>
      <c r="K96" s="109">
        <v>88</v>
      </c>
      <c r="L96" s="125">
        <f t="shared" si="29"/>
        <v>0.99974388528285707</v>
      </c>
      <c r="M96" s="46">
        <f t="shared" si="32"/>
        <v>0.99974388528285707</v>
      </c>
      <c r="N96" s="132">
        <v>0.99999092750320295</v>
      </c>
      <c r="O96" s="89">
        <f t="shared" si="30"/>
        <v>0.99974388528285707</v>
      </c>
      <c r="P96" s="4">
        <v>40410</v>
      </c>
      <c r="Q96" s="4">
        <v>0.99999867039183277</v>
      </c>
    </row>
    <row r="97" spans="2:17" x14ac:dyDescent="0.25">
      <c r="B97" s="63"/>
      <c r="C97" s="64"/>
      <c r="D97" s="65">
        <v>0.99999999999999989</v>
      </c>
      <c r="E97" s="64">
        <v>1.8023520282993657E-2</v>
      </c>
      <c r="F97" s="71"/>
      <c r="G97" s="64"/>
      <c r="H97" s="64"/>
      <c r="I97" s="53"/>
      <c r="J97" s="105">
        <f t="shared" si="31"/>
        <v>37854.5</v>
      </c>
      <c r="K97" s="109">
        <v>89</v>
      </c>
      <c r="L97" s="125">
        <f t="shared" si="29"/>
        <v>0.99978843530025419</v>
      </c>
      <c r="M97" s="46">
        <f t="shared" si="32"/>
        <v>0.99978843530025419</v>
      </c>
      <c r="N97" s="132">
        <v>0.99999303812320184</v>
      </c>
      <c r="O97" s="89">
        <f t="shared" si="30"/>
        <v>0.99978843530025419</v>
      </c>
      <c r="P97" s="4">
        <v>40411</v>
      </c>
      <c r="Q97" s="4">
        <v>0.99999900174671486</v>
      </c>
    </row>
    <row r="98" spans="2:17" x14ac:dyDescent="0.25">
      <c r="B98" s="63"/>
      <c r="C98" s="64"/>
      <c r="D98" s="65">
        <v>1.8023520282993654E-2</v>
      </c>
      <c r="E98" s="64">
        <v>1</v>
      </c>
      <c r="F98" s="71"/>
      <c r="G98" s="64"/>
      <c r="H98" s="64"/>
      <c r="I98" s="53"/>
      <c r="J98" s="105">
        <f t="shared" si="31"/>
        <v>37855.5</v>
      </c>
      <c r="K98" s="109">
        <v>90</v>
      </c>
      <c r="L98" s="125">
        <f t="shared" si="29"/>
        <v>0.99982523739464535</v>
      </c>
      <c r="M98" s="46">
        <f t="shared" si="32"/>
        <v>0.99982523739464535</v>
      </c>
      <c r="N98" s="132">
        <v>0.99999465773250285</v>
      </c>
      <c r="O98" s="89">
        <f t="shared" si="30"/>
        <v>0.99982523739464535</v>
      </c>
      <c r="P98" s="4">
        <v>40412</v>
      </c>
      <c r="Q98" s="4">
        <v>0.99999925052390337</v>
      </c>
    </row>
    <row r="99" spans="2:17" x14ac:dyDescent="0.25">
      <c r="B99" s="63"/>
      <c r="C99" s="64"/>
      <c r="D99" s="65"/>
      <c r="E99" s="64"/>
      <c r="F99" s="71"/>
      <c r="G99" s="64"/>
      <c r="H99" s="64"/>
      <c r="I99" s="53"/>
      <c r="J99" s="105">
        <f t="shared" si="31"/>
        <v>37856.5</v>
      </c>
      <c r="K99" s="109">
        <v>91</v>
      </c>
      <c r="L99" s="125">
        <f t="shared" si="29"/>
        <v>0.99985563861691718</v>
      </c>
      <c r="M99" s="46">
        <f t="shared" si="32"/>
        <v>0.99985563861691718</v>
      </c>
      <c r="N99" s="132">
        <v>0.99999590055784027</v>
      </c>
      <c r="O99" s="89">
        <f t="shared" si="30"/>
        <v>0.99985563861691718</v>
      </c>
      <c r="P99" s="4">
        <v>40413</v>
      </c>
      <c r="Q99" s="4">
        <v>0.99999943730274388</v>
      </c>
    </row>
    <row r="100" spans="2:17" x14ac:dyDescent="0.25">
      <c r="B100" s="63"/>
      <c r="C100" s="64"/>
      <c r="D100" s="65"/>
      <c r="E100" s="64"/>
      <c r="F100" s="71"/>
      <c r="G100" s="64"/>
      <c r="H100" s="64"/>
      <c r="I100" s="53"/>
      <c r="J100" s="105">
        <f t="shared" si="31"/>
        <v>37857.5</v>
      </c>
      <c r="K100" s="109">
        <v>92</v>
      </c>
      <c r="L100" s="125">
        <f t="shared" si="29"/>
        <v>0.99988075195691395</v>
      </c>
      <c r="M100" s="46">
        <f t="shared" si="32"/>
        <v>0.99988075195691395</v>
      </c>
      <c r="N100" s="132">
        <v>0.99999685425314822</v>
      </c>
      <c r="O100" s="89">
        <f t="shared" si="30"/>
        <v>0.99988075195691395</v>
      </c>
      <c r="P100" s="4">
        <v>40414</v>
      </c>
      <c r="Q100" s="4">
        <v>0.99999957753397495</v>
      </c>
    </row>
    <row r="101" spans="2:17" x14ac:dyDescent="0.25">
      <c r="B101" s="63"/>
      <c r="C101" s="64"/>
      <c r="D101" s="65"/>
      <c r="E101" s="64"/>
      <c r="F101" s="71"/>
      <c r="G101" s="64"/>
      <c r="H101" s="64"/>
      <c r="I101" s="53"/>
      <c r="J101" s="105">
        <f t="shared" si="31"/>
        <v>37858.5</v>
      </c>
      <c r="K101" s="109">
        <v>93</v>
      </c>
      <c r="L101" s="125">
        <f t="shared" si="29"/>
        <v>0.99990149697001118</v>
      </c>
      <c r="M101" s="46">
        <f t="shared" si="32"/>
        <v>0.99990149697001118</v>
      </c>
      <c r="N101" s="132">
        <v>0.99999758608106293</v>
      </c>
      <c r="O101" s="89">
        <f t="shared" si="30"/>
        <v>0.99990149697001118</v>
      </c>
      <c r="P101" s="4">
        <v>40415</v>
      </c>
      <c r="Q101" s="4">
        <v>0.99999968281783125</v>
      </c>
    </row>
    <row r="102" spans="2:17" x14ac:dyDescent="0.25">
      <c r="B102" s="63"/>
      <c r="C102" s="64"/>
      <c r="D102" s="65"/>
      <c r="E102" s="64"/>
      <c r="F102" s="71"/>
      <c r="G102" s="64"/>
      <c r="H102" s="64"/>
      <c r="I102" s="53"/>
      <c r="J102" s="105">
        <f t="shared" si="31"/>
        <v>37859.5</v>
      </c>
      <c r="K102" s="109">
        <v>94</v>
      </c>
      <c r="L102" s="125">
        <f t="shared" si="29"/>
        <v>0.99991863336583897</v>
      </c>
      <c r="M102" s="46">
        <f t="shared" si="32"/>
        <v>0.99991863336583897</v>
      </c>
      <c r="N102" s="132">
        <v>0.99999814765652884</v>
      </c>
      <c r="O102" s="89">
        <f t="shared" si="30"/>
        <v>0.99991863336583897</v>
      </c>
      <c r="P102" s="4">
        <v>40416</v>
      </c>
      <c r="Q102" s="4">
        <v>0.99999976186363015</v>
      </c>
    </row>
    <row r="103" spans="2:17" x14ac:dyDescent="0.25">
      <c r="B103" s="63"/>
      <c r="C103" s="64"/>
      <c r="D103" s="65"/>
      <c r="E103" s="64"/>
      <c r="F103" s="71"/>
      <c r="G103" s="64"/>
      <c r="H103" s="64"/>
      <c r="I103" s="53"/>
      <c r="J103" s="105">
        <f t="shared" si="31"/>
        <v>37860.5</v>
      </c>
      <c r="K103" s="109">
        <v>95</v>
      </c>
      <c r="L103" s="125">
        <f t="shared" si="29"/>
        <v>0.99993278877394409</v>
      </c>
      <c r="M103" s="46">
        <f t="shared" si="32"/>
        <v>0.99993278877394409</v>
      </c>
      <c r="N103" s="132">
        <v>0.99999857858694674</v>
      </c>
      <c r="O103" s="89">
        <f t="shared" si="30"/>
        <v>0.99993278877394409</v>
      </c>
      <c r="P103" s="4">
        <v>40417</v>
      </c>
      <c r="Q103" s="4">
        <v>0.99999982121022213</v>
      </c>
    </row>
    <row r="104" spans="2:17" x14ac:dyDescent="0.25">
      <c r="B104" s="63"/>
      <c r="C104" s="64"/>
      <c r="D104" s="65"/>
      <c r="E104" s="64"/>
      <c r="F104" s="71"/>
      <c r="G104" s="64"/>
      <c r="H104" s="64"/>
      <c r="I104" s="53"/>
      <c r="J104" s="105">
        <f t="shared" si="31"/>
        <v>37861.5</v>
      </c>
      <c r="K104" s="109">
        <v>96</v>
      </c>
      <c r="L104" s="125">
        <f t="shared" si="29"/>
        <v>0.99994448169290651</v>
      </c>
      <c r="M104" s="46">
        <f t="shared" si="32"/>
        <v>0.99994448169290651</v>
      </c>
      <c r="N104" s="132">
        <v>0.99999890926553481</v>
      </c>
      <c r="O104" s="89">
        <f t="shared" si="30"/>
        <v>0.99994448169290651</v>
      </c>
      <c r="P104" s="4">
        <v>40418</v>
      </c>
      <c r="Q104" s="4">
        <v>0.99999986576689559</v>
      </c>
    </row>
    <row r="105" spans="2:17" x14ac:dyDescent="0.25">
      <c r="B105" s="63"/>
      <c r="C105" s="64"/>
      <c r="D105" s="65"/>
      <c r="E105" s="64"/>
      <c r="F105" s="71"/>
      <c r="G105" s="64"/>
      <c r="H105" s="64"/>
      <c r="I105" s="53"/>
      <c r="J105" s="105">
        <f t="shared" si="31"/>
        <v>37862.5</v>
      </c>
      <c r="K105" s="109">
        <v>97</v>
      </c>
      <c r="L105" s="125">
        <f>$G$3/(1+EXP(-$G$4*(K105-$G$5)))</f>
        <v>0.99995414045639597</v>
      </c>
      <c r="M105" s="46">
        <f t="shared" si="32"/>
        <v>0.99995414045639597</v>
      </c>
      <c r="N105" s="132">
        <v>0.99999916301487501</v>
      </c>
      <c r="O105" s="89">
        <f>IF(N105=M105,N105,M105)</f>
        <v>0.99995414045639597</v>
      </c>
      <c r="P105" s="4">
        <v>40419</v>
      </c>
      <c r="Q105" s="4">
        <v>0.99999989921948373</v>
      </c>
    </row>
    <row r="106" spans="2:17" x14ac:dyDescent="0.25">
      <c r="B106" s="63"/>
      <c r="C106" s="64"/>
      <c r="D106" s="65"/>
      <c r="E106" s="64"/>
      <c r="F106" s="71"/>
      <c r="G106" s="64"/>
      <c r="H106" s="64"/>
      <c r="I106" s="53"/>
      <c r="J106" s="105">
        <f t="shared" si="31"/>
        <v>37863.5</v>
      </c>
      <c r="K106" s="109">
        <v>98</v>
      </c>
      <c r="L106" s="125">
        <f>$G$3/(1+EXP(-$G$4*(K106-$G$5)))</f>
        <v>0.99996211890607833</v>
      </c>
      <c r="M106" s="46">
        <f t="shared" si="32"/>
        <v>0.99996211890607833</v>
      </c>
      <c r="N106" s="132">
        <v>0.99999935773180315</v>
      </c>
      <c r="O106" s="89">
        <f>IF(N106=M106,N106,M106)</f>
        <v>0.99996211890607833</v>
      </c>
      <c r="P106" s="4">
        <v>40420</v>
      </c>
      <c r="Q106" s="4">
        <v>0.99999992433526419</v>
      </c>
    </row>
    <row r="107" spans="2:17" x14ac:dyDescent="0.25">
      <c r="B107" s="63"/>
      <c r="C107" s="64"/>
      <c r="D107" s="65"/>
      <c r="E107" s="64"/>
      <c r="F107" s="71"/>
      <c r="G107" s="64"/>
      <c r="H107" s="64"/>
      <c r="I107" s="53"/>
      <c r="J107" s="105">
        <f t="shared" si="31"/>
        <v>37864.5</v>
      </c>
      <c r="K107" s="109">
        <v>99</v>
      </c>
      <c r="L107" s="125">
        <f>$G$3/(1+EXP(-$G$4*(K107-$G$5)))</f>
        <v>0.9999687093422216</v>
      </c>
      <c r="M107" s="46">
        <f t="shared" si="32"/>
        <v>0.99999999730296318</v>
      </c>
      <c r="N107" s="132">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controls>
    <mc:AlternateContent xmlns:mc="http://schemas.openxmlformats.org/markup-compatibility/2006">
      <mc:Choice Requires="x14">
        <control shapeId="41985" r:id="rId4" name="CommandButton1">
          <controlPr defaultSize="0" autoLine="0" r:id="rId5">
            <anchor moveWithCells="1">
              <from>
                <xdr:col>4</xdr:col>
                <xdr:colOff>114300</xdr:colOff>
                <xdr:row>4</xdr:row>
                <xdr:rowOff>0</xdr:rowOff>
              </from>
              <to>
                <xdr:col>4</xdr:col>
                <xdr:colOff>1790700</xdr:colOff>
                <xdr:row>5</xdr:row>
                <xdr:rowOff>152400</xdr:rowOff>
              </to>
            </anchor>
          </controlPr>
        </control>
      </mc:Choice>
      <mc:Fallback>
        <control shapeId="41985" r:id="rId4" name="CommandButton1"/>
      </mc:Fallback>
    </mc:AlternateContent>
  </control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S1022"/>
  <sheetViews>
    <sheetView zoomScaleNormal="100" workbookViewId="0">
      <selection activeCell="E9" sqref="E9:E13"/>
    </sheetView>
  </sheetViews>
  <sheetFormatPr defaultRowHeight="15.75" x14ac:dyDescent="0.25"/>
  <cols>
    <col min="1" max="1" width="11.125" style="4" customWidth="1"/>
    <col min="2" max="2" width="21.375" style="4" customWidth="1"/>
    <col min="3" max="3" width="12.37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10.5" style="4" bestFit="1" customWidth="1"/>
    <col min="19" max="19" width="9.5" style="4" bestFit="1" customWidth="1"/>
    <col min="20" max="24" width="9" style="4"/>
    <col min="25" max="25" width="9.125" style="4" bestFit="1" customWidth="1"/>
    <col min="26" max="26" width="9" style="4"/>
    <col min="27" max="27" width="9.125" style="4" bestFit="1" customWidth="1"/>
    <col min="28" max="33" width="9" style="4"/>
    <col min="34" max="34" width="21" style="4" customWidth="1"/>
    <col min="35" max="16384" width="9" style="4"/>
  </cols>
  <sheetData>
    <row r="1" spans="1:45" ht="16.5" thickBot="1" x14ac:dyDescent="0.3">
      <c r="A1" s="3" t="s">
        <v>3</v>
      </c>
      <c r="B1" s="3" t="s">
        <v>4</v>
      </c>
      <c r="C1" s="4" t="s">
        <v>5</v>
      </c>
    </row>
    <row r="2" spans="1:45" ht="19.5" thickBot="1" x14ac:dyDescent="0.4">
      <c r="A2" s="5">
        <v>2003</v>
      </c>
      <c r="B2" s="6">
        <v>1.3</v>
      </c>
      <c r="C2" s="4" t="s">
        <v>6</v>
      </c>
      <c r="F2" s="3" t="s">
        <v>0</v>
      </c>
      <c r="G2" s="7" t="s">
        <v>7</v>
      </c>
      <c r="H2" s="7" t="s">
        <v>8</v>
      </c>
      <c r="I2" s="96" t="s">
        <v>27</v>
      </c>
      <c r="J2" s="98">
        <v>41459</v>
      </c>
      <c r="K2" s="99">
        <v>41459</v>
      </c>
    </row>
    <row r="3" spans="1:45" ht="21" thickBot="1" x14ac:dyDescent="0.4">
      <c r="A3" s="8">
        <f>DATE(A2,5,25)</f>
        <v>37766</v>
      </c>
      <c r="C3" s="9"/>
      <c r="F3" s="73" t="s">
        <v>25</v>
      </c>
      <c r="G3" s="10">
        <v>1</v>
      </c>
      <c r="H3" s="11"/>
      <c r="I3">
        <f>G5-(1/G4)*LN((2*G3)-1)</f>
        <v>45.545860502756369</v>
      </c>
      <c r="J3" s="3" t="s">
        <v>9</v>
      </c>
    </row>
    <row r="4" spans="1:45" ht="16.5" thickBot="1" x14ac:dyDescent="0.3">
      <c r="A4" s="12" t="s">
        <v>10</v>
      </c>
      <c r="C4" s="4" t="s">
        <v>11</v>
      </c>
      <c r="F4" s="13" t="s">
        <v>1</v>
      </c>
      <c r="G4" s="14">
        <v>0.19771468446122251</v>
      </c>
      <c r="H4" s="15"/>
      <c r="I4" s="2"/>
      <c r="J4" s="74">
        <f>SUM(H9:H65)</f>
        <v>1.7006289116756097</v>
      </c>
      <c r="K4" s="16"/>
      <c r="L4" s="16"/>
    </row>
    <row r="5" spans="1:45" ht="16.5" thickBot="1" x14ac:dyDescent="0.3">
      <c r="C5" s="8">
        <f>DATE(A2,7,31)</f>
        <v>37833</v>
      </c>
      <c r="F5" s="17" t="s">
        <v>2</v>
      </c>
      <c r="G5" s="18">
        <v>45.545860502756369</v>
      </c>
      <c r="H5" s="19"/>
      <c r="I5" s="2"/>
      <c r="J5" s="20" t="s">
        <v>12</v>
      </c>
      <c r="K5" s="21"/>
      <c r="L5" s="21"/>
      <c r="N5" s="30"/>
    </row>
    <row r="6" spans="1:45" ht="16.5" thickBot="1" x14ac:dyDescent="0.3">
      <c r="C6" s="22"/>
      <c r="G6" s="23"/>
      <c r="H6" s="9"/>
      <c r="K6" s="24"/>
      <c r="L6" s="24"/>
    </row>
    <row r="7" spans="1:45" ht="16.5" thickBot="1" x14ac:dyDescent="0.3">
      <c r="E7" s="25"/>
      <c r="F7" s="26"/>
      <c r="G7" s="27"/>
      <c r="H7" s="28"/>
      <c r="J7" s="29"/>
      <c r="M7" s="29"/>
      <c r="O7" s="3" t="s">
        <v>26</v>
      </c>
      <c r="R7" s="4">
        <f>84/160</f>
        <v>0.52500000000000002</v>
      </c>
    </row>
    <row r="8" spans="1:45" s="29" customFormat="1" ht="16.5" thickBot="1" x14ac:dyDescent="0.3">
      <c r="B8" s="31" t="s">
        <v>14</v>
      </c>
      <c r="C8" s="32" t="s">
        <v>15</v>
      </c>
      <c r="D8" s="83" t="s">
        <v>16</v>
      </c>
      <c r="E8" s="33" t="s">
        <v>13</v>
      </c>
      <c r="F8" s="34" t="s">
        <v>17</v>
      </c>
      <c r="G8" s="34" t="s">
        <v>18</v>
      </c>
      <c r="H8" s="35" t="s">
        <v>19</v>
      </c>
      <c r="I8" s="3"/>
      <c r="J8" s="36" t="s">
        <v>14</v>
      </c>
      <c r="K8" s="37" t="s">
        <v>20</v>
      </c>
      <c r="L8" s="37" t="s">
        <v>21</v>
      </c>
      <c r="M8" s="37" t="s">
        <v>22</v>
      </c>
      <c r="N8" s="38" t="s">
        <v>23</v>
      </c>
      <c r="O8" s="88" t="s">
        <v>24</v>
      </c>
    </row>
    <row r="9" spans="1:45" x14ac:dyDescent="0.25">
      <c r="A9" s="39"/>
      <c r="B9" s="104">
        <v>37799.408333333333</v>
      </c>
      <c r="C9" s="78">
        <v>189</v>
      </c>
      <c r="D9" s="106">
        <f>IF(B9&lt;&gt;0,B9-$A$3+1,"")</f>
        <v>34.408333333332848</v>
      </c>
      <c r="E9" s="81">
        <v>8.8999999999999996E-2</v>
      </c>
      <c r="F9" s="41">
        <f t="shared" ref="F9:F65" si="0">IF(B9&lt;&gt;0,$G$3/(1+EXP(-$G$4*(D9-$G$5))),"")</f>
        <v>9.9566310062520508E-2</v>
      </c>
      <c r="G9" s="42">
        <f t="shared" ref="G9:G65" si="1">IF(B9&lt;&gt;0,E9-F9,"")</f>
        <v>-1.0566310062520512E-2</v>
      </c>
      <c r="H9" s="43">
        <f t="shared" ref="H9:H65" si="2">IF(B9&lt;&gt;0,C9*(G9)^2,"")</f>
        <v>2.1101265675753902E-2</v>
      </c>
      <c r="J9" s="105">
        <f>A3</f>
        <v>37766</v>
      </c>
      <c r="K9" s="109">
        <v>1.5</v>
      </c>
      <c r="L9" s="90">
        <f t="shared" ref="L9:L72" si="3">$G$3/(1+EXP(-$G$4*(K9-$G$5)))</f>
        <v>1.6514633949483483E-4</v>
      </c>
      <c r="M9" s="46">
        <f>IF(J10&gt;MAX($B$9:$B$64),L9,N9)</f>
        <v>3.1121623501212576E-7</v>
      </c>
      <c r="N9" s="75">
        <v>3.1121623501212576E-7</v>
      </c>
      <c r="O9" s="89">
        <f t="shared" ref="O9:O72" si="4">IF(N9=M9,N9,M9)</f>
        <v>3.1121623501212576E-7</v>
      </c>
    </row>
    <row r="10" spans="1:45" x14ac:dyDescent="0.25">
      <c r="A10" s="39"/>
      <c r="B10" s="104">
        <v>37803.402777777781</v>
      </c>
      <c r="C10" s="79">
        <v>190</v>
      </c>
      <c r="D10" s="103">
        <f t="shared" ref="D10:D65" si="5">IF(B10&lt;&gt;0,B10-$A$3+1,"")</f>
        <v>38.402777777781012</v>
      </c>
      <c r="E10" s="81">
        <v>0.14199999999999999</v>
      </c>
      <c r="F10" s="50">
        <f t="shared" si="0"/>
        <v>0.19587274481145553</v>
      </c>
      <c r="G10" s="16">
        <f t="shared" si="1"/>
        <v>-5.3872744811455542E-2</v>
      </c>
      <c r="H10" s="51">
        <f t="shared" si="2"/>
        <v>0.55143180036883988</v>
      </c>
      <c r="J10" s="105">
        <f t="shared" ref="J10:J73" si="6">J9+1</f>
        <v>37767</v>
      </c>
      <c r="K10" s="109">
        <v>2.5</v>
      </c>
      <c r="L10" s="90">
        <f t="shared" si="3"/>
        <v>2.0124248390877318E-4</v>
      </c>
      <c r="M10" s="46">
        <f t="shared" ref="M10:M73" si="7">IF(J11&gt;MAX($B$9:$B$64),L10,N10)</f>
        <v>4.4350593880565207E-7</v>
      </c>
      <c r="N10" s="75">
        <v>4.4350593880565207E-7</v>
      </c>
      <c r="O10" s="89">
        <f t="shared" si="4"/>
        <v>4.4350593880565207E-7</v>
      </c>
    </row>
    <row r="11" spans="1:45" x14ac:dyDescent="0.25">
      <c r="A11" s="39"/>
      <c r="B11" s="104">
        <v>37807.429166666669</v>
      </c>
      <c r="C11" s="79">
        <v>169</v>
      </c>
      <c r="D11" s="103">
        <f t="shared" si="5"/>
        <v>42.429166666668607</v>
      </c>
      <c r="E11" s="81">
        <v>0.38800000000000001</v>
      </c>
      <c r="F11" s="50">
        <f t="shared" si="0"/>
        <v>0.35064252008968788</v>
      </c>
      <c r="G11" s="16">
        <f t="shared" si="1"/>
        <v>3.735747991031213E-2</v>
      </c>
      <c r="H11" s="51">
        <f t="shared" si="2"/>
        <v>0.2358532405871443</v>
      </c>
      <c r="J11" s="105">
        <f t="shared" si="6"/>
        <v>37768</v>
      </c>
      <c r="K11" s="109">
        <v>3.5</v>
      </c>
      <c r="L11" s="90">
        <f t="shared" si="3"/>
        <v>2.4522625138307812E-4</v>
      </c>
      <c r="M11" s="46">
        <f t="shared" si="7"/>
        <v>6.3202842450478264E-7</v>
      </c>
      <c r="N11" s="75">
        <v>6.3202842450478264E-7</v>
      </c>
      <c r="O11" s="89">
        <f t="shared" si="4"/>
        <v>6.3202842450478264E-7</v>
      </c>
      <c r="AA11" s="102" t="s">
        <v>14</v>
      </c>
      <c r="AB11" s="4">
        <v>2010</v>
      </c>
      <c r="AC11" s="4">
        <f>AE11</f>
        <v>2012</v>
      </c>
      <c r="AD11" s="4">
        <v>2011</v>
      </c>
      <c r="AE11" s="4">
        <v>2012</v>
      </c>
      <c r="AF11" s="4">
        <v>2013</v>
      </c>
      <c r="AH11" s="113"/>
      <c r="AI11" s="113"/>
      <c r="AJ11" s="113"/>
      <c r="AK11" s="113"/>
      <c r="AL11" s="113"/>
      <c r="AM11" s="113"/>
      <c r="AN11" s="113"/>
      <c r="AO11" s="114"/>
      <c r="AP11" s="114"/>
    </row>
    <row r="12" spans="1:45" x14ac:dyDescent="0.25">
      <c r="A12" s="39"/>
      <c r="B12" s="104">
        <v>37811.083333333336</v>
      </c>
      <c r="C12" s="79">
        <v>190</v>
      </c>
      <c r="D12" s="107">
        <f t="shared" si="5"/>
        <v>46.083333333335759</v>
      </c>
      <c r="E12" s="81">
        <v>0.57099999999999995</v>
      </c>
      <c r="F12" s="50">
        <f t="shared" si="0"/>
        <v>0.52654159568320458</v>
      </c>
      <c r="G12" s="16">
        <f t="shared" si="1"/>
        <v>4.4458404316795375E-2</v>
      </c>
      <c r="H12" s="51">
        <f t="shared" si="2"/>
        <v>0.37554444573517343</v>
      </c>
      <c r="J12" s="105">
        <f t="shared" si="6"/>
        <v>37769</v>
      </c>
      <c r="K12" s="109">
        <v>4.5</v>
      </c>
      <c r="L12" s="90">
        <f t="shared" si="3"/>
        <v>2.9882028383729665E-4</v>
      </c>
      <c r="M12" s="46">
        <f t="shared" si="7"/>
        <v>9.0068669305005554E-7</v>
      </c>
      <c r="N12" s="75">
        <v>9.0068669305005554E-7</v>
      </c>
      <c r="O12" s="89">
        <f t="shared" si="4"/>
        <v>9.0068669305005554E-7</v>
      </c>
      <c r="P12" s="44">
        <v>40326</v>
      </c>
      <c r="Q12" s="1">
        <v>1.3958317686261709E-4</v>
      </c>
      <c r="R12" s="100">
        <v>543</v>
      </c>
      <c r="S12" s="100">
        <f>R12*AVERAGE(L12:L13)</f>
        <v>0.17998909886686931</v>
      </c>
      <c r="T12" s="101">
        <f t="shared" ref="T12:T47" si="8">R12-S12</f>
        <v>542.82001090113317</v>
      </c>
      <c r="AA12" s="93">
        <f>J12</f>
        <v>37769</v>
      </c>
      <c r="AB12" s="92">
        <f>Logistic2010!Q12</f>
        <v>1.3958317686261709E-4</v>
      </c>
      <c r="AC12" s="4">
        <f t="shared" ref="AC12:AC75" si="9">AE12</f>
        <v>1.3958317686261709E-4</v>
      </c>
      <c r="AD12" s="92">
        <f>Logistic2011!Q12</f>
        <v>1.3958317686261709E-4</v>
      </c>
      <c r="AE12" s="92">
        <f>Logistic2012!Q12</f>
        <v>1.3958317686261709E-4</v>
      </c>
      <c r="AF12" s="92">
        <f>L12</f>
        <v>2.9882028383729665E-4</v>
      </c>
      <c r="AH12" s="113"/>
      <c r="AI12" s="113"/>
      <c r="AJ12" s="113"/>
      <c r="AK12" s="113"/>
      <c r="AL12" s="113"/>
      <c r="AM12" s="113"/>
      <c r="AN12" s="113"/>
      <c r="AO12" s="114"/>
      <c r="AP12" s="114"/>
    </row>
    <row r="13" spans="1:45" x14ac:dyDescent="0.25">
      <c r="A13" s="39"/>
      <c r="B13" s="108">
        <v>37816.472222222219</v>
      </c>
      <c r="C13" s="79">
        <v>190</v>
      </c>
      <c r="D13" s="107">
        <f t="shared" si="5"/>
        <v>51.472222222218988</v>
      </c>
      <c r="E13" s="81">
        <v>0.71199999999999997</v>
      </c>
      <c r="F13" s="50">
        <f t="shared" ref="F13" si="10">IF(B13&lt;&gt;0,$G$3/(1+EXP(-$G$4*(D13-$G$5))),"")</f>
        <v>0.76345735097036405</v>
      </c>
      <c r="G13" s="16">
        <f t="shared" ref="G13" si="11">IF(B13&lt;&gt;0,E13-F13,"")</f>
        <v>-5.145735097036408E-2</v>
      </c>
      <c r="H13" s="51">
        <f t="shared" ref="H13" si="12">IF(B13&lt;&gt;0,C13*(G13)^2,"")</f>
        <v>0.5030932040885735</v>
      </c>
      <c r="J13" s="105">
        <f t="shared" si="6"/>
        <v>37770</v>
      </c>
      <c r="K13" s="109">
        <v>5.5</v>
      </c>
      <c r="L13" s="90">
        <f t="shared" si="3"/>
        <v>3.6412299007382412E-4</v>
      </c>
      <c r="M13" s="46">
        <f t="shared" si="7"/>
        <v>1.2835442124779599E-6</v>
      </c>
      <c r="N13" s="75">
        <v>1.2835442124779599E-6</v>
      </c>
      <c r="O13" s="89">
        <f t="shared" si="4"/>
        <v>1.2835442124779599E-6</v>
      </c>
      <c r="P13" s="48">
        <v>40327</v>
      </c>
      <c r="Q13" s="1">
        <v>1.7045928901654236E-4</v>
      </c>
      <c r="R13" s="100">
        <v>2664</v>
      </c>
      <c r="S13" s="100">
        <f t="shared" ref="S13:S70" si="13">R13*AVERAGE(L13:L14)</f>
        <v>1.076007292842444</v>
      </c>
      <c r="T13" s="101">
        <f t="shared" si="8"/>
        <v>2662.9239927071576</v>
      </c>
      <c r="AA13" s="93">
        <f t="shared" ref="AA13:AA76" si="14">J13</f>
        <v>37770</v>
      </c>
      <c r="AB13" s="92">
        <f>Logistic2010!Q13</f>
        <v>1.7045928901654236E-4</v>
      </c>
      <c r="AC13" s="4">
        <f t="shared" si="9"/>
        <v>1.7045928901654236E-4</v>
      </c>
      <c r="AD13" s="92">
        <f>Logistic2011!Q13</f>
        <v>1.7045928901654236E-4</v>
      </c>
      <c r="AE13" s="92">
        <f>Logistic2012!Q13</f>
        <v>1.7045928901654236E-4</v>
      </c>
      <c r="AF13" s="92">
        <f t="shared" ref="AF13:AF76" si="15">L13</f>
        <v>3.6412299007382412E-4</v>
      </c>
      <c r="AH13" s="113">
        <v>2011</v>
      </c>
      <c r="AJ13" s="113">
        <v>2010</v>
      </c>
      <c r="AK13" s="113">
        <v>2012</v>
      </c>
      <c r="AL13" s="113"/>
      <c r="AM13" t="s">
        <v>28</v>
      </c>
      <c r="AN13"/>
      <c r="AO13"/>
      <c r="AP13"/>
      <c r="AQ13"/>
      <c r="AR13"/>
      <c r="AS13"/>
    </row>
    <row r="14" spans="1:45" x14ac:dyDescent="0.25">
      <c r="A14" s="39"/>
      <c r="B14" s="108"/>
      <c r="C14" s="79"/>
      <c r="D14" s="107"/>
      <c r="E14" s="81"/>
      <c r="F14" s="50"/>
      <c r="G14" s="16" t="str">
        <f t="shared" ref="G14" si="16">IF(B14&lt;&gt;0,E14-F14,"")</f>
        <v/>
      </c>
      <c r="H14" s="51" t="str">
        <f t="shared" ref="H14" si="17">IF(B14&lt;&gt;0,C14*(G14)^2,"")</f>
        <v/>
      </c>
      <c r="J14" s="105">
        <f t="shared" si="6"/>
        <v>37771</v>
      </c>
      <c r="K14" s="109">
        <v>6.5</v>
      </c>
      <c r="L14" s="90">
        <f t="shared" si="3"/>
        <v>4.436902928409236E-4</v>
      </c>
      <c r="M14" s="46">
        <f t="shared" si="7"/>
        <v>1.8291437965967419E-6</v>
      </c>
      <c r="N14" s="75">
        <v>1.8291437965967419E-6</v>
      </c>
      <c r="O14" s="89">
        <f t="shared" si="4"/>
        <v>1.8291437965967419E-6</v>
      </c>
      <c r="P14" s="48">
        <v>40328</v>
      </c>
      <c r="Q14" s="1">
        <v>0</v>
      </c>
      <c r="R14" s="100">
        <v>963</v>
      </c>
      <c r="S14" s="100">
        <f t="shared" si="13"/>
        <v>0.47395265394422731</v>
      </c>
      <c r="T14" s="101">
        <f t="shared" si="8"/>
        <v>962.52604734605575</v>
      </c>
      <c r="AA14" s="93">
        <f t="shared" si="14"/>
        <v>37771</v>
      </c>
      <c r="AB14" s="92">
        <f>Logistic2010!Q14</f>
        <v>2.0816384458125417E-4</v>
      </c>
      <c r="AC14" s="4">
        <f t="shared" si="9"/>
        <v>0</v>
      </c>
      <c r="AD14" s="92">
        <f>Logistic2011!Q14</f>
        <v>2.0816384458125417E-4</v>
      </c>
      <c r="AE14" s="92">
        <f>Logistic2012!Q14</f>
        <v>0</v>
      </c>
      <c r="AF14" s="92">
        <f t="shared" si="15"/>
        <v>4.436902928409236E-4</v>
      </c>
      <c r="AH14" s="115">
        <v>2E-3</v>
      </c>
      <c r="AJ14" s="115">
        <v>4.1000000000000002E-2</v>
      </c>
      <c r="AK14" s="115">
        <v>2.4E-2</v>
      </c>
      <c r="AL14" s="115"/>
      <c r="AM14"/>
      <c r="AN14"/>
      <c r="AO14"/>
      <c r="AP14"/>
      <c r="AQ14"/>
      <c r="AR14"/>
      <c r="AS14"/>
    </row>
    <row r="15" spans="1:45" ht="16.5" thickBot="1" x14ac:dyDescent="0.3">
      <c r="A15" s="39"/>
      <c r="B15" s="49"/>
      <c r="C15" s="79"/>
      <c r="D15" s="86"/>
      <c r="E15" s="81"/>
      <c r="F15" s="50"/>
      <c r="G15" s="16"/>
      <c r="H15" s="51"/>
      <c r="J15" s="105">
        <f t="shared" si="6"/>
        <v>37772</v>
      </c>
      <c r="K15" s="109">
        <v>7.5</v>
      </c>
      <c r="L15" s="90">
        <f t="shared" si="3"/>
        <v>5.4063505283763783E-4</v>
      </c>
      <c r="M15" s="46">
        <f t="shared" si="7"/>
        <v>2.6066622560821447E-6</v>
      </c>
      <c r="N15" s="75">
        <v>2.6066622560821447E-6</v>
      </c>
      <c r="O15" s="89">
        <f t="shared" si="4"/>
        <v>2.6066622560821447E-6</v>
      </c>
      <c r="P15" s="48">
        <v>40329</v>
      </c>
      <c r="Q15" s="1">
        <v>6.2104077545281245E-5</v>
      </c>
      <c r="R15" s="100">
        <v>1106</v>
      </c>
      <c r="S15" s="100">
        <f t="shared" si="13"/>
        <v>0.66325879516357833</v>
      </c>
      <c r="T15" s="101">
        <f t="shared" si="8"/>
        <v>1105.3367412048365</v>
      </c>
      <c r="AA15" s="93">
        <f t="shared" si="14"/>
        <v>37772</v>
      </c>
      <c r="AB15" s="92">
        <f>Logistic2010!Q15</f>
        <v>2.542062975332477E-4</v>
      </c>
      <c r="AC15" s="4">
        <f t="shared" si="9"/>
        <v>6.2104077545281245E-5</v>
      </c>
      <c r="AD15" s="92">
        <f>Logistic2011!Q15</f>
        <v>3.5888786587624556E-5</v>
      </c>
      <c r="AE15" s="92">
        <f>Logistic2012!Q15</f>
        <v>6.2104077545281245E-5</v>
      </c>
      <c r="AF15" s="92">
        <f t="shared" si="15"/>
        <v>5.4063505283763783E-4</v>
      </c>
      <c r="AH15" s="4">
        <v>0</v>
      </c>
      <c r="AJ15" s="115">
        <v>5.0000000000000001E-3</v>
      </c>
      <c r="AK15" s="115">
        <v>3.5999999999999997E-2</v>
      </c>
      <c r="AL15" s="110"/>
      <c r="AM15" t="s">
        <v>29</v>
      </c>
      <c r="AN15"/>
      <c r="AO15"/>
      <c r="AP15"/>
      <c r="AQ15"/>
      <c r="AR15"/>
      <c r="AS15"/>
    </row>
    <row r="16" spans="1:45" x14ac:dyDescent="0.25">
      <c r="A16" s="39"/>
      <c r="B16" s="49"/>
      <c r="C16" s="79"/>
      <c r="D16" s="86"/>
      <c r="E16" s="81"/>
      <c r="F16" s="50"/>
      <c r="G16" s="16"/>
      <c r="H16" s="51"/>
      <c r="J16" s="105">
        <f t="shared" si="6"/>
        <v>37773</v>
      </c>
      <c r="K16" s="109">
        <v>8.5</v>
      </c>
      <c r="L16" s="90">
        <f t="shared" si="3"/>
        <v>6.5874794022489089E-4</v>
      </c>
      <c r="M16" s="46">
        <f t="shared" si="7"/>
        <v>3.7146810897353246E-6</v>
      </c>
      <c r="N16" s="75">
        <v>3.7146810897353246E-6</v>
      </c>
      <c r="O16" s="89">
        <f t="shared" si="4"/>
        <v>3.7146810897353246E-6</v>
      </c>
      <c r="P16" s="48">
        <v>40330</v>
      </c>
      <c r="Q16" s="1">
        <v>8.271689671114933E-5</v>
      </c>
      <c r="R16" s="100">
        <v>3668</v>
      </c>
      <c r="S16" s="100">
        <f t="shared" si="13"/>
        <v>2.6801933744754889</v>
      </c>
      <c r="T16" s="101">
        <f t="shared" si="8"/>
        <v>3665.3198066255245</v>
      </c>
      <c r="AA16" s="93">
        <f t="shared" si="14"/>
        <v>37773</v>
      </c>
      <c r="AB16" s="92">
        <f>Logistic2010!Q16</f>
        <v>3.1042942936064727E-4</v>
      </c>
      <c r="AC16" s="4">
        <f t="shared" si="9"/>
        <v>8.271689671114933E-5</v>
      </c>
      <c r="AD16" s="92">
        <f>Logistic2011!Q16</f>
        <v>4.6160789501698919E-5</v>
      </c>
      <c r="AE16" s="92">
        <f>Logistic2012!Q16</f>
        <v>8.271689671114933E-5</v>
      </c>
      <c r="AF16" s="92">
        <f t="shared" si="15"/>
        <v>6.5874794022489089E-4</v>
      </c>
      <c r="AH16" s="114">
        <v>2.4E-2</v>
      </c>
      <c r="AJ16" s="114">
        <v>7.5999999999999998E-2</v>
      </c>
      <c r="AK16" s="114">
        <v>7.0000000000000001E-3</v>
      </c>
      <c r="AL16" s="110"/>
      <c r="AM16" s="112" t="s">
        <v>30</v>
      </c>
      <c r="AN16" s="112" t="s">
        <v>31</v>
      </c>
      <c r="AO16" s="112" t="s">
        <v>32</v>
      </c>
      <c r="AP16" s="112" t="s">
        <v>33</v>
      </c>
      <c r="AQ16" s="112" t="s">
        <v>34</v>
      </c>
      <c r="AR16"/>
      <c r="AS16"/>
    </row>
    <row r="17" spans="1:45" x14ac:dyDescent="0.25">
      <c r="A17" s="39"/>
      <c r="B17" s="49"/>
      <c r="C17" s="79"/>
      <c r="D17" s="86" t="str">
        <f t="shared" si="5"/>
        <v/>
      </c>
      <c r="E17" s="81"/>
      <c r="F17" s="50" t="str">
        <f t="shared" si="0"/>
        <v/>
      </c>
      <c r="G17" s="16" t="str">
        <f t="shared" si="1"/>
        <v/>
      </c>
      <c r="H17" s="51" t="str">
        <f t="shared" si="2"/>
        <v/>
      </c>
      <c r="J17" s="105">
        <f t="shared" si="6"/>
        <v>37774</v>
      </c>
      <c r="K17" s="109">
        <v>9.5</v>
      </c>
      <c r="L17" s="90">
        <f t="shared" si="3"/>
        <v>8.0264430321866907E-4</v>
      </c>
      <c r="M17" s="46">
        <f t="shared" si="7"/>
        <v>5.2936850821911276E-6</v>
      </c>
      <c r="N17" s="75">
        <v>5.2936850821911276E-6</v>
      </c>
      <c r="O17" s="89">
        <f t="shared" si="4"/>
        <v>5.2936850821911276E-6</v>
      </c>
      <c r="P17" s="48">
        <v>40331</v>
      </c>
      <c r="Q17" s="1">
        <v>1.1017051470513796E-4</v>
      </c>
      <c r="R17" s="100">
        <v>2939</v>
      </c>
      <c r="S17" s="100">
        <f t="shared" si="13"/>
        <v>2.6165723233256792</v>
      </c>
      <c r="T17" s="101">
        <f t="shared" si="8"/>
        <v>2936.3834276766743</v>
      </c>
      <c r="AA17" s="93">
        <f t="shared" si="14"/>
        <v>37774</v>
      </c>
      <c r="AB17" s="92">
        <f>Logistic2010!Q17</f>
        <v>3.7908278806435145E-4</v>
      </c>
      <c r="AC17" s="4">
        <f t="shared" si="9"/>
        <v>1.1017051470513796E-4</v>
      </c>
      <c r="AD17" s="92">
        <f>Logistic2011!Q17</f>
        <v>5.9372646030949961E-5</v>
      </c>
      <c r="AE17" s="92">
        <f>Logistic2012!Q17</f>
        <v>1.1017051470513796E-4</v>
      </c>
      <c r="AF17" s="92">
        <f t="shared" si="15"/>
        <v>8.0264430321866907E-4</v>
      </c>
      <c r="AH17" s="4">
        <v>0.16800000000000001</v>
      </c>
      <c r="AJ17" s="113">
        <v>0.17699999999999999</v>
      </c>
      <c r="AK17" s="110">
        <v>0.35599999999999998</v>
      </c>
      <c r="AL17" s="110"/>
      <c r="AM17" s="110">
        <v>2010</v>
      </c>
      <c r="AN17" s="110">
        <v>11</v>
      </c>
      <c r="AO17" s="110">
        <v>4.5669999999999993</v>
      </c>
      <c r="AP17" s="110">
        <v>0.4151818181818181</v>
      </c>
      <c r="AQ17" s="110">
        <v>0.13328476363636368</v>
      </c>
      <c r="AR17"/>
      <c r="AS17"/>
    </row>
    <row r="18" spans="1:45" x14ac:dyDescent="0.25">
      <c r="A18" s="39"/>
      <c r="B18" s="49"/>
      <c r="C18" s="79"/>
      <c r="D18" s="86" t="str">
        <f t="shared" si="5"/>
        <v/>
      </c>
      <c r="E18" s="81"/>
      <c r="F18" s="50" t="str">
        <f t="shared" si="0"/>
        <v/>
      </c>
      <c r="G18" s="16" t="str">
        <f t="shared" si="1"/>
        <v/>
      </c>
      <c r="H18" s="51" t="str">
        <f t="shared" si="2"/>
        <v/>
      </c>
      <c r="J18" s="105">
        <f t="shared" si="6"/>
        <v>37775</v>
      </c>
      <c r="K18" s="109">
        <v>10.5</v>
      </c>
      <c r="L18" s="90">
        <f t="shared" si="3"/>
        <v>9.7794251088522961E-4</v>
      </c>
      <c r="M18" s="46">
        <f t="shared" si="7"/>
        <v>7.543873151853996E-6</v>
      </c>
      <c r="N18" s="75">
        <v>7.543873151853996E-6</v>
      </c>
      <c r="O18" s="89">
        <f t="shared" si="4"/>
        <v>7.543873151853996E-6</v>
      </c>
      <c r="P18" s="48">
        <v>40332</v>
      </c>
      <c r="Q18" s="1">
        <v>1.4673461154601208E-4</v>
      </c>
      <c r="R18" s="100">
        <v>2148</v>
      </c>
      <c r="S18" s="100">
        <f t="shared" si="13"/>
        <v>2.329960147654869</v>
      </c>
      <c r="T18" s="101">
        <f t="shared" si="8"/>
        <v>2145.6700398523453</v>
      </c>
      <c r="AA18" s="93">
        <f t="shared" si="14"/>
        <v>37775</v>
      </c>
      <c r="AB18" s="92">
        <f>Logistic2010!Q18</f>
        <v>4.6291222449000769E-4</v>
      </c>
      <c r="AC18" s="4">
        <f t="shared" si="9"/>
        <v>1.4673461154601208E-4</v>
      </c>
      <c r="AD18" s="92">
        <f>Logistic2011!Q18</f>
        <v>7.6365629883993208E-5</v>
      </c>
      <c r="AE18" s="92">
        <f>Logistic2012!Q18</f>
        <v>1.4673461154601208E-4</v>
      </c>
      <c r="AF18" s="92">
        <f t="shared" si="15"/>
        <v>9.7794251088522961E-4</v>
      </c>
      <c r="AH18" s="113">
        <v>4.7E-2</v>
      </c>
      <c r="AJ18" s="113">
        <v>0.21199999999999999</v>
      </c>
      <c r="AK18" s="115">
        <v>0.51500000000000001</v>
      </c>
      <c r="AL18" s="113"/>
      <c r="AM18" s="110">
        <v>2011</v>
      </c>
      <c r="AN18" s="110">
        <v>11</v>
      </c>
      <c r="AO18" s="110">
        <v>3.9729999999999994</v>
      </c>
      <c r="AP18" s="110">
        <v>0.3611818181818181</v>
      </c>
      <c r="AQ18" s="110">
        <v>0.13927216363636366</v>
      </c>
      <c r="AR18"/>
      <c r="AS18"/>
    </row>
    <row r="19" spans="1:45" ht="16.5" thickBot="1" x14ac:dyDescent="0.3">
      <c r="A19" s="39"/>
      <c r="B19" s="49"/>
      <c r="C19" s="79"/>
      <c r="D19" s="86" t="str">
        <f t="shared" si="5"/>
        <v/>
      </c>
      <c r="E19" s="81"/>
      <c r="F19" s="50" t="str">
        <f t="shared" si="0"/>
        <v/>
      </c>
      <c r="G19" s="16" t="str">
        <f t="shared" si="1"/>
        <v/>
      </c>
      <c r="H19" s="51" t="str">
        <f t="shared" si="2"/>
        <v/>
      </c>
      <c r="J19" s="105">
        <f t="shared" si="6"/>
        <v>37776</v>
      </c>
      <c r="K19" s="109">
        <v>11.5</v>
      </c>
      <c r="L19" s="90">
        <f t="shared" si="3"/>
        <v>1.19148034540422E-3</v>
      </c>
      <c r="M19" s="46">
        <f t="shared" si="7"/>
        <v>1.0750538956072072E-5</v>
      </c>
      <c r="N19" s="75">
        <v>1.0750538956072072E-5</v>
      </c>
      <c r="O19" s="89">
        <f t="shared" si="4"/>
        <v>1.0750538956072072E-5</v>
      </c>
      <c r="P19" s="48">
        <v>40333</v>
      </c>
      <c r="Q19" s="1">
        <v>1.9543146345089269E-4</v>
      </c>
      <c r="R19" s="100">
        <v>5309</v>
      </c>
      <c r="S19" s="100">
        <f t="shared" si="13"/>
        <v>7.0159965457099904</v>
      </c>
      <c r="T19" s="101">
        <f t="shared" si="8"/>
        <v>5301.9840034542904</v>
      </c>
      <c r="AA19" s="93">
        <f t="shared" si="14"/>
        <v>37776</v>
      </c>
      <c r="AB19" s="92">
        <f>Logistic2010!Q19</f>
        <v>5.6526901369757224E-4</v>
      </c>
      <c r="AC19" s="4">
        <f t="shared" si="9"/>
        <v>1.9543146345089269E-4</v>
      </c>
      <c r="AD19" s="92">
        <f>Logistic2011!Q19</f>
        <v>9.8221680405067934E-5</v>
      </c>
      <c r="AE19" s="92">
        <f>Logistic2012!Q19</f>
        <v>1.9543146345089269E-4</v>
      </c>
      <c r="AF19" s="92">
        <f t="shared" si="15"/>
        <v>1.19148034540422E-3</v>
      </c>
      <c r="AH19" s="110">
        <v>0.215</v>
      </c>
      <c r="AJ19" s="115">
        <v>0.216</v>
      </c>
      <c r="AK19" s="110">
        <v>0.90100000000000002</v>
      </c>
      <c r="AL19" s="113"/>
      <c r="AM19" s="111">
        <v>2012</v>
      </c>
      <c r="AN19" s="111">
        <v>11</v>
      </c>
      <c r="AO19" s="111">
        <v>6.5350000000000001</v>
      </c>
      <c r="AP19" s="111">
        <v>0.59409090909090911</v>
      </c>
      <c r="AQ19" s="111">
        <v>0.17708689090909088</v>
      </c>
      <c r="AR19"/>
      <c r="AS19"/>
    </row>
    <row r="20" spans="1:45" x14ac:dyDescent="0.25">
      <c r="A20" s="39"/>
      <c r="B20" s="49"/>
      <c r="C20" s="79"/>
      <c r="D20" s="86" t="str">
        <f t="shared" si="5"/>
        <v/>
      </c>
      <c r="E20" s="81"/>
      <c r="F20" s="50" t="str">
        <f t="shared" si="0"/>
        <v/>
      </c>
      <c r="G20" s="16" t="str">
        <f t="shared" si="1"/>
        <v/>
      </c>
      <c r="H20" s="51" t="str">
        <f t="shared" si="2"/>
        <v/>
      </c>
      <c r="J20" s="105">
        <f t="shared" si="6"/>
        <v>37777</v>
      </c>
      <c r="K20" s="109">
        <v>12.5</v>
      </c>
      <c r="L20" s="90">
        <f t="shared" si="3"/>
        <v>1.4515773097888444E-3</v>
      </c>
      <c r="M20" s="46">
        <f t="shared" si="7"/>
        <v>1.5320237759159121E-5</v>
      </c>
      <c r="N20" s="75">
        <v>1.5320237759159121E-5</v>
      </c>
      <c r="O20" s="89">
        <f t="shared" si="4"/>
        <v>1.5320237759159121E-5</v>
      </c>
      <c r="P20" s="48">
        <v>40334</v>
      </c>
      <c r="Q20" s="1">
        <v>2.6028514457293443E-4</v>
      </c>
      <c r="R20" s="100">
        <v>3853</v>
      </c>
      <c r="S20" s="100">
        <f t="shared" si="13"/>
        <v>6.2031942390018937</v>
      </c>
      <c r="T20" s="101">
        <f t="shared" si="8"/>
        <v>3846.7968057609983</v>
      </c>
      <c r="U20" s="40">
        <v>40712</v>
      </c>
      <c r="V20" s="92">
        <v>3.5999999999999997E-2</v>
      </c>
      <c r="AA20" s="93">
        <f t="shared" si="14"/>
        <v>37777</v>
      </c>
      <c r="AB20" s="92">
        <f>Logistic2010!Q20</f>
        <v>6.9024278465830858E-4</v>
      </c>
      <c r="AC20" s="4">
        <f t="shared" si="9"/>
        <v>2.6028514457293443E-4</v>
      </c>
      <c r="AD20" s="92">
        <f>Logistic2011!Q20</f>
        <v>1.2633220159905076E-4</v>
      </c>
      <c r="AE20" s="92">
        <f>Logistic2012!Q20</f>
        <v>2.6028514457293443E-4</v>
      </c>
      <c r="AF20" s="92">
        <f t="shared" si="15"/>
        <v>1.4515773097888444E-3</v>
      </c>
      <c r="AH20" s="114">
        <v>0.28100000000000003</v>
      </c>
      <c r="AJ20" s="110">
        <v>0.48099999999999998</v>
      </c>
      <c r="AK20" s="113">
        <v>0.77500000000000002</v>
      </c>
      <c r="AL20" s="113"/>
      <c r="AM20"/>
      <c r="AN20"/>
      <c r="AO20"/>
      <c r="AP20"/>
      <c r="AQ20"/>
      <c r="AR20"/>
      <c r="AS20"/>
    </row>
    <row r="21" spans="1:45" x14ac:dyDescent="0.25">
      <c r="A21" s="39"/>
      <c r="B21" s="49"/>
      <c r="C21" s="79"/>
      <c r="D21" s="86" t="str">
        <f t="shared" si="5"/>
        <v/>
      </c>
      <c r="E21" s="81"/>
      <c r="F21" s="50" t="str">
        <f t="shared" si="0"/>
        <v/>
      </c>
      <c r="G21" s="16" t="str">
        <f t="shared" si="1"/>
        <v/>
      </c>
      <c r="H21" s="51" t="str">
        <f t="shared" si="2"/>
        <v/>
      </c>
      <c r="I21" s="9"/>
      <c r="J21" s="105">
        <f t="shared" si="6"/>
        <v>37778</v>
      </c>
      <c r="K21" s="109">
        <v>13.5</v>
      </c>
      <c r="L21" s="90">
        <f t="shared" si="3"/>
        <v>1.7683522199292421E-3</v>
      </c>
      <c r="M21" s="46">
        <f t="shared" si="7"/>
        <v>2.1832322085948411E-5</v>
      </c>
      <c r="N21" s="75">
        <v>2.1832322085948411E-5</v>
      </c>
      <c r="O21" s="89">
        <f t="shared" si="4"/>
        <v>2.1832322085948411E-5</v>
      </c>
      <c r="P21" s="48">
        <v>40335</v>
      </c>
      <c r="Q21" s="1">
        <v>3.4665297481631412E-4</v>
      </c>
      <c r="R21" s="100">
        <v>10476</v>
      </c>
      <c r="S21" s="100">
        <f t="shared" si="13"/>
        <v>20.545842327388801</v>
      </c>
      <c r="T21" s="101">
        <f t="shared" si="8"/>
        <v>10455.454157672611</v>
      </c>
      <c r="U21" s="49">
        <v>40713</v>
      </c>
      <c r="V21" s="92"/>
      <c r="AA21" s="93">
        <f t="shared" si="14"/>
        <v>37778</v>
      </c>
      <c r="AB21" s="92">
        <f>Logistic2010!Q21</f>
        <v>8.428233623178356E-4</v>
      </c>
      <c r="AC21" s="4">
        <f t="shared" si="9"/>
        <v>3.4665297481631412E-4</v>
      </c>
      <c r="AD21" s="92">
        <f>Logistic2011!Q21</f>
        <v>1.624864967222617E-4</v>
      </c>
      <c r="AE21" s="92">
        <f>Logistic2012!Q21</f>
        <v>3.4665297481631412E-4</v>
      </c>
      <c r="AF21" s="92">
        <f t="shared" si="15"/>
        <v>1.7683522199292421E-3</v>
      </c>
      <c r="AH21" s="113">
        <v>0.70299999999999996</v>
      </c>
      <c r="AJ21" s="113">
        <v>0.77300000000000002</v>
      </c>
      <c r="AK21" s="115">
        <v>0.93</v>
      </c>
      <c r="AL21" s="115"/>
      <c r="AM21"/>
      <c r="AN21"/>
      <c r="AO21"/>
      <c r="AP21"/>
      <c r="AQ21"/>
      <c r="AR21"/>
      <c r="AS21"/>
    </row>
    <row r="22" spans="1:45" ht="16.5" thickBot="1" x14ac:dyDescent="0.3">
      <c r="A22" s="39"/>
      <c r="B22" s="49"/>
      <c r="C22" s="79"/>
      <c r="D22" s="86" t="str">
        <f t="shared" si="5"/>
        <v/>
      </c>
      <c r="E22" s="81"/>
      <c r="F22" s="50" t="str">
        <f t="shared" si="0"/>
        <v/>
      </c>
      <c r="G22" s="16" t="str">
        <f t="shared" si="1"/>
        <v/>
      </c>
      <c r="H22" s="51" t="str">
        <f t="shared" si="2"/>
        <v/>
      </c>
      <c r="I22" s="53"/>
      <c r="J22" s="105">
        <f t="shared" si="6"/>
        <v>37779</v>
      </c>
      <c r="K22" s="109">
        <v>14.5</v>
      </c>
      <c r="L22" s="90">
        <f t="shared" si="3"/>
        <v>2.1541071781976768E-3</v>
      </c>
      <c r="M22" s="46">
        <f t="shared" si="7"/>
        <v>3.1112374086324488E-5</v>
      </c>
      <c r="N22" s="75">
        <v>3.1112374086324488E-5</v>
      </c>
      <c r="O22" s="89">
        <f t="shared" si="4"/>
        <v>3.1112374086324488E-5</v>
      </c>
      <c r="P22" s="48">
        <v>40336</v>
      </c>
      <c r="Q22" s="1">
        <v>4.6166614885428784E-4</v>
      </c>
      <c r="R22" s="100">
        <v>15768</v>
      </c>
      <c r="S22" s="100">
        <f t="shared" si="13"/>
        <v>37.668949084687519</v>
      </c>
      <c r="T22" s="101">
        <f t="shared" si="8"/>
        <v>15730.331050915313</v>
      </c>
      <c r="U22" s="49">
        <v>40714</v>
      </c>
      <c r="V22" s="92"/>
      <c r="AA22" s="93">
        <f t="shared" si="14"/>
        <v>37779</v>
      </c>
      <c r="AB22" s="92">
        <f>Logistic2010!Q22</f>
        <v>1.0290976755680944E-3</v>
      </c>
      <c r="AC22" s="4">
        <f t="shared" si="9"/>
        <v>4.6166614885428784E-4</v>
      </c>
      <c r="AD22" s="92">
        <f>Logistic2011!Q22</f>
        <v>2.0898542158394941E-4</v>
      </c>
      <c r="AE22" s="92">
        <f>Logistic2012!Q22</f>
        <v>4.6166614885428784E-4</v>
      </c>
      <c r="AF22" s="92">
        <f t="shared" si="15"/>
        <v>2.1541071781976768E-3</v>
      </c>
      <c r="AH22" s="110">
        <v>0.69199999999999995</v>
      </c>
      <c r="AJ22" s="110">
        <v>0.70699999999999996</v>
      </c>
      <c r="AK22" s="113">
        <v>0.997</v>
      </c>
      <c r="AL22" s="110"/>
      <c r="AM22" t="s">
        <v>35</v>
      </c>
      <c r="AN22"/>
      <c r="AO22"/>
      <c r="AP22"/>
      <c r="AQ22"/>
      <c r="AR22"/>
      <c r="AS22"/>
    </row>
    <row r="23" spans="1:45" x14ac:dyDescent="0.25">
      <c r="A23" s="39"/>
      <c r="B23" s="49"/>
      <c r="C23" s="79"/>
      <c r="D23" s="86" t="str">
        <f t="shared" si="5"/>
        <v/>
      </c>
      <c r="E23" s="81"/>
      <c r="F23" s="50" t="str">
        <f t="shared" si="0"/>
        <v/>
      </c>
      <c r="G23" s="16" t="str">
        <f t="shared" si="1"/>
        <v/>
      </c>
      <c r="H23" s="51" t="str">
        <f t="shared" si="2"/>
        <v/>
      </c>
      <c r="I23" s="53"/>
      <c r="J23" s="105">
        <f t="shared" si="6"/>
        <v>37780</v>
      </c>
      <c r="K23" s="109">
        <v>15.5</v>
      </c>
      <c r="L23" s="90">
        <f t="shared" si="3"/>
        <v>2.6237909806921655E-3</v>
      </c>
      <c r="M23" s="46">
        <f t="shared" si="7"/>
        <v>4.4336832295415093E-5</v>
      </c>
      <c r="N23" s="75">
        <v>4.4336832295415093E-5</v>
      </c>
      <c r="O23" s="89">
        <f t="shared" si="4"/>
        <v>4.4336832295415093E-5</v>
      </c>
      <c r="P23" s="48">
        <v>40337</v>
      </c>
      <c r="Q23" s="1">
        <v>6.1481514040778599E-4</v>
      </c>
      <c r="R23" s="100">
        <v>13548</v>
      </c>
      <c r="S23" s="100">
        <f t="shared" si="13"/>
        <v>39.420264376601793</v>
      </c>
      <c r="T23" s="101">
        <f t="shared" si="8"/>
        <v>13508.579735623398</v>
      </c>
      <c r="U23" s="49">
        <v>40715</v>
      </c>
      <c r="V23" s="92"/>
      <c r="AA23" s="93">
        <f t="shared" si="14"/>
        <v>37780</v>
      </c>
      <c r="AB23" s="92">
        <f>Logistic2010!Q23</f>
        <v>1.2564891276397731E-3</v>
      </c>
      <c r="AC23" s="4">
        <f t="shared" si="9"/>
        <v>6.1481514040778599E-4</v>
      </c>
      <c r="AD23" s="92">
        <f>Logistic2011!Q23</f>
        <v>2.6878741349269233E-4</v>
      </c>
      <c r="AE23" s="92">
        <f>Logistic2012!Q23</f>
        <v>6.1481514040778599E-4</v>
      </c>
      <c r="AF23" s="92">
        <f t="shared" si="15"/>
        <v>2.6237909806921655E-3</v>
      </c>
      <c r="AH23" s="110">
        <v>0.877</v>
      </c>
      <c r="AJ23" s="115">
        <v>0.89200000000000002</v>
      </c>
      <c r="AK23" s="110">
        <v>0.99399999999999999</v>
      </c>
      <c r="AL23" s="110"/>
      <c r="AM23" s="112" t="s">
        <v>36</v>
      </c>
      <c r="AN23" s="112" t="s">
        <v>37</v>
      </c>
      <c r="AO23" s="112" t="s">
        <v>38</v>
      </c>
      <c r="AP23" s="112" t="s">
        <v>39</v>
      </c>
      <c r="AQ23" s="112" t="s">
        <v>40</v>
      </c>
      <c r="AR23" s="112" t="s">
        <v>41</v>
      </c>
      <c r="AS23" s="112" t="s">
        <v>42</v>
      </c>
    </row>
    <row r="24" spans="1:45" x14ac:dyDescent="0.25">
      <c r="A24" s="39"/>
      <c r="B24" s="49"/>
      <c r="C24" s="79"/>
      <c r="D24" s="86" t="str">
        <f t="shared" si="5"/>
        <v/>
      </c>
      <c r="E24" s="81"/>
      <c r="F24" s="50" t="str">
        <f t="shared" si="0"/>
        <v/>
      </c>
      <c r="G24" s="16" t="str">
        <f t="shared" si="1"/>
        <v/>
      </c>
      <c r="H24" s="51" t="str">
        <f t="shared" si="2"/>
        <v/>
      </c>
      <c r="I24" s="53"/>
      <c r="J24" s="105">
        <f t="shared" si="6"/>
        <v>37781</v>
      </c>
      <c r="K24" s="109">
        <v>16.5</v>
      </c>
      <c r="L24" s="90">
        <f t="shared" si="3"/>
        <v>3.1955571705628975E-3</v>
      </c>
      <c r="M24" s="46">
        <f t="shared" si="7"/>
        <v>6.3182052340935858E-5</v>
      </c>
      <c r="N24" s="75">
        <v>6.3182052340935858E-5</v>
      </c>
      <c r="O24" s="89">
        <f t="shared" si="4"/>
        <v>6.3182052340935858E-5</v>
      </c>
      <c r="P24" s="48">
        <v>40338</v>
      </c>
      <c r="Q24" s="1">
        <v>8.1872679212602632E-4</v>
      </c>
      <c r="R24" s="100">
        <v>8722</v>
      </c>
      <c r="S24" s="100">
        <f t="shared" si="13"/>
        <v>30.906369621916358</v>
      </c>
      <c r="T24" s="101">
        <f t="shared" si="8"/>
        <v>8691.0936303780836</v>
      </c>
      <c r="U24" s="49">
        <v>40716</v>
      </c>
      <c r="V24" s="92"/>
      <c r="AA24" s="93">
        <f t="shared" si="14"/>
        <v>37781</v>
      </c>
      <c r="AB24" s="92">
        <f>Logistic2010!Q24</f>
        <v>1.5340482859932569E-3</v>
      </c>
      <c r="AC24" s="4">
        <f t="shared" si="9"/>
        <v>8.1872679212602632E-4</v>
      </c>
      <c r="AD24" s="92">
        <f>Logistic2011!Q24</f>
        <v>3.4569606119318159E-4</v>
      </c>
      <c r="AE24" s="92">
        <f>Logistic2012!Q24</f>
        <v>8.1872679212602632E-4</v>
      </c>
      <c r="AF24" s="92">
        <f t="shared" si="15"/>
        <v>3.1955571705628975E-3</v>
      </c>
      <c r="AH24" s="113">
        <v>0.96399999999999997</v>
      </c>
      <c r="AJ24" s="113">
        <v>0.98699999999999999</v>
      </c>
      <c r="AK24" s="110">
        <v>1</v>
      </c>
      <c r="AL24" s="110"/>
      <c r="AM24" s="110" t="s">
        <v>43</v>
      </c>
      <c r="AN24" s="110">
        <v>0.32696072727272707</v>
      </c>
      <c r="AO24" s="110">
        <v>2</v>
      </c>
      <c r="AP24" s="110">
        <v>0.16348036363636353</v>
      </c>
      <c r="AQ24" s="110">
        <v>1.0907324221474686</v>
      </c>
      <c r="AR24" s="110">
        <v>0.34892468287406753</v>
      </c>
      <c r="AS24" s="110">
        <v>3.3158295010646679</v>
      </c>
    </row>
    <row r="25" spans="1:45" x14ac:dyDescent="0.25">
      <c r="A25" s="39"/>
      <c r="B25" s="49"/>
      <c r="C25" s="79"/>
      <c r="D25" s="86" t="str">
        <f t="shared" si="5"/>
        <v/>
      </c>
      <c r="E25" s="81"/>
      <c r="F25" s="50" t="str">
        <f t="shared" si="0"/>
        <v/>
      </c>
      <c r="G25" s="16" t="str">
        <f t="shared" si="1"/>
        <v/>
      </c>
      <c r="H25" s="51" t="str">
        <f t="shared" si="2"/>
        <v/>
      </c>
      <c r="I25" s="54"/>
      <c r="J25" s="105">
        <f t="shared" si="6"/>
        <v>37782</v>
      </c>
      <c r="K25" s="109">
        <v>17.5</v>
      </c>
      <c r="L25" s="90">
        <f t="shared" si="3"/>
        <v>3.8914342584479623E-3</v>
      </c>
      <c r="M25" s="46">
        <f t="shared" si="7"/>
        <v>9.003664795384782E-5</v>
      </c>
      <c r="N25" s="75">
        <v>9.003664795384782E-5</v>
      </c>
      <c r="O25" s="89">
        <f t="shared" si="4"/>
        <v>9.003664795384782E-5</v>
      </c>
      <c r="P25" s="48">
        <v>40339</v>
      </c>
      <c r="Q25" s="1">
        <v>1.0901946909765959E-3</v>
      </c>
      <c r="R25" s="100">
        <v>10831</v>
      </c>
      <c r="S25" s="100">
        <f t="shared" si="13"/>
        <v>46.733394262394157</v>
      </c>
      <c r="T25" s="101">
        <f t="shared" si="8"/>
        <v>10784.266605737606</v>
      </c>
      <c r="U25" s="49">
        <v>40717</v>
      </c>
      <c r="V25" s="92"/>
      <c r="AA25" s="93">
        <f t="shared" si="14"/>
        <v>37782</v>
      </c>
      <c r="AB25" s="92">
        <f>Logistic2010!Q25</f>
        <v>1.8728054475450151E-3</v>
      </c>
      <c r="AC25" s="4">
        <f t="shared" si="9"/>
        <v>1.0901946909765959E-3</v>
      </c>
      <c r="AD25" s="92">
        <f>Logistic2011!Q25</f>
        <v>4.4460093825327419E-4</v>
      </c>
      <c r="AE25" s="92">
        <f>Logistic2012!Q25</f>
        <v>1.0901946909765959E-3</v>
      </c>
      <c r="AF25" s="92">
        <f t="shared" si="15"/>
        <v>3.8914342584479623E-3</v>
      </c>
      <c r="AI25" s="110"/>
      <c r="AK25" s="110"/>
      <c r="AL25" s="110"/>
      <c r="AM25" s="110" t="s">
        <v>44</v>
      </c>
      <c r="AN25" s="110">
        <v>4.4964381818181822</v>
      </c>
      <c r="AO25" s="110">
        <v>30</v>
      </c>
      <c r="AP25" s="110">
        <v>0.14988127272727275</v>
      </c>
      <c r="AQ25" s="110"/>
      <c r="AR25" s="110"/>
      <c r="AS25" s="110"/>
    </row>
    <row r="26" spans="1:45" x14ac:dyDescent="0.25">
      <c r="A26" s="39"/>
      <c r="B26" s="49"/>
      <c r="C26" s="79"/>
      <c r="D26" s="86" t="str">
        <f t="shared" si="5"/>
        <v/>
      </c>
      <c r="E26" s="81"/>
      <c r="F26" s="50" t="str">
        <f t="shared" si="0"/>
        <v/>
      </c>
      <c r="G26" s="16" t="str">
        <f t="shared" si="1"/>
        <v/>
      </c>
      <c r="H26" s="51" t="str">
        <f t="shared" si="2"/>
        <v/>
      </c>
      <c r="I26" s="54"/>
      <c r="J26" s="105">
        <f t="shared" si="6"/>
        <v>37783</v>
      </c>
      <c r="K26" s="109">
        <v>18.5</v>
      </c>
      <c r="L26" s="90">
        <f t="shared" si="3"/>
        <v>4.7381279726284222E-3</v>
      </c>
      <c r="M26" s="46">
        <f t="shared" si="7"/>
        <v>1.2830392713932698E-4</v>
      </c>
      <c r="N26" s="75">
        <v>1.2830392713932698E-4</v>
      </c>
      <c r="O26" s="89">
        <f t="shared" si="4"/>
        <v>1.2830392713932698E-4</v>
      </c>
      <c r="P26" s="48">
        <v>40340</v>
      </c>
      <c r="Q26" s="1">
        <v>1.4515433191966043E-3</v>
      </c>
      <c r="R26" s="100">
        <v>10194</v>
      </c>
      <c r="S26" s="100">
        <f t="shared" si="13"/>
        <v>53.54961995905358</v>
      </c>
      <c r="T26" s="101">
        <f t="shared" si="8"/>
        <v>10140.450380040946</v>
      </c>
      <c r="U26" s="49">
        <v>40718</v>
      </c>
      <c r="V26" s="92"/>
      <c r="AA26" s="93">
        <f t="shared" si="14"/>
        <v>37783</v>
      </c>
      <c r="AB26" s="92">
        <f>Logistic2010!Q26</f>
        <v>2.2861975841660187E-3</v>
      </c>
      <c r="AC26" s="4">
        <f t="shared" si="9"/>
        <v>1.4515433191966043E-3</v>
      </c>
      <c r="AD26" s="92">
        <f>Logistic2011!Q26</f>
        <v>5.7178666821399956E-4</v>
      </c>
      <c r="AE26" s="92">
        <f>Logistic2012!Q26</f>
        <v>1.4515433191966043E-3</v>
      </c>
      <c r="AF26" s="92">
        <f t="shared" si="15"/>
        <v>4.7381279726284222E-3</v>
      </c>
      <c r="AH26" s="114"/>
      <c r="AI26" s="114"/>
      <c r="AJ26" s="114"/>
      <c r="AK26" s="114"/>
      <c r="AL26" s="114"/>
      <c r="AM26" s="110"/>
      <c r="AN26" s="110"/>
      <c r="AO26" s="110"/>
      <c r="AP26" s="110"/>
      <c r="AQ26" s="110"/>
      <c r="AR26" s="110"/>
      <c r="AS26" s="110"/>
    </row>
    <row r="27" spans="1:45" ht="16.5" thickBot="1" x14ac:dyDescent="0.3">
      <c r="B27" s="49"/>
      <c r="C27" s="79"/>
      <c r="D27" s="86" t="str">
        <f t="shared" si="5"/>
        <v/>
      </c>
      <c r="E27" s="81"/>
      <c r="F27" s="50" t="str">
        <f t="shared" si="0"/>
        <v/>
      </c>
      <c r="G27" s="16" t="str">
        <f t="shared" si="1"/>
        <v/>
      </c>
      <c r="H27" s="51" t="str">
        <f t="shared" si="2"/>
        <v/>
      </c>
      <c r="I27" s="54"/>
      <c r="J27" s="105">
        <f t="shared" si="6"/>
        <v>37784</v>
      </c>
      <c r="K27" s="109">
        <v>19.5</v>
      </c>
      <c r="L27" s="90">
        <f t="shared" si="3"/>
        <v>5.7679775716238009E-3</v>
      </c>
      <c r="M27" s="46">
        <f t="shared" si="7"/>
        <v>1.8283255021357849E-4</v>
      </c>
      <c r="N27" s="75">
        <v>1.8283255021357849E-4</v>
      </c>
      <c r="O27" s="89">
        <f t="shared" si="4"/>
        <v>1.8283255021357849E-4</v>
      </c>
      <c r="P27" s="48">
        <v>40341</v>
      </c>
      <c r="Q27" s="1">
        <v>1.9324304426046567E-3</v>
      </c>
      <c r="R27" s="100">
        <v>4837</v>
      </c>
      <c r="S27" s="100">
        <f t="shared" si="13"/>
        <v>30.927941209356678</v>
      </c>
      <c r="T27" s="101">
        <f t="shared" si="8"/>
        <v>4806.0720587906435</v>
      </c>
      <c r="U27" s="49">
        <v>40719</v>
      </c>
      <c r="V27" s="92">
        <v>7.0000000000000001E-3</v>
      </c>
      <c r="AA27" s="93">
        <f t="shared" si="14"/>
        <v>37784</v>
      </c>
      <c r="AB27" s="92">
        <f>Logistic2010!Q27</f>
        <v>2.7905843687065831E-3</v>
      </c>
      <c r="AC27" s="4">
        <f t="shared" si="9"/>
        <v>1.9324304426046567E-3</v>
      </c>
      <c r="AD27" s="92">
        <f>Logistic2011!Q27</f>
        <v>7.3532929350053459E-4</v>
      </c>
      <c r="AE27" s="92">
        <f>Logistic2012!Q27</f>
        <v>1.9324304426046567E-3</v>
      </c>
      <c r="AF27" s="92">
        <f t="shared" si="15"/>
        <v>5.7679775716238009E-3</v>
      </c>
      <c r="AH27" s="114"/>
      <c r="AJ27" s="114"/>
      <c r="AK27" s="114"/>
      <c r="AL27" s="114"/>
      <c r="AM27" s="111" t="s">
        <v>45</v>
      </c>
      <c r="AN27" s="111">
        <v>4.8233989090909093</v>
      </c>
      <c r="AO27" s="111">
        <v>32</v>
      </c>
      <c r="AP27" s="111"/>
      <c r="AQ27" s="111"/>
      <c r="AR27" s="111"/>
      <c r="AS27" s="111"/>
    </row>
    <row r="28" spans="1:45" x14ac:dyDescent="0.25">
      <c r="B28" s="49"/>
      <c r="C28" s="79"/>
      <c r="D28" s="86" t="str">
        <f t="shared" si="5"/>
        <v/>
      </c>
      <c r="E28" s="81"/>
      <c r="F28" s="50" t="str">
        <f t="shared" si="0"/>
        <v/>
      </c>
      <c r="G28" s="16" t="str">
        <f t="shared" si="1"/>
        <v/>
      </c>
      <c r="H28" s="51" t="str">
        <f t="shared" si="2"/>
        <v/>
      </c>
      <c r="I28" s="54"/>
      <c r="J28" s="105">
        <f t="shared" si="6"/>
        <v>37785</v>
      </c>
      <c r="K28" s="109">
        <v>20.5</v>
      </c>
      <c r="L28" s="90">
        <f t="shared" si="3"/>
        <v>7.0200899120878707E-3</v>
      </c>
      <c r="M28" s="46">
        <f t="shared" si="7"/>
        <v>2.6052956766402371E-4</v>
      </c>
      <c r="N28" s="75">
        <v>2.6052956766402371E-4</v>
      </c>
      <c r="O28" s="89">
        <f t="shared" si="4"/>
        <v>2.6052956766402371E-4</v>
      </c>
      <c r="P28" s="48">
        <v>40342</v>
      </c>
      <c r="Q28" s="1">
        <v>2.5722220404043386E-3</v>
      </c>
      <c r="R28" s="100">
        <v>8645</v>
      </c>
      <c r="S28" s="100">
        <f t="shared" si="13"/>
        <v>67.265731340061535</v>
      </c>
      <c r="T28" s="101">
        <f t="shared" si="8"/>
        <v>8577.7342686599386</v>
      </c>
      <c r="U28" s="40">
        <v>40720</v>
      </c>
      <c r="V28" s="92"/>
      <c r="AA28" s="93">
        <f t="shared" si="14"/>
        <v>37785</v>
      </c>
      <c r="AB28" s="92">
        <f>Logistic2010!Q28</f>
        <v>3.4058703908046778E-3</v>
      </c>
      <c r="AC28" s="4">
        <f t="shared" si="9"/>
        <v>2.5722220404043386E-3</v>
      </c>
      <c r="AD28" s="92">
        <f>Logistic2011!Q28</f>
        <v>9.4560418099634688E-4</v>
      </c>
      <c r="AE28" s="92">
        <f>Logistic2012!Q28</f>
        <v>2.5722220404043386E-3</v>
      </c>
      <c r="AF28" s="92">
        <f t="shared" si="15"/>
        <v>7.0200899120878707E-3</v>
      </c>
      <c r="AH28" s="114"/>
      <c r="AI28" s="114"/>
      <c r="AL28" s="114"/>
      <c r="AM28" s="114"/>
      <c r="AN28" s="114"/>
      <c r="AO28" s="114"/>
      <c r="AP28" s="114"/>
    </row>
    <row r="29" spans="1:45" x14ac:dyDescent="0.25">
      <c r="B29" s="49"/>
      <c r="C29" s="79"/>
      <c r="D29" s="86" t="str">
        <f t="shared" si="5"/>
        <v/>
      </c>
      <c r="E29" s="81"/>
      <c r="F29" s="50" t="str">
        <f t="shared" si="0"/>
        <v/>
      </c>
      <c r="G29" s="16" t="str">
        <f t="shared" si="1"/>
        <v/>
      </c>
      <c r="H29" s="51" t="str">
        <f t="shared" si="2"/>
        <v/>
      </c>
      <c r="I29" s="54"/>
      <c r="J29" s="105">
        <f t="shared" si="6"/>
        <v>37786</v>
      </c>
      <c r="K29" s="109">
        <v>21.5</v>
      </c>
      <c r="L29" s="90">
        <f t="shared" si="3"/>
        <v>8.5416755801183825E-3</v>
      </c>
      <c r="M29" s="46">
        <f t="shared" si="7"/>
        <v>3.7123266109304417E-4</v>
      </c>
      <c r="N29" s="75">
        <v>3.7123266109304417E-4</v>
      </c>
      <c r="O29" s="89">
        <f t="shared" si="4"/>
        <v>3.7123266109304417E-4</v>
      </c>
      <c r="P29" s="48">
        <v>40343</v>
      </c>
      <c r="Q29" s="1">
        <v>3.4231101794941045E-3</v>
      </c>
      <c r="R29" s="100">
        <v>6148</v>
      </c>
      <c r="S29" s="100">
        <f t="shared" si="13"/>
        <v>58.194772330326053</v>
      </c>
      <c r="T29" s="101">
        <f t="shared" si="8"/>
        <v>6089.8052276696735</v>
      </c>
      <c r="U29" s="49">
        <v>40721</v>
      </c>
      <c r="V29" s="92"/>
      <c r="AA29" s="93">
        <f t="shared" si="14"/>
        <v>37786</v>
      </c>
      <c r="AB29" s="92">
        <f>Logistic2010!Q29</f>
        <v>4.156253215078223E-3</v>
      </c>
      <c r="AC29" s="4">
        <f t="shared" si="9"/>
        <v>3.4231101794941045E-3</v>
      </c>
      <c r="AD29" s="92">
        <f>Logistic2011!Q29</f>
        <v>1.2159361420781157E-3</v>
      </c>
      <c r="AE29" s="92">
        <f>Logistic2012!Q29</f>
        <v>3.4231101794941045E-3</v>
      </c>
      <c r="AF29" s="92">
        <f t="shared" si="15"/>
        <v>8.5416755801183825E-3</v>
      </c>
      <c r="AH29" s="113"/>
      <c r="AI29" s="113"/>
      <c r="AK29" s="113"/>
      <c r="AL29" s="113"/>
      <c r="AM29" s="113"/>
      <c r="AN29" s="113"/>
      <c r="AO29" s="114"/>
      <c r="AP29" s="114"/>
    </row>
    <row r="30" spans="1:45" x14ac:dyDescent="0.25">
      <c r="B30" s="49"/>
      <c r="C30" s="79"/>
      <c r="D30" s="86" t="str">
        <f t="shared" si="5"/>
        <v/>
      </c>
      <c r="E30" s="81"/>
      <c r="F30" s="50" t="str">
        <f t="shared" si="0"/>
        <v/>
      </c>
      <c r="G30" s="16" t="str">
        <f t="shared" si="1"/>
        <v/>
      </c>
      <c r="H30" s="51" t="str">
        <f t="shared" si="2"/>
        <v/>
      </c>
      <c r="I30" s="54"/>
      <c r="J30" s="105">
        <f t="shared" si="6"/>
        <v>37787</v>
      </c>
      <c r="K30" s="109">
        <v>22.5</v>
      </c>
      <c r="L30" s="90">
        <f t="shared" si="3"/>
        <v>1.0389610148679944E-2</v>
      </c>
      <c r="M30" s="46">
        <f t="shared" si="7"/>
        <v>5.2895034459836269E-4</v>
      </c>
      <c r="N30" s="76">
        <v>5.2895034459836269E-4</v>
      </c>
      <c r="O30" s="89">
        <f t="shared" si="4"/>
        <v>5.2895034459836269E-4</v>
      </c>
      <c r="P30" s="48">
        <v>40344</v>
      </c>
      <c r="Q30" s="1">
        <v>4.5541859663405402E-3</v>
      </c>
      <c r="R30" s="100">
        <v>5114</v>
      </c>
      <c r="S30" s="100">
        <f t="shared" si="13"/>
        <v>58.86686906861226</v>
      </c>
      <c r="T30" s="101">
        <f t="shared" si="8"/>
        <v>5055.1331309313873</v>
      </c>
      <c r="U30" s="49">
        <v>40722</v>
      </c>
      <c r="V30" s="92"/>
      <c r="AA30" s="93">
        <f t="shared" si="14"/>
        <v>37787</v>
      </c>
      <c r="AB30" s="92">
        <f>Logistic2010!Q30</f>
        <v>5.0711194585093189E-3</v>
      </c>
      <c r="AC30" s="4">
        <f t="shared" si="9"/>
        <v>4.5541859663405402E-3</v>
      </c>
      <c r="AD30" s="92">
        <f>Logistic2011!Q30</f>
        <v>1.5634304169464023E-3</v>
      </c>
      <c r="AE30" s="92">
        <f>Logistic2012!Q30</f>
        <v>4.5541859663405402E-3</v>
      </c>
      <c r="AF30" s="92">
        <f t="shared" si="15"/>
        <v>1.0389610148679944E-2</v>
      </c>
      <c r="AH30" s="113"/>
      <c r="AI30" s="113"/>
      <c r="AJ30" s="113"/>
      <c r="AK30" s="113"/>
      <c r="AL30" s="113"/>
      <c r="AM30" s="113"/>
      <c r="AN30" s="113"/>
      <c r="AO30" s="114"/>
      <c r="AP30" s="114"/>
    </row>
    <row r="31" spans="1:45" x14ac:dyDescent="0.25">
      <c r="B31" s="49"/>
      <c r="C31" s="79"/>
      <c r="D31" s="86" t="str">
        <f t="shared" si="5"/>
        <v/>
      </c>
      <c r="E31" s="81"/>
      <c r="F31" s="50" t="str">
        <f t="shared" si="0"/>
        <v/>
      </c>
      <c r="G31" s="16" t="str">
        <f t="shared" si="1"/>
        <v/>
      </c>
      <c r="H31" s="51" t="str">
        <f t="shared" si="2"/>
        <v/>
      </c>
      <c r="I31" s="54"/>
      <c r="J31" s="105">
        <f t="shared" si="6"/>
        <v>37788</v>
      </c>
      <c r="K31" s="109">
        <v>23.5</v>
      </c>
      <c r="L31" s="90">
        <f t="shared" si="3"/>
        <v>1.263223931108238E-2</v>
      </c>
      <c r="M31" s="46">
        <f t="shared" si="7"/>
        <v>7.5362365201523903E-4</v>
      </c>
      <c r="N31" s="76">
        <v>7.5362365201523903E-4</v>
      </c>
      <c r="O31" s="89">
        <f t="shared" si="4"/>
        <v>7.5362365201523903E-4</v>
      </c>
      <c r="P31" s="48">
        <v>40345</v>
      </c>
      <c r="Q31" s="1">
        <v>6.0567243090960737E-3</v>
      </c>
      <c r="R31" s="100">
        <v>7184</v>
      </c>
      <c r="S31" s="100">
        <f t="shared" si="13"/>
        <v>100.5173672027707</v>
      </c>
      <c r="T31" s="101">
        <f t="shared" si="8"/>
        <v>7083.4826327972296</v>
      </c>
      <c r="U31" s="49">
        <v>40723</v>
      </c>
      <c r="V31" s="92"/>
      <c r="AA31" s="93">
        <f t="shared" si="14"/>
        <v>37788</v>
      </c>
      <c r="AB31" s="92">
        <f>Logistic2010!Q31</f>
        <v>6.18611330154804E-3</v>
      </c>
      <c r="AC31" s="4">
        <f t="shared" si="9"/>
        <v>6.0567243090960737E-3</v>
      </c>
      <c r="AD31" s="92">
        <f>Logistic2011!Q31</f>
        <v>2.0100329059479318E-3</v>
      </c>
      <c r="AE31" s="92">
        <f>Logistic2012!Q31</f>
        <v>6.0567243090960737E-3</v>
      </c>
      <c r="AF31" s="92">
        <f t="shared" si="15"/>
        <v>1.263223931108238E-2</v>
      </c>
      <c r="AH31" s="113"/>
      <c r="AJ31" s="113"/>
      <c r="AK31" s="113"/>
      <c r="AL31" s="113"/>
      <c r="AM31" t="s">
        <v>28</v>
      </c>
      <c r="AN31"/>
      <c r="AO31"/>
      <c r="AP31"/>
      <c r="AQ31"/>
      <c r="AR31"/>
      <c r="AS31"/>
    </row>
    <row r="32" spans="1:45" x14ac:dyDescent="0.25">
      <c r="B32" s="49"/>
      <c r="C32" s="79"/>
      <c r="D32" s="86" t="str">
        <f t="shared" si="5"/>
        <v/>
      </c>
      <c r="E32" s="81"/>
      <c r="F32" s="50" t="str">
        <f t="shared" si="0"/>
        <v/>
      </c>
      <c r="G32" s="16" t="str">
        <f t="shared" si="1"/>
        <v/>
      </c>
      <c r="H32" s="51" t="str">
        <f t="shared" si="2"/>
        <v/>
      </c>
      <c r="I32" s="54"/>
      <c r="J32" s="105">
        <f t="shared" si="6"/>
        <v>37789</v>
      </c>
      <c r="K32" s="109">
        <v>24.5</v>
      </c>
      <c r="L32" s="90">
        <f t="shared" si="3"/>
        <v>1.5351437527105454E-2</v>
      </c>
      <c r="M32" s="46">
        <f t="shared" si="7"/>
        <v>1.0736251359755081E-3</v>
      </c>
      <c r="N32" s="76">
        <v>1.0736251359755081E-3</v>
      </c>
      <c r="O32" s="89">
        <f t="shared" si="4"/>
        <v>1.0736251359755081E-3</v>
      </c>
      <c r="P32" s="48">
        <v>40346</v>
      </c>
      <c r="Q32" s="1">
        <v>8.0509778061675936E-3</v>
      </c>
      <c r="R32" s="100">
        <v>8109</v>
      </c>
      <c r="S32" s="100">
        <f t="shared" si="13"/>
        <v>137.83820520393874</v>
      </c>
      <c r="T32" s="101">
        <f t="shared" si="8"/>
        <v>7971.1617947960613</v>
      </c>
      <c r="U32" s="49">
        <v>40724</v>
      </c>
      <c r="V32" s="92"/>
      <c r="AA32" s="93">
        <f t="shared" si="14"/>
        <v>37789</v>
      </c>
      <c r="AB32" s="92">
        <f>Logistic2010!Q32</f>
        <v>7.5444033609171311E-3</v>
      </c>
      <c r="AC32" s="4">
        <f t="shared" si="9"/>
        <v>8.0509778061675936E-3</v>
      </c>
      <c r="AD32" s="92">
        <f>Logistic2011!Q32</f>
        <v>2.5838796966125908E-3</v>
      </c>
      <c r="AE32" s="92">
        <f>Logistic2012!Q32</f>
        <v>8.0509778061675936E-3</v>
      </c>
      <c r="AF32" s="92">
        <f t="shared" si="15"/>
        <v>1.5351437527105454E-2</v>
      </c>
      <c r="AH32" s="115"/>
      <c r="AI32" s="115"/>
      <c r="AK32" s="115"/>
      <c r="AL32" s="115"/>
      <c r="AM32"/>
      <c r="AN32"/>
      <c r="AO32"/>
      <c r="AP32"/>
      <c r="AQ32"/>
      <c r="AR32"/>
      <c r="AS32"/>
    </row>
    <row r="33" spans="2:45" ht="16.5" thickBot="1" x14ac:dyDescent="0.3">
      <c r="B33" s="49"/>
      <c r="C33" s="79"/>
      <c r="D33" s="86" t="str">
        <f t="shared" si="5"/>
        <v/>
      </c>
      <c r="E33" s="81"/>
      <c r="F33" s="50" t="str">
        <f t="shared" si="0"/>
        <v/>
      </c>
      <c r="G33" s="16" t="str">
        <f t="shared" si="1"/>
        <v/>
      </c>
      <c r="H33" s="51" t="str">
        <f t="shared" si="2"/>
        <v/>
      </c>
      <c r="I33" s="54"/>
      <c r="J33" s="105">
        <f t="shared" si="6"/>
        <v>37790</v>
      </c>
      <c r="K33" s="109">
        <v>25.5</v>
      </c>
      <c r="L33" s="90">
        <f t="shared" si="3"/>
        <v>1.8644913491254085E-2</v>
      </c>
      <c r="M33" s="46">
        <f t="shared" si="7"/>
        <v>1.5292967649937837E-3</v>
      </c>
      <c r="N33" s="76">
        <v>1.5292967649937837E-3</v>
      </c>
      <c r="O33" s="89">
        <f t="shared" si="4"/>
        <v>1.5292967649937837E-3</v>
      </c>
      <c r="P33" s="48">
        <v>40347</v>
      </c>
      <c r="Q33" s="1">
        <v>1.0694799271914295E-2</v>
      </c>
      <c r="R33" s="100">
        <v>18981</v>
      </c>
      <c r="S33" s="100">
        <f t="shared" si="13"/>
        <v>391.7075036090701</v>
      </c>
      <c r="T33" s="101">
        <f t="shared" si="8"/>
        <v>18589.292496390928</v>
      </c>
      <c r="U33" s="49">
        <v>40725</v>
      </c>
      <c r="V33" s="92">
        <v>0.35599999999999998</v>
      </c>
      <c r="AA33" s="93">
        <f t="shared" si="14"/>
        <v>37790</v>
      </c>
      <c r="AB33" s="92">
        <f>Logistic2010!Q33</f>
        <v>9.1981739546595914E-3</v>
      </c>
      <c r="AC33" s="4">
        <f t="shared" si="9"/>
        <v>1.0694799271914295E-2</v>
      </c>
      <c r="AD33" s="92">
        <f>Logistic2011!Q33</f>
        <v>3.3210095492913049E-3</v>
      </c>
      <c r="AE33" s="92">
        <f>Logistic2012!Q33</f>
        <v>1.0694799271914295E-2</v>
      </c>
      <c r="AF33" s="92">
        <f t="shared" si="15"/>
        <v>1.8644913491254085E-2</v>
      </c>
      <c r="AH33" s="110"/>
      <c r="AI33" s="110"/>
      <c r="AJ33" s="110"/>
      <c r="AK33" s="110"/>
      <c r="AL33" s="110"/>
      <c r="AM33" t="s">
        <v>29</v>
      </c>
      <c r="AN33"/>
      <c r="AO33"/>
      <c r="AP33"/>
      <c r="AQ33"/>
      <c r="AR33"/>
      <c r="AS33"/>
    </row>
    <row r="34" spans="2:45" ht="16.5" thickBot="1" x14ac:dyDescent="0.3">
      <c r="B34" s="49"/>
      <c r="C34" s="79"/>
      <c r="D34" s="86" t="str">
        <f t="shared" si="5"/>
        <v/>
      </c>
      <c r="E34" s="81"/>
      <c r="F34" s="50" t="str">
        <f t="shared" si="0"/>
        <v/>
      </c>
      <c r="G34" s="16" t="str">
        <f t="shared" si="1"/>
        <v/>
      </c>
      <c r="H34" s="51" t="str">
        <f t="shared" si="2"/>
        <v/>
      </c>
      <c r="I34" s="54"/>
      <c r="J34" s="105">
        <f t="shared" si="6"/>
        <v>37791</v>
      </c>
      <c r="K34" s="109">
        <v>26.5</v>
      </c>
      <c r="L34" s="90">
        <f t="shared" si="3"/>
        <v>2.2628728952144059E-2</v>
      </c>
      <c r="M34" s="46">
        <f t="shared" si="7"/>
        <v>2.1779444332849758E-3</v>
      </c>
      <c r="N34" s="76">
        <v>2.1779444332849758E-3</v>
      </c>
      <c r="O34" s="89">
        <f t="shared" si="4"/>
        <v>2.1779444332849758E-3</v>
      </c>
      <c r="P34" s="48">
        <v>40348</v>
      </c>
      <c r="Q34" s="1">
        <v>1.4194388945639416E-2</v>
      </c>
      <c r="R34" s="100">
        <v>7954</v>
      </c>
      <c r="S34" s="100">
        <f t="shared" si="13"/>
        <v>199.12316016053435</v>
      </c>
      <c r="T34" s="101">
        <f t="shared" si="8"/>
        <v>7754.8768398394659</v>
      </c>
      <c r="U34" s="49">
        <v>40726</v>
      </c>
      <c r="V34" s="92"/>
      <c r="AA34" s="93">
        <f t="shared" si="14"/>
        <v>37791</v>
      </c>
      <c r="AB34" s="92">
        <f>Logistic2010!Q34</f>
        <v>1.1210364440860094E-2</v>
      </c>
      <c r="AC34" s="4">
        <f t="shared" si="9"/>
        <v>1.4194388945639416E-2</v>
      </c>
      <c r="AD34" s="92">
        <f>Logistic2011!Q34</f>
        <v>4.2675282552662704E-3</v>
      </c>
      <c r="AE34" s="92">
        <f>Logistic2012!Q34</f>
        <v>1.4194388945639416E-2</v>
      </c>
      <c r="AF34" s="92">
        <f t="shared" si="15"/>
        <v>2.2628728952144059E-2</v>
      </c>
      <c r="AH34" s="110"/>
      <c r="AI34" s="110"/>
      <c r="AJ34" s="110"/>
      <c r="AL34" s="110"/>
      <c r="AM34" s="112" t="s">
        <v>30</v>
      </c>
      <c r="AN34" s="112" t="s">
        <v>31</v>
      </c>
      <c r="AO34" s="112" t="s">
        <v>32</v>
      </c>
      <c r="AP34" s="112" t="s">
        <v>33</v>
      </c>
      <c r="AQ34" s="112" t="s">
        <v>34</v>
      </c>
      <c r="AR34"/>
      <c r="AS34"/>
    </row>
    <row r="35" spans="2:45" x14ac:dyDescent="0.25">
      <c r="B35" s="49"/>
      <c r="C35" s="79"/>
      <c r="D35" s="86" t="str">
        <f t="shared" si="5"/>
        <v/>
      </c>
      <c r="E35" s="81"/>
      <c r="F35" s="50" t="str">
        <f t="shared" si="0"/>
        <v/>
      </c>
      <c r="G35" s="16" t="str">
        <f t="shared" si="1"/>
        <v/>
      </c>
      <c r="H35" s="51" t="str">
        <f t="shared" si="2"/>
        <v/>
      </c>
      <c r="I35" s="54"/>
      <c r="J35" s="105">
        <f t="shared" si="6"/>
        <v>37792</v>
      </c>
      <c r="K35" s="109">
        <v>27.5</v>
      </c>
      <c r="L35" s="90">
        <f t="shared" si="3"/>
        <v>2.7439956026617411E-2</v>
      </c>
      <c r="M35" s="46">
        <f t="shared" si="7"/>
        <v>3.1008600796789275E-3</v>
      </c>
      <c r="N35" s="76">
        <v>3.1008600796789275E-3</v>
      </c>
      <c r="O35" s="89">
        <f t="shared" si="4"/>
        <v>3.1008600796789275E-3</v>
      </c>
      <c r="P35" s="48">
        <v>40349</v>
      </c>
      <c r="Q35" s="1">
        <v>1.8817345014281332E-2</v>
      </c>
      <c r="R35" s="100">
        <v>10420</v>
      </c>
      <c r="S35" s="100">
        <f t="shared" si="13"/>
        <v>316.13911759835571</v>
      </c>
      <c r="T35" s="101">
        <f t="shared" si="8"/>
        <v>10103.860882401645</v>
      </c>
      <c r="U35" s="40">
        <v>40727</v>
      </c>
      <c r="AA35" s="93">
        <f t="shared" si="14"/>
        <v>37792</v>
      </c>
      <c r="AB35" s="92">
        <f>Logistic2010!Q35</f>
        <v>1.3656673980419356E-2</v>
      </c>
      <c r="AC35" s="4">
        <f t="shared" si="9"/>
        <v>1.8817345014281332E-2</v>
      </c>
      <c r="AD35" s="92">
        <f>Logistic2011!Q35</f>
        <v>5.4823297455268887E-3</v>
      </c>
      <c r="AE35" s="92">
        <f>Logistic2012!Q35</f>
        <v>1.8817345014281332E-2</v>
      </c>
      <c r="AF35" s="92">
        <f t="shared" si="15"/>
        <v>2.7439956026617411E-2</v>
      </c>
      <c r="AH35" s="113"/>
      <c r="AJ35" s="113"/>
      <c r="AK35" s="113"/>
      <c r="AL35" s="113"/>
      <c r="AM35" s="110">
        <v>2010</v>
      </c>
      <c r="AN35" s="110">
        <v>11</v>
      </c>
      <c r="AO35" s="110">
        <v>4.5669999999999993</v>
      </c>
      <c r="AP35" s="110">
        <v>0.4151818181818181</v>
      </c>
      <c r="AQ35" s="110">
        <v>0.13328476363636368</v>
      </c>
      <c r="AR35"/>
      <c r="AS35"/>
    </row>
    <row r="36" spans="2:45" ht="16.5" thickBot="1" x14ac:dyDescent="0.3">
      <c r="B36" s="49"/>
      <c r="C36" s="79"/>
      <c r="D36" s="86" t="str">
        <f t="shared" si="5"/>
        <v/>
      </c>
      <c r="E36" s="81"/>
      <c r="F36" s="50" t="str">
        <f t="shared" si="0"/>
        <v/>
      </c>
      <c r="G36" s="16" t="str">
        <f t="shared" si="1"/>
        <v/>
      </c>
      <c r="H36" s="51" t="str">
        <f t="shared" si="2"/>
        <v/>
      </c>
      <c r="I36" s="54"/>
      <c r="J36" s="105">
        <f t="shared" si="6"/>
        <v>37793</v>
      </c>
      <c r="K36" s="109">
        <v>28.5</v>
      </c>
      <c r="L36" s="90">
        <f t="shared" si="3"/>
        <v>3.3239337178441269E-2</v>
      </c>
      <c r="M36" s="46">
        <f t="shared" si="7"/>
        <v>4.4131364833405974E-3</v>
      </c>
      <c r="N36" s="76">
        <v>4.4131364833405974E-3</v>
      </c>
      <c r="O36" s="89">
        <f t="shared" si="4"/>
        <v>4.4131364833405974E-3</v>
      </c>
      <c r="P36" s="48">
        <v>40350</v>
      </c>
      <c r="Q36" s="1">
        <v>2.4907904460513997E-2</v>
      </c>
      <c r="R36" s="100">
        <v>14984</v>
      </c>
      <c r="S36" s="100">
        <f t="shared" si="13"/>
        <v>550.31034993488856</v>
      </c>
      <c r="T36" s="101">
        <f t="shared" si="8"/>
        <v>14433.689650065111</v>
      </c>
      <c r="U36" s="49">
        <v>40728</v>
      </c>
      <c r="AA36" s="93">
        <f t="shared" si="14"/>
        <v>37793</v>
      </c>
      <c r="AB36" s="92">
        <f>Logistic2010!Q36</f>
        <v>1.6627836578475143E-2</v>
      </c>
      <c r="AC36" s="4">
        <f t="shared" si="9"/>
        <v>2.4907904460513997E-2</v>
      </c>
      <c r="AD36" s="92">
        <f>Logistic2011!Q36</f>
        <v>7.0404935024234346E-3</v>
      </c>
      <c r="AE36" s="92">
        <f>Logistic2012!Q36</f>
        <v>2.4907904460513997E-2</v>
      </c>
      <c r="AF36" s="92">
        <f t="shared" si="15"/>
        <v>3.3239337178441269E-2</v>
      </c>
      <c r="AH36" s="113"/>
      <c r="AI36" s="113"/>
      <c r="AK36" s="113"/>
      <c r="AL36" s="113"/>
      <c r="AM36" s="111">
        <v>2011</v>
      </c>
      <c r="AN36" s="111">
        <v>11</v>
      </c>
      <c r="AO36" s="111">
        <v>3.9729999999999994</v>
      </c>
      <c r="AP36" s="111">
        <v>0.3611818181818181</v>
      </c>
      <c r="AQ36" s="111">
        <v>0.13927216363636366</v>
      </c>
      <c r="AR36"/>
      <c r="AS36"/>
    </row>
    <row r="37" spans="2:45" x14ac:dyDescent="0.25">
      <c r="B37" s="49"/>
      <c r="C37" s="79"/>
      <c r="D37" s="86" t="str">
        <f t="shared" si="5"/>
        <v/>
      </c>
      <c r="E37" s="81"/>
      <c r="F37" s="50" t="str">
        <f t="shared" si="0"/>
        <v/>
      </c>
      <c r="G37" s="16" t="str">
        <f t="shared" si="1"/>
        <v/>
      </c>
      <c r="H37" s="51" t="str">
        <f t="shared" si="2"/>
        <v/>
      </c>
      <c r="I37" s="54"/>
      <c r="J37" s="105">
        <f t="shared" si="6"/>
        <v>37794</v>
      </c>
      <c r="K37" s="109">
        <v>29.5</v>
      </c>
      <c r="L37" s="90">
        <f t="shared" si="3"/>
        <v>4.0213726080353264E-2</v>
      </c>
      <c r="M37" s="46">
        <f t="shared" si="7"/>
        <v>6.2772681143683619E-3</v>
      </c>
      <c r="N37" s="76">
        <v>6.2772681143683619E-3</v>
      </c>
      <c r="O37" s="89">
        <f t="shared" si="4"/>
        <v>6.2772681143683619E-3</v>
      </c>
      <c r="P37" s="48">
        <v>40351</v>
      </c>
      <c r="Q37" s="1">
        <v>3.2903671432563369E-2</v>
      </c>
      <c r="R37" s="100">
        <v>16806</v>
      </c>
      <c r="S37" s="100">
        <f t="shared" si="13"/>
        <v>746.11663823114895</v>
      </c>
      <c r="T37" s="101">
        <f t="shared" si="8"/>
        <v>16059.883361768851</v>
      </c>
      <c r="U37" s="49">
        <v>40729</v>
      </c>
      <c r="V37" s="4">
        <v>0.51500000000000001</v>
      </c>
      <c r="AA37" s="93">
        <f t="shared" si="14"/>
        <v>37794</v>
      </c>
      <c r="AB37" s="92">
        <f>Logistic2010!Q37</f>
        <v>2.0232149587218227E-2</v>
      </c>
      <c r="AC37" s="4">
        <f t="shared" si="9"/>
        <v>3.2903671432563369E-2</v>
      </c>
      <c r="AD37" s="92">
        <f>Logistic2011!Q37</f>
        <v>9.0374873855469922E-3</v>
      </c>
      <c r="AE37" s="92">
        <f>Logistic2012!Q37</f>
        <v>3.2903671432563369E-2</v>
      </c>
      <c r="AF37" s="92">
        <f t="shared" si="15"/>
        <v>4.0213726080353264E-2</v>
      </c>
      <c r="AH37" s="113"/>
      <c r="AI37" s="113"/>
      <c r="AJ37" s="113"/>
      <c r="AK37" s="113"/>
      <c r="AL37" s="113"/>
      <c r="AM37"/>
      <c r="AN37"/>
      <c r="AO37"/>
      <c r="AP37"/>
      <c r="AQ37"/>
      <c r="AR37"/>
      <c r="AS37"/>
    </row>
    <row r="38" spans="2:45" x14ac:dyDescent="0.25">
      <c r="B38" s="49"/>
      <c r="C38" s="79"/>
      <c r="D38" s="86" t="str">
        <f t="shared" si="5"/>
        <v/>
      </c>
      <c r="E38" s="81"/>
      <c r="F38" s="50" t="str">
        <f t="shared" si="0"/>
        <v/>
      </c>
      <c r="G38" s="16" t="str">
        <f t="shared" si="1"/>
        <v/>
      </c>
      <c r="H38" s="51" t="str">
        <f t="shared" si="2"/>
        <v/>
      </c>
      <c r="I38" s="54"/>
      <c r="J38" s="105">
        <f t="shared" si="6"/>
        <v>37795</v>
      </c>
      <c r="K38" s="109">
        <v>30.5</v>
      </c>
      <c r="L38" s="90">
        <f t="shared" si="3"/>
        <v>4.8577971912167145E-2</v>
      </c>
      <c r="M38" s="46">
        <f t="shared" si="7"/>
        <v>8.9217622649491162E-3</v>
      </c>
      <c r="N38" s="76">
        <v>8.9217622649491162E-3</v>
      </c>
      <c r="O38" s="89">
        <f t="shared" si="4"/>
        <v>8.9217622649491162E-3</v>
      </c>
      <c r="P38" s="48">
        <v>40352</v>
      </c>
      <c r="Q38" s="1">
        <v>4.3352069231991391E-2</v>
      </c>
      <c r="R38" s="100">
        <v>28505</v>
      </c>
      <c r="S38" s="100">
        <f t="shared" si="13"/>
        <v>1527.2085963830755</v>
      </c>
      <c r="T38" s="101">
        <f t="shared" si="8"/>
        <v>26977.791403616924</v>
      </c>
      <c r="U38" s="49"/>
      <c r="AA38" s="93">
        <f t="shared" si="14"/>
        <v>37795</v>
      </c>
      <c r="AB38" s="92">
        <f>Logistic2010!Q38</f>
        <v>2.4598204014952465E-2</v>
      </c>
      <c r="AC38" s="4">
        <f t="shared" si="9"/>
        <v>4.3352069231991391E-2</v>
      </c>
      <c r="AD38" s="92">
        <f>Logistic2011!Q38</f>
        <v>1.1594302653630432E-2</v>
      </c>
      <c r="AE38" s="92">
        <f>Logistic2012!Q38</f>
        <v>4.3352069231991391E-2</v>
      </c>
      <c r="AF38" s="92">
        <f t="shared" si="15"/>
        <v>4.8577971912167145E-2</v>
      </c>
      <c r="AH38" s="115"/>
      <c r="AL38" s="115"/>
      <c r="AM38"/>
      <c r="AN38"/>
      <c r="AO38"/>
      <c r="AP38"/>
      <c r="AQ38"/>
      <c r="AR38"/>
      <c r="AS38"/>
    </row>
    <row r="39" spans="2:45" ht="16.5" thickBot="1" x14ac:dyDescent="0.3">
      <c r="B39" s="49"/>
      <c r="C39" s="79"/>
      <c r="D39" s="86" t="str">
        <f t="shared" si="5"/>
        <v/>
      </c>
      <c r="E39" s="81"/>
      <c r="F39" s="50" t="str">
        <f t="shared" si="0"/>
        <v/>
      </c>
      <c r="G39" s="16" t="str">
        <f t="shared" si="1"/>
        <v/>
      </c>
      <c r="H39" s="51" t="str">
        <f t="shared" si="2"/>
        <v/>
      </c>
      <c r="I39" s="54"/>
      <c r="J39" s="105">
        <f t="shared" si="6"/>
        <v>37796</v>
      </c>
      <c r="K39" s="109">
        <v>31.5</v>
      </c>
      <c r="L39" s="90">
        <f t="shared" si="3"/>
        <v>5.8575762266613804E-2</v>
      </c>
      <c r="M39" s="46">
        <f t="shared" si="7"/>
        <v>1.2666131545885561E-2</v>
      </c>
      <c r="N39" s="76">
        <v>1.2666131545885561E-2</v>
      </c>
      <c r="O39" s="89">
        <f t="shared" si="4"/>
        <v>1.2666131545885561E-2</v>
      </c>
      <c r="P39" s="48">
        <v>40353</v>
      </c>
      <c r="Q39" s="1">
        <v>5.6923017026269736E-2</v>
      </c>
      <c r="R39" s="100">
        <v>37919</v>
      </c>
      <c r="S39" s="100">
        <f t="shared" si="13"/>
        <v>2446.8093108490207</v>
      </c>
      <c r="T39" s="101">
        <f t="shared" si="8"/>
        <v>35472.190689150979</v>
      </c>
      <c r="U39" s="49"/>
      <c r="AA39" s="93">
        <f t="shared" si="14"/>
        <v>37796</v>
      </c>
      <c r="AB39" s="92">
        <f>Logistic2010!Q39</f>
        <v>2.9877711971165448E-2</v>
      </c>
      <c r="AC39" s="4">
        <f t="shared" si="9"/>
        <v>5.6923017026269736E-2</v>
      </c>
      <c r="AD39" s="92">
        <f>Logistic2011!Q39</f>
        <v>1.4863622388293144E-2</v>
      </c>
      <c r="AE39" s="92">
        <f>Logistic2012!Q39</f>
        <v>5.6923017026269736E-2</v>
      </c>
      <c r="AF39" s="92">
        <f t="shared" si="15"/>
        <v>5.8575762266613804E-2</v>
      </c>
      <c r="AH39" s="110"/>
      <c r="AI39" s="110"/>
      <c r="AK39" s="110"/>
      <c r="AL39" s="110"/>
      <c r="AM39" t="s">
        <v>35</v>
      </c>
      <c r="AN39"/>
      <c r="AO39"/>
      <c r="AP39"/>
      <c r="AQ39"/>
      <c r="AR39"/>
      <c r="AS39"/>
    </row>
    <row r="40" spans="2:45" x14ac:dyDescent="0.25">
      <c r="B40" s="49"/>
      <c r="C40" s="79"/>
      <c r="D40" s="86" t="str">
        <f t="shared" si="5"/>
        <v/>
      </c>
      <c r="E40" s="81"/>
      <c r="F40" s="50" t="str">
        <f t="shared" si="0"/>
        <v/>
      </c>
      <c r="G40" s="16" t="str">
        <f t="shared" si="1"/>
        <v/>
      </c>
      <c r="H40" s="51" t="str">
        <f t="shared" si="2"/>
        <v/>
      </c>
      <c r="I40" s="54"/>
      <c r="J40" s="105">
        <f t="shared" si="6"/>
        <v>37797</v>
      </c>
      <c r="K40" s="109">
        <v>32.5</v>
      </c>
      <c r="L40" s="90">
        <f t="shared" si="3"/>
        <v>7.0478765060004542E-2</v>
      </c>
      <c r="M40" s="46">
        <f t="shared" si="7"/>
        <v>1.7953505605503725E-2</v>
      </c>
      <c r="N40" s="76">
        <v>1.7953505605503725E-2</v>
      </c>
      <c r="O40" s="89">
        <f t="shared" si="4"/>
        <v>1.7953505605503725E-2</v>
      </c>
      <c r="P40" s="48">
        <v>40354</v>
      </c>
      <c r="Q40" s="1">
        <v>7.4411773683001156E-2</v>
      </c>
      <c r="R40" s="100">
        <v>41134</v>
      </c>
      <c r="S40" s="100">
        <f t="shared" si="13"/>
        <v>3189.1599242574202</v>
      </c>
      <c r="T40" s="101">
        <f t="shared" si="8"/>
        <v>37944.840075742577</v>
      </c>
      <c r="U40" s="49"/>
      <c r="AA40" s="93">
        <f t="shared" si="14"/>
        <v>37797</v>
      </c>
      <c r="AB40" s="92">
        <f>Logistic2010!Q40</f>
        <v>3.624824956962025E-2</v>
      </c>
      <c r="AC40" s="4">
        <f t="shared" si="9"/>
        <v>7.4411773683001156E-2</v>
      </c>
      <c r="AD40" s="92">
        <f>Logistic2011!Q40</f>
        <v>1.9037057560494706E-2</v>
      </c>
      <c r="AE40" s="92">
        <f>Logistic2012!Q40</f>
        <v>7.4411773683001156E-2</v>
      </c>
      <c r="AF40" s="92">
        <f t="shared" si="15"/>
        <v>7.0478765060004542E-2</v>
      </c>
      <c r="AH40" s="110"/>
      <c r="AI40" s="110"/>
      <c r="AJ40" s="110"/>
      <c r="AK40" s="110"/>
      <c r="AL40" s="110"/>
      <c r="AM40" s="112" t="s">
        <v>36</v>
      </c>
      <c r="AN40" s="112" t="s">
        <v>37</v>
      </c>
      <c r="AO40" s="112" t="s">
        <v>38</v>
      </c>
      <c r="AP40" s="112" t="s">
        <v>39</v>
      </c>
      <c r="AQ40" s="112" t="s">
        <v>40</v>
      </c>
      <c r="AR40" s="112" t="s">
        <v>41</v>
      </c>
      <c r="AS40" s="112" t="s">
        <v>42</v>
      </c>
    </row>
    <row r="41" spans="2:45" x14ac:dyDescent="0.25">
      <c r="B41" s="49"/>
      <c r="C41" s="79"/>
      <c r="D41" s="86" t="str">
        <f t="shared" si="5"/>
        <v/>
      </c>
      <c r="E41" s="81"/>
      <c r="F41" s="50" t="str">
        <f t="shared" si="0"/>
        <v/>
      </c>
      <c r="G41" s="16" t="str">
        <f t="shared" si="1"/>
        <v/>
      </c>
      <c r="H41" s="51" t="str">
        <f t="shared" si="2"/>
        <v/>
      </c>
      <c r="I41" s="54"/>
      <c r="J41" s="105">
        <f t="shared" si="6"/>
        <v>37798</v>
      </c>
      <c r="K41" s="109">
        <v>33.5</v>
      </c>
      <c r="L41" s="90">
        <f t="shared" si="3"/>
        <v>8.458322376954866E-2</v>
      </c>
      <c r="M41" s="46">
        <f t="shared" si="7"/>
        <v>2.5391289272607597E-2</v>
      </c>
      <c r="N41" s="76">
        <v>2.5391289272607597E-2</v>
      </c>
      <c r="O41" s="89">
        <f t="shared" si="4"/>
        <v>2.5391289272607597E-2</v>
      </c>
      <c r="P41" s="48">
        <v>40355</v>
      </c>
      <c r="Q41" s="1">
        <v>9.6722617460862401E-2</v>
      </c>
      <c r="R41" s="100">
        <v>21594</v>
      </c>
      <c r="S41" s="100">
        <f t="shared" si="13"/>
        <v>2005.9338363686584</v>
      </c>
      <c r="T41" s="101">
        <f t="shared" si="8"/>
        <v>19588.066163631342</v>
      </c>
      <c r="U41" s="49"/>
      <c r="AA41" s="93">
        <f t="shared" si="14"/>
        <v>37798</v>
      </c>
      <c r="AB41" s="92">
        <f>Logistic2010!Q41</f>
        <v>4.3915626721520266E-2</v>
      </c>
      <c r="AC41" s="4">
        <f t="shared" si="9"/>
        <v>9.6722617460862401E-2</v>
      </c>
      <c r="AD41" s="92">
        <f>Logistic2011!Q41</f>
        <v>2.4353349085554369E-2</v>
      </c>
      <c r="AE41" s="92">
        <f>Logistic2012!Q41</f>
        <v>9.6722617460862401E-2</v>
      </c>
      <c r="AF41" s="92">
        <f t="shared" si="15"/>
        <v>8.458322376954866E-2</v>
      </c>
      <c r="AH41" s="110"/>
      <c r="AJ41" s="110"/>
      <c r="AL41" s="110"/>
      <c r="AM41" s="110" t="s">
        <v>43</v>
      </c>
      <c r="AN41" s="110">
        <v>1.6037999999999553E-2</v>
      </c>
      <c r="AO41" s="110">
        <v>1</v>
      </c>
      <c r="AP41" s="110">
        <v>1.6037999999999553E-2</v>
      </c>
      <c r="AQ41" s="110">
        <v>0.11768550636727371</v>
      </c>
      <c r="AR41" s="110">
        <v>0.73513802263243178</v>
      </c>
      <c r="AS41" s="110">
        <v>4.351243478421539</v>
      </c>
    </row>
    <row r="42" spans="2:45" ht="16.5" thickBot="1" x14ac:dyDescent="0.3">
      <c r="B42" s="49"/>
      <c r="C42" s="79"/>
      <c r="D42" s="86" t="str">
        <f t="shared" si="5"/>
        <v/>
      </c>
      <c r="E42" s="81"/>
      <c r="F42" s="50" t="str">
        <f t="shared" si="0"/>
        <v/>
      </c>
      <c r="G42" s="16" t="str">
        <f t="shared" si="1"/>
        <v/>
      </c>
      <c r="H42" s="51" t="str">
        <f t="shared" si="2"/>
        <v/>
      </c>
      <c r="I42" s="54"/>
      <c r="J42" s="105">
        <f t="shared" si="6"/>
        <v>37799</v>
      </c>
      <c r="K42" s="109">
        <v>34.5</v>
      </c>
      <c r="L42" s="90">
        <f t="shared" si="3"/>
        <v>0.1012029979928537</v>
      </c>
      <c r="M42" s="46">
        <f t="shared" si="7"/>
        <v>3.5798078010252969E-2</v>
      </c>
      <c r="N42" s="76">
        <v>3.5798078010252969E-2</v>
      </c>
      <c r="O42" s="89">
        <f t="shared" si="4"/>
        <v>3.5798078010252969E-2</v>
      </c>
      <c r="P42" s="48">
        <v>40356</v>
      </c>
      <c r="Q42" s="1">
        <v>0.12482080008468176</v>
      </c>
      <c r="R42" s="100">
        <v>17704</v>
      </c>
      <c r="S42" s="100">
        <f t="shared" si="13"/>
        <v>1963.9132383764545</v>
      </c>
      <c r="T42" s="101">
        <f t="shared" si="8"/>
        <v>15740.086761623545</v>
      </c>
      <c r="AA42" s="93">
        <f t="shared" si="14"/>
        <v>37799</v>
      </c>
      <c r="AB42" s="92">
        <f>Logistic2010!Q42</f>
        <v>5.3115454143665003E-2</v>
      </c>
      <c r="AC42" s="4">
        <f t="shared" si="9"/>
        <v>0.12482080008468176</v>
      </c>
      <c r="AD42" s="92">
        <f>Logistic2011!Q42</f>
        <v>3.1107190112750017E-2</v>
      </c>
      <c r="AE42" s="92">
        <f>Logistic2012!Q42</f>
        <v>0.12482080008468176</v>
      </c>
      <c r="AF42" s="92">
        <f t="shared" si="15"/>
        <v>0.1012029979928537</v>
      </c>
      <c r="AH42" s="110"/>
      <c r="AI42" s="110"/>
      <c r="AK42" s="110"/>
      <c r="AL42" s="110"/>
      <c r="AM42" s="110" t="s">
        <v>44</v>
      </c>
      <c r="AN42" s="110">
        <v>2.7255692727272729</v>
      </c>
      <c r="AO42" s="110">
        <v>20</v>
      </c>
      <c r="AP42" s="110">
        <v>0.13627846363636364</v>
      </c>
      <c r="AQ42" s="110"/>
      <c r="AR42" s="110"/>
      <c r="AS42" s="110"/>
    </row>
    <row r="43" spans="2:45" x14ac:dyDescent="0.25">
      <c r="B43" s="49"/>
      <c r="C43" s="79"/>
      <c r="D43" s="86" t="str">
        <f t="shared" si="5"/>
        <v/>
      </c>
      <c r="E43" s="81"/>
      <c r="F43" s="50" t="str">
        <f t="shared" si="0"/>
        <v/>
      </c>
      <c r="G43" s="16" t="str">
        <f t="shared" si="1"/>
        <v/>
      </c>
      <c r="H43" s="51" t="str">
        <f t="shared" si="2"/>
        <v/>
      </c>
      <c r="I43" s="54"/>
      <c r="J43" s="105">
        <f t="shared" si="6"/>
        <v>37800</v>
      </c>
      <c r="K43" s="109">
        <v>35.5</v>
      </c>
      <c r="L43" s="90">
        <f t="shared" si="3"/>
        <v>0.12065796431808783</v>
      </c>
      <c r="M43" s="46">
        <f t="shared" si="7"/>
        <v>5.0250242425127004E-2</v>
      </c>
      <c r="N43" s="76">
        <v>5.0250242425127004E-2</v>
      </c>
      <c r="O43" s="89">
        <f t="shared" si="4"/>
        <v>5.0250242425127004E-2</v>
      </c>
      <c r="P43" s="48">
        <v>40357</v>
      </c>
      <c r="Q43" s="1">
        <v>0.15963897994445775</v>
      </c>
      <c r="R43" s="100">
        <v>13702</v>
      </c>
      <c r="S43" s="100">
        <f t="shared" si="13"/>
        <v>1808.0800039636399</v>
      </c>
      <c r="T43" s="101">
        <f t="shared" si="8"/>
        <v>11893.91999603636</v>
      </c>
      <c r="U43" s="40">
        <v>40705</v>
      </c>
      <c r="AA43" s="93">
        <f t="shared" si="14"/>
        <v>37800</v>
      </c>
      <c r="AB43" s="92">
        <f>Logistic2010!Q43</f>
        <v>6.4113302836932173E-2</v>
      </c>
      <c r="AC43" s="4">
        <f t="shared" si="9"/>
        <v>0.15963897994445775</v>
      </c>
      <c r="AD43" s="92">
        <f>Logistic2011!Q43</f>
        <v>3.9657919254324193E-2</v>
      </c>
      <c r="AE43" s="92">
        <f>Logistic2012!Q43</f>
        <v>0.15963897994445775</v>
      </c>
      <c r="AF43" s="92">
        <f t="shared" si="15"/>
        <v>0.12065796431808783</v>
      </c>
      <c r="AH43" s="114"/>
      <c r="AI43" s="114"/>
      <c r="AK43" s="114"/>
      <c r="AL43" s="114"/>
      <c r="AM43" s="110"/>
      <c r="AN43" s="110"/>
      <c r="AO43" s="110"/>
      <c r="AP43" s="110"/>
      <c r="AQ43" s="110"/>
      <c r="AR43" s="110"/>
      <c r="AS43" s="110"/>
    </row>
    <row r="44" spans="2:45" ht="16.5" thickBot="1" x14ac:dyDescent="0.3">
      <c r="B44" s="49"/>
      <c r="C44" s="79"/>
      <c r="D44" s="86" t="str">
        <f t="shared" si="5"/>
        <v/>
      </c>
      <c r="E44" s="81"/>
      <c r="F44" s="50" t="str">
        <f t="shared" si="0"/>
        <v/>
      </c>
      <c r="G44" s="16" t="str">
        <f t="shared" si="1"/>
        <v/>
      </c>
      <c r="H44" s="51" t="str">
        <f t="shared" si="2"/>
        <v/>
      </c>
      <c r="I44" s="54"/>
      <c r="J44" s="105">
        <f t="shared" si="6"/>
        <v>37801</v>
      </c>
      <c r="K44" s="109">
        <v>36.5</v>
      </c>
      <c r="L44" s="90">
        <f t="shared" si="3"/>
        <v>0.14325679323024673</v>
      </c>
      <c r="M44" s="46">
        <f t="shared" si="7"/>
        <v>7.0112677039206914E-2</v>
      </c>
      <c r="N44" s="76">
        <v>7.0112677039206914E-2</v>
      </c>
      <c r="O44" s="89">
        <f t="shared" si="4"/>
        <v>7.0112677039206914E-2</v>
      </c>
      <c r="P44" s="48">
        <v>40358</v>
      </c>
      <c r="Q44" s="1">
        <v>0.20192861027500136</v>
      </c>
      <c r="R44" s="100">
        <v>6021</v>
      </c>
      <c r="S44" s="100">
        <f t="shared" si="13"/>
        <v>940.87248951450954</v>
      </c>
      <c r="T44" s="101">
        <f t="shared" si="8"/>
        <v>5080.1275104854903</v>
      </c>
      <c r="U44" s="49">
        <v>40706</v>
      </c>
      <c r="V44" s="95"/>
      <c r="AA44" s="93">
        <f t="shared" si="14"/>
        <v>37801</v>
      </c>
      <c r="AB44" s="92">
        <f>Logistic2010!Q44</f>
        <v>7.72026520734653E-2</v>
      </c>
      <c r="AC44" s="4">
        <f t="shared" si="9"/>
        <v>0.20192861027500136</v>
      </c>
      <c r="AD44" s="92">
        <f>Logistic2011!Q44</f>
        <v>5.0436715072649276E-2</v>
      </c>
      <c r="AE44" s="92">
        <f>Logistic2012!Q44</f>
        <v>0.20192861027500136</v>
      </c>
      <c r="AF44" s="92">
        <f t="shared" si="15"/>
        <v>0.14325679323024673</v>
      </c>
      <c r="AH44" s="113"/>
      <c r="AL44" s="113"/>
      <c r="AM44" s="111" t="s">
        <v>45</v>
      </c>
      <c r="AN44" s="111">
        <v>2.7416072727272724</v>
      </c>
      <c r="AO44" s="111">
        <v>21</v>
      </c>
      <c r="AP44" s="111"/>
      <c r="AQ44" s="111"/>
      <c r="AR44" s="111"/>
      <c r="AS44" s="111"/>
    </row>
    <row r="45" spans="2:45" x14ac:dyDescent="0.25">
      <c r="B45" s="49"/>
      <c r="C45" s="79"/>
      <c r="D45" s="86" t="str">
        <f t="shared" si="5"/>
        <v/>
      </c>
      <c r="E45" s="81"/>
      <c r="F45" s="50" t="str">
        <f t="shared" si="0"/>
        <v/>
      </c>
      <c r="G45" s="16" t="str">
        <f t="shared" si="1"/>
        <v/>
      </c>
      <c r="H45" s="51" t="str">
        <f t="shared" si="2"/>
        <v/>
      </c>
      <c r="I45" s="54"/>
      <c r="J45" s="105">
        <f t="shared" si="6"/>
        <v>37802</v>
      </c>
      <c r="K45" s="109">
        <v>37.5</v>
      </c>
      <c r="L45" s="90">
        <f t="shared" si="3"/>
        <v>0.16927351386641812</v>
      </c>
      <c r="M45" s="46">
        <f t="shared" si="7"/>
        <v>9.7024102357607847E-2</v>
      </c>
      <c r="N45" s="76">
        <v>9.7024102357607847E-2</v>
      </c>
      <c r="O45" s="89">
        <f t="shared" si="4"/>
        <v>9.7024102357607847E-2</v>
      </c>
      <c r="P45" s="48">
        <v>40359</v>
      </c>
      <c r="Q45" s="1">
        <v>0.25206087357123486</v>
      </c>
      <c r="R45" s="100">
        <v>4676</v>
      </c>
      <c r="S45" s="100">
        <f t="shared" si="13"/>
        <v>860.83196369427264</v>
      </c>
      <c r="T45" s="101">
        <f t="shared" si="8"/>
        <v>3815.1680363057276</v>
      </c>
      <c r="U45" s="49">
        <v>40707</v>
      </c>
      <c r="V45" s="95"/>
      <c r="AA45" s="93">
        <f t="shared" si="14"/>
        <v>37802</v>
      </c>
      <c r="AB45" s="92">
        <f>Logistic2010!Q45</f>
        <v>9.2699625095272714E-2</v>
      </c>
      <c r="AC45" s="4">
        <f t="shared" si="9"/>
        <v>0.25206087357123486</v>
      </c>
      <c r="AD45" s="92">
        <f>Logistic2011!Q45</f>
        <v>6.3950040299436198E-2</v>
      </c>
      <c r="AE45" s="92">
        <f>Logistic2012!Q45</f>
        <v>0.25206087357123486</v>
      </c>
      <c r="AF45" s="92">
        <f t="shared" si="15"/>
        <v>0.16927351386641812</v>
      </c>
      <c r="AH45" s="113"/>
      <c r="AI45" s="113"/>
      <c r="AK45" s="113"/>
      <c r="AL45" s="113"/>
      <c r="AM45" s="113"/>
      <c r="AN45" s="113"/>
      <c r="AO45" s="114"/>
      <c r="AP45" s="114"/>
    </row>
    <row r="46" spans="2:45" x14ac:dyDescent="0.25">
      <c r="B46" s="49"/>
      <c r="C46" s="79"/>
      <c r="D46" s="86" t="str">
        <f t="shared" si="5"/>
        <v/>
      </c>
      <c r="E46" s="81"/>
      <c r="F46" s="50" t="str">
        <f t="shared" si="0"/>
        <v/>
      </c>
      <c r="G46" s="16" t="str">
        <f t="shared" si="1"/>
        <v/>
      </c>
      <c r="H46" s="51" t="str">
        <f t="shared" si="2"/>
        <v/>
      </c>
      <c r="I46" s="54"/>
      <c r="J46" s="105">
        <f t="shared" si="6"/>
        <v>37803</v>
      </c>
      <c r="K46" s="109">
        <v>38.5</v>
      </c>
      <c r="L46" s="90">
        <f t="shared" si="3"/>
        <v>0.19891808737150862</v>
      </c>
      <c r="M46" s="46">
        <f t="shared" si="7"/>
        <v>0.13278990299316346</v>
      </c>
      <c r="N46" s="76">
        <v>0.13278990299316346</v>
      </c>
      <c r="O46" s="89">
        <f t="shared" si="4"/>
        <v>0.13278990299316346</v>
      </c>
      <c r="P46" s="48">
        <v>40360</v>
      </c>
      <c r="Q46" s="1">
        <v>0.30980777704027063</v>
      </c>
      <c r="R46" s="100">
        <v>3828</v>
      </c>
      <c r="S46" s="100">
        <f t="shared" si="13"/>
        <v>825.3561947005536</v>
      </c>
      <c r="T46" s="101">
        <f t="shared" si="8"/>
        <v>3002.6438052994463</v>
      </c>
      <c r="U46" s="49">
        <v>40708</v>
      </c>
      <c r="V46" s="95"/>
      <c r="AA46" s="93">
        <f t="shared" si="14"/>
        <v>37803</v>
      </c>
      <c r="AB46" s="92">
        <f>Logistic2010!Q46</f>
        <v>0.11093336918210217</v>
      </c>
      <c r="AC46" s="4">
        <f t="shared" si="9"/>
        <v>0.30980777704027063</v>
      </c>
      <c r="AD46" s="92">
        <f>Logistic2011!Q46</f>
        <v>8.0775952050874497E-2</v>
      </c>
      <c r="AE46" s="92">
        <f>Logistic2012!Q46</f>
        <v>0.30980777704027063</v>
      </c>
      <c r="AF46" s="92">
        <f t="shared" si="15"/>
        <v>0.19891808737150862</v>
      </c>
      <c r="AH46" s="113"/>
      <c r="AI46" s="113"/>
      <c r="AK46" s="113"/>
      <c r="AL46" s="113"/>
      <c r="AM46" s="113"/>
      <c r="AN46" s="113"/>
      <c r="AO46" s="114"/>
      <c r="AP46" s="114"/>
    </row>
    <row r="47" spans="2:45" x14ac:dyDescent="0.25">
      <c r="B47" s="49"/>
      <c r="C47" s="79"/>
      <c r="D47" s="86" t="str">
        <f t="shared" si="5"/>
        <v/>
      </c>
      <c r="E47" s="81"/>
      <c r="F47" s="50" t="str">
        <f t="shared" si="0"/>
        <v/>
      </c>
      <c r="G47" s="16" t="str">
        <f t="shared" si="1"/>
        <v/>
      </c>
      <c r="H47" s="51" t="str">
        <f t="shared" si="2"/>
        <v/>
      </c>
      <c r="I47" s="54"/>
      <c r="J47" s="105">
        <f t="shared" si="6"/>
        <v>37804</v>
      </c>
      <c r="K47" s="109">
        <v>39.5</v>
      </c>
      <c r="L47" s="90">
        <f t="shared" si="3"/>
        <v>0.23230249502167508</v>
      </c>
      <c r="M47" s="46">
        <f t="shared" si="7"/>
        <v>0.17912459589298799</v>
      </c>
      <c r="N47" s="76">
        <v>0.17912459589298799</v>
      </c>
      <c r="O47" s="89">
        <f t="shared" si="4"/>
        <v>0.17912459589298799</v>
      </c>
      <c r="P47" s="48">
        <v>40361</v>
      </c>
      <c r="Q47" s="1">
        <v>0.37416608438208854</v>
      </c>
      <c r="R47" s="100">
        <v>3893</v>
      </c>
      <c r="S47" s="100">
        <f t="shared" si="13"/>
        <v>976.57468496089905</v>
      </c>
      <c r="T47" s="101">
        <f t="shared" si="8"/>
        <v>2916.425315039101</v>
      </c>
      <c r="U47" s="49">
        <v>40709</v>
      </c>
      <c r="V47" s="95"/>
      <c r="AA47" s="93">
        <f t="shared" si="14"/>
        <v>37804</v>
      </c>
      <c r="AB47" s="92">
        <f>Logistic2010!Q47</f>
        <v>0.13223093333791724</v>
      </c>
      <c r="AC47" s="4">
        <f t="shared" si="9"/>
        <v>0.37416608438208854</v>
      </c>
      <c r="AD47" s="92">
        <f>Logistic2011!Q47</f>
        <v>0.10154865709169383</v>
      </c>
      <c r="AE47" s="92">
        <f>Logistic2012!Q47</f>
        <v>0.37416608438208854</v>
      </c>
      <c r="AF47" s="92">
        <f t="shared" si="15"/>
        <v>0.23230249502167508</v>
      </c>
      <c r="AH47" s="115"/>
      <c r="AI47" s="115"/>
      <c r="AL47" s="115"/>
      <c r="AM47" t="s">
        <v>28</v>
      </c>
      <c r="AN47"/>
      <c r="AO47"/>
      <c r="AP47"/>
      <c r="AQ47"/>
      <c r="AR47"/>
      <c r="AS47"/>
    </row>
    <row r="48" spans="2:45" x14ac:dyDescent="0.25">
      <c r="B48" s="49"/>
      <c r="C48" s="79"/>
      <c r="D48" s="86" t="str">
        <f t="shared" si="5"/>
        <v/>
      </c>
      <c r="E48" s="81"/>
      <c r="F48" s="50" t="str">
        <f t="shared" si="0"/>
        <v/>
      </c>
      <c r="G48" s="16" t="str">
        <f t="shared" si="1"/>
        <v/>
      </c>
      <c r="H48" s="51" t="str">
        <f t="shared" si="2"/>
        <v/>
      </c>
      <c r="I48" s="54"/>
      <c r="J48" s="105">
        <f t="shared" si="6"/>
        <v>37805</v>
      </c>
      <c r="K48" s="109">
        <v>40.5</v>
      </c>
      <c r="L48" s="90">
        <f t="shared" si="3"/>
        <v>0.26940553732402189</v>
      </c>
      <c r="M48" s="46">
        <f t="shared" si="7"/>
        <v>0.23720467988333704</v>
      </c>
      <c r="N48" s="76">
        <v>0.23720467988333704</v>
      </c>
      <c r="O48" s="89">
        <f t="shared" si="4"/>
        <v>0.23720467988333704</v>
      </c>
      <c r="P48" s="48">
        <v>40362</v>
      </c>
      <c r="Q48" s="1">
        <v>0.44330675299696459</v>
      </c>
      <c r="R48" s="100">
        <v>3621</v>
      </c>
      <c r="S48" s="100">
        <f t="shared" si="13"/>
        <v>1049.0885739704304</v>
      </c>
      <c r="T48" s="101">
        <f>R48-S48</f>
        <v>2571.9114260295696</v>
      </c>
      <c r="U48" s="49">
        <v>40710</v>
      </c>
      <c r="V48" s="95"/>
      <c r="AA48" s="93">
        <f t="shared" si="14"/>
        <v>37805</v>
      </c>
      <c r="AB48" s="92">
        <f>Logistic2010!Q48</f>
        <v>0.15689575096130998</v>
      </c>
      <c r="AC48" s="4">
        <f t="shared" si="9"/>
        <v>0.44330675299696459</v>
      </c>
      <c r="AD48" s="92">
        <f>Logistic2011!Q48</f>
        <v>0.12692574439278323</v>
      </c>
      <c r="AE48" s="92">
        <f>Logistic2012!Q48</f>
        <v>0.44330675299696459</v>
      </c>
      <c r="AF48" s="92">
        <f t="shared" si="15"/>
        <v>0.26940553732402189</v>
      </c>
      <c r="AH48" s="110"/>
      <c r="AK48" s="110"/>
      <c r="AL48" s="110"/>
      <c r="AM48"/>
      <c r="AN48"/>
      <c r="AO48"/>
      <c r="AP48"/>
      <c r="AQ48"/>
      <c r="AR48"/>
      <c r="AS48"/>
    </row>
    <row r="49" spans="2:45" ht="16.5" thickBot="1" x14ac:dyDescent="0.3">
      <c r="B49" s="49"/>
      <c r="C49" s="79"/>
      <c r="D49" s="86" t="str">
        <f t="shared" si="5"/>
        <v/>
      </c>
      <c r="E49" s="81"/>
      <c r="F49" s="50" t="str">
        <f t="shared" si="0"/>
        <v/>
      </c>
      <c r="G49" s="16" t="str">
        <f t="shared" si="1"/>
        <v/>
      </c>
      <c r="H49" s="51" t="str">
        <f t="shared" si="2"/>
        <v/>
      </c>
      <c r="I49" s="54"/>
      <c r="J49" s="105">
        <f t="shared" si="6"/>
        <v>37806</v>
      </c>
      <c r="K49" s="109">
        <v>41.5</v>
      </c>
      <c r="L49" s="90">
        <f t="shared" si="3"/>
        <v>0.31004134142241851</v>
      </c>
      <c r="M49" s="46">
        <f t="shared" si="7"/>
        <v>0.30707218568713457</v>
      </c>
      <c r="N49" s="76">
        <v>0.30707218568713457</v>
      </c>
      <c r="O49" s="89">
        <f t="shared" si="4"/>
        <v>0.30707218568713457</v>
      </c>
      <c r="P49" s="4">
        <v>40363</v>
      </c>
      <c r="Q49" s="4">
        <v>0.51471586655781365</v>
      </c>
      <c r="R49" s="4">
        <v>2271</v>
      </c>
      <c r="S49" s="100">
        <f t="shared" si="13"/>
        <v>753.83491867478097</v>
      </c>
      <c r="T49" s="101">
        <f t="shared" ref="T49:T70" si="18">R49-S49</f>
        <v>1517.165081325219</v>
      </c>
      <c r="U49" s="49">
        <v>40711</v>
      </c>
      <c r="V49" s="95"/>
      <c r="AA49" s="93">
        <f t="shared" si="14"/>
        <v>37806</v>
      </c>
      <c r="AB49" s="92">
        <f>Logistic2010!Q49</f>
        <v>0.1851794824455581</v>
      </c>
      <c r="AC49" s="4">
        <f t="shared" si="9"/>
        <v>0.51471586655781365</v>
      </c>
      <c r="AD49" s="92">
        <f>Logistic2011!Q49</f>
        <v>0.15753263507351994</v>
      </c>
      <c r="AE49" s="92">
        <f>Logistic2012!Q49</f>
        <v>0.51471586655781365</v>
      </c>
      <c r="AF49" s="92">
        <f t="shared" si="15"/>
        <v>0.31004134142241851</v>
      </c>
      <c r="AH49" s="110"/>
      <c r="AI49" s="110"/>
      <c r="AJ49" s="110"/>
      <c r="AK49" s="110"/>
      <c r="AL49" s="110"/>
      <c r="AM49" t="s">
        <v>29</v>
      </c>
      <c r="AN49"/>
      <c r="AO49"/>
      <c r="AP49"/>
      <c r="AQ49"/>
      <c r="AR49"/>
      <c r="AS49"/>
    </row>
    <row r="50" spans="2:45" ht="16.5" thickBot="1" x14ac:dyDescent="0.3">
      <c r="B50" s="49"/>
      <c r="C50" s="79"/>
      <c r="D50" s="86" t="str">
        <f t="shared" si="5"/>
        <v/>
      </c>
      <c r="E50" s="81"/>
      <c r="F50" s="50" t="str">
        <f t="shared" si="0"/>
        <v/>
      </c>
      <c r="G50" s="16" t="str">
        <f t="shared" si="1"/>
        <v/>
      </c>
      <c r="H50" s="51" t="str">
        <f t="shared" si="2"/>
        <v/>
      </c>
      <c r="I50" s="54"/>
      <c r="J50" s="105">
        <f t="shared" si="6"/>
        <v>37807</v>
      </c>
      <c r="K50" s="109">
        <v>42.5</v>
      </c>
      <c r="L50" s="90">
        <f t="shared" si="3"/>
        <v>0.35383793526166868</v>
      </c>
      <c r="M50" s="46">
        <f t="shared" si="7"/>
        <v>0.38707606622199253</v>
      </c>
      <c r="N50" s="76">
        <v>0.38707606622199253</v>
      </c>
      <c r="O50" s="89">
        <f t="shared" si="4"/>
        <v>0.38707606622199253</v>
      </c>
      <c r="P50" s="4">
        <v>40364</v>
      </c>
      <c r="Q50" s="4">
        <v>0.58552915257129856</v>
      </c>
      <c r="R50" s="4">
        <v>2403</v>
      </c>
      <c r="S50" s="100">
        <f t="shared" si="13"/>
        <v>906.015566856443</v>
      </c>
      <c r="T50" s="101">
        <f t="shared" si="18"/>
        <v>1496.984433143557</v>
      </c>
      <c r="U50" s="49">
        <v>40712</v>
      </c>
      <c r="V50" s="95">
        <v>3.5999999999999997E-2</v>
      </c>
      <c r="AA50" s="93">
        <f t="shared" si="14"/>
        <v>37807</v>
      </c>
      <c r="AB50" s="92">
        <f>Logistic2010!Q50</f>
        <v>0.21724812306999194</v>
      </c>
      <c r="AC50" s="4">
        <f t="shared" si="9"/>
        <v>0.58552915257129856</v>
      </c>
      <c r="AD50" s="92">
        <f>Logistic2011!Q50</f>
        <v>0.19388109788722835</v>
      </c>
      <c r="AE50" s="92">
        <f>Logistic2012!Q50</f>
        <v>0.58552915257129856</v>
      </c>
      <c r="AF50" s="92">
        <f t="shared" si="15"/>
        <v>0.35383793526166868</v>
      </c>
      <c r="AH50" s="113"/>
      <c r="AI50" s="113"/>
      <c r="AJ50" s="113"/>
      <c r="AL50" s="113"/>
      <c r="AM50" s="112" t="s">
        <v>30</v>
      </c>
      <c r="AN50" s="112" t="s">
        <v>31</v>
      </c>
      <c r="AO50" s="112" t="s">
        <v>32</v>
      </c>
      <c r="AP50" s="112" t="s">
        <v>33</v>
      </c>
      <c r="AQ50" s="112" t="s">
        <v>34</v>
      </c>
      <c r="AR50"/>
      <c r="AS50"/>
    </row>
    <row r="51" spans="2:45" x14ac:dyDescent="0.25">
      <c r="B51" s="49"/>
      <c r="C51" s="79"/>
      <c r="D51" s="86" t="str">
        <f t="shared" si="5"/>
        <v/>
      </c>
      <c r="E51" s="81"/>
      <c r="F51" s="50" t="str">
        <f t="shared" si="0"/>
        <v/>
      </c>
      <c r="G51" s="16" t="str">
        <f t="shared" si="1"/>
        <v/>
      </c>
      <c r="H51" s="51" t="str">
        <f t="shared" si="2"/>
        <v/>
      </c>
      <c r="I51" s="54"/>
      <c r="J51" s="105">
        <f t="shared" si="6"/>
        <v>37808</v>
      </c>
      <c r="K51" s="109">
        <v>43.5</v>
      </c>
      <c r="L51" s="90">
        <f t="shared" si="3"/>
        <v>0.40023244913820061</v>
      </c>
      <c r="M51" s="46">
        <f t="shared" si="7"/>
        <v>0.47367530224191001</v>
      </c>
      <c r="N51" s="76">
        <v>0.47367530224191001</v>
      </c>
      <c r="O51" s="89">
        <f t="shared" si="4"/>
        <v>0.47367530224191001</v>
      </c>
      <c r="P51" s="4">
        <v>40365</v>
      </c>
      <c r="Q51" s="4">
        <v>0.65297594566306583</v>
      </c>
      <c r="R51" s="4">
        <v>2644</v>
      </c>
      <c r="S51" s="100">
        <f t="shared" si="13"/>
        <v>1122.0083332810593</v>
      </c>
      <c r="T51" s="101">
        <f t="shared" si="18"/>
        <v>1521.9916667189407</v>
      </c>
      <c r="U51" s="40">
        <v>40713</v>
      </c>
      <c r="V51" s="95"/>
      <c r="AA51" s="93">
        <f t="shared" si="14"/>
        <v>37808</v>
      </c>
      <c r="AB51" s="92">
        <f>Logistic2010!Q51</f>
        <v>0.25314493902860469</v>
      </c>
      <c r="AC51" s="4">
        <f t="shared" si="9"/>
        <v>0.65297594566306583</v>
      </c>
      <c r="AD51" s="92">
        <f>Logistic2011!Q51</f>
        <v>0.2362644112915534</v>
      </c>
      <c r="AE51" s="92">
        <f>Logistic2012!Q51</f>
        <v>0.65297594566306583</v>
      </c>
      <c r="AF51" s="92">
        <f t="shared" si="15"/>
        <v>0.40023244913820061</v>
      </c>
      <c r="AH51" s="113"/>
      <c r="AI51" s="113"/>
      <c r="AJ51" s="113"/>
      <c r="AK51" s="113"/>
      <c r="AL51" s="113"/>
      <c r="AM51" s="110">
        <v>2011</v>
      </c>
      <c r="AN51" s="110">
        <v>11</v>
      </c>
      <c r="AO51" s="110">
        <v>3.9729999999999994</v>
      </c>
      <c r="AP51" s="110">
        <v>0.3611818181818181</v>
      </c>
      <c r="AQ51" s="110">
        <v>0.13927216363636366</v>
      </c>
      <c r="AR51"/>
      <c r="AS51"/>
    </row>
    <row r="52" spans="2:45" ht="16.5" thickBot="1" x14ac:dyDescent="0.3">
      <c r="B52" s="49"/>
      <c r="C52" s="79"/>
      <c r="D52" s="86" t="str">
        <f t="shared" si="5"/>
        <v/>
      </c>
      <c r="E52" s="81"/>
      <c r="F52" s="50" t="str">
        <f t="shared" si="0"/>
        <v/>
      </c>
      <c r="G52" s="16" t="str">
        <f t="shared" si="1"/>
        <v/>
      </c>
      <c r="H52" s="51" t="str">
        <f t="shared" si="2"/>
        <v/>
      </c>
      <c r="I52" s="54"/>
      <c r="J52" s="105">
        <f t="shared" si="6"/>
        <v>37809</v>
      </c>
      <c r="K52" s="109">
        <v>44.5</v>
      </c>
      <c r="L52" s="90">
        <f t="shared" si="3"/>
        <v>0.44848792399421938</v>
      </c>
      <c r="M52" s="46">
        <f t="shared" si="7"/>
        <v>0.56188779335925654</v>
      </c>
      <c r="N52" s="76">
        <v>0.56188779335925654</v>
      </c>
      <c r="O52" s="89">
        <f t="shared" si="4"/>
        <v>0.56188779335925654</v>
      </c>
      <c r="P52" s="4">
        <v>40366</v>
      </c>
      <c r="Q52" s="4">
        <v>0.71479326435445212</v>
      </c>
      <c r="R52" s="4">
        <v>1901</v>
      </c>
      <c r="S52" s="100">
        <f t="shared" si="13"/>
        <v>899.38317058396183</v>
      </c>
      <c r="T52" s="101">
        <f t="shared" si="18"/>
        <v>1001.6168294160382</v>
      </c>
      <c r="U52" s="49">
        <v>40714</v>
      </c>
      <c r="V52" s="95"/>
      <c r="AA52" s="93">
        <f t="shared" si="14"/>
        <v>37809</v>
      </c>
      <c r="AB52" s="92">
        <f>Logistic2010!Q52</f>
        <v>0.29275475741502793</v>
      </c>
      <c r="AC52" s="4">
        <f t="shared" si="9"/>
        <v>0.71479326435445212</v>
      </c>
      <c r="AD52" s="92">
        <f>Logistic2011!Q52</f>
        <v>0.28464136726106892</v>
      </c>
      <c r="AE52" s="92">
        <f>Logistic2012!Q52</f>
        <v>0.71479326435445212</v>
      </c>
      <c r="AF52" s="92">
        <f t="shared" si="15"/>
        <v>0.44848792399421938</v>
      </c>
      <c r="AH52" s="113"/>
      <c r="AI52" s="113"/>
      <c r="AK52" s="113"/>
      <c r="AL52" s="113"/>
      <c r="AM52" s="111">
        <v>2012</v>
      </c>
      <c r="AN52" s="111">
        <v>11</v>
      </c>
      <c r="AO52" s="111">
        <v>6.5350000000000001</v>
      </c>
      <c r="AP52" s="111">
        <v>0.59409090909090911</v>
      </c>
      <c r="AQ52" s="111">
        <v>0.17708689090909088</v>
      </c>
      <c r="AR52"/>
      <c r="AS52"/>
    </row>
    <row r="53" spans="2:45" x14ac:dyDescent="0.25">
      <c r="B53" s="49"/>
      <c r="C53" s="79"/>
      <c r="D53" s="86" t="str">
        <f t="shared" si="5"/>
        <v/>
      </c>
      <c r="E53" s="81"/>
      <c r="F53" s="50" t="str">
        <f t="shared" si="0"/>
        <v/>
      </c>
      <c r="G53" s="16" t="str">
        <f t="shared" si="1"/>
        <v/>
      </c>
      <c r="H53" s="51" t="str">
        <f t="shared" si="2"/>
        <v/>
      </c>
      <c r="I53" s="54"/>
      <c r="J53" s="105">
        <f t="shared" si="6"/>
        <v>37810</v>
      </c>
      <c r="K53" s="109">
        <v>45.5</v>
      </c>
      <c r="L53" s="90">
        <f t="shared" si="3"/>
        <v>0.49773319182267894</v>
      </c>
      <c r="M53" s="46">
        <f t="shared" si="7"/>
        <v>0.64635389784882469</v>
      </c>
      <c r="N53" s="75">
        <v>0.64635389784882469</v>
      </c>
      <c r="O53" s="89">
        <f t="shared" si="4"/>
        <v>0.64635389784882469</v>
      </c>
      <c r="P53" s="4">
        <v>40367</v>
      </c>
      <c r="Q53" s="4">
        <v>0.76948613379160047</v>
      </c>
      <c r="R53" s="4">
        <v>2421</v>
      </c>
      <c r="S53" s="100">
        <f t="shared" si="13"/>
        <v>1264.676737948075</v>
      </c>
      <c r="T53" s="101">
        <f t="shared" si="18"/>
        <v>1156.323262051925</v>
      </c>
      <c r="U53" s="49">
        <v>40715</v>
      </c>
      <c r="V53" s="95"/>
      <c r="AA53" s="93">
        <f t="shared" si="14"/>
        <v>37810</v>
      </c>
      <c r="AB53" s="92">
        <f>Logistic2010!Q53</f>
        <v>0.33577592018640684</v>
      </c>
      <c r="AC53" s="4">
        <f t="shared" si="9"/>
        <v>0.76948613379160047</v>
      </c>
      <c r="AD53" s="92">
        <f>Logistic2011!Q53</f>
        <v>0.33853314511451504</v>
      </c>
      <c r="AE53" s="92">
        <f>Logistic2012!Q53</f>
        <v>0.76948613379160047</v>
      </c>
      <c r="AF53" s="92">
        <f t="shared" si="15"/>
        <v>0.49773319182267894</v>
      </c>
      <c r="AH53" s="115"/>
      <c r="AJ53" s="115"/>
      <c r="AK53" s="115"/>
      <c r="AL53" s="115"/>
      <c r="AM53"/>
      <c r="AN53"/>
      <c r="AO53"/>
      <c r="AP53"/>
      <c r="AQ53"/>
      <c r="AR53"/>
      <c r="AS53"/>
    </row>
    <row r="54" spans="2:45" x14ac:dyDescent="0.25">
      <c r="B54" s="49"/>
      <c r="C54" s="79"/>
      <c r="D54" s="86" t="str">
        <f t="shared" si="5"/>
        <v/>
      </c>
      <c r="E54" s="81"/>
      <c r="F54" s="50" t="str">
        <f t="shared" si="0"/>
        <v/>
      </c>
      <c r="G54" s="16" t="str">
        <f t="shared" si="1"/>
        <v/>
      </c>
      <c r="H54" s="51" t="str">
        <f t="shared" si="2"/>
        <v/>
      </c>
      <c r="I54" s="54"/>
      <c r="J54" s="105">
        <f t="shared" si="6"/>
        <v>37811</v>
      </c>
      <c r="K54" s="109">
        <v>46.5</v>
      </c>
      <c r="L54" s="90">
        <f t="shared" si="3"/>
        <v>0.54702247769245926</v>
      </c>
      <c r="M54" s="46">
        <f t="shared" si="7"/>
        <v>0.72257565187378159</v>
      </c>
      <c r="N54" s="75">
        <v>0.72257565187378159</v>
      </c>
      <c r="O54" s="89">
        <f t="shared" si="4"/>
        <v>0.72257565187378159</v>
      </c>
      <c r="P54" s="4">
        <v>40368</v>
      </c>
      <c r="Q54" s="4">
        <v>0.81638498403003179</v>
      </c>
      <c r="R54" s="4">
        <v>2560</v>
      </c>
      <c r="S54" s="100">
        <f t="shared" si="13"/>
        <v>1462.3092665555519</v>
      </c>
      <c r="T54" s="101">
        <f t="shared" si="18"/>
        <v>1097.6907334444481</v>
      </c>
      <c r="U54" s="49">
        <v>40716</v>
      </c>
      <c r="V54" s="95"/>
      <c r="AA54" s="93">
        <f t="shared" si="14"/>
        <v>37811</v>
      </c>
      <c r="AB54" s="92">
        <f>Logistic2010!Q54</f>
        <v>0.3817070776941604</v>
      </c>
      <c r="AC54" s="4">
        <f t="shared" si="9"/>
        <v>0.81638498403003179</v>
      </c>
      <c r="AD54" s="92">
        <f>Logistic2011!Q54</f>
        <v>0.39696628169175319</v>
      </c>
      <c r="AE54" s="92">
        <f>Logistic2012!Q54</f>
        <v>0.81638498403003179</v>
      </c>
      <c r="AF54" s="92">
        <f t="shared" si="15"/>
        <v>0.54702247769245926</v>
      </c>
      <c r="AH54" s="110"/>
      <c r="AI54" s="110"/>
      <c r="AJ54" s="110"/>
      <c r="AL54" s="110"/>
      <c r="AM54"/>
      <c r="AN54"/>
      <c r="AO54"/>
      <c r="AP54"/>
      <c r="AQ54"/>
      <c r="AR54"/>
      <c r="AS54"/>
    </row>
    <row r="55" spans="2:45" ht="16.5" thickBot="1" x14ac:dyDescent="0.3">
      <c r="B55" s="49"/>
      <c r="C55" s="79"/>
      <c r="D55" s="86" t="str">
        <f t="shared" si="5"/>
        <v/>
      </c>
      <c r="E55" s="81"/>
      <c r="F55" s="50" t="str">
        <f t="shared" si="0"/>
        <v/>
      </c>
      <c r="G55" s="16" t="str">
        <f t="shared" si="1"/>
        <v/>
      </c>
      <c r="H55" s="51" t="str">
        <f t="shared" si="2"/>
        <v/>
      </c>
      <c r="I55" s="54"/>
      <c r="J55" s="105">
        <f t="shared" si="6"/>
        <v>37812</v>
      </c>
      <c r="K55" s="109">
        <v>47.5</v>
      </c>
      <c r="L55" s="90">
        <f t="shared" si="3"/>
        <v>0.59540663680406558</v>
      </c>
      <c r="M55" s="46">
        <f t="shared" si="7"/>
        <v>0.67992615512835608</v>
      </c>
      <c r="N55" s="76">
        <v>0.67992615512835608</v>
      </c>
      <c r="O55" s="89">
        <f t="shared" si="4"/>
        <v>0.67992615512835608</v>
      </c>
      <c r="P55" s="4">
        <v>40369</v>
      </c>
      <c r="Q55" s="4">
        <v>0.85553350414652685</v>
      </c>
      <c r="R55" s="4">
        <v>3011</v>
      </c>
      <c r="S55" s="100">
        <f t="shared" si="13"/>
        <v>1862.9231107508692</v>
      </c>
      <c r="T55" s="101">
        <f t="shared" si="18"/>
        <v>1148.0768892491308</v>
      </c>
      <c r="U55" s="49">
        <v>40717</v>
      </c>
      <c r="V55" s="95"/>
      <c r="AA55" s="93">
        <f t="shared" si="14"/>
        <v>37812</v>
      </c>
      <c r="AB55" s="92">
        <f>Logistic2010!Q55</f>
        <v>0.42985515834963317</v>
      </c>
      <c r="AC55" s="4">
        <f t="shared" si="9"/>
        <v>0.85553350414652685</v>
      </c>
      <c r="AD55" s="92">
        <f>Logistic2011!Q55</f>
        <v>0.45849431667616858</v>
      </c>
      <c r="AE55" s="92">
        <f>Logistic2012!Q55</f>
        <v>0.85553350414652685</v>
      </c>
      <c r="AF55" s="92">
        <f t="shared" si="15"/>
        <v>0.59540663680406558</v>
      </c>
      <c r="AH55" s="110"/>
      <c r="AI55" s="110"/>
      <c r="AK55" s="110"/>
      <c r="AL55" s="110"/>
      <c r="AM55" t="s">
        <v>35</v>
      </c>
      <c r="AN55"/>
      <c r="AO55"/>
      <c r="AP55"/>
      <c r="AQ55"/>
      <c r="AR55"/>
      <c r="AS55"/>
    </row>
    <row r="56" spans="2:45" x14ac:dyDescent="0.25">
      <c r="B56" s="49"/>
      <c r="C56" s="79"/>
      <c r="D56" s="86" t="str">
        <f t="shared" si="5"/>
        <v/>
      </c>
      <c r="E56" s="81"/>
      <c r="F56" s="50" t="str">
        <f t="shared" si="0"/>
        <v/>
      </c>
      <c r="G56" s="16" t="str">
        <f t="shared" si="1"/>
        <v/>
      </c>
      <c r="H56" s="51" t="str">
        <f t="shared" si="2"/>
        <v/>
      </c>
      <c r="I56" s="54"/>
      <c r="J56" s="105">
        <f t="shared" si="6"/>
        <v>37813</v>
      </c>
      <c r="K56" s="109">
        <v>48.5</v>
      </c>
      <c r="L56" s="90">
        <f t="shared" si="3"/>
        <v>0.64200492795904929</v>
      </c>
      <c r="M56" s="46">
        <f t="shared" si="7"/>
        <v>0.73462826392623781</v>
      </c>
      <c r="N56" s="76">
        <v>0.73462826392623781</v>
      </c>
      <c r="O56" s="89">
        <f t="shared" si="4"/>
        <v>0.73462826392623781</v>
      </c>
      <c r="P56" s="4">
        <v>40370</v>
      </c>
      <c r="Q56" s="4">
        <v>0.88748554172196392</v>
      </c>
      <c r="R56" s="4">
        <v>582</v>
      </c>
      <c r="S56" s="100">
        <f t="shared" si="13"/>
        <v>386.46866402414815</v>
      </c>
      <c r="T56" s="101">
        <f t="shared" si="18"/>
        <v>195.53133597585185</v>
      </c>
      <c r="U56" s="49">
        <v>40718</v>
      </c>
      <c r="V56" s="95"/>
      <c r="AA56" s="93">
        <f t="shared" si="14"/>
        <v>37813</v>
      </c>
      <c r="AB56" s="92">
        <f>Logistic2010!Q56</f>
        <v>0.47936786629286093</v>
      </c>
      <c r="AC56" s="4">
        <f t="shared" si="9"/>
        <v>0.88748554172196392</v>
      </c>
      <c r="AD56" s="92">
        <f>Logistic2011!Q56</f>
        <v>0.52131468367366807</v>
      </c>
      <c r="AE56" s="92">
        <f>Logistic2012!Q56</f>
        <v>0.88748554172196392</v>
      </c>
      <c r="AF56" s="92">
        <f t="shared" si="15"/>
        <v>0.64200492795904929</v>
      </c>
      <c r="AH56" s="110"/>
      <c r="AI56" s="110"/>
      <c r="AJ56" s="110"/>
      <c r="AK56" s="110"/>
      <c r="AL56" s="110"/>
      <c r="AM56" s="112" t="s">
        <v>36</v>
      </c>
      <c r="AN56" s="112" t="s">
        <v>37</v>
      </c>
      <c r="AO56" s="112" t="s">
        <v>38</v>
      </c>
      <c r="AP56" s="112" t="s">
        <v>39</v>
      </c>
      <c r="AQ56" s="112" t="s">
        <v>40</v>
      </c>
      <c r="AR56" s="112" t="s">
        <v>41</v>
      </c>
      <c r="AS56" s="112" t="s">
        <v>42</v>
      </c>
    </row>
    <row r="57" spans="2:45" ht="16.5" thickBot="1" x14ac:dyDescent="0.3">
      <c r="B57" s="49"/>
      <c r="C57" s="79"/>
      <c r="D57" s="86" t="str">
        <f t="shared" si="5"/>
        <v/>
      </c>
      <c r="E57" s="81"/>
      <c r="F57" s="50" t="str">
        <f t="shared" si="0"/>
        <v/>
      </c>
      <c r="G57" s="16" t="str">
        <f t="shared" si="1"/>
        <v/>
      </c>
      <c r="H57" s="51" t="str">
        <f t="shared" si="2"/>
        <v/>
      </c>
      <c r="I57" s="54"/>
      <c r="J57" s="105">
        <f t="shared" si="6"/>
        <v>37814</v>
      </c>
      <c r="K57" s="109">
        <v>49.5</v>
      </c>
      <c r="L57" s="90">
        <f t="shared" si="3"/>
        <v>0.68606608243321232</v>
      </c>
      <c r="M57" s="46">
        <f t="shared" si="7"/>
        <v>0.78296570483334704</v>
      </c>
      <c r="N57" s="76">
        <v>0.78296570483334704</v>
      </c>
      <c r="O57" s="89">
        <f t="shared" si="4"/>
        <v>0.78296570483334704</v>
      </c>
      <c r="P57" s="4">
        <v>40371</v>
      </c>
      <c r="Q57" s="4">
        <v>0.91308857223820117</v>
      </c>
      <c r="R57" s="4">
        <v>2638</v>
      </c>
      <c r="S57" s="100">
        <f t="shared" si="13"/>
        <v>1863.8476300443208</v>
      </c>
      <c r="T57" s="101">
        <f t="shared" si="18"/>
        <v>774.15236995567921</v>
      </c>
      <c r="U57" s="49">
        <v>40719</v>
      </c>
      <c r="V57" s="95">
        <v>7.0000000000000001E-3</v>
      </c>
      <c r="AA57" s="93">
        <f t="shared" si="14"/>
        <v>37814</v>
      </c>
      <c r="AB57" s="92">
        <f>Logistic2010!Q57</f>
        <v>0.52928924873066352</v>
      </c>
      <c r="AC57" s="4">
        <f t="shared" si="9"/>
        <v>0.91308857223820117</v>
      </c>
      <c r="AD57" s="92">
        <f>Logistic2011!Q57</f>
        <v>0.58346805352827824</v>
      </c>
      <c r="AE57" s="92">
        <f>Logistic2012!Q57</f>
        <v>0.91308857223820117</v>
      </c>
      <c r="AF57" s="92">
        <f t="shared" si="15"/>
        <v>0.68606608243321232</v>
      </c>
      <c r="AH57" s="110"/>
      <c r="AI57" s="110"/>
      <c r="AJ57" s="110"/>
      <c r="AK57" s="110"/>
      <c r="AL57" s="110"/>
      <c r="AM57" s="110" t="s">
        <v>43</v>
      </c>
      <c r="AN57" s="110">
        <v>0.29835654545454471</v>
      </c>
      <c r="AO57" s="110">
        <v>1</v>
      </c>
      <c r="AP57" s="110">
        <v>0.29835654545454471</v>
      </c>
      <c r="AQ57" s="110">
        <v>1.8861893861911057</v>
      </c>
      <c r="AR57" s="110">
        <v>0.18483371790912717</v>
      </c>
      <c r="AS57" s="110">
        <v>4.351243478421539</v>
      </c>
    </row>
    <row r="58" spans="2:45" x14ac:dyDescent="0.25">
      <c r="B58" s="49"/>
      <c r="C58" s="79"/>
      <c r="D58" s="86" t="str">
        <f t="shared" si="5"/>
        <v/>
      </c>
      <c r="E58" s="81"/>
      <c r="F58" s="50" t="str">
        <f t="shared" si="0"/>
        <v/>
      </c>
      <c r="G58" s="16" t="str">
        <f t="shared" si="1"/>
        <v/>
      </c>
      <c r="H58" s="51" t="str">
        <f t="shared" si="2"/>
        <v/>
      </c>
      <c r="I58" s="54"/>
      <c r="J58" s="105">
        <f t="shared" si="6"/>
        <v>37815</v>
      </c>
      <c r="K58" s="109">
        <v>50.5</v>
      </c>
      <c r="L58" s="90">
        <f t="shared" si="3"/>
        <v>0.7270102102463335</v>
      </c>
      <c r="M58" s="46">
        <f t="shared" si="7"/>
        <v>0.82460067927314873</v>
      </c>
      <c r="N58" s="75">
        <v>0.82460067927314873</v>
      </c>
      <c r="O58" s="89">
        <f t="shared" si="4"/>
        <v>0.82460067927314873</v>
      </c>
      <c r="P58" s="4">
        <v>40372</v>
      </c>
      <c r="Q58" s="4">
        <v>0.93330339143718788</v>
      </c>
      <c r="R58" s="4">
        <v>4264</v>
      </c>
      <c r="S58" s="100">
        <f t="shared" si="13"/>
        <v>3179.7883295679871</v>
      </c>
      <c r="T58" s="101">
        <f t="shared" si="18"/>
        <v>1084.2116704320129</v>
      </c>
      <c r="U58" s="40">
        <v>40720</v>
      </c>
      <c r="V58" s="95"/>
      <c r="AA58" s="93">
        <f t="shared" si="14"/>
        <v>37815</v>
      </c>
      <c r="AB58" s="92">
        <f>Logistic2010!Q58</f>
        <v>0.57863147408369076</v>
      </c>
      <c r="AC58" s="4">
        <f t="shared" si="9"/>
        <v>0.93330339143718788</v>
      </c>
      <c r="AD58" s="92">
        <f>Logistic2011!Q58</f>
        <v>0.64307659747584256</v>
      </c>
      <c r="AE58" s="92">
        <f>Logistic2012!Q58</f>
        <v>0.93330339143718788</v>
      </c>
      <c r="AF58" s="92">
        <f t="shared" si="15"/>
        <v>0.7270102102463335</v>
      </c>
      <c r="AH58" s="114"/>
      <c r="AI58" s="114"/>
      <c r="AJ58" s="114"/>
      <c r="AK58" s="114"/>
      <c r="AL58" s="114"/>
      <c r="AM58" s="110" t="s">
        <v>44</v>
      </c>
      <c r="AN58" s="110">
        <v>3.1635905454545457</v>
      </c>
      <c r="AO58" s="110">
        <v>20</v>
      </c>
      <c r="AP58" s="110">
        <v>0.15817952727272727</v>
      </c>
      <c r="AQ58" s="110"/>
      <c r="AR58" s="110"/>
      <c r="AS58" s="110"/>
    </row>
    <row r="59" spans="2:45" x14ac:dyDescent="0.25">
      <c r="B59" s="49"/>
      <c r="C59" s="79"/>
      <c r="D59" s="86" t="str">
        <f t="shared" si="5"/>
        <v/>
      </c>
      <c r="E59" s="81"/>
      <c r="F59" s="50" t="str">
        <f t="shared" si="0"/>
        <v/>
      </c>
      <c r="G59" s="16" t="str">
        <f t="shared" si="1"/>
        <v/>
      </c>
      <c r="H59" s="51" t="str">
        <f t="shared" si="2"/>
        <v/>
      </c>
      <c r="I59" s="54"/>
      <c r="J59" s="105">
        <f t="shared" si="6"/>
        <v>37816</v>
      </c>
      <c r="K59" s="109">
        <v>51.5</v>
      </c>
      <c r="L59" s="90">
        <f t="shared" si="3"/>
        <v>0.76444773045159664</v>
      </c>
      <c r="M59" s="46">
        <f t="shared" si="7"/>
        <v>0.76444773045159664</v>
      </c>
      <c r="N59" s="75">
        <v>0.85967998350172414</v>
      </c>
      <c r="O59" s="89">
        <f t="shared" si="4"/>
        <v>0.76444773045159664</v>
      </c>
      <c r="P59" s="4">
        <v>40373</v>
      </c>
      <c r="Q59" s="4">
        <v>0.94907863528681002</v>
      </c>
      <c r="R59" s="4">
        <v>29205</v>
      </c>
      <c r="S59" s="100">
        <f t="shared" si="13"/>
        <v>22818.218675082786</v>
      </c>
      <c r="T59" s="101">
        <f t="shared" si="18"/>
        <v>6386.7813249172141</v>
      </c>
      <c r="U59" s="49">
        <v>40721</v>
      </c>
      <c r="V59" s="95"/>
      <c r="AA59" s="93">
        <f t="shared" si="14"/>
        <v>37816</v>
      </c>
      <c r="AB59" s="92">
        <f>Logistic2010!Q59</f>
        <v>0.62645177427350185</v>
      </c>
      <c r="AC59" s="4">
        <f t="shared" si="9"/>
        <v>0.94907863528681002</v>
      </c>
      <c r="AD59" s="92">
        <f>Logistic2011!Q59</f>
        <v>0.69856182420049406</v>
      </c>
      <c r="AE59" s="92">
        <f>Logistic2012!Q59</f>
        <v>0.94907863528681002</v>
      </c>
      <c r="AF59" s="92">
        <f t="shared" si="15"/>
        <v>0.76444773045159664</v>
      </c>
      <c r="AH59" s="114"/>
      <c r="AI59" s="114"/>
      <c r="AJ59" s="114"/>
      <c r="AK59" s="114"/>
      <c r="AL59" s="114"/>
      <c r="AM59" s="110"/>
      <c r="AN59" s="110"/>
      <c r="AO59" s="110"/>
      <c r="AP59" s="110"/>
      <c r="AQ59" s="110"/>
      <c r="AR59" s="110"/>
      <c r="AS59" s="110"/>
    </row>
    <row r="60" spans="2:45" ht="16.5" thickBot="1" x14ac:dyDescent="0.3">
      <c r="B60" s="49"/>
      <c r="C60" s="79"/>
      <c r="D60" s="86" t="str">
        <f t="shared" si="5"/>
        <v/>
      </c>
      <c r="E60" s="81"/>
      <c r="F60" s="50" t="str">
        <f t="shared" si="0"/>
        <v/>
      </c>
      <c r="G60" s="16" t="str">
        <f t="shared" si="1"/>
        <v/>
      </c>
      <c r="H60" s="51" t="str">
        <f t="shared" si="2"/>
        <v/>
      </c>
      <c r="I60" s="54"/>
      <c r="J60" s="105">
        <f t="shared" si="6"/>
        <v>37817</v>
      </c>
      <c r="K60" s="109">
        <v>52.5</v>
      </c>
      <c r="L60" s="90">
        <f t="shared" si="3"/>
        <v>0.79817638699971571</v>
      </c>
      <c r="M60" s="46">
        <f t="shared" si="7"/>
        <v>0.79817638699971571</v>
      </c>
      <c r="N60" s="76">
        <v>0.8886905657803027</v>
      </c>
      <c r="O60" s="89">
        <f t="shared" si="4"/>
        <v>0.79817638699971571</v>
      </c>
      <c r="P60" s="4">
        <v>40374</v>
      </c>
      <c r="Q60" s="4">
        <v>0.96127748661561918</v>
      </c>
      <c r="R60" s="4">
        <v>27768</v>
      </c>
      <c r="S60" s="100">
        <f t="shared" si="13"/>
        <v>22580.069452512293</v>
      </c>
      <c r="T60" s="101">
        <f t="shared" si="18"/>
        <v>5187.9305474877074</v>
      </c>
      <c r="U60" s="49">
        <v>40722</v>
      </c>
      <c r="V60" s="95"/>
      <c r="AA60" s="93">
        <f t="shared" si="14"/>
        <v>37817</v>
      </c>
      <c r="AB60" s="92">
        <f>Logistic2010!Q60</f>
        <v>0.6719221112063114</v>
      </c>
      <c r="AC60" s="4">
        <f t="shared" si="9"/>
        <v>0.96127748661561918</v>
      </c>
      <c r="AD60" s="92">
        <f>Logistic2011!Q60</f>
        <v>0.74879103833236005</v>
      </c>
      <c r="AE60" s="92">
        <f>Logistic2012!Q60</f>
        <v>0.96127748661561918</v>
      </c>
      <c r="AF60" s="92">
        <f t="shared" si="15"/>
        <v>0.79817638699971571</v>
      </c>
      <c r="AH60" s="113"/>
      <c r="AJ60" s="113"/>
      <c r="AK60" s="113"/>
      <c r="AL60" s="113"/>
      <c r="AM60" s="111" t="s">
        <v>45</v>
      </c>
      <c r="AN60" s="111">
        <v>3.4619470909090904</v>
      </c>
      <c r="AO60" s="111">
        <v>21</v>
      </c>
      <c r="AP60" s="111"/>
      <c r="AQ60" s="111"/>
      <c r="AR60" s="111"/>
      <c r="AS60" s="111"/>
    </row>
    <row r="61" spans="2:45" x14ac:dyDescent="0.25">
      <c r="B61" s="49"/>
      <c r="C61" s="79"/>
      <c r="D61" s="86" t="str">
        <f t="shared" si="5"/>
        <v/>
      </c>
      <c r="E61" s="81"/>
      <c r="F61" s="50" t="str">
        <f t="shared" si="0"/>
        <v/>
      </c>
      <c r="G61" s="16" t="str">
        <f t="shared" si="1"/>
        <v/>
      </c>
      <c r="H61" s="51" t="str">
        <f t="shared" si="2"/>
        <v/>
      </c>
      <c r="I61" s="54"/>
      <c r="J61" s="105">
        <f t="shared" si="6"/>
        <v>37818</v>
      </c>
      <c r="K61" s="109">
        <v>53.5</v>
      </c>
      <c r="L61" s="90">
        <f t="shared" si="3"/>
        <v>0.82816108437109193</v>
      </c>
      <c r="M61" s="46">
        <f t="shared" si="7"/>
        <v>0.82816108437109193</v>
      </c>
      <c r="N61" s="75">
        <v>0.91231509064301375</v>
      </c>
      <c r="O61" s="89">
        <f t="shared" si="4"/>
        <v>0.82816108437109193</v>
      </c>
      <c r="P61" s="4">
        <v>40375</v>
      </c>
      <c r="Q61" s="4">
        <v>0.97064434164342128</v>
      </c>
      <c r="R61" s="4">
        <v>21508</v>
      </c>
      <c r="S61" s="100">
        <f t="shared" si="13"/>
        <v>18095.369990888117</v>
      </c>
      <c r="T61" s="101">
        <f t="shared" si="18"/>
        <v>3412.6300091118828</v>
      </c>
      <c r="U61" s="49">
        <v>40723</v>
      </c>
      <c r="V61" s="95"/>
      <c r="Y61" s="93">
        <v>37783</v>
      </c>
      <c r="Z61" s="95">
        <v>2.4E-2</v>
      </c>
      <c r="AA61" s="93">
        <f t="shared" si="14"/>
        <v>37818</v>
      </c>
      <c r="AB61" s="92">
        <f>Logistic2010!Q61</f>
        <v>0.71438108258813315</v>
      </c>
      <c r="AC61" s="4">
        <f t="shared" si="9"/>
        <v>0.97064434164342128</v>
      </c>
      <c r="AD61" s="92">
        <f>Logistic2011!Q61</f>
        <v>0.79312907861690396</v>
      </c>
      <c r="AE61" s="92">
        <f>Logistic2012!Q61</f>
        <v>0.97064434164342128</v>
      </c>
      <c r="AF61" s="92">
        <f t="shared" si="15"/>
        <v>0.82816108437109193</v>
      </c>
      <c r="AH61" s="113"/>
      <c r="AI61" s="113"/>
      <c r="AJ61" s="113"/>
      <c r="AK61" s="113"/>
      <c r="AL61" s="113"/>
      <c r="AM61" s="113"/>
      <c r="AN61" s="113"/>
      <c r="AO61" s="114"/>
      <c r="AP61" s="114"/>
    </row>
    <row r="62" spans="2:45" ht="16.5" thickBot="1" x14ac:dyDescent="0.3">
      <c r="B62" s="49"/>
      <c r="C62" s="79"/>
      <c r="D62" s="86" t="str">
        <f t="shared" si="5"/>
        <v/>
      </c>
      <c r="E62" s="81"/>
      <c r="F62" s="50" t="str">
        <f t="shared" si="0"/>
        <v/>
      </c>
      <c r="G62" s="16" t="str">
        <f t="shared" si="1"/>
        <v/>
      </c>
      <c r="H62" s="51" t="str">
        <f t="shared" si="2"/>
        <v/>
      </c>
      <c r="I62" s="54"/>
      <c r="J62" s="105">
        <f t="shared" si="6"/>
        <v>37819</v>
      </c>
      <c r="K62" s="109">
        <v>54.5</v>
      </c>
      <c r="L62" s="90">
        <f t="shared" si="3"/>
        <v>0.85450303975835906</v>
      </c>
      <c r="M62" s="46">
        <f t="shared" si="7"/>
        <v>0.85450303975835906</v>
      </c>
      <c r="N62" s="75">
        <v>0.93131304287865924</v>
      </c>
      <c r="O62" s="89">
        <f t="shared" si="4"/>
        <v>0.85450303975835906</v>
      </c>
      <c r="P62" s="4">
        <v>40376</v>
      </c>
      <c r="Q62" s="4">
        <v>0.97779771637475388</v>
      </c>
      <c r="R62" s="4">
        <v>9686</v>
      </c>
      <c r="S62" s="100">
        <f t="shared" si="13"/>
        <v>8387.6291268890818</v>
      </c>
      <c r="T62" s="101">
        <f t="shared" si="18"/>
        <v>1298.3708731109182</v>
      </c>
      <c r="U62" s="49">
        <v>40724</v>
      </c>
      <c r="V62" s="95"/>
      <c r="Y62" s="93">
        <v>37810</v>
      </c>
      <c r="Z62" s="95">
        <v>0.90100000000000002</v>
      </c>
      <c r="AA62" s="93">
        <f t="shared" si="14"/>
        <v>37819</v>
      </c>
      <c r="AB62" s="92">
        <f>Logistic2010!Q62</f>
        <v>0.75336211213144844</v>
      </c>
      <c r="AC62" s="4">
        <f t="shared" si="9"/>
        <v>0.97779771637475388</v>
      </c>
      <c r="AD62" s="92">
        <f>Logistic2011!Q62</f>
        <v>0.83140351438424964</v>
      </c>
      <c r="AE62" s="92">
        <f>Logistic2012!Q62</f>
        <v>0.97779771637475388</v>
      </c>
      <c r="AF62" s="92">
        <f t="shared" si="15"/>
        <v>0.85450303975835906</v>
      </c>
      <c r="AH62" s="113"/>
      <c r="AI62" s="113"/>
      <c r="AK62" s="113"/>
      <c r="AL62" s="113"/>
      <c r="AM62" s="113"/>
      <c r="AN62" s="113"/>
      <c r="AO62" s="114"/>
      <c r="AP62" s="114"/>
    </row>
    <row r="63" spans="2:45" x14ac:dyDescent="0.25">
      <c r="B63" s="49"/>
      <c r="C63" s="79"/>
      <c r="D63" s="86" t="str">
        <f t="shared" si="5"/>
        <v/>
      </c>
      <c r="E63" s="81"/>
      <c r="F63" s="50" t="str">
        <f t="shared" si="0"/>
        <v/>
      </c>
      <c r="G63" s="16" t="str">
        <f t="shared" si="1"/>
        <v/>
      </c>
      <c r="H63" s="51" t="str">
        <f t="shared" si="2"/>
        <v/>
      </c>
      <c r="I63" s="54"/>
      <c r="J63" s="105">
        <f t="shared" si="6"/>
        <v>37820</v>
      </c>
      <c r="K63" s="109">
        <v>55.5</v>
      </c>
      <c r="L63" s="90">
        <f t="shared" si="3"/>
        <v>0.87740468827985718</v>
      </c>
      <c r="M63" s="46">
        <f t="shared" si="7"/>
        <v>0.87740468827985718</v>
      </c>
      <c r="N63" s="75">
        <v>0.94643653282667362</v>
      </c>
      <c r="O63" s="89">
        <f t="shared" si="4"/>
        <v>0.87740468827985718</v>
      </c>
      <c r="P63" s="4">
        <v>40377</v>
      </c>
      <c r="Q63" s="4">
        <v>0.98323806162233796</v>
      </c>
      <c r="R63" s="4">
        <v>3970</v>
      </c>
      <c r="S63" s="100">
        <f t="shared" si="13"/>
        <v>3522.4622577400078</v>
      </c>
      <c r="T63" s="101">
        <f t="shared" si="18"/>
        <v>447.53774225999223</v>
      </c>
      <c r="U63" s="40">
        <v>40725</v>
      </c>
      <c r="V63" s="95">
        <v>0.35599999999999998</v>
      </c>
      <c r="Y63" s="93">
        <v>37813</v>
      </c>
      <c r="Z63" s="95">
        <v>0.77500000000000002</v>
      </c>
      <c r="AA63" s="93">
        <f t="shared" si="14"/>
        <v>37820</v>
      </c>
      <c r="AB63" s="92">
        <f>Logistic2010!Q63</f>
        <v>0.78859738904460508</v>
      </c>
      <c r="AC63" s="4">
        <f t="shared" si="9"/>
        <v>0.98323806162233796</v>
      </c>
      <c r="AD63" s="92">
        <f>Logistic2011!Q63</f>
        <v>0.86381250435994517</v>
      </c>
      <c r="AE63" s="92">
        <f>Logistic2012!Q63</f>
        <v>0.98323806162233796</v>
      </c>
      <c r="AF63" s="92">
        <f t="shared" si="15"/>
        <v>0.87740468827985718</v>
      </c>
      <c r="AH63" s="115"/>
      <c r="AI63" s="115"/>
      <c r="AJ63" s="115"/>
      <c r="AK63" s="115"/>
      <c r="AL63" s="115"/>
      <c r="AM63" t="s">
        <v>28</v>
      </c>
      <c r="AN63"/>
      <c r="AO63"/>
      <c r="AP63"/>
      <c r="AQ63"/>
      <c r="AR63"/>
      <c r="AS63"/>
    </row>
    <row r="64" spans="2:45" ht="16.5" thickBot="1" x14ac:dyDescent="0.3">
      <c r="B64" s="56"/>
      <c r="C64" s="80"/>
      <c r="D64" s="87" t="str">
        <f t="shared" si="5"/>
        <v/>
      </c>
      <c r="E64" s="82"/>
      <c r="F64" s="50" t="str">
        <f t="shared" si="0"/>
        <v/>
      </c>
      <c r="G64" s="16" t="str">
        <f t="shared" si="1"/>
        <v/>
      </c>
      <c r="H64" s="51" t="str">
        <f t="shared" si="2"/>
        <v/>
      </c>
      <c r="I64" s="54"/>
      <c r="J64" s="105">
        <f t="shared" si="6"/>
        <v>37821</v>
      </c>
      <c r="K64" s="109">
        <v>56.5</v>
      </c>
      <c r="L64" s="90">
        <f t="shared" si="3"/>
        <v>0.8971354919418093</v>
      </c>
      <c r="M64" s="46">
        <f t="shared" si="7"/>
        <v>0.8971354919418093</v>
      </c>
      <c r="N64" s="76">
        <v>0.95837894884125729</v>
      </c>
      <c r="O64" s="89">
        <f t="shared" si="4"/>
        <v>0.8971354919418093</v>
      </c>
      <c r="P64" s="4">
        <v>40378</v>
      </c>
      <c r="Q64" s="4">
        <v>0.98736255895680802</v>
      </c>
      <c r="R64" s="4">
        <v>5509</v>
      </c>
      <c r="S64" s="100">
        <f t="shared" si="13"/>
        <v>4988.7782646904425</v>
      </c>
      <c r="T64" s="101">
        <f t="shared" si="18"/>
        <v>520.22173530955752</v>
      </c>
      <c r="U64" s="49">
        <v>40726</v>
      </c>
      <c r="V64" s="95"/>
      <c r="Y64" s="93">
        <v>37816</v>
      </c>
      <c r="Z64" s="95">
        <v>0.93</v>
      </c>
      <c r="AA64" s="93">
        <f t="shared" si="14"/>
        <v>37821</v>
      </c>
      <c r="AB64" s="92">
        <f>Logistic2010!Q64</f>
        <v>0.82000157910537541</v>
      </c>
      <c r="AC64" s="4">
        <f t="shared" si="9"/>
        <v>0.98736255895680802</v>
      </c>
      <c r="AD64" s="92">
        <f>Logistic2011!Q64</f>
        <v>0.89080976473363638</v>
      </c>
      <c r="AE64" s="92">
        <f>Logistic2012!Q64</f>
        <v>0.98736255895680802</v>
      </c>
      <c r="AF64" s="92">
        <f t="shared" si="15"/>
        <v>0.8971354919418093</v>
      </c>
      <c r="AH64" s="110"/>
      <c r="AI64" s="110"/>
      <c r="AJ64" s="110"/>
      <c r="AK64" s="110"/>
      <c r="AL64" s="110"/>
      <c r="AM64"/>
      <c r="AN64"/>
      <c r="AO64"/>
      <c r="AP64"/>
      <c r="AQ64"/>
      <c r="AR64"/>
      <c r="AS64"/>
    </row>
    <row r="65" spans="2:45" ht="16.5" thickBot="1" x14ac:dyDescent="0.3">
      <c r="B65" s="57">
        <f>C5</f>
        <v>37833</v>
      </c>
      <c r="C65" s="58">
        <v>100</v>
      </c>
      <c r="D65" s="84">
        <f t="shared" si="5"/>
        <v>68</v>
      </c>
      <c r="E65" s="59">
        <v>1</v>
      </c>
      <c r="F65" s="60">
        <f t="shared" si="0"/>
        <v>0.98833597187069377</v>
      </c>
      <c r="G65" s="61">
        <f t="shared" si="1"/>
        <v>1.1664028129306225E-2</v>
      </c>
      <c r="H65" s="62">
        <f t="shared" si="2"/>
        <v>1.3604955220124688E-2</v>
      </c>
      <c r="I65" s="54"/>
      <c r="J65" s="105">
        <f t="shared" si="6"/>
        <v>37822</v>
      </c>
      <c r="K65" s="109">
        <v>57.5</v>
      </c>
      <c r="L65" s="90">
        <f t="shared" si="3"/>
        <v>0.91400201566045702</v>
      </c>
      <c r="M65" s="46">
        <f t="shared" si="7"/>
        <v>0.91400201566045702</v>
      </c>
      <c r="N65" s="75">
        <v>0.96774943709406713</v>
      </c>
      <c r="O65" s="89">
        <f t="shared" si="4"/>
        <v>0.91400201566045702</v>
      </c>
      <c r="P65" s="4">
        <v>40379</v>
      </c>
      <c r="Q65" s="4">
        <v>0.99048199337810516</v>
      </c>
      <c r="R65" s="4">
        <v>2314</v>
      </c>
      <c r="S65" s="100">
        <f t="shared" si="13"/>
        <v>2131.5711044204236</v>
      </c>
      <c r="T65" s="101">
        <f t="shared" si="18"/>
        <v>182.42889557957642</v>
      </c>
      <c r="U65" s="49">
        <v>40727</v>
      </c>
      <c r="V65" s="95"/>
      <c r="Y65" s="93">
        <v>37819</v>
      </c>
      <c r="Z65" s="95">
        <v>0.997</v>
      </c>
      <c r="AA65" s="93">
        <f t="shared" si="14"/>
        <v>37822</v>
      </c>
      <c r="AB65" s="92">
        <f>Logistic2010!Q65</f>
        <v>0.84764193896050799</v>
      </c>
      <c r="AC65" s="4">
        <f t="shared" si="9"/>
        <v>0.99048199337810516</v>
      </c>
      <c r="AD65" s="92">
        <f>Logistic2011!Q65</f>
        <v>0.91299424895614467</v>
      </c>
      <c r="AE65" s="92">
        <f>Logistic2012!Q65</f>
        <v>0.99048199337810516</v>
      </c>
      <c r="AF65" s="92">
        <f t="shared" si="15"/>
        <v>0.91400201566045702</v>
      </c>
      <c r="AH65" s="110"/>
      <c r="AI65" s="110"/>
      <c r="AJ65" s="110"/>
      <c r="AK65" s="110"/>
      <c r="AL65" s="110"/>
      <c r="AM65" t="s">
        <v>29</v>
      </c>
      <c r="AN65"/>
      <c r="AO65"/>
      <c r="AP65"/>
      <c r="AQ65"/>
      <c r="AR65"/>
      <c r="AS65"/>
    </row>
    <row r="66" spans="2:45" ht="16.5" thickBot="1" x14ac:dyDescent="0.3">
      <c r="B66" s="57">
        <f>A3</f>
        <v>37766</v>
      </c>
      <c r="C66" s="58">
        <v>100</v>
      </c>
      <c r="D66" s="84">
        <f>IF(B66&lt;&gt;0,B66-$A$3+1,"")</f>
        <v>1</v>
      </c>
      <c r="E66" s="59">
        <v>0</v>
      </c>
      <c r="F66" s="60">
        <f>IF(B66&lt;&gt;0,$G$3/(1+EXP(-$G$4*(D66-$G$5))),"")</f>
        <v>1.4960375861518074E-4</v>
      </c>
      <c r="G66" s="61">
        <f>IF(B66&lt;&gt;0,E66-F66,"")</f>
        <v>-1.4960375861518074E-4</v>
      </c>
      <c r="H66" s="62">
        <f>IF(B66&lt;&gt;0,C66*(G66)^2,"")</f>
        <v>2.2381284591789266E-6</v>
      </c>
      <c r="I66" s="68"/>
      <c r="J66" s="105">
        <f t="shared" si="6"/>
        <v>37823</v>
      </c>
      <c r="K66" s="109">
        <v>58.5</v>
      </c>
      <c r="L66" s="90">
        <f t="shared" si="3"/>
        <v>0.92832391728718622</v>
      </c>
      <c r="M66" s="46">
        <f t="shared" si="7"/>
        <v>0.92832391728718622</v>
      </c>
      <c r="N66" s="75">
        <v>0.97506515897383861</v>
      </c>
      <c r="O66" s="89">
        <f t="shared" si="4"/>
        <v>0.92832391728718622</v>
      </c>
      <c r="P66" s="4">
        <v>40380</v>
      </c>
      <c r="Q66" s="4">
        <v>0.99283701063466723</v>
      </c>
      <c r="R66" s="4">
        <v>2271</v>
      </c>
      <c r="S66" s="100">
        <f t="shared" si="13"/>
        <v>2121.9543694220547</v>
      </c>
      <c r="T66" s="101">
        <f t="shared" si="18"/>
        <v>149.0456305779453</v>
      </c>
      <c r="U66" s="49">
        <v>40728</v>
      </c>
      <c r="V66" s="95"/>
      <c r="Y66" s="93">
        <v>37823</v>
      </c>
      <c r="Z66" s="95">
        <v>0.99399999999999999</v>
      </c>
      <c r="AA66" s="93">
        <f t="shared" si="14"/>
        <v>37823</v>
      </c>
      <c r="AB66" s="92">
        <f>Logistic2010!Q66</f>
        <v>0.8717019610426997</v>
      </c>
      <c r="AC66" s="4">
        <f t="shared" si="9"/>
        <v>0.99283701063466723</v>
      </c>
      <c r="AD66" s="92">
        <f>Logistic2011!Q66</f>
        <v>0.93102046958550611</v>
      </c>
      <c r="AE66" s="92">
        <f>Logistic2012!Q66</f>
        <v>0.99283701063466723</v>
      </c>
      <c r="AF66" s="92">
        <f t="shared" si="15"/>
        <v>0.92832391728718622</v>
      </c>
      <c r="AH66" s="113"/>
      <c r="AI66" s="113"/>
      <c r="AJ66" s="113"/>
      <c r="AK66" s="113"/>
      <c r="AL66" s="113"/>
      <c r="AM66" s="112" t="s">
        <v>30</v>
      </c>
      <c r="AN66" s="112" t="s">
        <v>31</v>
      </c>
      <c r="AO66" s="112" t="s">
        <v>32</v>
      </c>
      <c r="AP66" s="112" t="s">
        <v>33</v>
      </c>
      <c r="AQ66" s="112" t="s">
        <v>34</v>
      </c>
      <c r="AR66"/>
      <c r="AS66"/>
    </row>
    <row r="67" spans="2:45" x14ac:dyDescent="0.25">
      <c r="B67" s="63"/>
      <c r="C67" s="64"/>
      <c r="D67" s="65"/>
      <c r="E67" s="64"/>
      <c r="F67" s="66"/>
      <c r="G67" s="67"/>
      <c r="H67" s="67"/>
      <c r="I67" s="68"/>
      <c r="J67" s="105">
        <f t="shared" si="6"/>
        <v>37824</v>
      </c>
      <c r="K67" s="109">
        <v>59.5</v>
      </c>
      <c r="L67" s="90">
        <f t="shared" si="3"/>
        <v>0.94041617027076585</v>
      </c>
      <c r="M67" s="46">
        <f t="shared" si="7"/>
        <v>0.94041617027076585</v>
      </c>
      <c r="N67" s="76">
        <v>0.98075438398529091</v>
      </c>
      <c r="O67" s="89">
        <f t="shared" si="4"/>
        <v>0.94041617027076585</v>
      </c>
      <c r="P67" s="4">
        <v>40381</v>
      </c>
      <c r="Q67" s="4">
        <v>0.99461250113431077</v>
      </c>
      <c r="R67" s="4">
        <v>2019</v>
      </c>
      <c r="S67" s="100">
        <f t="shared" si="13"/>
        <v>1908.9575914605871</v>
      </c>
      <c r="T67" s="101">
        <f t="shared" si="18"/>
        <v>110.04240853941292</v>
      </c>
      <c r="U67" s="49">
        <v>40729</v>
      </c>
      <c r="V67" s="95">
        <v>0.51500000000000001</v>
      </c>
      <c r="AA67" s="93">
        <f t="shared" si="14"/>
        <v>37824</v>
      </c>
      <c r="AB67" s="92">
        <f>Logistic2010!Q67</f>
        <v>0.89244459206165738</v>
      </c>
      <c r="AC67" s="4">
        <f t="shared" si="9"/>
        <v>0.99461250113431077</v>
      </c>
      <c r="AD67" s="92">
        <f>Logistic2011!Q67</f>
        <v>0.94553474019587147</v>
      </c>
      <c r="AE67" s="92">
        <f>Logistic2012!Q67</f>
        <v>0.99461250113431077</v>
      </c>
      <c r="AF67" s="92">
        <f t="shared" si="15"/>
        <v>0.94041617027076585</v>
      </c>
      <c r="AH67" s="113"/>
      <c r="AI67" s="113"/>
      <c r="AJ67" s="113"/>
      <c r="AK67" s="113"/>
      <c r="AL67" s="113"/>
      <c r="AM67" s="110">
        <v>2010</v>
      </c>
      <c r="AN67" s="110">
        <v>11</v>
      </c>
      <c r="AO67" s="110">
        <v>4.5669999999999993</v>
      </c>
      <c r="AP67" s="110">
        <v>0.4151818181818181</v>
      </c>
      <c r="AQ67" s="110">
        <v>0.13328476363636368</v>
      </c>
      <c r="AR67"/>
      <c r="AS67"/>
    </row>
    <row r="68" spans="2:45" ht="16.5" thickBot="1" x14ac:dyDescent="0.3">
      <c r="B68" s="63"/>
      <c r="C68" s="64"/>
      <c r="D68" s="65"/>
      <c r="E68" s="64"/>
      <c r="F68" s="69"/>
      <c r="G68" s="67"/>
      <c r="H68" s="67"/>
      <c r="I68" s="68"/>
      <c r="J68" s="105">
        <f t="shared" si="6"/>
        <v>37825</v>
      </c>
      <c r="K68" s="109">
        <v>60.5</v>
      </c>
      <c r="L68" s="90">
        <f t="shared" si="3"/>
        <v>0.95057698620331765</v>
      </c>
      <c r="M68" s="46">
        <f t="shared" si="7"/>
        <v>0.95057698620331765</v>
      </c>
      <c r="N68" s="76">
        <v>0.98516528350488675</v>
      </c>
      <c r="O68" s="89">
        <f t="shared" si="4"/>
        <v>0.95057698620331765</v>
      </c>
      <c r="P68" s="4">
        <v>40382</v>
      </c>
      <c r="Q68" s="4">
        <v>0.99594969608518535</v>
      </c>
      <c r="R68" s="4">
        <v>2115</v>
      </c>
      <c r="S68" s="100">
        <f t="shared" si="13"/>
        <v>2019.4627653324267</v>
      </c>
      <c r="T68" s="101">
        <f t="shared" si="18"/>
        <v>95.53723466757333</v>
      </c>
      <c r="U68" s="49">
        <v>40730</v>
      </c>
      <c r="V68" s="95"/>
      <c r="AA68" s="93">
        <f t="shared" si="14"/>
        <v>37825</v>
      </c>
      <c r="AB68" s="92">
        <f>Logistic2010!Q68</f>
        <v>0.91017920532930874</v>
      </c>
      <c r="AC68" s="4">
        <f t="shared" si="9"/>
        <v>0.99594969608518535</v>
      </c>
      <c r="AD68" s="92">
        <f>Logistic2011!Q68</f>
        <v>0.95713560982756274</v>
      </c>
      <c r="AE68" s="92">
        <f>Logistic2012!Q68</f>
        <v>0.99594969608518535</v>
      </c>
      <c r="AF68" s="92">
        <f t="shared" si="15"/>
        <v>0.95057698620331765</v>
      </c>
      <c r="AH68" s="113"/>
      <c r="AI68" s="113"/>
      <c r="AJ68" s="113"/>
      <c r="AK68" s="113"/>
      <c r="AL68" s="113"/>
      <c r="AM68" s="111">
        <v>2012</v>
      </c>
      <c r="AN68" s="111">
        <v>11</v>
      </c>
      <c r="AO68" s="111">
        <v>6.5350000000000001</v>
      </c>
      <c r="AP68" s="111">
        <v>0.59409090909090911</v>
      </c>
      <c r="AQ68" s="111">
        <v>0.17708689090909088</v>
      </c>
      <c r="AR68"/>
      <c r="AS68"/>
    </row>
    <row r="69" spans="2:45" x14ac:dyDescent="0.25">
      <c r="B69" s="63"/>
      <c r="C69" s="64"/>
      <c r="D69" s="65"/>
      <c r="E69" s="64"/>
      <c r="F69" s="64"/>
      <c r="G69" s="64"/>
      <c r="H69" s="64"/>
      <c r="I69" s="53"/>
      <c r="J69" s="105">
        <f t="shared" si="6"/>
        <v>37826</v>
      </c>
      <c r="K69" s="109">
        <v>61.5</v>
      </c>
      <c r="L69" s="90">
        <f t="shared" si="3"/>
        <v>0.95908047510394157</v>
      </c>
      <c r="M69" s="46">
        <f t="shared" si="7"/>
        <v>0.95908047510394157</v>
      </c>
      <c r="N69" s="76">
        <v>0.9885770241743157</v>
      </c>
      <c r="O69" s="89">
        <f t="shared" si="4"/>
        <v>0.95908047510394157</v>
      </c>
      <c r="P69" s="4">
        <v>40383</v>
      </c>
      <c r="Q69" s="4">
        <v>0.99695601060889649</v>
      </c>
      <c r="R69" s="4">
        <v>2946</v>
      </c>
      <c r="S69" s="100">
        <f t="shared" si="13"/>
        <v>2835.8983078796141</v>
      </c>
      <c r="T69" s="101">
        <f t="shared" si="18"/>
        <v>110.10169212038591</v>
      </c>
      <c r="U69" s="49">
        <v>40731</v>
      </c>
      <c r="V69" s="95"/>
      <c r="AA69" s="93">
        <f t="shared" si="14"/>
        <v>37826</v>
      </c>
      <c r="AB69" s="92">
        <f>Logistic2010!Q69</f>
        <v>0.92523457092805417</v>
      </c>
      <c r="AC69" s="4">
        <f t="shared" si="9"/>
        <v>0.99695601060889649</v>
      </c>
      <c r="AD69" s="92">
        <f>Logistic2011!Q69</f>
        <v>0.96635347078003297</v>
      </c>
      <c r="AE69" s="92">
        <f>Logistic2012!Q69</f>
        <v>0.99695601060889649</v>
      </c>
      <c r="AF69" s="92">
        <f t="shared" si="15"/>
        <v>0.95908047510394157</v>
      </c>
      <c r="AH69" s="115"/>
      <c r="AI69" s="115"/>
      <c r="AJ69" s="115"/>
      <c r="AK69" s="115"/>
      <c r="AL69" s="115"/>
      <c r="AM69"/>
      <c r="AN69"/>
      <c r="AO69"/>
      <c r="AP69"/>
      <c r="AQ69"/>
      <c r="AR69"/>
      <c r="AS69"/>
    </row>
    <row r="70" spans="2:45" ht="16.5" thickBot="1" x14ac:dyDescent="0.3">
      <c r="B70" s="63"/>
      <c r="C70" s="64"/>
      <c r="D70" s="65"/>
      <c r="E70" s="64"/>
      <c r="F70" s="64"/>
      <c r="G70" s="64"/>
      <c r="H70" s="64"/>
      <c r="I70" s="53"/>
      <c r="J70" s="105">
        <f t="shared" si="6"/>
        <v>37827</v>
      </c>
      <c r="K70" s="109">
        <v>62.5</v>
      </c>
      <c r="L70" s="90">
        <f t="shared" si="3"/>
        <v>0.96617295862288388</v>
      </c>
      <c r="M70" s="46">
        <f t="shared" si="7"/>
        <v>0.96617295862288388</v>
      </c>
      <c r="N70" s="76">
        <v>0.99121112062050309</v>
      </c>
      <c r="O70" s="89">
        <f t="shared" si="4"/>
        <v>0.96617295862288388</v>
      </c>
      <c r="P70" s="4">
        <v>40384</v>
      </c>
      <c r="Q70" s="4">
        <v>0.99771287634461936</v>
      </c>
      <c r="R70" s="4">
        <v>2623</v>
      </c>
      <c r="S70" s="100">
        <f t="shared" si="13"/>
        <v>2542.0081535530226</v>
      </c>
      <c r="T70" s="101">
        <f t="shared" si="18"/>
        <v>80.991846446977434</v>
      </c>
      <c r="U70" s="49">
        <v>40732</v>
      </c>
      <c r="AA70" s="93">
        <f t="shared" si="14"/>
        <v>37827</v>
      </c>
      <c r="AB70" s="92">
        <f>Logistic2010!Q70</f>
        <v>0.93793849093008874</v>
      </c>
      <c r="AC70" s="4">
        <f t="shared" si="9"/>
        <v>0.99771287634461936</v>
      </c>
      <c r="AD70" s="92">
        <f>Logistic2011!Q70</f>
        <v>0.97364364314605079</v>
      </c>
      <c r="AE70" s="92">
        <f>Logistic2012!Q70</f>
        <v>0.99771287634461936</v>
      </c>
      <c r="AF70" s="92">
        <f t="shared" si="15"/>
        <v>0.96617295862288388</v>
      </c>
      <c r="AH70" s="110"/>
      <c r="AI70" s="110"/>
      <c r="AJ70" s="110"/>
      <c r="AK70" s="110"/>
      <c r="AL70" s="110"/>
      <c r="AM70"/>
      <c r="AN70"/>
      <c r="AO70"/>
      <c r="AP70"/>
      <c r="AQ70"/>
      <c r="AR70"/>
      <c r="AS70"/>
    </row>
    <row r="71" spans="2:45" ht="16.5" thickBot="1" x14ac:dyDescent="0.3">
      <c r="B71" s="63"/>
      <c r="C71" s="64"/>
      <c r="D71" s="65"/>
      <c r="E71" s="64"/>
      <c r="F71" s="64"/>
      <c r="G71" s="64"/>
      <c r="H71" s="64"/>
      <c r="I71" s="53"/>
      <c r="J71" s="105">
        <f t="shared" si="6"/>
        <v>37828</v>
      </c>
      <c r="K71" s="109">
        <v>63.5</v>
      </c>
      <c r="L71" s="90">
        <f t="shared" si="3"/>
        <v>0.97207191636988943</v>
      </c>
      <c r="M71" s="46">
        <f t="shared" si="7"/>
        <v>0.97207191636988943</v>
      </c>
      <c r="N71" s="76">
        <v>0.99324195641616453</v>
      </c>
      <c r="O71" s="89">
        <f t="shared" si="4"/>
        <v>0.97207191636988943</v>
      </c>
      <c r="P71" s="4">
        <v>40385</v>
      </c>
      <c r="Q71" s="4">
        <v>0.99828187726084372</v>
      </c>
      <c r="U71" s="40">
        <v>40733</v>
      </c>
      <c r="V71" s="95"/>
      <c r="AA71" s="93">
        <f t="shared" si="14"/>
        <v>37828</v>
      </c>
      <c r="AB71" s="92">
        <f>Logistic2010!Q71</f>
        <v>0.94860370829645768</v>
      </c>
      <c r="AC71" s="4">
        <f t="shared" si="9"/>
        <v>0.99828187726084372</v>
      </c>
      <c r="AD71" s="92">
        <f>Logistic2011!Q71</f>
        <v>0.97938794995342149</v>
      </c>
      <c r="AE71" s="92">
        <f>Logistic2012!Q71</f>
        <v>0.99828187726084372</v>
      </c>
      <c r="AF71" s="92">
        <f t="shared" si="15"/>
        <v>0.97207191636988943</v>
      </c>
      <c r="AH71" s="110"/>
      <c r="AI71" s="110"/>
      <c r="AJ71" s="110"/>
      <c r="AK71" s="110"/>
      <c r="AL71" s="110"/>
      <c r="AM71" t="s">
        <v>35</v>
      </c>
      <c r="AN71"/>
      <c r="AO71"/>
      <c r="AP71"/>
      <c r="AQ71"/>
      <c r="AR71"/>
      <c r="AS71"/>
    </row>
    <row r="72" spans="2:45" x14ac:dyDescent="0.25">
      <c r="B72" s="63"/>
      <c r="C72" s="64"/>
      <c r="D72" s="65"/>
      <c r="E72" s="64"/>
      <c r="F72" s="64"/>
      <c r="G72" s="64"/>
      <c r="H72" s="64"/>
      <c r="I72" s="53"/>
      <c r="J72" s="105">
        <f t="shared" si="6"/>
        <v>37829</v>
      </c>
      <c r="K72" s="109">
        <v>64.5</v>
      </c>
      <c r="L72" s="90">
        <f t="shared" si="3"/>
        <v>0.97696670309022537</v>
      </c>
      <c r="M72" s="46">
        <f t="shared" si="7"/>
        <v>0.97696670309022537</v>
      </c>
      <c r="N72" s="76">
        <v>0.99480598839313295</v>
      </c>
      <c r="O72" s="89">
        <f t="shared" si="4"/>
        <v>0.97696670309022537</v>
      </c>
      <c r="P72" s="4">
        <v>40386</v>
      </c>
      <c r="Q72" s="4">
        <v>0.99870950266811021</v>
      </c>
      <c r="U72" s="49">
        <v>40734</v>
      </c>
      <c r="V72" s="95"/>
      <c r="AA72" s="93">
        <f t="shared" si="14"/>
        <v>37829</v>
      </c>
      <c r="AB72" s="92">
        <f>Logistic2010!Q72</f>
        <v>0.95751912825764318</v>
      </c>
      <c r="AC72" s="4">
        <f t="shared" si="9"/>
        <v>0.99870950266811021</v>
      </c>
      <c r="AD72" s="92">
        <f>Logistic2011!Q72</f>
        <v>0.98390099930162234</v>
      </c>
      <c r="AE72" s="92">
        <f>Logistic2012!Q72</f>
        <v>0.99870950266811021</v>
      </c>
      <c r="AF72" s="92">
        <f t="shared" si="15"/>
        <v>0.97696670309022537</v>
      </c>
      <c r="AH72" s="110"/>
      <c r="AI72" s="110"/>
      <c r="AJ72" s="110"/>
      <c r="AK72" s="110"/>
      <c r="AL72" s="110"/>
      <c r="AM72" s="112" t="s">
        <v>36</v>
      </c>
      <c r="AN72" s="112" t="s">
        <v>37</v>
      </c>
      <c r="AO72" s="112" t="s">
        <v>38</v>
      </c>
      <c r="AP72" s="112" t="s">
        <v>39</v>
      </c>
      <c r="AQ72" s="112" t="s">
        <v>40</v>
      </c>
      <c r="AR72" s="112" t="s">
        <v>41</v>
      </c>
      <c r="AS72" s="112" t="s">
        <v>42</v>
      </c>
    </row>
    <row r="73" spans="2:45" x14ac:dyDescent="0.25">
      <c r="B73" s="63"/>
      <c r="C73" s="64"/>
      <c r="D73" s="65"/>
      <c r="E73" s="64"/>
      <c r="F73" s="64"/>
      <c r="G73" s="64"/>
      <c r="H73" s="64"/>
      <c r="I73" s="53"/>
      <c r="J73" s="105">
        <f t="shared" si="6"/>
        <v>37830</v>
      </c>
      <c r="K73" s="109">
        <v>65.5</v>
      </c>
      <c r="L73" s="90">
        <f t="shared" ref="L73:L104" si="19">$G$3/(1+EXP(-$G$4*(K73-$G$5)))</f>
        <v>0.98102036011876015</v>
      </c>
      <c r="M73" s="46">
        <f t="shared" si="7"/>
        <v>0.98102036011876015</v>
      </c>
      <c r="N73" s="77">
        <v>0.99600950655454856</v>
      </c>
      <c r="O73" s="89">
        <f t="shared" ref="O73:O104" si="20">IF(N73=M73,N73,M73)</f>
        <v>0.98102036011876015</v>
      </c>
      <c r="P73" s="4">
        <v>40387</v>
      </c>
      <c r="Q73" s="4">
        <v>0.99903079926177196</v>
      </c>
      <c r="U73" s="49">
        <v>40735</v>
      </c>
      <c r="AA73" s="93">
        <f t="shared" si="14"/>
        <v>37830</v>
      </c>
      <c r="AB73" s="92">
        <f>Logistic2010!Q73</f>
        <v>0.96494519123476252</v>
      </c>
      <c r="AC73" s="4">
        <f t="shared" si="9"/>
        <v>0.99903079926177196</v>
      </c>
      <c r="AD73" s="92">
        <f>Logistic2011!Q73</f>
        <v>0.98743858120527517</v>
      </c>
      <c r="AE73" s="92">
        <f>Logistic2012!Q73</f>
        <v>0.99903079926177196</v>
      </c>
      <c r="AF73" s="92">
        <f t="shared" si="15"/>
        <v>0.98102036011876015</v>
      </c>
      <c r="AH73" s="110"/>
      <c r="AI73" s="110"/>
      <c r="AJ73" s="110"/>
      <c r="AK73" s="110"/>
      <c r="AL73" s="110"/>
      <c r="AM73" s="110" t="s">
        <v>43</v>
      </c>
      <c r="AN73" s="110">
        <v>0.17604654545454501</v>
      </c>
      <c r="AO73" s="110">
        <v>1</v>
      </c>
      <c r="AP73" s="110">
        <v>0.17604654545454501</v>
      </c>
      <c r="AQ73" s="110">
        <v>1.1344241194471747</v>
      </c>
      <c r="AR73" s="110">
        <v>0.29952392223625568</v>
      </c>
      <c r="AS73" s="110">
        <v>4.351243478421539</v>
      </c>
    </row>
    <row r="74" spans="2:45" x14ac:dyDescent="0.25">
      <c r="B74" s="63"/>
      <c r="C74" s="64"/>
      <c r="D74" s="65"/>
      <c r="E74" s="64"/>
      <c r="F74" s="64"/>
      <c r="G74" s="64"/>
      <c r="H74" s="64"/>
      <c r="I74" s="53"/>
      <c r="J74" s="105">
        <f t="shared" ref="J74:J107" si="21">J73+1</f>
        <v>37831</v>
      </c>
      <c r="K74" s="109">
        <v>66.5</v>
      </c>
      <c r="L74" s="90">
        <f t="shared" si="19"/>
        <v>0.98437202125506518</v>
      </c>
      <c r="M74" s="46">
        <f t="shared" ref="M74:M107" si="22">IF(J75&gt;MAX($B$9:$B$64),L74,N74)</f>
        <v>0.98437202125506518</v>
      </c>
      <c r="N74" s="77">
        <v>0.99693501353750869</v>
      </c>
      <c r="O74" s="89">
        <f t="shared" si="20"/>
        <v>0.98437202125506518</v>
      </c>
      <c r="P74" s="4">
        <v>40388</v>
      </c>
      <c r="Q74" s="4">
        <v>0.99927216057350388</v>
      </c>
      <c r="U74" s="49">
        <v>40736</v>
      </c>
      <c r="V74" s="95"/>
      <c r="AA74" s="93">
        <f t="shared" si="14"/>
        <v>37831</v>
      </c>
      <c r="AB74" s="92">
        <f>Logistic2010!Q74</f>
        <v>0.97111227157250635</v>
      </c>
      <c r="AC74" s="4">
        <f t="shared" si="9"/>
        <v>0.99927216057350388</v>
      </c>
      <c r="AD74" s="92">
        <f>Logistic2011!Q74</f>
        <v>0.9902065550659539</v>
      </c>
      <c r="AE74" s="92">
        <f>Logistic2012!Q74</f>
        <v>0.99927216057350388</v>
      </c>
      <c r="AF74" s="92">
        <f t="shared" si="15"/>
        <v>0.98437202125506518</v>
      </c>
      <c r="AM74" s="110" t="s">
        <v>44</v>
      </c>
      <c r="AN74" s="110">
        <v>3.1037165454545459</v>
      </c>
      <c r="AO74" s="110">
        <v>20</v>
      </c>
      <c r="AP74" s="110">
        <v>0.15518582727272728</v>
      </c>
      <c r="AQ74" s="110"/>
      <c r="AR74" s="110"/>
      <c r="AS74" s="110"/>
    </row>
    <row r="75" spans="2:45" x14ac:dyDescent="0.25">
      <c r="B75" s="63"/>
      <c r="C75" s="64"/>
      <c r="D75" s="65"/>
      <c r="E75" s="64"/>
      <c r="F75" s="64"/>
      <c r="G75" s="64"/>
      <c r="H75" s="64"/>
      <c r="I75" s="53"/>
      <c r="J75" s="105">
        <f t="shared" si="21"/>
        <v>37832</v>
      </c>
      <c r="K75" s="109">
        <v>67.5</v>
      </c>
      <c r="L75" s="90">
        <f t="shared" si="19"/>
        <v>0.98713956340918307</v>
      </c>
      <c r="M75" s="46">
        <f t="shared" si="22"/>
        <v>0.98713956340918307</v>
      </c>
      <c r="N75" s="77">
        <v>0.99764637681040835</v>
      </c>
      <c r="O75" s="89">
        <f t="shared" si="20"/>
        <v>0.98713956340918307</v>
      </c>
      <c r="P75" s="4">
        <v>40389</v>
      </c>
      <c r="Q75" s="4">
        <v>0.99945344824920912</v>
      </c>
      <c r="U75" s="49">
        <v>40737</v>
      </c>
      <c r="V75" s="95"/>
      <c r="AA75" s="93">
        <f t="shared" si="14"/>
        <v>37832</v>
      </c>
      <c r="AB75" s="92">
        <f>Logistic2010!Q75</f>
        <v>0.97622113342645345</v>
      </c>
      <c r="AC75" s="4">
        <f t="shared" si="9"/>
        <v>0.99945344824920912</v>
      </c>
      <c r="AD75" s="92">
        <f>Logistic2011!Q75</f>
        <v>0.99236930496689024</v>
      </c>
      <c r="AE75" s="92">
        <f>Logistic2012!Q75</f>
        <v>0.99945344824920912</v>
      </c>
      <c r="AF75" s="92">
        <f t="shared" si="15"/>
        <v>0.98713956340918307</v>
      </c>
      <c r="AM75" s="110"/>
      <c r="AN75" s="110"/>
      <c r="AO75" s="110"/>
      <c r="AP75" s="110"/>
      <c r="AQ75" s="110"/>
      <c r="AR75" s="110"/>
      <c r="AS75" s="110"/>
    </row>
    <row r="76" spans="2:45" ht="16.5" thickBot="1" x14ac:dyDescent="0.3">
      <c r="B76" s="63"/>
      <c r="C76" s="64"/>
      <c r="D76" s="65"/>
      <c r="E76" s="64"/>
      <c r="F76" s="64"/>
      <c r="G76" s="64"/>
      <c r="H76" s="64"/>
      <c r="I76" s="53"/>
      <c r="J76" s="105">
        <f t="shared" si="21"/>
        <v>37833</v>
      </c>
      <c r="K76" s="109">
        <v>68.5</v>
      </c>
      <c r="L76" s="90">
        <f t="shared" si="19"/>
        <v>0.98942227092402102</v>
      </c>
      <c r="M76" s="46">
        <f t="shared" si="22"/>
        <v>0.98942227092402102</v>
      </c>
      <c r="N76" s="77">
        <v>0.9981929365976735</v>
      </c>
      <c r="O76" s="89">
        <f t="shared" si="20"/>
        <v>0.98942227092402102</v>
      </c>
      <c r="P76" s="4">
        <v>40390</v>
      </c>
      <c r="Q76" s="4">
        <v>0.99958959997534225</v>
      </c>
      <c r="U76" s="49">
        <v>40738</v>
      </c>
      <c r="AA76" s="93">
        <f t="shared" si="14"/>
        <v>37833</v>
      </c>
      <c r="AB76" s="92">
        <f>Logistic2010!Q76</f>
        <v>0.98044467529540402</v>
      </c>
      <c r="AC76" s="4">
        <f t="shared" ref="AC76" si="23">AE76</f>
        <v>0.99958959997534225</v>
      </c>
      <c r="AD76" s="92">
        <f>Logistic2011!Q76</f>
        <v>0.99405730717928753</v>
      </c>
      <c r="AE76" s="92">
        <f>Logistic2012!Q76</f>
        <v>0.99958959997534225</v>
      </c>
      <c r="AF76" s="92">
        <f t="shared" si="15"/>
        <v>0.98942227092402102</v>
      </c>
      <c r="AM76" s="111" t="s">
        <v>45</v>
      </c>
      <c r="AN76" s="111">
        <v>3.2797630909090909</v>
      </c>
      <c r="AO76" s="111">
        <v>21</v>
      </c>
      <c r="AP76" s="111"/>
      <c r="AQ76" s="111"/>
      <c r="AR76" s="111"/>
      <c r="AS76" s="111"/>
    </row>
    <row r="77" spans="2:45" ht="16.5" thickBot="1" x14ac:dyDescent="0.3">
      <c r="B77" s="63"/>
      <c r="C77" s="64"/>
      <c r="D77" s="65"/>
      <c r="E77" s="64"/>
      <c r="F77" s="64"/>
      <c r="G77" s="64"/>
      <c r="H77" s="64"/>
      <c r="I77" s="53"/>
      <c r="J77" s="105">
        <f t="shared" si="21"/>
        <v>37834</v>
      </c>
      <c r="K77" s="109">
        <v>69.5</v>
      </c>
      <c r="L77" s="90">
        <f t="shared" si="19"/>
        <v>0.99130337098214805</v>
      </c>
      <c r="M77" s="46">
        <f t="shared" si="22"/>
        <v>0.99130337098214805</v>
      </c>
      <c r="N77" s="77">
        <v>0.99861275043215647</v>
      </c>
      <c r="O77" s="89">
        <f t="shared" si="20"/>
        <v>0.99130337098214805</v>
      </c>
      <c r="P77" s="4">
        <v>40391</v>
      </c>
      <c r="Q77" s="4">
        <v>0.999691845347639</v>
      </c>
      <c r="U77" s="49">
        <v>40739</v>
      </c>
      <c r="V77" s="95"/>
    </row>
    <row r="78" spans="2:45" x14ac:dyDescent="0.25">
      <c r="B78" s="63"/>
      <c r="C78" s="64"/>
      <c r="D78" s="65"/>
      <c r="E78" s="64"/>
      <c r="F78" s="64"/>
      <c r="G78" s="64"/>
      <c r="H78" s="64"/>
      <c r="I78" s="53"/>
      <c r="J78" s="105">
        <f t="shared" si="21"/>
        <v>37835</v>
      </c>
      <c r="K78" s="109">
        <v>70.5</v>
      </c>
      <c r="L78" s="90">
        <f t="shared" si="19"/>
        <v>0.99285236054475878</v>
      </c>
      <c r="M78" s="46">
        <f t="shared" si="22"/>
        <v>0.99285236054475878</v>
      </c>
      <c r="N78" s="77">
        <v>0.99893513788942956</v>
      </c>
      <c r="O78" s="89">
        <f t="shared" si="20"/>
        <v>0.99285236054475878</v>
      </c>
      <c r="P78" s="4">
        <v>40392</v>
      </c>
      <c r="Q78" s="4">
        <v>0.99976862362515118</v>
      </c>
      <c r="U78" s="40">
        <v>40740</v>
      </c>
      <c r="V78" s="95"/>
    </row>
    <row r="79" spans="2:45" x14ac:dyDescent="0.25">
      <c r="B79" s="63"/>
      <c r="C79" s="64"/>
      <c r="D79" s="65"/>
      <c r="E79" s="64"/>
      <c r="F79" s="64"/>
      <c r="G79" s="64"/>
      <c r="H79" s="64"/>
      <c r="I79" s="53"/>
      <c r="J79" s="105">
        <f t="shared" si="21"/>
        <v>37836</v>
      </c>
      <c r="K79" s="109">
        <v>71.5</v>
      </c>
      <c r="L79" s="90">
        <f t="shared" si="19"/>
        <v>0.99412708823440876</v>
      </c>
      <c r="M79" s="46">
        <f t="shared" si="22"/>
        <v>0.99412708823440876</v>
      </c>
      <c r="N79" s="77">
        <v>0.99918266599299976</v>
      </c>
      <c r="O79" s="89">
        <f t="shared" si="20"/>
        <v>0.99412708823440876</v>
      </c>
      <c r="P79" s="4">
        <v>40393</v>
      </c>
      <c r="Q79" s="4">
        <v>0.99982627553397851</v>
      </c>
      <c r="U79" s="49">
        <v>40741</v>
      </c>
    </row>
    <row r="80" spans="2:45" x14ac:dyDescent="0.25">
      <c r="B80" s="63"/>
      <c r="C80" s="64"/>
      <c r="D80" s="65"/>
      <c r="E80" s="64"/>
      <c r="F80" s="64"/>
      <c r="G80" s="64"/>
      <c r="H80" s="64"/>
      <c r="I80" s="53"/>
      <c r="J80" s="105">
        <f t="shared" si="21"/>
        <v>37837</v>
      </c>
      <c r="K80" s="109">
        <v>72.5</v>
      </c>
      <c r="L80" s="90">
        <f t="shared" si="19"/>
        <v>0.99517558250634286</v>
      </c>
      <c r="M80" s="46">
        <f t="shared" si="22"/>
        <v>0.99517558250634286</v>
      </c>
      <c r="N80" s="77">
        <v>0.99937269211089375</v>
      </c>
      <c r="O80" s="89">
        <f t="shared" si="20"/>
        <v>0.99517558250634286</v>
      </c>
      <c r="P80" s="4">
        <v>40394</v>
      </c>
      <c r="Q80" s="4">
        <v>0.99986956422634365</v>
      </c>
      <c r="U80" s="49">
        <v>40742</v>
      </c>
      <c r="V80" s="95"/>
    </row>
    <row r="81" spans="2:36" x14ac:dyDescent="0.25">
      <c r="B81" s="63"/>
      <c r="C81" s="64"/>
      <c r="D81" s="65"/>
      <c r="E81" s="64"/>
      <c r="F81" s="71"/>
      <c r="G81" s="64"/>
      <c r="H81" s="64"/>
      <c r="I81" s="53"/>
      <c r="J81" s="105">
        <f t="shared" si="21"/>
        <v>37838</v>
      </c>
      <c r="K81" s="109">
        <v>73.5</v>
      </c>
      <c r="L81" s="90">
        <f t="shared" si="19"/>
        <v>0.99603763459068995</v>
      </c>
      <c r="M81" s="46">
        <f t="shared" si="22"/>
        <v>0.99603763459068995</v>
      </c>
      <c r="N81" s="77">
        <v>0.99951855938287282</v>
      </c>
      <c r="O81" s="89">
        <f t="shared" si="20"/>
        <v>0.99603763459068995</v>
      </c>
      <c r="P81" s="4">
        <v>40395</v>
      </c>
      <c r="Q81" s="4">
        <v>0.99990206729144204</v>
      </c>
      <c r="U81" s="49">
        <v>40743</v>
      </c>
      <c r="V81" s="95"/>
    </row>
    <row r="82" spans="2:36" x14ac:dyDescent="0.25">
      <c r="B82" s="63"/>
      <c r="C82" s="64"/>
      <c r="D82" s="65"/>
      <c r="E82" s="64"/>
      <c r="F82" s="71"/>
      <c r="G82" s="64"/>
      <c r="H82" s="64"/>
      <c r="I82" s="53"/>
      <c r="J82" s="105">
        <f t="shared" si="21"/>
        <v>37839</v>
      </c>
      <c r="K82" s="109">
        <v>74.5</v>
      </c>
      <c r="L82" s="90">
        <f t="shared" si="19"/>
        <v>0.99674615435072378</v>
      </c>
      <c r="M82" s="46">
        <f t="shared" si="22"/>
        <v>0.99674615435072378</v>
      </c>
      <c r="N82" s="77">
        <v>0.99963052082493253</v>
      </c>
      <c r="O82" s="89">
        <f t="shared" si="20"/>
        <v>0.99674615435072378</v>
      </c>
      <c r="P82" s="4">
        <v>40396</v>
      </c>
      <c r="Q82" s="4">
        <v>0.99992647156951309</v>
      </c>
      <c r="U82" s="49">
        <v>40744</v>
      </c>
      <c r="V82" s="95"/>
    </row>
    <row r="83" spans="2:36" x14ac:dyDescent="0.25">
      <c r="B83" s="63"/>
      <c r="C83" s="64"/>
      <c r="D83" s="65"/>
      <c r="E83" s="64"/>
      <c r="F83" s="71"/>
      <c r="G83" s="64"/>
      <c r="H83" s="64"/>
      <c r="I83" s="53"/>
      <c r="J83" s="105">
        <f t="shared" si="21"/>
        <v>37840</v>
      </c>
      <c r="K83" s="109">
        <v>75.5</v>
      </c>
      <c r="L83" s="90">
        <f t="shared" si="19"/>
        <v>0.99732832187411258</v>
      </c>
      <c r="M83" s="46">
        <f t="shared" si="22"/>
        <v>0.99732832187411258</v>
      </c>
      <c r="N83" s="77">
        <v>0.99971645245567509</v>
      </c>
      <c r="O83" s="89">
        <f t="shared" si="20"/>
        <v>0.99732832187411258</v>
      </c>
      <c r="P83" s="4">
        <v>40397</v>
      </c>
      <c r="Q83" s="4">
        <v>0.99994479477502707</v>
      </c>
      <c r="U83" s="94">
        <v>40745</v>
      </c>
    </row>
    <row r="84" spans="2:36" x14ac:dyDescent="0.25">
      <c r="B84" s="63"/>
      <c r="C84" s="64"/>
      <c r="D84" s="65"/>
      <c r="E84" s="64"/>
      <c r="F84" s="71"/>
      <c r="G84" s="64"/>
      <c r="H84" s="64"/>
      <c r="I84" s="53"/>
      <c r="J84" s="105">
        <f t="shared" si="21"/>
        <v>37841</v>
      </c>
      <c r="K84" s="109">
        <v>76.5</v>
      </c>
      <c r="L84" s="90">
        <f t="shared" si="19"/>
        <v>0.99780655908362637</v>
      </c>
      <c r="M84" s="46">
        <f t="shared" si="22"/>
        <v>0.99780655908362637</v>
      </c>
      <c r="N84" s="77">
        <v>0.99978240288510523</v>
      </c>
      <c r="O84" s="89">
        <f t="shared" si="20"/>
        <v>0.99780655908362637</v>
      </c>
      <c r="P84" s="4">
        <v>40398</v>
      </c>
      <c r="Q84" s="4">
        <v>0.99995855204677475</v>
      </c>
    </row>
    <row r="85" spans="2:36" x14ac:dyDescent="0.25">
      <c r="B85" s="63"/>
      <c r="C85" s="64"/>
      <c r="D85" s="65"/>
      <c r="E85" s="64"/>
      <c r="F85" s="71"/>
      <c r="G85" s="64"/>
      <c r="H85" s="64"/>
      <c r="I85" s="53"/>
      <c r="J85" s="105">
        <f t="shared" si="21"/>
        <v>37842</v>
      </c>
      <c r="K85" s="109">
        <v>77.5</v>
      </c>
      <c r="L85" s="90">
        <f t="shared" si="19"/>
        <v>0.99819934517016595</v>
      </c>
      <c r="M85" s="46">
        <f t="shared" si="22"/>
        <v>0.99819934517016595</v>
      </c>
      <c r="N85" s="77">
        <v>0.99983301644163747</v>
      </c>
      <c r="O85" s="89">
        <f t="shared" si="20"/>
        <v>0.99819934517016595</v>
      </c>
      <c r="P85" s="4">
        <v>40399</v>
      </c>
      <c r="Q85" s="4">
        <v>0.99996888108077731</v>
      </c>
    </row>
    <row r="86" spans="2:36" x14ac:dyDescent="0.25">
      <c r="B86" s="63"/>
      <c r="C86" s="64"/>
      <c r="D86" s="65"/>
      <c r="E86" s="64"/>
      <c r="F86" s="71"/>
      <c r="G86" s="64"/>
      <c r="H86" s="64"/>
      <c r="I86" s="53"/>
      <c r="J86" s="105">
        <f t="shared" si="21"/>
        <v>37843</v>
      </c>
      <c r="K86" s="109">
        <v>78.5</v>
      </c>
      <c r="L86" s="90">
        <f t="shared" si="19"/>
        <v>0.99852189806080827</v>
      </c>
      <c r="M86" s="46">
        <f t="shared" si="22"/>
        <v>0.99852189806080827</v>
      </c>
      <c r="N86" s="77">
        <v>0.99987185868506689</v>
      </c>
      <c r="O86" s="89">
        <f t="shared" si="20"/>
        <v>0.99852189806080827</v>
      </c>
      <c r="P86" s="4">
        <v>40400</v>
      </c>
      <c r="Q86" s="4">
        <v>0.99997663612879639</v>
      </c>
      <c r="AJ86" s="4">
        <v>0.96399999999999997</v>
      </c>
    </row>
    <row r="87" spans="2:36" x14ac:dyDescent="0.25">
      <c r="B87" s="63"/>
      <c r="C87" s="64"/>
      <c r="D87" s="65"/>
      <c r="E87" s="64"/>
      <c r="F87" s="71"/>
      <c r="G87" s="64"/>
      <c r="H87" s="64"/>
      <c r="I87" s="53"/>
      <c r="J87" s="105">
        <f t="shared" si="21"/>
        <v>37844</v>
      </c>
      <c r="K87" s="109">
        <v>79.5</v>
      </c>
      <c r="L87" s="90">
        <f t="shared" si="19"/>
        <v>0.99878674199467044</v>
      </c>
      <c r="M87" s="46">
        <f t="shared" si="22"/>
        <v>0.99878674199467044</v>
      </c>
      <c r="N87" s="77">
        <v>0.9999016666768179</v>
      </c>
      <c r="O87" s="89">
        <f t="shared" si="20"/>
        <v>0.99878674199467044</v>
      </c>
      <c r="P87" s="4">
        <v>40401</v>
      </c>
      <c r="Q87" s="4">
        <v>0.99998245859958268</v>
      </c>
    </row>
    <row r="88" spans="2:36" x14ac:dyDescent="0.25">
      <c r="B88" s="63"/>
      <c r="C88" s="64"/>
      <c r="D88" s="65"/>
      <c r="E88" s="64"/>
      <c r="F88" s="71"/>
      <c r="G88" s="64"/>
      <c r="H88" s="64"/>
      <c r="I88" s="53"/>
      <c r="J88" s="105">
        <f t="shared" si="21"/>
        <v>37845</v>
      </c>
      <c r="K88" s="109">
        <v>80.5</v>
      </c>
      <c r="L88" s="90">
        <f t="shared" si="19"/>
        <v>0.99900417894335802</v>
      </c>
      <c r="M88" s="46">
        <f t="shared" si="22"/>
        <v>0.99900417894335802</v>
      </c>
      <c r="N88" s="77">
        <v>0.99992454131286057</v>
      </c>
      <c r="O88" s="89">
        <f t="shared" si="20"/>
        <v>0.99900417894335802</v>
      </c>
      <c r="P88" s="4">
        <v>40402</v>
      </c>
      <c r="Q88" s="4">
        <v>0.99998683008139233</v>
      </c>
    </row>
    <row r="89" spans="2:36" x14ac:dyDescent="0.25">
      <c r="B89" s="63"/>
      <c r="C89" s="64"/>
      <c r="D89" s="65"/>
      <c r="E89" s="64"/>
      <c r="F89" s="71"/>
      <c r="G89" s="64"/>
      <c r="H89" s="64"/>
      <c r="I89" s="53"/>
      <c r="J89" s="105">
        <f t="shared" si="21"/>
        <v>37846</v>
      </c>
      <c r="K89" s="109">
        <v>81.5</v>
      </c>
      <c r="L89" s="90">
        <f t="shared" si="19"/>
        <v>0.99918267929525939</v>
      </c>
      <c r="M89" s="46">
        <f t="shared" si="22"/>
        <v>0.99918267929525939</v>
      </c>
      <c r="N89" s="77">
        <v>0.99994209508049881</v>
      </c>
      <c r="O89" s="89">
        <f t="shared" si="20"/>
        <v>0.99918267929525939</v>
      </c>
      <c r="P89" s="4">
        <v>40403</v>
      </c>
      <c r="Q89" s="4">
        <v>0.99999011215963096</v>
      </c>
    </row>
    <row r="90" spans="2:36" x14ac:dyDescent="0.25">
      <c r="B90" s="63"/>
      <c r="C90" s="64"/>
      <c r="D90" s="65"/>
      <c r="E90" s="64"/>
      <c r="F90" s="71"/>
      <c r="G90" s="64"/>
      <c r="H90" s="64"/>
      <c r="I90" s="53"/>
      <c r="J90" s="105">
        <f t="shared" si="21"/>
        <v>37847</v>
      </c>
      <c r="K90" s="109">
        <v>82.5</v>
      </c>
      <c r="L90" s="90">
        <f t="shared" si="19"/>
        <v>0.99932920504591038</v>
      </c>
      <c r="M90" s="46">
        <f t="shared" si="22"/>
        <v>0.99932920504591038</v>
      </c>
      <c r="N90" s="77">
        <v>0.99995556554007625</v>
      </c>
      <c r="O90" s="89">
        <f t="shared" si="20"/>
        <v>0.99932920504591038</v>
      </c>
      <c r="P90" s="4">
        <v>40404</v>
      </c>
      <c r="Q90" s="4">
        <v>0.9999925763165205</v>
      </c>
    </row>
    <row r="91" spans="2:36" x14ac:dyDescent="0.25">
      <c r="B91" s="63"/>
      <c r="C91" s="64"/>
      <c r="D91" s="65"/>
      <c r="E91" s="64"/>
      <c r="F91" s="71"/>
      <c r="G91" s="64"/>
      <c r="H91" s="64"/>
      <c r="I91" s="53"/>
      <c r="J91" s="105">
        <f t="shared" si="21"/>
        <v>37848</v>
      </c>
      <c r="K91" s="109">
        <v>83.5</v>
      </c>
      <c r="L91" s="90">
        <f t="shared" si="19"/>
        <v>0.99944947676165208</v>
      </c>
      <c r="M91" s="46">
        <f t="shared" si="22"/>
        <v>0.99944947676165208</v>
      </c>
      <c r="N91" s="77">
        <v>0.99996590246462225</v>
      </c>
      <c r="O91" s="89">
        <f t="shared" si="20"/>
        <v>0.99944947676165208</v>
      </c>
      <c r="P91" s="4">
        <v>40405</v>
      </c>
      <c r="Q91" s="4">
        <v>0.99999442638225311</v>
      </c>
    </row>
    <row r="92" spans="2:36" x14ac:dyDescent="0.25">
      <c r="B92" s="63"/>
      <c r="C92" s="64"/>
      <c r="D92" s="65"/>
      <c r="E92" s="64"/>
      <c r="F92" s="71"/>
      <c r="G92" s="64"/>
      <c r="H92" s="64"/>
      <c r="I92" s="53"/>
      <c r="J92" s="105">
        <f t="shared" si="21"/>
        <v>37849</v>
      </c>
      <c r="K92" s="109">
        <v>84.5</v>
      </c>
      <c r="L92" s="90">
        <f t="shared" si="19"/>
        <v>0.99954819383446303</v>
      </c>
      <c r="M92" s="46">
        <f t="shared" si="22"/>
        <v>0.99954819383446303</v>
      </c>
      <c r="N92" s="77">
        <v>0.99997383474166435</v>
      </c>
      <c r="O92" s="89">
        <f t="shared" si="20"/>
        <v>0.99954819383446303</v>
      </c>
      <c r="P92" s="4">
        <v>40406</v>
      </c>
      <c r="Q92" s="4">
        <v>0.99999581539264815</v>
      </c>
    </row>
    <row r="93" spans="2:36" x14ac:dyDescent="0.25">
      <c r="B93" s="63"/>
      <c r="C93" s="64"/>
      <c r="D93" s="65"/>
      <c r="E93" s="64"/>
      <c r="F93" s="71"/>
      <c r="G93" s="64"/>
      <c r="H93" s="64"/>
      <c r="I93" s="53"/>
      <c r="J93" s="105">
        <f t="shared" si="21"/>
        <v>37850</v>
      </c>
      <c r="K93" s="109">
        <v>85.5</v>
      </c>
      <c r="L93" s="90">
        <f t="shared" si="19"/>
        <v>0.99962921602269295</v>
      </c>
      <c r="M93" s="46">
        <f t="shared" si="22"/>
        <v>0.99962921602269295</v>
      </c>
      <c r="N93" s="77">
        <v>0.99997992173121009</v>
      </c>
      <c r="O93" s="89">
        <f t="shared" si="20"/>
        <v>0.99962921602269295</v>
      </c>
      <c r="P93" s="4">
        <v>40407</v>
      </c>
      <c r="Q93" s="4">
        <v>0.99999685824657825</v>
      </c>
    </row>
    <row r="94" spans="2:36" x14ac:dyDescent="0.25">
      <c r="B94" s="63"/>
      <c r="C94" s="64"/>
      <c r="D94" s="65"/>
      <c r="E94" s="64"/>
      <c r="F94" s="71"/>
      <c r="G94" s="64"/>
      <c r="H94" s="64"/>
      <c r="I94" s="53"/>
      <c r="J94" s="105">
        <f t="shared" si="21"/>
        <v>37851</v>
      </c>
      <c r="K94" s="109">
        <v>86.5</v>
      </c>
      <c r="L94" s="90">
        <f t="shared" si="19"/>
        <v>0.99969571296301307</v>
      </c>
      <c r="M94" s="46">
        <f t="shared" si="22"/>
        <v>0.99969571296301307</v>
      </c>
      <c r="N94" s="77">
        <v>0.99998459268769502</v>
      </c>
      <c r="O94" s="89">
        <f t="shared" si="20"/>
        <v>0.99969571296301307</v>
      </c>
      <c r="P94" s="4">
        <v>40408</v>
      </c>
      <c r="Q94" s="4">
        <v>0.99999764120951673</v>
      </c>
    </row>
    <row r="95" spans="2:36" x14ac:dyDescent="0.25">
      <c r="B95" s="63"/>
      <c r="C95" s="64"/>
      <c r="D95" s="65"/>
      <c r="E95" s="64"/>
      <c r="F95" s="71"/>
      <c r="G95" s="64"/>
      <c r="H95" s="64"/>
      <c r="I95" s="53"/>
      <c r="J95" s="105">
        <f t="shared" si="21"/>
        <v>37852</v>
      </c>
      <c r="K95" s="109">
        <v>87.5</v>
      </c>
      <c r="L95" s="90">
        <f t="shared" si="19"/>
        <v>0.99975028722397752</v>
      </c>
      <c r="M95" s="46">
        <f t="shared" si="22"/>
        <v>0.99975028722397752</v>
      </c>
      <c r="N95" s="77">
        <v>0.99998817701780018</v>
      </c>
      <c r="O95" s="89">
        <f t="shared" si="20"/>
        <v>0.99975028722397752</v>
      </c>
      <c r="P95" s="4">
        <v>40409</v>
      </c>
      <c r="Q95" s="4">
        <v>0.99999822904897007</v>
      </c>
    </row>
    <row r="96" spans="2:36" x14ac:dyDescent="0.25">
      <c r="B96" s="63"/>
      <c r="C96" s="64"/>
      <c r="D96" s="65"/>
      <c r="E96" s="64"/>
      <c r="F96" s="71"/>
      <c r="G96" s="64"/>
      <c r="H96" s="64"/>
      <c r="I96" s="53"/>
      <c r="J96" s="105">
        <f t="shared" si="21"/>
        <v>37853</v>
      </c>
      <c r="K96" s="109">
        <v>88.5</v>
      </c>
      <c r="L96" s="90">
        <f t="shared" si="19"/>
        <v>0.99979507552933011</v>
      </c>
      <c r="M96" s="46">
        <f t="shared" si="22"/>
        <v>0.99979507552933011</v>
      </c>
      <c r="N96" s="77">
        <v>0.99999092750320295</v>
      </c>
      <c r="O96" s="89">
        <f t="shared" si="20"/>
        <v>0.99979507552933011</v>
      </c>
      <c r="P96" s="4">
        <v>40410</v>
      </c>
      <c r="Q96" s="4">
        <v>0.99999867039183277</v>
      </c>
    </row>
    <row r="97" spans="2:17" x14ac:dyDescent="0.25">
      <c r="B97" s="63"/>
      <c r="C97" s="64"/>
      <c r="D97" s="65"/>
      <c r="E97" s="64"/>
      <c r="F97" s="71"/>
      <c r="G97" s="64"/>
      <c r="H97" s="64"/>
      <c r="I97" s="53"/>
      <c r="J97" s="105">
        <f t="shared" si="21"/>
        <v>37854</v>
      </c>
      <c r="K97" s="109">
        <v>89.5</v>
      </c>
      <c r="L97" s="90">
        <f t="shared" si="19"/>
        <v>0.99983183198745273</v>
      </c>
      <c r="M97" s="46">
        <f t="shared" si="22"/>
        <v>0.99983183198745273</v>
      </c>
      <c r="N97" s="77">
        <v>0.99999303812320184</v>
      </c>
      <c r="O97" s="89">
        <f t="shared" si="20"/>
        <v>0.99983183198745273</v>
      </c>
      <c r="P97" s="4">
        <v>40411</v>
      </c>
      <c r="Q97" s="4">
        <v>0.99999900174671486</v>
      </c>
    </row>
    <row r="98" spans="2:17" x14ac:dyDescent="0.25">
      <c r="B98" s="63"/>
      <c r="C98" s="64"/>
      <c r="D98" s="65"/>
      <c r="E98" s="64"/>
      <c r="F98" s="71"/>
      <c r="G98" s="64"/>
      <c r="H98" s="64"/>
      <c r="I98" s="53"/>
      <c r="J98" s="105">
        <f t="shared" si="21"/>
        <v>37855</v>
      </c>
      <c r="K98" s="109">
        <v>90.5</v>
      </c>
      <c r="L98" s="90">
        <f t="shared" si="19"/>
        <v>0.99986199650112284</v>
      </c>
      <c r="M98" s="46">
        <f t="shared" si="22"/>
        <v>0.99986199650112284</v>
      </c>
      <c r="N98" s="77">
        <v>0.99999465773250285</v>
      </c>
      <c r="O98" s="89">
        <f t="shared" si="20"/>
        <v>0.99986199650112284</v>
      </c>
      <c r="P98" s="4">
        <v>40412</v>
      </c>
      <c r="Q98" s="4">
        <v>0.99999925052390337</v>
      </c>
    </row>
    <row r="99" spans="2:17" x14ac:dyDescent="0.25">
      <c r="B99" s="63"/>
      <c r="C99" s="64"/>
      <c r="D99" s="65"/>
      <c r="E99" s="64"/>
      <c r="F99" s="71"/>
      <c r="G99" s="64"/>
      <c r="H99" s="64"/>
      <c r="I99" s="53"/>
      <c r="J99" s="105">
        <f t="shared" si="21"/>
        <v>37856</v>
      </c>
      <c r="K99" s="109">
        <v>91.5</v>
      </c>
      <c r="L99" s="90">
        <f t="shared" si="19"/>
        <v>0.99988675097985924</v>
      </c>
      <c r="M99" s="46">
        <f t="shared" si="22"/>
        <v>0.99988675097985924</v>
      </c>
      <c r="N99" s="77">
        <v>0.99999590055784027</v>
      </c>
      <c r="O99" s="89">
        <f t="shared" si="20"/>
        <v>0.99988675097985924</v>
      </c>
      <c r="P99" s="4">
        <v>40413</v>
      </c>
      <c r="Q99" s="4">
        <v>0.99999943730274388</v>
      </c>
    </row>
    <row r="100" spans="2:17" x14ac:dyDescent="0.25">
      <c r="B100" s="63"/>
      <c r="C100" s="64"/>
      <c r="D100" s="65"/>
      <c r="E100" s="64"/>
      <c r="F100" s="71"/>
      <c r="G100" s="64"/>
      <c r="H100" s="64"/>
      <c r="I100" s="53"/>
      <c r="J100" s="105">
        <f t="shared" si="21"/>
        <v>37857</v>
      </c>
      <c r="K100" s="109">
        <v>92.5</v>
      </c>
      <c r="L100" s="90">
        <f t="shared" si="19"/>
        <v>0.99990706551855202</v>
      </c>
      <c r="M100" s="46">
        <f t="shared" si="22"/>
        <v>0.99990706551855202</v>
      </c>
      <c r="N100" s="77">
        <v>0.99999685425314822</v>
      </c>
      <c r="O100" s="89">
        <f t="shared" si="20"/>
        <v>0.99990706551855202</v>
      </c>
      <c r="P100" s="4">
        <v>40414</v>
      </c>
      <c r="Q100" s="4">
        <v>0.99999957753397495</v>
      </c>
    </row>
    <row r="101" spans="2:17" x14ac:dyDescent="0.25">
      <c r="B101" s="63"/>
      <c r="C101" s="64"/>
      <c r="D101" s="65"/>
      <c r="E101" s="64"/>
      <c r="F101" s="71"/>
      <c r="G101" s="64"/>
      <c r="H101" s="64"/>
      <c r="I101" s="53"/>
      <c r="J101" s="105">
        <f t="shared" si="21"/>
        <v>37858</v>
      </c>
      <c r="K101" s="109">
        <v>93.5</v>
      </c>
      <c r="L101" s="90">
        <f t="shared" si="19"/>
        <v>0.99992373632588427</v>
      </c>
      <c r="M101" s="46">
        <f t="shared" si="22"/>
        <v>0.99992373632588427</v>
      </c>
      <c r="N101" s="77">
        <v>0.99999758608106293</v>
      </c>
      <c r="O101" s="89">
        <f t="shared" si="20"/>
        <v>0.99992373632588427</v>
      </c>
      <c r="P101" s="4">
        <v>40415</v>
      </c>
      <c r="Q101" s="4">
        <v>0.99999968281783125</v>
      </c>
    </row>
    <row r="102" spans="2:17" x14ac:dyDescent="0.25">
      <c r="B102" s="63"/>
      <c r="C102" s="64"/>
      <c r="D102" s="65"/>
      <c r="E102" s="64"/>
      <c r="F102" s="71"/>
      <c r="G102" s="64"/>
      <c r="H102" s="64"/>
      <c r="I102" s="53"/>
      <c r="J102" s="105">
        <f t="shared" si="21"/>
        <v>37859</v>
      </c>
      <c r="K102" s="109">
        <v>94.5</v>
      </c>
      <c r="L102" s="90">
        <f t="shared" si="19"/>
        <v>0.99993741687149329</v>
      </c>
      <c r="M102" s="46">
        <f t="shared" si="22"/>
        <v>0.99993741687149329</v>
      </c>
      <c r="N102" s="77">
        <v>0.99999814765652884</v>
      </c>
      <c r="O102" s="89">
        <f t="shared" si="20"/>
        <v>0.99993741687149329</v>
      </c>
      <c r="P102" s="4">
        <v>40416</v>
      </c>
      <c r="Q102" s="4">
        <v>0.99999976186363015</v>
      </c>
    </row>
    <row r="103" spans="2:17" x14ac:dyDescent="0.25">
      <c r="B103" s="63"/>
      <c r="C103" s="64"/>
      <c r="D103" s="65"/>
      <c r="E103" s="64"/>
      <c r="F103" s="71"/>
      <c r="G103" s="64"/>
      <c r="H103" s="64"/>
      <c r="I103" s="53"/>
      <c r="J103" s="105">
        <f t="shared" si="21"/>
        <v>37860</v>
      </c>
      <c r="K103" s="109">
        <v>95.5</v>
      </c>
      <c r="L103" s="90">
        <f t="shared" si="19"/>
        <v>0.99994864346090562</v>
      </c>
      <c r="M103" s="46">
        <f t="shared" si="22"/>
        <v>0.99994864346090562</v>
      </c>
      <c r="N103" s="77">
        <v>0.99999857858694674</v>
      </c>
      <c r="O103" s="89">
        <f t="shared" si="20"/>
        <v>0.99994864346090562</v>
      </c>
      <c r="P103" s="4">
        <v>40417</v>
      </c>
      <c r="Q103" s="4">
        <v>0.99999982121022213</v>
      </c>
    </row>
    <row r="104" spans="2:17" x14ac:dyDescent="0.25">
      <c r="B104" s="63"/>
      <c r="C104" s="64"/>
      <c r="D104" s="65"/>
      <c r="E104" s="64"/>
      <c r="F104" s="71"/>
      <c r="G104" s="64"/>
      <c r="H104" s="64"/>
      <c r="I104" s="53"/>
      <c r="J104" s="105">
        <f t="shared" si="21"/>
        <v>37861</v>
      </c>
      <c r="K104" s="109">
        <v>96.5</v>
      </c>
      <c r="L104" s="90">
        <f t="shared" si="19"/>
        <v>0.9999578562328425</v>
      </c>
      <c r="M104" s="46">
        <f t="shared" si="22"/>
        <v>0.9999578562328425</v>
      </c>
      <c r="N104" s="77">
        <v>0.99999890926553481</v>
      </c>
      <c r="O104" s="89">
        <f t="shared" si="20"/>
        <v>0.9999578562328425</v>
      </c>
      <c r="P104" s="4">
        <v>40418</v>
      </c>
      <c r="Q104" s="4">
        <v>0.99999986576689559</v>
      </c>
    </row>
    <row r="105" spans="2:17" x14ac:dyDescent="0.25">
      <c r="B105" s="63"/>
      <c r="C105" s="64"/>
      <c r="D105" s="65"/>
      <c r="E105" s="64"/>
      <c r="F105" s="71"/>
      <c r="G105" s="64"/>
      <c r="H105" s="64"/>
      <c r="I105" s="53"/>
      <c r="J105" s="105">
        <f t="shared" si="21"/>
        <v>37862</v>
      </c>
      <c r="K105" s="109">
        <v>97.5</v>
      </c>
      <c r="L105" s="90">
        <f>$G$3/(1+EXP(-$G$4*(K105-$G$5)))</f>
        <v>0.99996541639670222</v>
      </c>
      <c r="M105" s="46">
        <f t="shared" si="22"/>
        <v>0.99996541639670222</v>
      </c>
      <c r="N105" s="77">
        <v>0.99999916301487501</v>
      </c>
      <c r="O105" s="89">
        <f>IF(N105=M105,N105,M105)</f>
        <v>0.99996541639670222</v>
      </c>
      <c r="P105" s="4">
        <v>40419</v>
      </c>
      <c r="Q105" s="4">
        <v>0.99999989921948373</v>
      </c>
    </row>
    <row r="106" spans="2:17" x14ac:dyDescent="0.25">
      <c r="B106" s="63"/>
      <c r="C106" s="64"/>
      <c r="D106" s="65"/>
      <c r="E106" s="64"/>
      <c r="F106" s="71"/>
      <c r="G106" s="64"/>
      <c r="H106" s="64"/>
      <c r="I106" s="53"/>
      <c r="J106" s="105">
        <f t="shared" si="21"/>
        <v>37863</v>
      </c>
      <c r="K106" s="109">
        <v>98.5</v>
      </c>
      <c r="L106" s="90">
        <f>$G$3/(1+EXP(-$G$4*(K106-$G$5)))</f>
        <v>0.99997162038242915</v>
      </c>
      <c r="M106" s="46">
        <f t="shared" si="22"/>
        <v>0.99997162038242915</v>
      </c>
      <c r="N106" s="77">
        <v>0.99999935773180315</v>
      </c>
      <c r="O106" s="89">
        <f>IF(N106=M106,N106,M106)</f>
        <v>0.99997162038242915</v>
      </c>
      <c r="P106" s="4">
        <v>40420</v>
      </c>
      <c r="Q106" s="4">
        <v>0.99999992433526419</v>
      </c>
    </row>
    <row r="107" spans="2:17" x14ac:dyDescent="0.25">
      <c r="B107" s="63"/>
      <c r="C107" s="64"/>
      <c r="D107" s="65"/>
      <c r="E107" s="64"/>
      <c r="F107" s="71"/>
      <c r="G107" s="64"/>
      <c r="H107" s="64"/>
      <c r="I107" s="53"/>
      <c r="J107" s="105">
        <f t="shared" si="21"/>
        <v>37864</v>
      </c>
      <c r="K107" s="109">
        <v>99.5</v>
      </c>
      <c r="L107" s="90">
        <f>$G$3/(1+EXP(-$G$4*(K107-$G$5)))</f>
        <v>0.99997671145513289</v>
      </c>
      <c r="M107" s="46">
        <f t="shared" si="22"/>
        <v>0.99999999730296318</v>
      </c>
      <c r="N107" s="77">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controls>
    <mc:AlternateContent xmlns:mc="http://schemas.openxmlformats.org/markup-compatibility/2006">
      <mc:Choice Requires="x14">
        <control shapeId="37889" r:id="rId4" name="CommandButton1">
          <controlPr defaultSize="0" autoLine="0" r:id="rId5">
            <anchor moveWithCells="1">
              <from>
                <xdr:col>4</xdr:col>
                <xdr:colOff>114300</xdr:colOff>
                <xdr:row>4</xdr:row>
                <xdr:rowOff>0</xdr:rowOff>
              </from>
              <to>
                <xdr:col>4</xdr:col>
                <xdr:colOff>1790700</xdr:colOff>
                <xdr:row>5</xdr:row>
                <xdr:rowOff>152400</xdr:rowOff>
              </to>
            </anchor>
          </controlPr>
        </control>
      </mc:Choice>
      <mc:Fallback>
        <control shapeId="37889" r:id="rId4" name="CommandButton1"/>
      </mc:Fallback>
    </mc:AlternateContent>
  </contro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AC1022"/>
  <sheetViews>
    <sheetView zoomScale="75" workbookViewId="0">
      <selection activeCell="B6" sqref="B6"/>
    </sheetView>
  </sheetViews>
  <sheetFormatPr defaultRowHeight="15.75" x14ac:dyDescent="0.25"/>
  <cols>
    <col min="1" max="1" width="11.125" style="4" customWidth="1"/>
    <col min="2" max="2" width="9.125" style="4" bestFit="1" customWidth="1"/>
    <col min="3" max="3" width="12.37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24" width="9" style="4"/>
    <col min="25" max="25" width="9.125" style="4" bestFit="1" customWidth="1"/>
    <col min="26" max="16384" width="9" style="4"/>
  </cols>
  <sheetData>
    <row r="1" spans="1:29" ht="16.5" thickBot="1" x14ac:dyDescent="0.3">
      <c r="A1" s="3" t="s">
        <v>3</v>
      </c>
      <c r="B1" s="3" t="s">
        <v>4</v>
      </c>
      <c r="C1" s="4" t="s">
        <v>5</v>
      </c>
    </row>
    <row r="2" spans="1:29" ht="19.5" thickBot="1" x14ac:dyDescent="0.4">
      <c r="A2" s="5">
        <v>2003</v>
      </c>
      <c r="B2" s="6">
        <v>1.3</v>
      </c>
      <c r="C2" s="4" t="s">
        <v>6</v>
      </c>
      <c r="F2" s="3" t="s">
        <v>0</v>
      </c>
      <c r="G2" s="7" t="s">
        <v>7</v>
      </c>
      <c r="H2" s="7" t="s">
        <v>8</v>
      </c>
      <c r="I2" s="96" t="s">
        <v>27</v>
      </c>
      <c r="J2" s="98">
        <v>41459</v>
      </c>
      <c r="K2" s="99">
        <v>41459</v>
      </c>
    </row>
    <row r="3" spans="1:29" ht="21" thickBot="1" x14ac:dyDescent="0.4">
      <c r="A3" s="8">
        <f>DATE(A2,5,25)</f>
        <v>37766</v>
      </c>
      <c r="C3" s="9"/>
      <c r="F3" s="73" t="s">
        <v>25</v>
      </c>
      <c r="G3" s="10">
        <v>1</v>
      </c>
      <c r="H3" s="11"/>
      <c r="I3">
        <f>G5-(1/G4)*LN((2*G3)-1)</f>
        <v>40.91718518135076</v>
      </c>
      <c r="J3" s="3" t="s">
        <v>9</v>
      </c>
      <c r="AA3" s="4" t="s">
        <v>46</v>
      </c>
    </row>
    <row r="4" spans="1:29" ht="16.5" thickBot="1" x14ac:dyDescent="0.3">
      <c r="A4" s="12" t="s">
        <v>10</v>
      </c>
      <c r="C4" s="4" t="s">
        <v>11</v>
      </c>
      <c r="F4" s="13" t="s">
        <v>1</v>
      </c>
      <c r="G4" s="14">
        <v>0.28175658435434903</v>
      </c>
      <c r="H4" s="15">
        <f>AC8</f>
        <v>4.1774706414583786E-2</v>
      </c>
      <c r="I4" s="2"/>
      <c r="J4" s="74">
        <f>SUM(H9:H65)</f>
        <v>7.0332590062164444</v>
      </c>
      <c r="K4" s="16"/>
      <c r="L4" s="16"/>
      <c r="AA4" s="4">
        <v>921.40716586023484</v>
      </c>
      <c r="AB4" s="4">
        <v>-10.840498290588373</v>
      </c>
    </row>
    <row r="5" spans="1:29" ht="16.5" thickBot="1" x14ac:dyDescent="0.3">
      <c r="C5" s="8">
        <f>DATE(A2,7,31)</f>
        <v>37833</v>
      </c>
      <c r="F5" s="17" t="s">
        <v>2</v>
      </c>
      <c r="G5" s="18">
        <v>40.91718518135076</v>
      </c>
      <c r="H5" s="15">
        <f>AC9</f>
        <v>0.594161608735566</v>
      </c>
      <c r="I5" s="2"/>
      <c r="J5" s="20" t="s">
        <v>12</v>
      </c>
      <c r="K5" s="21"/>
      <c r="L5" s="21"/>
      <c r="N5" s="30"/>
      <c r="AA5" s="4">
        <v>-10.840498290588373</v>
      </c>
      <c r="AB5" s="4">
        <v>4.5547990851448059</v>
      </c>
    </row>
    <row r="6" spans="1:29" ht="16.5" thickBot="1" x14ac:dyDescent="0.3">
      <c r="C6" s="22"/>
      <c r="G6" s="23"/>
      <c r="H6" s="9"/>
      <c r="K6" s="24"/>
      <c r="L6" s="24"/>
      <c r="U6" s="4">
        <f>TINV(0.001,9)</f>
        <v>4.7809125859311381</v>
      </c>
    </row>
    <row r="7" spans="1:29" ht="16.5" thickBot="1" x14ac:dyDescent="0.3">
      <c r="E7" s="25"/>
      <c r="F7" s="26"/>
      <c r="G7" s="27"/>
      <c r="H7" s="28"/>
      <c r="J7" s="29"/>
      <c r="M7" s="29"/>
      <c r="O7" s="3" t="s">
        <v>26</v>
      </c>
      <c r="AA7" s="4" t="s">
        <v>47</v>
      </c>
      <c r="AC7" s="4" t="s">
        <v>8</v>
      </c>
    </row>
    <row r="8" spans="1:29" s="29" customFormat="1" ht="16.5" thickBot="1" x14ac:dyDescent="0.3">
      <c r="B8" s="31" t="s">
        <v>14</v>
      </c>
      <c r="C8" s="32" t="s">
        <v>15</v>
      </c>
      <c r="D8" s="83" t="s">
        <v>16</v>
      </c>
      <c r="E8" s="33" t="s">
        <v>13</v>
      </c>
      <c r="F8" s="34" t="s">
        <v>17</v>
      </c>
      <c r="G8" s="34" t="s">
        <v>18</v>
      </c>
      <c r="H8" s="35" t="s">
        <v>19</v>
      </c>
      <c r="I8" s="3"/>
      <c r="J8" s="36" t="s">
        <v>14</v>
      </c>
      <c r="K8" s="37" t="s">
        <v>20</v>
      </c>
      <c r="L8" s="37" t="s">
        <v>21</v>
      </c>
      <c r="M8" s="37" t="s">
        <v>22</v>
      </c>
      <c r="N8" s="38" t="s">
        <v>23</v>
      </c>
      <c r="O8" s="88" t="s">
        <v>24</v>
      </c>
      <c r="AA8" s="29">
        <f t="array" ref="AA8:AB9">2* 0.88400974141292^2*MINVERSE($AA$4:$AB$5)</f>
        <v>1.7451260960246674E-3</v>
      </c>
      <c r="AB8" s="29">
        <v>4.1534294064729587E-3</v>
      </c>
      <c r="AC8" s="29">
        <v>4.1774706414583786E-2</v>
      </c>
    </row>
    <row r="9" spans="1:29" x14ac:dyDescent="0.25">
      <c r="A9" s="116"/>
      <c r="B9" s="40">
        <v>37783</v>
      </c>
      <c r="C9" s="78">
        <v>188</v>
      </c>
      <c r="D9" s="85">
        <f>IF(B9&lt;&gt;0,B9-$A$3+1,"")</f>
        <v>18</v>
      </c>
      <c r="E9" s="81">
        <v>2.4E-2</v>
      </c>
      <c r="F9" s="41">
        <f t="shared" ref="F9:F65" si="0">IF(B9&lt;&gt;0,$G$3/(1+EXP(-$G$4*(D9-$G$5))),"")</f>
        <v>1.5669315790569664E-3</v>
      </c>
      <c r="G9" s="42">
        <f t="shared" ref="G9:G65" si="1">IF(B9&lt;&gt;0,E9-F9,"")</f>
        <v>2.2433068420943034E-2</v>
      </c>
      <c r="H9" s="43">
        <f t="shared" ref="H9:H65" si="2">IF(B9&lt;&gt;0,C9*(G9)^2,"")</f>
        <v>9.4609601050397771E-2</v>
      </c>
      <c r="J9" s="44">
        <f>A3</f>
        <v>37766</v>
      </c>
      <c r="K9" s="45">
        <v>1</v>
      </c>
      <c r="L9" s="90">
        <f t="shared" ref="L9:L72" si="3">$G$3/(1+EXP(-$G$4*(K9-$G$5)))</f>
        <v>1.3047124400263937E-5</v>
      </c>
      <c r="M9" s="46">
        <f>IF(J10&gt;MAX($B$9:$B$64),L9,N9)</f>
        <v>3.1121623501212576E-7</v>
      </c>
      <c r="N9" s="75">
        <v>3.1121623501212576E-7</v>
      </c>
      <c r="O9" s="89">
        <f t="shared" ref="O9:O72" si="4">IF(N9=M9,N9,M9)</f>
        <v>3.1121623501212576E-7</v>
      </c>
      <c r="AA9" s="4">
        <v>4.1534294064729587E-3</v>
      </c>
      <c r="AB9" s="4">
        <v>0.35302801729523581</v>
      </c>
      <c r="AC9" s="4">
        <v>0.594161608735566</v>
      </c>
    </row>
    <row r="10" spans="1:29" x14ac:dyDescent="0.25">
      <c r="A10" s="116"/>
      <c r="B10" s="49">
        <v>37790</v>
      </c>
      <c r="C10" s="79">
        <v>190</v>
      </c>
      <c r="D10" s="86">
        <f t="shared" ref="D10:D65" si="5">IF(B10&lt;&gt;0,B10-$A$3+1,"")</f>
        <v>25</v>
      </c>
      <c r="E10" s="81">
        <v>3.5999999999999997E-2</v>
      </c>
      <c r="F10" s="50">
        <f t="shared" si="0"/>
        <v>1.1153654773175007E-2</v>
      </c>
      <c r="G10" s="16">
        <f t="shared" si="1"/>
        <v>2.4846345226824988E-2</v>
      </c>
      <c r="H10" s="51">
        <f t="shared" si="2"/>
        <v>0.11729476551480809</v>
      </c>
      <c r="J10" s="44">
        <f t="shared" ref="J10:J73" si="6">J9+1</f>
        <v>37767</v>
      </c>
      <c r="K10" s="45">
        <v>2</v>
      </c>
      <c r="L10" s="90">
        <f t="shared" si="3"/>
        <v>1.7293316460842745E-5</v>
      </c>
      <c r="M10" s="46">
        <f t="shared" ref="M10:M73" si="7">IF(J11&gt;MAX($B$9:$B$64),L10,N10)</f>
        <v>4.4350593880565207E-7</v>
      </c>
      <c r="N10" s="75">
        <v>4.4350593880565207E-7</v>
      </c>
      <c r="O10" s="89">
        <f t="shared" si="4"/>
        <v>4.4350593880565207E-7</v>
      </c>
    </row>
    <row r="11" spans="1:29" x14ac:dyDescent="0.25">
      <c r="A11" s="116"/>
      <c r="B11" s="49">
        <v>37797</v>
      </c>
      <c r="C11" s="79">
        <v>189</v>
      </c>
      <c r="D11" s="86">
        <f t="shared" si="5"/>
        <v>32</v>
      </c>
      <c r="E11" s="81">
        <v>7.0000000000000001E-3</v>
      </c>
      <c r="F11" s="50">
        <f t="shared" si="0"/>
        <v>7.4988206077094277E-2</v>
      </c>
      <c r="G11" s="16">
        <f t="shared" si="1"/>
        <v>-6.7988206077094271E-2</v>
      </c>
      <c r="H11" s="51">
        <f t="shared" si="2"/>
        <v>0.87363287529489186</v>
      </c>
      <c r="J11" s="44">
        <f t="shared" si="6"/>
        <v>37768</v>
      </c>
      <c r="K11" s="45">
        <v>3</v>
      </c>
      <c r="L11" s="90">
        <f t="shared" si="3"/>
        <v>2.2921401816876036E-5</v>
      </c>
      <c r="M11" s="46">
        <f t="shared" si="7"/>
        <v>6.3202842450478264E-7</v>
      </c>
      <c r="N11" s="75">
        <v>6.3202842450478264E-7</v>
      </c>
      <c r="O11" s="89">
        <f t="shared" si="4"/>
        <v>6.3202842450478264E-7</v>
      </c>
      <c r="AA11" s="4" t="s">
        <v>48</v>
      </c>
    </row>
    <row r="12" spans="1:29" x14ac:dyDescent="0.25">
      <c r="A12" s="116"/>
      <c r="B12" s="49">
        <v>37803</v>
      </c>
      <c r="C12" s="79">
        <v>190</v>
      </c>
      <c r="D12" s="86">
        <f t="shared" si="5"/>
        <v>38</v>
      </c>
      <c r="E12" s="81">
        <v>0.35599999999999998</v>
      </c>
      <c r="F12" s="50">
        <f t="shared" si="0"/>
        <v>0.305352827303353</v>
      </c>
      <c r="G12" s="16">
        <f t="shared" si="1"/>
        <v>5.064717269664698E-2</v>
      </c>
      <c r="H12" s="51">
        <f t="shared" si="2"/>
        <v>0.48737585941115685</v>
      </c>
      <c r="J12" s="44">
        <f t="shared" si="6"/>
        <v>37769</v>
      </c>
      <c r="K12" s="45">
        <v>4</v>
      </c>
      <c r="L12" s="90">
        <f t="shared" si="3"/>
        <v>3.0381083934500269E-5</v>
      </c>
      <c r="M12" s="46">
        <f t="shared" si="7"/>
        <v>9.0068669305005554E-7</v>
      </c>
      <c r="N12" s="75">
        <v>9.0068669305005554E-7</v>
      </c>
      <c r="O12" s="89">
        <f t="shared" si="4"/>
        <v>9.0068669305005554E-7</v>
      </c>
      <c r="P12" s="44">
        <v>40326</v>
      </c>
      <c r="Q12" s="1">
        <v>1.3958317686261709E-4</v>
      </c>
      <c r="AA12" s="4">
        <v>0.99999999999999989</v>
      </c>
      <c r="AB12" s="4">
        <v>0.16733579069538865</v>
      </c>
    </row>
    <row r="13" spans="1:29" x14ac:dyDescent="0.25">
      <c r="A13" s="116"/>
      <c r="B13" s="49">
        <v>37807</v>
      </c>
      <c r="C13" s="79">
        <v>187</v>
      </c>
      <c r="D13" s="86">
        <f t="shared" si="5"/>
        <v>42</v>
      </c>
      <c r="E13" s="81">
        <v>0.51500000000000001</v>
      </c>
      <c r="F13" s="50">
        <f t="shared" ref="F13:F19" si="8">IF(B13&lt;&gt;0,$G$3/(1+EXP(-$G$4*(D13-$G$5))),"")</f>
        <v>0.57568638565895403</v>
      </c>
      <c r="G13" s="16">
        <f t="shared" ref="G13:G19" si="9">IF(B13&lt;&gt;0,E13-F13,"")</f>
        <v>-6.0686385658954012E-2</v>
      </c>
      <c r="H13" s="51">
        <f t="shared" ref="H13:H19" si="10">IF(B13&lt;&gt;0,C13*(G13)^2,"")</f>
        <v>0.68869059461294491</v>
      </c>
      <c r="J13" s="44">
        <f t="shared" si="6"/>
        <v>37770</v>
      </c>
      <c r="K13" s="45">
        <v>5</v>
      </c>
      <c r="L13" s="90">
        <f t="shared" si="3"/>
        <v>4.0268393161481414E-5</v>
      </c>
      <c r="M13" s="46">
        <f t="shared" si="7"/>
        <v>1.2835442124779599E-6</v>
      </c>
      <c r="N13" s="75">
        <v>1.2835442124779599E-6</v>
      </c>
      <c r="O13" s="89">
        <f t="shared" si="4"/>
        <v>1.2835442124779599E-6</v>
      </c>
      <c r="P13" s="48">
        <v>40327</v>
      </c>
      <c r="Q13" s="1">
        <v>1.7045928901654236E-4</v>
      </c>
      <c r="AA13" s="4">
        <v>0.16733579069538865</v>
      </c>
      <c r="AB13" s="4">
        <v>1</v>
      </c>
    </row>
    <row r="14" spans="1:29" x14ac:dyDescent="0.25">
      <c r="A14" s="116"/>
      <c r="B14" s="49">
        <v>37810</v>
      </c>
      <c r="C14" s="79">
        <v>187</v>
      </c>
      <c r="D14" s="86">
        <v>45.5</v>
      </c>
      <c r="E14" s="81">
        <v>0.90137308332499999</v>
      </c>
      <c r="F14" s="50">
        <f t="shared" si="8"/>
        <v>0.78435670209904917</v>
      </c>
      <c r="G14" s="16">
        <f t="shared" si="9"/>
        <v>0.11701638122595082</v>
      </c>
      <c r="H14" s="51">
        <f t="shared" si="10"/>
        <v>2.5605598598655894</v>
      </c>
      <c r="J14" s="44">
        <f t="shared" si="6"/>
        <v>37771</v>
      </c>
      <c r="K14" s="45">
        <v>6</v>
      </c>
      <c r="L14" s="90">
        <f t="shared" si="3"/>
        <v>5.3373285608644894E-5</v>
      </c>
      <c r="M14" s="46">
        <f t="shared" si="7"/>
        <v>1.8291437965967419E-6</v>
      </c>
      <c r="N14" s="75">
        <v>1.8291437965967419E-6</v>
      </c>
      <c r="O14" s="89">
        <f t="shared" si="4"/>
        <v>1.8291437965967419E-6</v>
      </c>
      <c r="P14" s="48">
        <v>40328</v>
      </c>
      <c r="Q14" s="1">
        <v>0</v>
      </c>
    </row>
    <row r="15" spans="1:29" x14ac:dyDescent="0.25">
      <c r="A15" s="116"/>
      <c r="B15" s="49">
        <v>37813</v>
      </c>
      <c r="C15" s="79">
        <v>189</v>
      </c>
      <c r="D15" s="86">
        <f t="shared" si="5"/>
        <v>48</v>
      </c>
      <c r="E15" s="81">
        <v>0.77536357529</v>
      </c>
      <c r="F15" s="50">
        <f t="shared" si="8"/>
        <v>0.88033746149866898</v>
      </c>
      <c r="G15" s="16">
        <f t="shared" si="9"/>
        <v>-0.10497388620866899</v>
      </c>
      <c r="H15" s="51">
        <f t="shared" si="10"/>
        <v>2.0826886725068605</v>
      </c>
      <c r="J15" s="44">
        <f t="shared" si="6"/>
        <v>37772</v>
      </c>
      <c r="K15" s="45">
        <v>7</v>
      </c>
      <c r="L15" s="90">
        <f t="shared" si="3"/>
        <v>7.0742715149375355E-5</v>
      </c>
      <c r="M15" s="46">
        <f t="shared" si="7"/>
        <v>2.6066622560821447E-6</v>
      </c>
      <c r="N15" s="75">
        <v>2.6066622560821447E-6</v>
      </c>
      <c r="O15" s="89">
        <f t="shared" si="4"/>
        <v>2.6066622560821447E-6</v>
      </c>
      <c r="P15" s="48">
        <v>40329</v>
      </c>
      <c r="Q15" s="1">
        <v>6.2104077545281245E-5</v>
      </c>
      <c r="X15" s="4" t="s">
        <v>46</v>
      </c>
    </row>
    <row r="16" spans="1:29" x14ac:dyDescent="0.25">
      <c r="A16" s="116"/>
      <c r="B16" s="49">
        <v>37816</v>
      </c>
      <c r="C16" s="79">
        <v>190</v>
      </c>
      <c r="D16" s="86">
        <f t="shared" si="5"/>
        <v>51</v>
      </c>
      <c r="E16" s="81">
        <v>0.93005344240999999</v>
      </c>
      <c r="F16" s="50">
        <f t="shared" si="8"/>
        <v>0.94484635359283697</v>
      </c>
      <c r="G16" s="16">
        <f t="shared" si="9"/>
        <v>-1.4792911182836987E-2</v>
      </c>
      <c r="H16" s="51">
        <f t="shared" si="10"/>
        <v>4.1577742040027683E-2</v>
      </c>
      <c r="J16" s="44">
        <f t="shared" si="6"/>
        <v>37773</v>
      </c>
      <c r="K16" s="45">
        <v>8</v>
      </c>
      <c r="L16" s="90">
        <f t="shared" si="3"/>
        <v>9.376420056852192E-5</v>
      </c>
      <c r="M16" s="46">
        <f t="shared" si="7"/>
        <v>3.7146810897353246E-6</v>
      </c>
      <c r="N16" s="75">
        <v>3.7146810897353246E-6</v>
      </c>
      <c r="O16" s="89">
        <f t="shared" si="4"/>
        <v>3.7146810897353246E-6</v>
      </c>
      <c r="P16" s="48">
        <v>40330</v>
      </c>
      <c r="Q16" s="1">
        <v>8.271689671114933E-5</v>
      </c>
      <c r="X16" s="4">
        <v>921.40716586023484</v>
      </c>
      <c r="Y16" s="4">
        <v>-10.840498290588373</v>
      </c>
    </row>
    <row r="17" spans="1:26" x14ac:dyDescent="0.25">
      <c r="A17" s="116"/>
      <c r="B17" s="49">
        <v>37819</v>
      </c>
      <c r="C17" s="79">
        <v>189</v>
      </c>
      <c r="D17" s="86">
        <f t="shared" si="5"/>
        <v>54</v>
      </c>
      <c r="E17" s="81">
        <v>0.99689491875000003</v>
      </c>
      <c r="F17" s="50">
        <f t="shared" si="8"/>
        <v>0.9755451818333517</v>
      </c>
      <c r="G17" s="16">
        <f t="shared" si="9"/>
        <v>2.1349736916648321E-2</v>
      </c>
      <c r="H17" s="51">
        <f t="shared" si="10"/>
        <v>8.6148329351508179E-2</v>
      </c>
      <c r="J17" s="44">
        <f t="shared" si="6"/>
        <v>37774</v>
      </c>
      <c r="K17" s="45">
        <v>9</v>
      </c>
      <c r="L17" s="90">
        <f t="shared" si="3"/>
        <v>1.2427653391392171E-4</v>
      </c>
      <c r="M17" s="46">
        <f t="shared" si="7"/>
        <v>5.2936850821911276E-6</v>
      </c>
      <c r="N17" s="75">
        <v>5.2936850821911276E-6</v>
      </c>
      <c r="O17" s="89">
        <f t="shared" si="4"/>
        <v>5.2936850821911276E-6</v>
      </c>
      <c r="P17" s="48">
        <v>40331</v>
      </c>
      <c r="Q17" s="1">
        <v>1.1017051470513796E-4</v>
      </c>
      <c r="X17" s="4">
        <v>-10.840498290588373</v>
      </c>
      <c r="Y17" s="4">
        <v>4.5547990851448059</v>
      </c>
    </row>
    <row r="18" spans="1:26" x14ac:dyDescent="0.25">
      <c r="A18" s="116"/>
      <c r="B18" s="49">
        <v>37823</v>
      </c>
      <c r="C18" s="79">
        <v>190</v>
      </c>
      <c r="D18" s="86">
        <f t="shared" si="5"/>
        <v>58</v>
      </c>
      <c r="E18" s="81">
        <v>0.99354700465000001</v>
      </c>
      <c r="F18" s="50">
        <f t="shared" si="8"/>
        <v>0.99194356891500257</v>
      </c>
      <c r="G18" s="16">
        <f t="shared" si="9"/>
        <v>1.6034357349974382E-3</v>
      </c>
      <c r="H18" s="51">
        <f t="shared" si="10"/>
        <v>4.8849116969068714E-4</v>
      </c>
      <c r="J18" s="44">
        <f t="shared" si="6"/>
        <v>37775</v>
      </c>
      <c r="K18" s="45">
        <v>10</v>
      </c>
      <c r="L18" s="90">
        <f t="shared" si="3"/>
        <v>1.6471642078997898E-4</v>
      </c>
      <c r="M18" s="46">
        <f t="shared" si="7"/>
        <v>7.543873151853996E-6</v>
      </c>
      <c r="N18" s="75">
        <v>7.543873151853996E-6</v>
      </c>
      <c r="O18" s="89">
        <f t="shared" si="4"/>
        <v>7.543873151853996E-6</v>
      </c>
      <c r="P18" s="48">
        <v>40332</v>
      </c>
      <c r="Q18" s="1">
        <v>1.4673461154601208E-4</v>
      </c>
    </row>
    <row r="19" spans="1:26" ht="16.5" thickBot="1" x14ac:dyDescent="0.3">
      <c r="A19" s="117"/>
      <c r="B19" s="49">
        <v>37830</v>
      </c>
      <c r="C19" s="79">
        <v>170</v>
      </c>
      <c r="D19" s="86">
        <f t="shared" si="5"/>
        <v>65</v>
      </c>
      <c r="E19" s="81">
        <v>0.99986735576999997</v>
      </c>
      <c r="F19" s="50">
        <f t="shared" si="8"/>
        <v>0.99887122359333258</v>
      </c>
      <c r="G19" s="16">
        <f t="shared" si="9"/>
        <v>9.9613217666738585E-4</v>
      </c>
      <c r="H19" s="51">
        <f t="shared" si="10"/>
        <v>1.686874832766577E-4</v>
      </c>
      <c r="J19" s="44">
        <f t="shared" si="6"/>
        <v>37776</v>
      </c>
      <c r="K19" s="45">
        <v>11</v>
      </c>
      <c r="L19" s="90">
        <f t="shared" si="3"/>
        <v>2.1831267218257427E-4</v>
      </c>
      <c r="M19" s="46">
        <f t="shared" si="7"/>
        <v>1.0750538956072072E-5</v>
      </c>
      <c r="N19" s="75">
        <v>1.0750538956072072E-5</v>
      </c>
      <c r="O19" s="89">
        <f t="shared" si="4"/>
        <v>1.0750538956072072E-5</v>
      </c>
      <c r="P19" s="48">
        <v>40333</v>
      </c>
      <c r="Q19" s="1">
        <v>1.9543146345089269E-4</v>
      </c>
      <c r="X19" s="4" t="s">
        <v>47</v>
      </c>
      <c r="Z19" s="4" t="s">
        <v>8</v>
      </c>
    </row>
    <row r="20" spans="1:26" x14ac:dyDescent="0.25">
      <c r="A20" s="39"/>
      <c r="B20" s="49"/>
      <c r="C20" s="79"/>
      <c r="D20" s="86" t="str">
        <f t="shared" si="5"/>
        <v/>
      </c>
      <c r="E20" s="81"/>
      <c r="F20" s="50" t="str">
        <f t="shared" si="0"/>
        <v/>
      </c>
      <c r="G20" s="16" t="str">
        <f t="shared" si="1"/>
        <v/>
      </c>
      <c r="H20" s="51" t="str">
        <f t="shared" si="2"/>
        <v/>
      </c>
      <c r="J20" s="44">
        <f t="shared" si="6"/>
        <v>37777</v>
      </c>
      <c r="K20" s="45">
        <v>12</v>
      </c>
      <c r="L20" s="90">
        <f t="shared" si="3"/>
        <v>2.8934329263929074E-4</v>
      </c>
      <c r="M20" s="46">
        <f t="shared" si="7"/>
        <v>1.5320237759159121E-5</v>
      </c>
      <c r="N20" s="75">
        <v>1.5320237759159121E-5</v>
      </c>
      <c r="O20" s="89">
        <f t="shared" si="4"/>
        <v>1.5320237759159121E-5</v>
      </c>
      <c r="P20" s="48">
        <v>40334</v>
      </c>
      <c r="Q20" s="1">
        <v>2.6028514457293443E-4</v>
      </c>
      <c r="R20" s="52"/>
      <c r="U20" s="40">
        <v>40712</v>
      </c>
      <c r="V20" s="92">
        <v>3.5999999999999997E-2</v>
      </c>
      <c r="X20" s="4">
        <f t="array" ref="X20:Y21">2* 0.88400974141292^2*MINVERSE($X$16:$Y$17)</f>
        <v>1.7451260960246674E-3</v>
      </c>
      <c r="Y20" s="4">
        <v>4.1534294064729587E-3</v>
      </c>
      <c r="Z20" s="4">
        <v>4.1774706414583786E-2</v>
      </c>
    </row>
    <row r="21" spans="1:26" x14ac:dyDescent="0.25">
      <c r="A21" s="39"/>
      <c r="B21" s="49"/>
      <c r="C21" s="79"/>
      <c r="D21" s="86" t="str">
        <f t="shared" si="5"/>
        <v/>
      </c>
      <c r="E21" s="81"/>
      <c r="F21" s="50" t="str">
        <f t="shared" si="0"/>
        <v/>
      </c>
      <c r="G21" s="16" t="str">
        <f t="shared" si="1"/>
        <v/>
      </c>
      <c r="H21" s="51" t="str">
        <f t="shared" si="2"/>
        <v/>
      </c>
      <c r="I21" s="9"/>
      <c r="J21" s="44">
        <f t="shared" si="6"/>
        <v>37778</v>
      </c>
      <c r="K21" s="45">
        <v>13</v>
      </c>
      <c r="L21" s="90">
        <f t="shared" si="3"/>
        <v>3.8347570467222935E-4</v>
      </c>
      <c r="M21" s="46">
        <f t="shared" si="7"/>
        <v>2.1832322085948411E-5</v>
      </c>
      <c r="N21" s="75">
        <v>2.1832322085948411E-5</v>
      </c>
      <c r="O21" s="89">
        <f t="shared" si="4"/>
        <v>2.1832322085948411E-5</v>
      </c>
      <c r="P21" s="48">
        <v>40335</v>
      </c>
      <c r="Q21" s="1">
        <v>3.4665297481631412E-4</v>
      </c>
      <c r="R21" s="52"/>
      <c r="U21" s="49">
        <v>40713</v>
      </c>
      <c r="V21" s="92"/>
      <c r="X21" s="4">
        <v>4.1534294064729587E-3</v>
      </c>
      <c r="Y21" s="4">
        <v>0.35302801729523581</v>
      </c>
      <c r="Z21" s="4">
        <v>0.594161608735566</v>
      </c>
    </row>
    <row r="22" spans="1:26" x14ac:dyDescent="0.25">
      <c r="A22" s="39"/>
      <c r="B22" s="49"/>
      <c r="C22" s="79"/>
      <c r="D22" s="86" t="str">
        <f t="shared" si="5"/>
        <v/>
      </c>
      <c r="E22" s="81"/>
      <c r="F22" s="50" t="str">
        <f t="shared" si="0"/>
        <v/>
      </c>
      <c r="G22" s="16" t="str">
        <f t="shared" si="1"/>
        <v/>
      </c>
      <c r="H22" s="51" t="str">
        <f t="shared" si="2"/>
        <v/>
      </c>
      <c r="I22" s="53"/>
      <c r="J22" s="44">
        <f t="shared" si="6"/>
        <v>37779</v>
      </c>
      <c r="K22" s="45">
        <v>14</v>
      </c>
      <c r="L22" s="90">
        <f t="shared" si="3"/>
        <v>5.0821676274457185E-4</v>
      </c>
      <c r="M22" s="46">
        <f t="shared" si="7"/>
        <v>3.1112374086324488E-5</v>
      </c>
      <c r="N22" s="75">
        <v>3.1112374086324488E-5</v>
      </c>
      <c r="O22" s="89">
        <f t="shared" si="4"/>
        <v>3.1112374086324488E-5</v>
      </c>
      <c r="P22" s="48">
        <v>40336</v>
      </c>
      <c r="Q22" s="1">
        <v>4.6166614885428784E-4</v>
      </c>
      <c r="R22" s="52"/>
      <c r="U22" s="49">
        <v>40714</v>
      </c>
      <c r="V22" s="92"/>
    </row>
    <row r="23" spans="1:26" x14ac:dyDescent="0.25">
      <c r="A23" s="39"/>
      <c r="B23" s="49"/>
      <c r="C23" s="79"/>
      <c r="D23" s="86" t="str">
        <f t="shared" si="5"/>
        <v/>
      </c>
      <c r="E23" s="81"/>
      <c r="F23" s="50" t="str">
        <f t="shared" si="0"/>
        <v/>
      </c>
      <c r="G23" s="16" t="str">
        <f t="shared" si="1"/>
        <v/>
      </c>
      <c r="H23" s="51" t="str">
        <f t="shared" si="2"/>
        <v/>
      </c>
      <c r="I23" s="53"/>
      <c r="J23" s="44">
        <f t="shared" si="6"/>
        <v>37780</v>
      </c>
      <c r="K23" s="45">
        <v>15</v>
      </c>
      <c r="L23" s="90">
        <f t="shared" si="3"/>
        <v>6.7350758018346741E-4</v>
      </c>
      <c r="M23" s="46">
        <f t="shared" si="7"/>
        <v>4.4336832295415093E-5</v>
      </c>
      <c r="N23" s="75">
        <v>4.4336832295415093E-5</v>
      </c>
      <c r="O23" s="89">
        <f t="shared" si="4"/>
        <v>4.4336832295415093E-5</v>
      </c>
      <c r="P23" s="48">
        <v>40337</v>
      </c>
      <c r="Q23" s="1">
        <v>6.1481514040778599E-4</v>
      </c>
      <c r="R23" s="52"/>
      <c r="U23" s="49">
        <v>40715</v>
      </c>
      <c r="V23" s="92"/>
      <c r="X23" s="4" t="s">
        <v>48</v>
      </c>
    </row>
    <row r="24" spans="1:26" x14ac:dyDescent="0.25">
      <c r="A24" s="39"/>
      <c r="B24" s="49"/>
      <c r="C24" s="79"/>
      <c r="D24" s="86" t="str">
        <f t="shared" si="5"/>
        <v/>
      </c>
      <c r="E24" s="81"/>
      <c r="F24" s="50" t="str">
        <f t="shared" si="0"/>
        <v/>
      </c>
      <c r="G24" s="16" t="str">
        <f t="shared" si="1"/>
        <v/>
      </c>
      <c r="H24" s="51" t="str">
        <f t="shared" si="2"/>
        <v/>
      </c>
      <c r="I24" s="53"/>
      <c r="J24" s="44">
        <f t="shared" si="6"/>
        <v>37781</v>
      </c>
      <c r="K24" s="45">
        <v>16</v>
      </c>
      <c r="L24" s="90">
        <f t="shared" si="3"/>
        <v>8.9250905741042764E-4</v>
      </c>
      <c r="M24" s="46">
        <f t="shared" si="7"/>
        <v>6.3182052340935858E-5</v>
      </c>
      <c r="N24" s="75">
        <v>6.3182052340935858E-5</v>
      </c>
      <c r="O24" s="89">
        <f t="shared" si="4"/>
        <v>6.3182052340935858E-5</v>
      </c>
      <c r="P24" s="48">
        <v>40338</v>
      </c>
      <c r="Q24" s="1">
        <v>8.1872679212602632E-4</v>
      </c>
      <c r="R24" s="52"/>
      <c r="U24" s="49">
        <v>40716</v>
      </c>
      <c r="V24" s="92"/>
      <c r="X24" s="4">
        <v>0.99999999999999989</v>
      </c>
      <c r="Y24" s="4">
        <v>0.16733579069538865</v>
      </c>
    </row>
    <row r="25" spans="1:26" x14ac:dyDescent="0.25">
      <c r="A25" s="39"/>
      <c r="B25" s="49"/>
      <c r="C25" s="79"/>
      <c r="D25" s="86" t="str">
        <f t="shared" si="5"/>
        <v/>
      </c>
      <c r="E25" s="81"/>
      <c r="F25" s="50" t="str">
        <f t="shared" si="0"/>
        <v/>
      </c>
      <c r="G25" s="16" t="str">
        <f t="shared" si="1"/>
        <v/>
      </c>
      <c r="H25" s="51" t="str">
        <f t="shared" si="2"/>
        <v/>
      </c>
      <c r="I25" s="54"/>
      <c r="J25" s="44">
        <f t="shared" si="6"/>
        <v>37782</v>
      </c>
      <c r="K25" s="45">
        <v>17</v>
      </c>
      <c r="L25" s="90">
        <f t="shared" si="3"/>
        <v>1.1826380006716123E-3</v>
      </c>
      <c r="M25" s="46">
        <f t="shared" si="7"/>
        <v>9.003664795384782E-5</v>
      </c>
      <c r="N25" s="75">
        <v>9.003664795384782E-5</v>
      </c>
      <c r="O25" s="89">
        <f t="shared" si="4"/>
        <v>9.003664795384782E-5</v>
      </c>
      <c r="P25" s="48">
        <v>40339</v>
      </c>
      <c r="Q25" s="1">
        <v>1.0901946909765959E-3</v>
      </c>
      <c r="R25" s="52"/>
      <c r="U25" s="49">
        <v>40717</v>
      </c>
      <c r="V25" s="92"/>
      <c r="X25" s="4">
        <v>0.16733579069538865</v>
      </c>
      <c r="Y25" s="4">
        <v>1</v>
      </c>
    </row>
    <row r="26" spans="1:26" x14ac:dyDescent="0.25">
      <c r="A26" s="39"/>
      <c r="B26" s="49"/>
      <c r="C26" s="79"/>
      <c r="D26" s="86" t="str">
        <f t="shared" si="5"/>
        <v/>
      </c>
      <c r="E26" s="81"/>
      <c r="F26" s="50" t="str">
        <f t="shared" si="0"/>
        <v/>
      </c>
      <c r="G26" s="16" t="str">
        <f t="shared" si="1"/>
        <v/>
      </c>
      <c r="H26" s="51" t="str">
        <f t="shared" si="2"/>
        <v/>
      </c>
      <c r="I26" s="54"/>
      <c r="J26" s="44">
        <f t="shared" si="6"/>
        <v>37783</v>
      </c>
      <c r="K26" s="45">
        <v>18</v>
      </c>
      <c r="L26" s="90">
        <f t="shared" si="3"/>
        <v>1.5669315790569664E-3</v>
      </c>
      <c r="M26" s="46">
        <f t="shared" si="7"/>
        <v>1.2830392713932698E-4</v>
      </c>
      <c r="N26" s="75">
        <v>1.2830392713932698E-4</v>
      </c>
      <c r="O26" s="89">
        <f t="shared" si="4"/>
        <v>1.2830392713932698E-4</v>
      </c>
      <c r="P26" s="48">
        <v>40340</v>
      </c>
      <c r="Q26" s="1">
        <v>1.4515433191966043E-3</v>
      </c>
      <c r="R26" s="52"/>
      <c r="U26" s="49">
        <v>40718</v>
      </c>
      <c r="V26" s="92"/>
    </row>
    <row r="27" spans="1:26" ht="16.5" thickBot="1" x14ac:dyDescent="0.3">
      <c r="B27" s="49"/>
      <c r="C27" s="79"/>
      <c r="D27" s="86" t="str">
        <f t="shared" si="5"/>
        <v/>
      </c>
      <c r="E27" s="81"/>
      <c r="F27" s="50" t="str">
        <f t="shared" si="0"/>
        <v/>
      </c>
      <c r="G27" s="16" t="str">
        <f t="shared" si="1"/>
        <v/>
      </c>
      <c r="H27" s="51" t="str">
        <f t="shared" si="2"/>
        <v/>
      </c>
      <c r="I27" s="54"/>
      <c r="J27" s="44">
        <f t="shared" si="6"/>
        <v>37784</v>
      </c>
      <c r="K27" s="45">
        <v>19</v>
      </c>
      <c r="L27" s="90">
        <f t="shared" si="3"/>
        <v>2.0758403211665732E-3</v>
      </c>
      <c r="M27" s="46">
        <f t="shared" si="7"/>
        <v>1.8283255021357849E-4</v>
      </c>
      <c r="N27" s="75">
        <v>1.8283255021357849E-4</v>
      </c>
      <c r="O27" s="89">
        <f t="shared" si="4"/>
        <v>1.8283255021357849E-4</v>
      </c>
      <c r="P27" s="48">
        <v>40341</v>
      </c>
      <c r="Q27" s="1">
        <v>1.9324304426046567E-3</v>
      </c>
      <c r="R27" s="52"/>
      <c r="U27" s="49">
        <v>40719</v>
      </c>
      <c r="V27" s="92">
        <v>7.0000000000000001E-3</v>
      </c>
    </row>
    <row r="28" spans="1:26" x14ac:dyDescent="0.25">
      <c r="B28" s="49"/>
      <c r="C28" s="79"/>
      <c r="D28" s="86" t="str">
        <f t="shared" si="5"/>
        <v/>
      </c>
      <c r="E28" s="81"/>
      <c r="F28" s="50" t="str">
        <f t="shared" si="0"/>
        <v/>
      </c>
      <c r="G28" s="16" t="str">
        <f t="shared" si="1"/>
        <v/>
      </c>
      <c r="H28" s="51" t="str">
        <f t="shared" si="2"/>
        <v/>
      </c>
      <c r="I28" s="54"/>
      <c r="J28" s="44">
        <f t="shared" si="6"/>
        <v>37785</v>
      </c>
      <c r="K28" s="45">
        <v>20</v>
      </c>
      <c r="L28" s="90">
        <f t="shared" si="3"/>
        <v>2.7495774998194159E-3</v>
      </c>
      <c r="M28" s="46">
        <f t="shared" si="7"/>
        <v>2.6052956766402371E-4</v>
      </c>
      <c r="N28" s="75">
        <v>2.6052956766402371E-4</v>
      </c>
      <c r="O28" s="89">
        <f t="shared" si="4"/>
        <v>2.6052956766402371E-4</v>
      </c>
      <c r="P28" s="48">
        <v>40342</v>
      </c>
      <c r="Q28" s="1">
        <v>2.5722220404043386E-3</v>
      </c>
      <c r="U28" s="40">
        <v>40720</v>
      </c>
      <c r="V28" s="92"/>
    </row>
    <row r="29" spans="1:26" x14ac:dyDescent="0.25">
      <c r="B29" s="49"/>
      <c r="C29" s="79"/>
      <c r="D29" s="86" t="str">
        <f t="shared" si="5"/>
        <v/>
      </c>
      <c r="E29" s="81"/>
      <c r="F29" s="50" t="str">
        <f t="shared" si="0"/>
        <v/>
      </c>
      <c r="G29" s="16" t="str">
        <f t="shared" si="1"/>
        <v/>
      </c>
      <c r="H29" s="51" t="str">
        <f t="shared" si="2"/>
        <v/>
      </c>
      <c r="I29" s="54"/>
      <c r="J29" s="44">
        <f t="shared" si="6"/>
        <v>37786</v>
      </c>
      <c r="K29" s="45">
        <v>21</v>
      </c>
      <c r="L29" s="90">
        <f t="shared" si="3"/>
        <v>3.6411857399598351E-3</v>
      </c>
      <c r="M29" s="46">
        <f t="shared" si="7"/>
        <v>3.7123266109304417E-4</v>
      </c>
      <c r="N29" s="75">
        <v>3.7123266109304417E-4</v>
      </c>
      <c r="O29" s="89">
        <f t="shared" si="4"/>
        <v>3.7123266109304417E-4</v>
      </c>
      <c r="P29" s="48">
        <v>40343</v>
      </c>
      <c r="Q29" s="1">
        <v>3.4231101794941045E-3</v>
      </c>
      <c r="U29" s="49">
        <v>40721</v>
      </c>
      <c r="V29" s="92"/>
    </row>
    <row r="30" spans="1:26" x14ac:dyDescent="0.25">
      <c r="B30" s="49"/>
      <c r="C30" s="79"/>
      <c r="D30" s="86" t="str">
        <f t="shared" si="5"/>
        <v/>
      </c>
      <c r="E30" s="81"/>
      <c r="F30" s="50" t="str">
        <f t="shared" si="0"/>
        <v/>
      </c>
      <c r="G30" s="16" t="str">
        <f t="shared" si="1"/>
        <v/>
      </c>
      <c r="H30" s="51" t="str">
        <f t="shared" si="2"/>
        <v/>
      </c>
      <c r="I30" s="54"/>
      <c r="J30" s="44">
        <f t="shared" si="6"/>
        <v>37787</v>
      </c>
      <c r="K30" s="45">
        <v>22</v>
      </c>
      <c r="L30" s="90">
        <f t="shared" si="3"/>
        <v>4.8205191098368919E-3</v>
      </c>
      <c r="M30" s="46">
        <f t="shared" si="7"/>
        <v>5.2895034459836269E-4</v>
      </c>
      <c r="N30" s="76">
        <v>5.2895034459836269E-4</v>
      </c>
      <c r="O30" s="89">
        <f t="shared" si="4"/>
        <v>5.2895034459836269E-4</v>
      </c>
      <c r="P30" s="48">
        <v>40344</v>
      </c>
      <c r="Q30" s="1">
        <v>4.5541859663405402E-3</v>
      </c>
      <c r="U30" s="49">
        <v>40722</v>
      </c>
      <c r="V30" s="92"/>
    </row>
    <row r="31" spans="1:26" x14ac:dyDescent="0.25">
      <c r="B31" s="49"/>
      <c r="C31" s="79"/>
      <c r="D31" s="86" t="str">
        <f t="shared" si="5"/>
        <v/>
      </c>
      <c r="E31" s="81"/>
      <c r="F31" s="50" t="str">
        <f t="shared" si="0"/>
        <v/>
      </c>
      <c r="G31" s="16" t="str">
        <f t="shared" si="1"/>
        <v/>
      </c>
      <c r="H31" s="51" t="str">
        <f t="shared" si="2"/>
        <v/>
      </c>
      <c r="I31" s="54"/>
      <c r="J31" s="44">
        <f t="shared" si="6"/>
        <v>37788</v>
      </c>
      <c r="K31" s="45">
        <v>23</v>
      </c>
      <c r="L31" s="90">
        <f t="shared" si="3"/>
        <v>6.3793777934349673E-3</v>
      </c>
      <c r="M31" s="46">
        <f t="shared" si="7"/>
        <v>7.5362365201523903E-4</v>
      </c>
      <c r="N31" s="76">
        <v>7.5362365201523903E-4</v>
      </c>
      <c r="O31" s="89">
        <f t="shared" si="4"/>
        <v>7.5362365201523903E-4</v>
      </c>
      <c r="P31" s="48">
        <v>40345</v>
      </c>
      <c r="Q31" s="1">
        <v>6.0567243090960737E-3</v>
      </c>
      <c r="R31" s="55"/>
      <c r="S31" s="55"/>
      <c r="U31" s="49">
        <v>40723</v>
      </c>
      <c r="V31" s="92"/>
    </row>
    <row r="32" spans="1:26" x14ac:dyDescent="0.25">
      <c r="B32" s="49"/>
      <c r="C32" s="79"/>
      <c r="D32" s="86" t="str">
        <f t="shared" si="5"/>
        <v/>
      </c>
      <c r="E32" s="81"/>
      <c r="F32" s="50" t="str">
        <f t="shared" si="0"/>
        <v/>
      </c>
      <c r="G32" s="16" t="str">
        <f t="shared" si="1"/>
        <v/>
      </c>
      <c r="H32" s="51" t="str">
        <f t="shared" si="2"/>
        <v/>
      </c>
      <c r="I32" s="54"/>
      <c r="J32" s="44">
        <f t="shared" si="6"/>
        <v>37789</v>
      </c>
      <c r="K32" s="45">
        <v>24</v>
      </c>
      <c r="L32" s="90">
        <f t="shared" si="3"/>
        <v>8.4380656815857633E-3</v>
      </c>
      <c r="M32" s="46">
        <f t="shared" si="7"/>
        <v>1.0736251359755081E-3</v>
      </c>
      <c r="N32" s="76">
        <v>1.0736251359755081E-3</v>
      </c>
      <c r="O32" s="89">
        <f t="shared" si="4"/>
        <v>1.0736251359755081E-3</v>
      </c>
      <c r="P32" s="48">
        <v>40346</v>
      </c>
      <c r="Q32" s="1">
        <v>8.0509778061675936E-3</v>
      </c>
      <c r="U32" s="49">
        <v>40724</v>
      </c>
      <c r="V32" s="92"/>
    </row>
    <row r="33" spans="2:22" x14ac:dyDescent="0.25">
      <c r="B33" s="49"/>
      <c r="C33" s="79"/>
      <c r="D33" s="86" t="str">
        <f t="shared" si="5"/>
        <v/>
      </c>
      <c r="E33" s="81"/>
      <c r="F33" s="50" t="str">
        <f t="shared" si="0"/>
        <v/>
      </c>
      <c r="G33" s="16" t="str">
        <f t="shared" si="1"/>
        <v/>
      </c>
      <c r="H33" s="51" t="str">
        <f t="shared" si="2"/>
        <v/>
      </c>
      <c r="I33" s="54"/>
      <c r="J33" s="44">
        <f t="shared" si="6"/>
        <v>37790</v>
      </c>
      <c r="K33" s="45">
        <v>25</v>
      </c>
      <c r="L33" s="90">
        <f t="shared" si="3"/>
        <v>1.1153654773175007E-2</v>
      </c>
      <c r="M33" s="46">
        <f t="shared" si="7"/>
        <v>1.5292967649937837E-3</v>
      </c>
      <c r="N33" s="76">
        <v>1.5292967649937837E-3</v>
      </c>
      <c r="O33" s="89">
        <f t="shared" si="4"/>
        <v>1.5292967649937837E-3</v>
      </c>
      <c r="P33" s="48">
        <v>40347</v>
      </c>
      <c r="Q33" s="1">
        <v>1.0694799271914295E-2</v>
      </c>
      <c r="U33" s="49">
        <v>40725</v>
      </c>
      <c r="V33" s="92">
        <v>0.35599999999999998</v>
      </c>
    </row>
    <row r="34" spans="2:22" ht="16.5" thickBot="1" x14ac:dyDescent="0.3">
      <c r="B34" s="49"/>
      <c r="C34" s="79"/>
      <c r="D34" s="86" t="str">
        <f t="shared" si="5"/>
        <v/>
      </c>
      <c r="E34" s="81"/>
      <c r="F34" s="50" t="str">
        <f t="shared" si="0"/>
        <v/>
      </c>
      <c r="G34" s="16" t="str">
        <f t="shared" si="1"/>
        <v/>
      </c>
      <c r="H34" s="51" t="str">
        <f t="shared" si="2"/>
        <v/>
      </c>
      <c r="I34" s="54"/>
      <c r="J34" s="44">
        <f t="shared" si="6"/>
        <v>37791</v>
      </c>
      <c r="K34" s="45">
        <v>26</v>
      </c>
      <c r="L34" s="90">
        <f t="shared" si="3"/>
        <v>1.4730208117273366E-2</v>
      </c>
      <c r="M34" s="46">
        <f t="shared" si="7"/>
        <v>2.1779444332849758E-3</v>
      </c>
      <c r="N34" s="76">
        <v>2.1779444332849758E-3</v>
      </c>
      <c r="O34" s="89">
        <f t="shared" si="4"/>
        <v>2.1779444332849758E-3</v>
      </c>
      <c r="P34" s="48">
        <v>40348</v>
      </c>
      <c r="Q34" s="1">
        <v>1.4194388945639416E-2</v>
      </c>
      <c r="U34" s="49">
        <v>40726</v>
      </c>
      <c r="V34" s="92"/>
    </row>
    <row r="35" spans="2:22" x14ac:dyDescent="0.25">
      <c r="B35" s="49"/>
      <c r="C35" s="79"/>
      <c r="D35" s="86" t="str">
        <f t="shared" si="5"/>
        <v/>
      </c>
      <c r="E35" s="81"/>
      <c r="F35" s="50" t="str">
        <f t="shared" si="0"/>
        <v/>
      </c>
      <c r="G35" s="16" t="str">
        <f t="shared" si="1"/>
        <v/>
      </c>
      <c r="H35" s="51" t="str">
        <f t="shared" si="2"/>
        <v/>
      </c>
      <c r="I35" s="54"/>
      <c r="J35" s="44">
        <f t="shared" si="6"/>
        <v>37792</v>
      </c>
      <c r="K35" s="45">
        <v>27</v>
      </c>
      <c r="L35" s="90">
        <f t="shared" si="3"/>
        <v>1.9431090047243374E-2</v>
      </c>
      <c r="M35" s="46">
        <f t="shared" si="7"/>
        <v>3.1008600796789275E-3</v>
      </c>
      <c r="N35" s="76">
        <v>3.1008600796789275E-3</v>
      </c>
      <c r="O35" s="89">
        <f t="shared" si="4"/>
        <v>3.1008600796789275E-3</v>
      </c>
      <c r="P35" s="48">
        <v>40349</v>
      </c>
      <c r="Q35" s="1">
        <v>1.8817345014281332E-2</v>
      </c>
      <c r="U35" s="40">
        <v>40727</v>
      </c>
    </row>
    <row r="36" spans="2:22" x14ac:dyDescent="0.25">
      <c r="B36" s="49"/>
      <c r="C36" s="79"/>
      <c r="D36" s="86" t="str">
        <f t="shared" si="5"/>
        <v/>
      </c>
      <c r="E36" s="81"/>
      <c r="F36" s="50" t="str">
        <f t="shared" si="0"/>
        <v/>
      </c>
      <c r="G36" s="16" t="str">
        <f t="shared" si="1"/>
        <v/>
      </c>
      <c r="H36" s="51" t="str">
        <f t="shared" si="2"/>
        <v/>
      </c>
      <c r="I36" s="54"/>
      <c r="J36" s="44">
        <f t="shared" si="6"/>
        <v>37793</v>
      </c>
      <c r="K36" s="45">
        <v>28</v>
      </c>
      <c r="L36" s="90">
        <f t="shared" si="3"/>
        <v>2.5593205192476959E-2</v>
      </c>
      <c r="M36" s="46">
        <f t="shared" si="7"/>
        <v>4.4131364833405974E-3</v>
      </c>
      <c r="N36" s="76">
        <v>4.4131364833405974E-3</v>
      </c>
      <c r="O36" s="89">
        <f t="shared" si="4"/>
        <v>4.4131364833405974E-3</v>
      </c>
      <c r="P36" s="48">
        <v>40350</v>
      </c>
      <c r="Q36" s="1">
        <v>2.4907904460513997E-2</v>
      </c>
      <c r="U36" s="49">
        <v>40728</v>
      </c>
    </row>
    <row r="37" spans="2:22" x14ac:dyDescent="0.25">
      <c r="B37" s="49"/>
      <c r="C37" s="79"/>
      <c r="D37" s="86" t="str">
        <f t="shared" si="5"/>
        <v/>
      </c>
      <c r="E37" s="81"/>
      <c r="F37" s="50" t="str">
        <f t="shared" si="0"/>
        <v/>
      </c>
      <c r="G37" s="16" t="str">
        <f t="shared" si="1"/>
        <v/>
      </c>
      <c r="H37" s="51" t="str">
        <f t="shared" si="2"/>
        <v/>
      </c>
      <c r="I37" s="54"/>
      <c r="J37" s="44">
        <f t="shared" si="6"/>
        <v>37794</v>
      </c>
      <c r="K37" s="45">
        <v>29</v>
      </c>
      <c r="L37" s="90">
        <f t="shared" si="3"/>
        <v>3.3642444995717141E-2</v>
      </c>
      <c r="M37" s="46">
        <f t="shared" si="7"/>
        <v>6.2772681143683619E-3</v>
      </c>
      <c r="N37" s="76">
        <v>6.2772681143683619E-3</v>
      </c>
      <c r="O37" s="89">
        <f t="shared" si="4"/>
        <v>6.2772681143683619E-3</v>
      </c>
      <c r="P37" s="48">
        <v>40351</v>
      </c>
      <c r="Q37" s="1">
        <v>3.2903671432563369E-2</v>
      </c>
      <c r="U37" s="49">
        <v>40729</v>
      </c>
      <c r="V37" s="4">
        <v>0.51500000000000001</v>
      </c>
    </row>
    <row r="38" spans="2:22" x14ac:dyDescent="0.25">
      <c r="B38" s="49"/>
      <c r="C38" s="79"/>
      <c r="D38" s="86" t="str">
        <f t="shared" si="5"/>
        <v/>
      </c>
      <c r="E38" s="81"/>
      <c r="F38" s="50" t="str">
        <f t="shared" si="0"/>
        <v/>
      </c>
      <c r="G38" s="16" t="str">
        <f t="shared" si="1"/>
        <v/>
      </c>
      <c r="H38" s="51" t="str">
        <f t="shared" si="2"/>
        <v/>
      </c>
      <c r="I38" s="54"/>
      <c r="J38" s="44">
        <f t="shared" si="6"/>
        <v>37795</v>
      </c>
      <c r="K38" s="45">
        <v>30</v>
      </c>
      <c r="L38" s="90">
        <f t="shared" si="3"/>
        <v>4.4108630611742444E-2</v>
      </c>
      <c r="M38" s="46">
        <f t="shared" si="7"/>
        <v>8.9217622649491162E-3</v>
      </c>
      <c r="N38" s="76">
        <v>8.9217622649491162E-3</v>
      </c>
      <c r="O38" s="89">
        <f t="shared" si="4"/>
        <v>8.9217622649491162E-3</v>
      </c>
      <c r="P38" s="48">
        <v>40352</v>
      </c>
      <c r="Q38" s="1">
        <v>4.3352069231991391E-2</v>
      </c>
      <c r="U38" s="49"/>
    </row>
    <row r="39" spans="2:22" x14ac:dyDescent="0.25">
      <c r="B39" s="49"/>
      <c r="C39" s="79"/>
      <c r="D39" s="86" t="str">
        <f t="shared" si="5"/>
        <v/>
      </c>
      <c r="E39" s="81"/>
      <c r="F39" s="50" t="str">
        <f t="shared" si="0"/>
        <v/>
      </c>
      <c r="G39" s="16" t="str">
        <f t="shared" si="1"/>
        <v/>
      </c>
      <c r="H39" s="51" t="str">
        <f t="shared" si="2"/>
        <v/>
      </c>
      <c r="I39" s="54"/>
      <c r="J39" s="44">
        <f t="shared" si="6"/>
        <v>37796</v>
      </c>
      <c r="K39" s="45">
        <v>31</v>
      </c>
      <c r="L39" s="90">
        <f t="shared" si="3"/>
        <v>5.7636652655196713E-2</v>
      </c>
      <c r="M39" s="46">
        <f t="shared" si="7"/>
        <v>1.2666131545885561E-2</v>
      </c>
      <c r="N39" s="76">
        <v>1.2666131545885561E-2</v>
      </c>
      <c r="O39" s="89">
        <f t="shared" si="4"/>
        <v>1.2666131545885561E-2</v>
      </c>
      <c r="P39" s="48">
        <v>40353</v>
      </c>
      <c r="Q39" s="1">
        <v>5.6923017026269736E-2</v>
      </c>
      <c r="U39" s="49"/>
    </row>
    <row r="40" spans="2:22" x14ac:dyDescent="0.25">
      <c r="B40" s="49"/>
      <c r="C40" s="79"/>
      <c r="D40" s="86" t="str">
        <f t="shared" si="5"/>
        <v/>
      </c>
      <c r="E40" s="81"/>
      <c r="F40" s="50" t="str">
        <f t="shared" si="0"/>
        <v/>
      </c>
      <c r="G40" s="16" t="str">
        <f t="shared" si="1"/>
        <v/>
      </c>
      <c r="H40" s="51" t="str">
        <f t="shared" si="2"/>
        <v/>
      </c>
      <c r="I40" s="54"/>
      <c r="J40" s="44">
        <f t="shared" si="6"/>
        <v>37797</v>
      </c>
      <c r="K40" s="45">
        <v>32</v>
      </c>
      <c r="L40" s="90">
        <f t="shared" si="3"/>
        <v>7.4988206077094277E-2</v>
      </c>
      <c r="M40" s="46">
        <f t="shared" si="7"/>
        <v>1.7953505605503725E-2</v>
      </c>
      <c r="N40" s="76">
        <v>1.7953505605503725E-2</v>
      </c>
      <c r="O40" s="89">
        <f t="shared" si="4"/>
        <v>1.7953505605503725E-2</v>
      </c>
      <c r="P40" s="48">
        <v>40354</v>
      </c>
      <c r="Q40" s="1">
        <v>7.4411773683001156E-2</v>
      </c>
      <c r="U40" s="49"/>
    </row>
    <row r="41" spans="2:22" x14ac:dyDescent="0.25">
      <c r="B41" s="49"/>
      <c r="C41" s="79"/>
      <c r="D41" s="86" t="str">
        <f t="shared" si="5"/>
        <v/>
      </c>
      <c r="E41" s="81"/>
      <c r="F41" s="50" t="str">
        <f t="shared" si="0"/>
        <v/>
      </c>
      <c r="G41" s="16" t="str">
        <f t="shared" si="1"/>
        <v/>
      </c>
      <c r="H41" s="51" t="str">
        <f t="shared" si="2"/>
        <v/>
      </c>
      <c r="I41" s="54"/>
      <c r="J41" s="44">
        <f t="shared" si="6"/>
        <v>37798</v>
      </c>
      <c r="K41" s="45">
        <v>33</v>
      </c>
      <c r="L41" s="90">
        <f t="shared" si="3"/>
        <v>9.7025625185121492E-2</v>
      </c>
      <c r="M41" s="46">
        <f t="shared" si="7"/>
        <v>2.5391289272607597E-2</v>
      </c>
      <c r="N41" s="76">
        <v>2.5391289272607597E-2</v>
      </c>
      <c r="O41" s="89">
        <f t="shared" si="4"/>
        <v>2.5391289272607597E-2</v>
      </c>
      <c r="P41" s="48">
        <v>40355</v>
      </c>
      <c r="Q41" s="1">
        <v>9.6722617460862401E-2</v>
      </c>
      <c r="U41" s="49"/>
    </row>
    <row r="42" spans="2:22" ht="16.5" thickBot="1" x14ac:dyDescent="0.3">
      <c r="B42" s="49"/>
      <c r="C42" s="79"/>
      <c r="D42" s="86" t="str">
        <f t="shared" si="5"/>
        <v/>
      </c>
      <c r="E42" s="81"/>
      <c r="F42" s="50" t="str">
        <f t="shared" si="0"/>
        <v/>
      </c>
      <c r="G42" s="16" t="str">
        <f t="shared" si="1"/>
        <v/>
      </c>
      <c r="H42" s="51" t="str">
        <f t="shared" si="2"/>
        <v/>
      </c>
      <c r="I42" s="54"/>
      <c r="J42" s="44">
        <f t="shared" si="6"/>
        <v>37799</v>
      </c>
      <c r="K42" s="45">
        <v>34</v>
      </c>
      <c r="L42" s="90">
        <f t="shared" si="3"/>
        <v>0.12466653434235597</v>
      </c>
      <c r="M42" s="46">
        <f t="shared" si="7"/>
        <v>3.5798078010252969E-2</v>
      </c>
      <c r="N42" s="76">
        <v>3.5798078010252969E-2</v>
      </c>
      <c r="O42" s="89">
        <f t="shared" si="4"/>
        <v>3.5798078010252969E-2</v>
      </c>
      <c r="P42" s="48">
        <v>40356</v>
      </c>
      <c r="Q42" s="1">
        <v>0.12482080008468176</v>
      </c>
    </row>
    <row r="43" spans="2:22" x14ac:dyDescent="0.25">
      <c r="B43" s="49"/>
      <c r="C43" s="79"/>
      <c r="D43" s="86" t="str">
        <f t="shared" si="5"/>
        <v/>
      </c>
      <c r="E43" s="81"/>
      <c r="F43" s="50" t="str">
        <f t="shared" si="0"/>
        <v/>
      </c>
      <c r="G43" s="16" t="str">
        <f t="shared" si="1"/>
        <v/>
      </c>
      <c r="H43" s="51" t="str">
        <f t="shared" si="2"/>
        <v/>
      </c>
      <c r="I43" s="54"/>
      <c r="J43" s="44">
        <f t="shared" si="6"/>
        <v>37800</v>
      </c>
      <c r="K43" s="45">
        <v>35</v>
      </c>
      <c r="L43" s="90">
        <f t="shared" si="3"/>
        <v>0.15879706245150543</v>
      </c>
      <c r="M43" s="46">
        <f t="shared" si="7"/>
        <v>5.0250242425127004E-2</v>
      </c>
      <c r="N43" s="76">
        <v>5.0250242425127004E-2</v>
      </c>
      <c r="O43" s="89">
        <f t="shared" si="4"/>
        <v>5.0250242425127004E-2</v>
      </c>
      <c r="P43" s="48">
        <v>40357</v>
      </c>
      <c r="Q43" s="1">
        <v>0.15963897994445775</v>
      </c>
      <c r="U43" s="40">
        <v>40705</v>
      </c>
      <c r="V43" s="95">
        <v>2.4E-2</v>
      </c>
    </row>
    <row r="44" spans="2:22" x14ac:dyDescent="0.25">
      <c r="B44" s="49"/>
      <c r="C44" s="79"/>
      <c r="D44" s="86" t="str">
        <f t="shared" si="5"/>
        <v/>
      </c>
      <c r="E44" s="81"/>
      <c r="F44" s="50" t="str">
        <f t="shared" si="0"/>
        <v/>
      </c>
      <c r="G44" s="16" t="str">
        <f t="shared" si="1"/>
        <v/>
      </c>
      <c r="H44" s="51" t="str">
        <f t="shared" si="2"/>
        <v/>
      </c>
      <c r="I44" s="54"/>
      <c r="J44" s="44">
        <f t="shared" si="6"/>
        <v>37801</v>
      </c>
      <c r="K44" s="45">
        <v>36</v>
      </c>
      <c r="L44" s="90">
        <f t="shared" si="3"/>
        <v>0.20013524384424056</v>
      </c>
      <c r="M44" s="46">
        <f t="shared" si="7"/>
        <v>7.0112677039206914E-2</v>
      </c>
      <c r="N44" s="76">
        <v>7.0112677039206914E-2</v>
      </c>
      <c r="O44" s="89">
        <f t="shared" si="4"/>
        <v>7.0112677039206914E-2</v>
      </c>
      <c r="P44" s="48">
        <v>40358</v>
      </c>
      <c r="Q44" s="1">
        <v>0.20192861027500136</v>
      </c>
      <c r="U44" s="49">
        <v>40706</v>
      </c>
      <c r="V44" s="95"/>
    </row>
    <row r="45" spans="2:22" x14ac:dyDescent="0.25">
      <c r="B45" s="49"/>
      <c r="C45" s="79"/>
      <c r="D45" s="86" t="str">
        <f t="shared" si="5"/>
        <v/>
      </c>
      <c r="E45" s="81"/>
      <c r="F45" s="50" t="str">
        <f t="shared" si="0"/>
        <v/>
      </c>
      <c r="G45" s="16" t="str">
        <f t="shared" si="1"/>
        <v/>
      </c>
      <c r="H45" s="51" t="str">
        <f t="shared" si="2"/>
        <v/>
      </c>
      <c r="I45" s="54"/>
      <c r="J45" s="44">
        <f t="shared" si="6"/>
        <v>37802</v>
      </c>
      <c r="K45" s="45">
        <v>37</v>
      </c>
      <c r="L45" s="90">
        <f t="shared" si="3"/>
        <v>0.24904863007932609</v>
      </c>
      <c r="M45" s="46">
        <f t="shared" si="7"/>
        <v>9.7024102357607847E-2</v>
      </c>
      <c r="N45" s="76">
        <v>9.7024102357607847E-2</v>
      </c>
      <c r="O45" s="89">
        <f t="shared" si="4"/>
        <v>9.7024102357607847E-2</v>
      </c>
      <c r="P45" s="48">
        <v>40359</v>
      </c>
      <c r="Q45" s="1">
        <v>0.25206087357123486</v>
      </c>
      <c r="U45" s="49">
        <v>40707</v>
      </c>
      <c r="V45" s="95"/>
    </row>
    <row r="46" spans="2:22" x14ac:dyDescent="0.25">
      <c r="B46" s="49"/>
      <c r="C46" s="79"/>
      <c r="D46" s="86" t="str">
        <f t="shared" si="5"/>
        <v/>
      </c>
      <c r="E46" s="81"/>
      <c r="F46" s="50" t="str">
        <f t="shared" si="0"/>
        <v/>
      </c>
      <c r="G46" s="16" t="str">
        <f t="shared" si="1"/>
        <v/>
      </c>
      <c r="H46" s="51" t="str">
        <f t="shared" si="2"/>
        <v/>
      </c>
      <c r="I46" s="54"/>
      <c r="J46" s="44">
        <f t="shared" si="6"/>
        <v>37803</v>
      </c>
      <c r="K46" s="45">
        <v>38</v>
      </c>
      <c r="L46" s="90">
        <f t="shared" si="3"/>
        <v>0.305352827303353</v>
      </c>
      <c r="M46" s="46">
        <f t="shared" si="7"/>
        <v>0.13278990299316346</v>
      </c>
      <c r="N46" s="76">
        <v>0.13278990299316346</v>
      </c>
      <c r="O46" s="89">
        <f t="shared" si="4"/>
        <v>0.13278990299316346</v>
      </c>
      <c r="P46" s="48">
        <v>40360</v>
      </c>
      <c r="Q46" s="1">
        <v>0.30980777704027063</v>
      </c>
      <c r="U46" s="49">
        <v>40708</v>
      </c>
      <c r="V46" s="95"/>
    </row>
    <row r="47" spans="2:22" x14ac:dyDescent="0.25">
      <c r="B47" s="49"/>
      <c r="C47" s="79"/>
      <c r="D47" s="86" t="str">
        <f t="shared" si="5"/>
        <v/>
      </c>
      <c r="E47" s="81"/>
      <c r="F47" s="50" t="str">
        <f t="shared" si="0"/>
        <v/>
      </c>
      <c r="G47" s="16" t="str">
        <f t="shared" si="1"/>
        <v/>
      </c>
      <c r="H47" s="51" t="str">
        <f t="shared" si="2"/>
        <v/>
      </c>
      <c r="I47" s="54"/>
      <c r="J47" s="44">
        <f t="shared" si="6"/>
        <v>37804</v>
      </c>
      <c r="K47" s="45">
        <v>39</v>
      </c>
      <c r="L47" s="90">
        <f t="shared" si="3"/>
        <v>0.36814581574831806</v>
      </c>
      <c r="M47" s="46">
        <f t="shared" si="7"/>
        <v>0.17912459589298799</v>
      </c>
      <c r="N47" s="76">
        <v>0.17912459589298799</v>
      </c>
      <c r="O47" s="89">
        <f t="shared" si="4"/>
        <v>0.17912459589298799</v>
      </c>
      <c r="P47" s="48">
        <v>40361</v>
      </c>
      <c r="Q47" s="1">
        <v>0.37416608438208854</v>
      </c>
      <c r="U47" s="49">
        <v>40709</v>
      </c>
      <c r="V47" s="95"/>
    </row>
    <row r="48" spans="2:22" x14ac:dyDescent="0.25">
      <c r="B48" s="49"/>
      <c r="C48" s="79"/>
      <c r="D48" s="86" t="str">
        <f t="shared" si="5"/>
        <v/>
      </c>
      <c r="E48" s="81"/>
      <c r="F48" s="50" t="str">
        <f t="shared" si="0"/>
        <v/>
      </c>
      <c r="G48" s="16" t="str">
        <f t="shared" si="1"/>
        <v/>
      </c>
      <c r="H48" s="51" t="str">
        <f t="shared" si="2"/>
        <v/>
      </c>
      <c r="I48" s="54"/>
      <c r="J48" s="44">
        <f t="shared" si="6"/>
        <v>37805</v>
      </c>
      <c r="K48" s="45">
        <v>40</v>
      </c>
      <c r="L48" s="90">
        <f t="shared" si="3"/>
        <v>0.43575141803734668</v>
      </c>
      <c r="M48" s="46">
        <f t="shared" si="7"/>
        <v>0.23720467988333704</v>
      </c>
      <c r="N48" s="76">
        <v>0.23720467988333704</v>
      </c>
      <c r="O48" s="89">
        <f t="shared" si="4"/>
        <v>0.23720467988333704</v>
      </c>
      <c r="P48" s="48">
        <v>40362</v>
      </c>
      <c r="Q48" s="1">
        <v>0.44330675299696459</v>
      </c>
      <c r="U48" s="49">
        <v>40710</v>
      </c>
      <c r="V48" s="95"/>
    </row>
    <row r="49" spans="2:26" x14ac:dyDescent="0.25">
      <c r="B49" s="49"/>
      <c r="C49" s="79"/>
      <c r="D49" s="86" t="str">
        <f t="shared" si="5"/>
        <v/>
      </c>
      <c r="E49" s="81"/>
      <c r="F49" s="50" t="str">
        <f t="shared" si="0"/>
        <v/>
      </c>
      <c r="G49" s="16" t="str">
        <f t="shared" si="1"/>
        <v/>
      </c>
      <c r="H49" s="51" t="str">
        <f t="shared" si="2"/>
        <v/>
      </c>
      <c r="I49" s="54"/>
      <c r="J49" s="44">
        <f t="shared" si="6"/>
        <v>37806</v>
      </c>
      <c r="K49" s="45">
        <v>41</v>
      </c>
      <c r="L49" s="90">
        <f t="shared" si="3"/>
        <v>0.50583314045327965</v>
      </c>
      <c r="M49" s="46">
        <f t="shared" si="7"/>
        <v>0.30707218568713457</v>
      </c>
      <c r="N49" s="76">
        <v>0.30707218568713457</v>
      </c>
      <c r="O49" s="89">
        <f t="shared" si="4"/>
        <v>0.30707218568713457</v>
      </c>
      <c r="P49" s="4">
        <v>40363</v>
      </c>
      <c r="Q49" s="4">
        <v>0.51471586655781365</v>
      </c>
      <c r="U49" s="49">
        <v>40711</v>
      </c>
      <c r="V49" s="95"/>
    </row>
    <row r="50" spans="2:26" ht="16.5" thickBot="1" x14ac:dyDescent="0.3">
      <c r="B50" s="49"/>
      <c r="C50" s="79"/>
      <c r="D50" s="86" t="str">
        <f t="shared" si="5"/>
        <v/>
      </c>
      <c r="E50" s="81"/>
      <c r="F50" s="50" t="str">
        <f t="shared" si="0"/>
        <v/>
      </c>
      <c r="G50" s="16" t="str">
        <f t="shared" si="1"/>
        <v/>
      </c>
      <c r="H50" s="51" t="str">
        <f t="shared" si="2"/>
        <v/>
      </c>
      <c r="I50" s="54"/>
      <c r="J50" s="44">
        <f t="shared" si="6"/>
        <v>37807</v>
      </c>
      <c r="K50" s="45">
        <v>42</v>
      </c>
      <c r="L50" s="90">
        <f t="shared" si="3"/>
        <v>0.57568638565895403</v>
      </c>
      <c r="M50" s="46">
        <f t="shared" si="7"/>
        <v>0.38707606622199253</v>
      </c>
      <c r="N50" s="76">
        <v>0.38707606622199253</v>
      </c>
      <c r="O50" s="89">
        <f t="shared" si="4"/>
        <v>0.38707606622199253</v>
      </c>
      <c r="P50" s="4">
        <v>40364</v>
      </c>
      <c r="Q50" s="4">
        <v>0.58552915257129856</v>
      </c>
      <c r="U50" s="49">
        <v>40712</v>
      </c>
      <c r="V50" s="95">
        <v>3.5999999999999997E-2</v>
      </c>
    </row>
    <row r="51" spans="2:26" x14ac:dyDescent="0.25">
      <c r="B51" s="49"/>
      <c r="C51" s="79"/>
      <c r="D51" s="86" t="str">
        <f t="shared" si="5"/>
        <v/>
      </c>
      <c r="E51" s="81"/>
      <c r="F51" s="50" t="str">
        <f t="shared" si="0"/>
        <v/>
      </c>
      <c r="G51" s="16" t="str">
        <f t="shared" si="1"/>
        <v/>
      </c>
      <c r="H51" s="51" t="str">
        <f t="shared" si="2"/>
        <v/>
      </c>
      <c r="I51" s="54"/>
      <c r="J51" s="44">
        <f t="shared" si="6"/>
        <v>37808</v>
      </c>
      <c r="K51" s="45">
        <v>43</v>
      </c>
      <c r="L51" s="90">
        <f t="shared" si="3"/>
        <v>0.64264132609442637</v>
      </c>
      <c r="M51" s="46">
        <f t="shared" si="7"/>
        <v>0.47367530224191001</v>
      </c>
      <c r="N51" s="76">
        <v>0.47367530224191001</v>
      </c>
      <c r="O51" s="89">
        <f t="shared" si="4"/>
        <v>0.47367530224191001</v>
      </c>
      <c r="P51" s="4">
        <v>40365</v>
      </c>
      <c r="Q51" s="4">
        <v>0.65297594566306583</v>
      </c>
      <c r="U51" s="40">
        <v>40713</v>
      </c>
      <c r="V51" s="95"/>
    </row>
    <row r="52" spans="2:26" x14ac:dyDescent="0.25">
      <c r="B52" s="49"/>
      <c r="C52" s="79"/>
      <c r="D52" s="86" t="str">
        <f t="shared" si="5"/>
        <v/>
      </c>
      <c r="E52" s="81"/>
      <c r="F52" s="50" t="str">
        <f t="shared" si="0"/>
        <v/>
      </c>
      <c r="G52" s="16" t="str">
        <f t="shared" si="1"/>
        <v/>
      </c>
      <c r="H52" s="51" t="str">
        <f t="shared" si="2"/>
        <v/>
      </c>
      <c r="I52" s="54"/>
      <c r="J52" s="44">
        <f t="shared" si="6"/>
        <v>37809</v>
      </c>
      <c r="K52" s="45">
        <v>44</v>
      </c>
      <c r="L52" s="90">
        <f t="shared" si="3"/>
        <v>0.70445500599729416</v>
      </c>
      <c r="M52" s="46">
        <f t="shared" si="7"/>
        <v>0.56188779335925654</v>
      </c>
      <c r="N52" s="76">
        <v>0.56188779335925654</v>
      </c>
      <c r="O52" s="89">
        <f t="shared" si="4"/>
        <v>0.56188779335925654</v>
      </c>
      <c r="P52" s="4">
        <v>40366</v>
      </c>
      <c r="Q52" s="4">
        <v>0.71479326435445212</v>
      </c>
      <c r="U52" s="49">
        <v>40714</v>
      </c>
      <c r="V52" s="95"/>
    </row>
    <row r="53" spans="2:26" x14ac:dyDescent="0.25">
      <c r="B53" s="49"/>
      <c r="C53" s="79"/>
      <c r="D53" s="86" t="str">
        <f t="shared" si="5"/>
        <v/>
      </c>
      <c r="E53" s="81"/>
      <c r="F53" s="50" t="str">
        <f t="shared" si="0"/>
        <v/>
      </c>
      <c r="G53" s="16" t="str">
        <f t="shared" si="1"/>
        <v/>
      </c>
      <c r="H53" s="51" t="str">
        <f t="shared" si="2"/>
        <v/>
      </c>
      <c r="I53" s="54"/>
      <c r="J53" s="44">
        <f t="shared" si="6"/>
        <v>37810</v>
      </c>
      <c r="K53" s="45">
        <v>45</v>
      </c>
      <c r="L53" s="90">
        <f t="shared" si="3"/>
        <v>0.75957665857936152</v>
      </c>
      <c r="M53" s="46">
        <f t="shared" si="7"/>
        <v>0.64635389784882469</v>
      </c>
      <c r="N53" s="75">
        <v>0.64635389784882469</v>
      </c>
      <c r="O53" s="89">
        <f t="shared" si="4"/>
        <v>0.64635389784882469</v>
      </c>
      <c r="P53" s="4">
        <v>40367</v>
      </c>
      <c r="Q53" s="4">
        <v>0.76948613379160047</v>
      </c>
      <c r="U53" s="49">
        <v>40715</v>
      </c>
      <c r="V53" s="95"/>
    </row>
    <row r="54" spans="2:26" x14ac:dyDescent="0.25">
      <c r="B54" s="49"/>
      <c r="C54" s="79"/>
      <c r="D54" s="86" t="str">
        <f t="shared" si="5"/>
        <v/>
      </c>
      <c r="E54" s="81"/>
      <c r="F54" s="50" t="str">
        <f t="shared" si="0"/>
        <v/>
      </c>
      <c r="G54" s="16" t="str">
        <f t="shared" si="1"/>
        <v/>
      </c>
      <c r="H54" s="51" t="str">
        <f t="shared" si="2"/>
        <v/>
      </c>
      <c r="I54" s="54"/>
      <c r="J54" s="44">
        <f t="shared" si="6"/>
        <v>37811</v>
      </c>
      <c r="K54" s="45">
        <v>46</v>
      </c>
      <c r="L54" s="90">
        <f t="shared" si="3"/>
        <v>0.80723088335731508</v>
      </c>
      <c r="M54" s="46">
        <f t="shared" si="7"/>
        <v>0.72257565187378159</v>
      </c>
      <c r="N54" s="75">
        <v>0.72257565187378159</v>
      </c>
      <c r="O54" s="89">
        <f t="shared" si="4"/>
        <v>0.72257565187378159</v>
      </c>
      <c r="P54" s="4">
        <v>40368</v>
      </c>
      <c r="Q54" s="4">
        <v>0.81638498403003179</v>
      </c>
      <c r="U54" s="49">
        <v>40716</v>
      </c>
      <c r="V54" s="95"/>
    </row>
    <row r="55" spans="2:26" x14ac:dyDescent="0.25">
      <c r="B55" s="49"/>
      <c r="C55" s="79"/>
      <c r="D55" s="86" t="str">
        <f t="shared" si="5"/>
        <v/>
      </c>
      <c r="E55" s="81"/>
      <c r="F55" s="50" t="str">
        <f t="shared" si="0"/>
        <v/>
      </c>
      <c r="G55" s="16" t="str">
        <f t="shared" si="1"/>
        <v/>
      </c>
      <c r="H55" s="51" t="str">
        <f t="shared" si="2"/>
        <v/>
      </c>
      <c r="I55" s="54"/>
      <c r="J55" s="44">
        <f t="shared" si="6"/>
        <v>37812</v>
      </c>
      <c r="K55" s="45">
        <v>47</v>
      </c>
      <c r="L55" s="90">
        <f t="shared" si="3"/>
        <v>0.84733797197047156</v>
      </c>
      <c r="M55" s="46">
        <f t="shared" si="7"/>
        <v>0.67992615512835608</v>
      </c>
      <c r="N55" s="76">
        <v>0.67992615512835608</v>
      </c>
      <c r="O55" s="89">
        <f t="shared" si="4"/>
        <v>0.67992615512835608</v>
      </c>
      <c r="P55" s="4">
        <v>40369</v>
      </c>
      <c r="Q55" s="4">
        <v>0.85553350414652685</v>
      </c>
      <c r="U55" s="49">
        <v>40717</v>
      </c>
      <c r="V55" s="95"/>
    </row>
    <row r="56" spans="2:26" x14ac:dyDescent="0.25">
      <c r="B56" s="49"/>
      <c r="C56" s="79"/>
      <c r="D56" s="86" t="str">
        <f t="shared" si="5"/>
        <v/>
      </c>
      <c r="E56" s="81"/>
      <c r="F56" s="50" t="str">
        <f t="shared" si="0"/>
        <v/>
      </c>
      <c r="G56" s="16" t="str">
        <f t="shared" si="1"/>
        <v/>
      </c>
      <c r="H56" s="51" t="str">
        <f t="shared" si="2"/>
        <v/>
      </c>
      <c r="I56" s="54"/>
      <c r="J56" s="44">
        <f t="shared" si="6"/>
        <v>37813</v>
      </c>
      <c r="K56" s="45">
        <v>48</v>
      </c>
      <c r="L56" s="90">
        <f t="shared" si="3"/>
        <v>0.88033746149866898</v>
      </c>
      <c r="M56" s="46">
        <f t="shared" si="7"/>
        <v>0.73462826392623781</v>
      </c>
      <c r="N56" s="76">
        <v>0.73462826392623781</v>
      </c>
      <c r="O56" s="89">
        <f t="shared" si="4"/>
        <v>0.73462826392623781</v>
      </c>
      <c r="P56" s="4">
        <v>40370</v>
      </c>
      <c r="Q56" s="4">
        <v>0.88748554172196392</v>
      </c>
      <c r="U56" s="49">
        <v>40718</v>
      </c>
      <c r="V56" s="95"/>
    </row>
    <row r="57" spans="2:26" ht="16.5" thickBot="1" x14ac:dyDescent="0.3">
      <c r="B57" s="49"/>
      <c r="C57" s="79"/>
      <c r="D57" s="86" t="str">
        <f t="shared" si="5"/>
        <v/>
      </c>
      <c r="E57" s="81"/>
      <c r="F57" s="50" t="str">
        <f t="shared" si="0"/>
        <v/>
      </c>
      <c r="G57" s="16" t="str">
        <f t="shared" si="1"/>
        <v/>
      </c>
      <c r="H57" s="51" t="str">
        <f t="shared" si="2"/>
        <v/>
      </c>
      <c r="I57" s="54"/>
      <c r="J57" s="44">
        <f t="shared" si="6"/>
        <v>37814</v>
      </c>
      <c r="K57" s="45">
        <v>49</v>
      </c>
      <c r="L57" s="90">
        <f t="shared" si="3"/>
        <v>0.90698678458713511</v>
      </c>
      <c r="M57" s="46">
        <f t="shared" si="7"/>
        <v>0.78296570483334704</v>
      </c>
      <c r="N57" s="76">
        <v>0.78296570483334704</v>
      </c>
      <c r="O57" s="89">
        <f t="shared" si="4"/>
        <v>0.78296570483334704</v>
      </c>
      <c r="P57" s="4">
        <v>40371</v>
      </c>
      <c r="Q57" s="4">
        <v>0.91308857223820117</v>
      </c>
      <c r="U57" s="49">
        <v>40719</v>
      </c>
      <c r="V57" s="95">
        <v>7.0000000000000001E-3</v>
      </c>
    </row>
    <row r="58" spans="2:26" x14ac:dyDescent="0.25">
      <c r="B58" s="49"/>
      <c r="C58" s="79"/>
      <c r="D58" s="86" t="str">
        <f t="shared" si="5"/>
        <v/>
      </c>
      <c r="E58" s="81"/>
      <c r="F58" s="50" t="str">
        <f t="shared" si="0"/>
        <v/>
      </c>
      <c r="G58" s="16" t="str">
        <f t="shared" si="1"/>
        <v/>
      </c>
      <c r="H58" s="51" t="str">
        <f t="shared" si="2"/>
        <v/>
      </c>
      <c r="I58" s="54"/>
      <c r="J58" s="44">
        <f t="shared" si="6"/>
        <v>37815</v>
      </c>
      <c r="K58" s="45">
        <v>50</v>
      </c>
      <c r="L58" s="90">
        <f t="shared" si="3"/>
        <v>0.92818534536183761</v>
      </c>
      <c r="M58" s="46">
        <f t="shared" si="7"/>
        <v>0.82460067927314873</v>
      </c>
      <c r="N58" s="75">
        <v>0.82460067927314873</v>
      </c>
      <c r="O58" s="89">
        <f t="shared" si="4"/>
        <v>0.82460067927314873</v>
      </c>
      <c r="P58" s="4">
        <v>40372</v>
      </c>
      <c r="Q58" s="4">
        <v>0.93330339143718788</v>
      </c>
      <c r="U58" s="40">
        <v>40720</v>
      </c>
      <c r="V58" s="95"/>
    </row>
    <row r="59" spans="2:26" x14ac:dyDescent="0.25">
      <c r="B59" s="49"/>
      <c r="C59" s="79"/>
      <c r="D59" s="86" t="str">
        <f t="shared" si="5"/>
        <v/>
      </c>
      <c r="E59" s="81"/>
      <c r="F59" s="50" t="str">
        <f t="shared" si="0"/>
        <v/>
      </c>
      <c r="G59" s="16" t="str">
        <f t="shared" si="1"/>
        <v/>
      </c>
      <c r="H59" s="51" t="str">
        <f t="shared" si="2"/>
        <v/>
      </c>
      <c r="I59" s="54"/>
      <c r="J59" s="44">
        <f t="shared" si="6"/>
        <v>37816</v>
      </c>
      <c r="K59" s="45">
        <v>51</v>
      </c>
      <c r="L59" s="90">
        <f t="shared" si="3"/>
        <v>0.94484635359283697</v>
      </c>
      <c r="M59" s="46">
        <f t="shared" si="7"/>
        <v>0.85967998350172414</v>
      </c>
      <c r="N59" s="75">
        <v>0.85967998350172414</v>
      </c>
      <c r="O59" s="89">
        <f t="shared" si="4"/>
        <v>0.85967998350172414</v>
      </c>
      <c r="P59" s="4">
        <v>40373</v>
      </c>
      <c r="Q59" s="4">
        <v>0.94907863528681002</v>
      </c>
      <c r="U59" s="49">
        <v>40721</v>
      </c>
      <c r="V59" s="95"/>
    </row>
    <row r="60" spans="2:26" x14ac:dyDescent="0.25">
      <c r="B60" s="49"/>
      <c r="C60" s="79"/>
      <c r="D60" s="86" t="str">
        <f t="shared" si="5"/>
        <v/>
      </c>
      <c r="E60" s="81"/>
      <c r="F60" s="50" t="str">
        <f t="shared" si="0"/>
        <v/>
      </c>
      <c r="G60" s="16" t="str">
        <f t="shared" si="1"/>
        <v/>
      </c>
      <c r="H60" s="51" t="str">
        <f t="shared" si="2"/>
        <v/>
      </c>
      <c r="I60" s="54"/>
      <c r="J60" s="44">
        <f t="shared" si="6"/>
        <v>37817</v>
      </c>
      <c r="K60" s="45">
        <v>52</v>
      </c>
      <c r="L60" s="90">
        <f t="shared" si="3"/>
        <v>0.95781767101181692</v>
      </c>
      <c r="M60" s="46">
        <f t="shared" si="7"/>
        <v>0.8886905657803027</v>
      </c>
      <c r="N60" s="76">
        <v>0.8886905657803027</v>
      </c>
      <c r="O60" s="89">
        <f t="shared" si="4"/>
        <v>0.8886905657803027</v>
      </c>
      <c r="P60" s="4">
        <v>40374</v>
      </c>
      <c r="Q60" s="4">
        <v>0.96127748661561918</v>
      </c>
      <c r="U60" s="49">
        <v>40722</v>
      </c>
      <c r="V60" s="95"/>
    </row>
    <row r="61" spans="2:26" x14ac:dyDescent="0.25">
      <c r="B61" s="49"/>
      <c r="C61" s="79"/>
      <c r="D61" s="86" t="str">
        <f t="shared" si="5"/>
        <v/>
      </c>
      <c r="E61" s="81"/>
      <c r="F61" s="50" t="str">
        <f t="shared" si="0"/>
        <v/>
      </c>
      <c r="G61" s="16" t="str">
        <f t="shared" si="1"/>
        <v/>
      </c>
      <c r="H61" s="51" t="str">
        <f t="shared" si="2"/>
        <v/>
      </c>
      <c r="I61" s="54"/>
      <c r="J61" s="44">
        <f t="shared" si="6"/>
        <v>37818</v>
      </c>
      <c r="K61" s="45">
        <v>53</v>
      </c>
      <c r="L61" s="90">
        <f t="shared" si="3"/>
        <v>0.96784215671441909</v>
      </c>
      <c r="M61" s="46">
        <f t="shared" si="7"/>
        <v>0.91231509064301375</v>
      </c>
      <c r="N61" s="75">
        <v>0.91231509064301375</v>
      </c>
      <c r="O61" s="89">
        <f t="shared" si="4"/>
        <v>0.91231509064301375</v>
      </c>
      <c r="P61" s="4">
        <v>40375</v>
      </c>
      <c r="Q61" s="4">
        <v>0.97064434164342128</v>
      </c>
      <c r="U61" s="49">
        <v>40723</v>
      </c>
      <c r="V61" s="95"/>
      <c r="Y61" s="93">
        <v>37783</v>
      </c>
    </row>
    <row r="62" spans="2:26" ht="16.5" thickBot="1" x14ac:dyDescent="0.3">
      <c r="B62" s="49"/>
      <c r="C62" s="79"/>
      <c r="D62" s="86" t="str">
        <f t="shared" si="5"/>
        <v/>
      </c>
      <c r="E62" s="81"/>
      <c r="F62" s="50" t="str">
        <f t="shared" si="0"/>
        <v/>
      </c>
      <c r="G62" s="16" t="str">
        <f t="shared" si="1"/>
        <v/>
      </c>
      <c r="H62" s="51" t="str">
        <f t="shared" si="2"/>
        <v/>
      </c>
      <c r="I62" s="54"/>
      <c r="J62" s="44">
        <f t="shared" si="6"/>
        <v>37819</v>
      </c>
      <c r="K62" s="45">
        <v>54</v>
      </c>
      <c r="L62" s="90">
        <f t="shared" si="3"/>
        <v>0.9755451818333517</v>
      </c>
      <c r="M62" s="46">
        <f t="shared" si="7"/>
        <v>0.93131304287865924</v>
      </c>
      <c r="N62" s="75">
        <v>0.93131304287865924</v>
      </c>
      <c r="O62" s="89">
        <f t="shared" si="4"/>
        <v>0.93131304287865924</v>
      </c>
      <c r="P62" s="4">
        <v>40376</v>
      </c>
      <c r="Q62" s="4">
        <v>0.97779771637475388</v>
      </c>
      <c r="U62" s="49">
        <v>40724</v>
      </c>
      <c r="V62" s="95"/>
      <c r="Y62" s="93">
        <v>37810</v>
      </c>
      <c r="Z62" s="95">
        <v>0.90100000000000002</v>
      </c>
    </row>
    <row r="63" spans="2:26" x14ac:dyDescent="0.25">
      <c r="B63" s="49"/>
      <c r="C63" s="79"/>
      <c r="D63" s="86" t="str">
        <f t="shared" si="5"/>
        <v/>
      </c>
      <c r="E63" s="81"/>
      <c r="F63" s="50" t="str">
        <f t="shared" si="0"/>
        <v/>
      </c>
      <c r="G63" s="16" t="str">
        <f t="shared" si="1"/>
        <v/>
      </c>
      <c r="H63" s="51" t="str">
        <f t="shared" si="2"/>
        <v/>
      </c>
      <c r="I63" s="54"/>
      <c r="J63" s="44">
        <f t="shared" si="6"/>
        <v>37820</v>
      </c>
      <c r="K63" s="45">
        <v>55</v>
      </c>
      <c r="L63" s="90">
        <f t="shared" si="3"/>
        <v>0.98143842698436556</v>
      </c>
      <c r="M63" s="46">
        <f t="shared" si="7"/>
        <v>0.94643653282667362</v>
      </c>
      <c r="N63" s="75">
        <v>0.94643653282667362</v>
      </c>
      <c r="O63" s="89">
        <f t="shared" si="4"/>
        <v>0.94643653282667362</v>
      </c>
      <c r="P63" s="4">
        <v>40377</v>
      </c>
      <c r="Q63" s="4">
        <v>0.98323806162233796</v>
      </c>
      <c r="U63" s="40">
        <v>40725</v>
      </c>
      <c r="V63" s="95">
        <v>0.35599999999999998</v>
      </c>
      <c r="Y63" s="93">
        <v>37813</v>
      </c>
      <c r="Z63" s="95">
        <v>0.77500000000000002</v>
      </c>
    </row>
    <row r="64" spans="2:26" ht="16.5" thickBot="1" x14ac:dyDescent="0.3">
      <c r="B64" s="56"/>
      <c r="C64" s="80"/>
      <c r="D64" s="87" t="str">
        <f t="shared" si="5"/>
        <v/>
      </c>
      <c r="E64" s="82"/>
      <c r="F64" s="50" t="str">
        <f t="shared" si="0"/>
        <v/>
      </c>
      <c r="G64" s="16" t="str">
        <f t="shared" si="1"/>
        <v/>
      </c>
      <c r="H64" s="51" t="str">
        <f t="shared" si="2"/>
        <v/>
      </c>
      <c r="I64" s="54"/>
      <c r="J64" s="44">
        <f t="shared" si="6"/>
        <v>37821</v>
      </c>
      <c r="K64" s="45">
        <v>56</v>
      </c>
      <c r="L64" s="90">
        <f t="shared" si="3"/>
        <v>0.98593196828816942</v>
      </c>
      <c r="M64" s="46">
        <f t="shared" si="7"/>
        <v>0.95837894884125729</v>
      </c>
      <c r="N64" s="76">
        <v>0.95837894884125729</v>
      </c>
      <c r="O64" s="89">
        <f t="shared" si="4"/>
        <v>0.95837894884125729</v>
      </c>
      <c r="P64" s="4">
        <v>40378</v>
      </c>
      <c r="Q64" s="4">
        <v>0.98736255895680802</v>
      </c>
      <c r="U64" s="49">
        <v>40726</v>
      </c>
      <c r="V64" s="95"/>
      <c r="Y64" s="93">
        <v>37816</v>
      </c>
      <c r="Z64" s="95">
        <v>0.93</v>
      </c>
    </row>
    <row r="65" spans="2:26" ht="16.5" thickBot="1" x14ac:dyDescent="0.3">
      <c r="B65" s="57">
        <f>C5</f>
        <v>37833</v>
      </c>
      <c r="C65" s="58">
        <v>100</v>
      </c>
      <c r="D65" s="84">
        <f t="shared" si="5"/>
        <v>68</v>
      </c>
      <c r="E65" s="59">
        <v>1</v>
      </c>
      <c r="F65" s="60">
        <f t="shared" si="0"/>
        <v>0.99951494417545994</v>
      </c>
      <c r="G65" s="61">
        <f t="shared" si="1"/>
        <v>4.8505582454005935E-4</v>
      </c>
      <c r="H65" s="62">
        <f t="shared" si="2"/>
        <v>2.3527915292023685E-5</v>
      </c>
      <c r="I65" s="54"/>
      <c r="J65" s="44">
        <f t="shared" si="6"/>
        <v>37822</v>
      </c>
      <c r="K65" s="45">
        <v>57</v>
      </c>
      <c r="L65" s="90">
        <f t="shared" si="3"/>
        <v>0.98934948053865557</v>
      </c>
      <c r="M65" s="46">
        <f t="shared" si="7"/>
        <v>0.96774943709406713</v>
      </c>
      <c r="N65" s="75">
        <v>0.96774943709406713</v>
      </c>
      <c r="O65" s="89">
        <f t="shared" si="4"/>
        <v>0.96774943709406713</v>
      </c>
      <c r="P65" s="4">
        <v>40379</v>
      </c>
      <c r="Q65" s="4">
        <v>0.99048199337810516</v>
      </c>
      <c r="U65" s="49">
        <v>40727</v>
      </c>
      <c r="V65" s="95"/>
      <c r="Y65" s="93">
        <v>37819</v>
      </c>
      <c r="Z65" s="95">
        <v>0.997</v>
      </c>
    </row>
    <row r="66" spans="2:26" ht="16.5" thickBot="1" x14ac:dyDescent="0.3">
      <c r="B66" s="57">
        <f>A3</f>
        <v>37766</v>
      </c>
      <c r="C66" s="58">
        <v>100</v>
      </c>
      <c r="D66" s="84">
        <f>IF(B66&lt;&gt;0,B66-$A$3+1,"")</f>
        <v>1</v>
      </c>
      <c r="E66" s="59">
        <v>0</v>
      </c>
      <c r="F66" s="60">
        <f>IF(B66&lt;&gt;0,$G$3/(1+EXP(-$G$4*(D66-$G$5))),"")</f>
        <v>1.3047124400263937E-5</v>
      </c>
      <c r="G66" s="61">
        <f>IF(B66&lt;&gt;0,E66-F66,"")</f>
        <v>-1.3047124400263937E-5</v>
      </c>
      <c r="H66" s="62">
        <f>IF(B66&lt;&gt;0,C66*(G66)^2,"")</f>
        <v>1.7022745511596258E-8</v>
      </c>
      <c r="I66" s="68"/>
      <c r="J66" s="44">
        <f t="shared" si="6"/>
        <v>37823</v>
      </c>
      <c r="K66" s="45">
        <v>58</v>
      </c>
      <c r="L66" s="90">
        <f t="shared" si="3"/>
        <v>0.99194356891500257</v>
      </c>
      <c r="M66" s="46">
        <f t="shared" si="7"/>
        <v>0.97506515897383861</v>
      </c>
      <c r="N66" s="75">
        <v>0.97506515897383861</v>
      </c>
      <c r="O66" s="89">
        <f t="shared" si="4"/>
        <v>0.97506515897383861</v>
      </c>
      <c r="P66" s="4">
        <v>40380</v>
      </c>
      <c r="Q66" s="4">
        <v>0.99283701063466723</v>
      </c>
      <c r="U66" s="49">
        <v>40728</v>
      </c>
      <c r="V66" s="95"/>
      <c r="Y66" s="93">
        <v>37823</v>
      </c>
      <c r="Z66" s="95">
        <v>0.99399999999999999</v>
      </c>
    </row>
    <row r="67" spans="2:26" x14ac:dyDescent="0.25">
      <c r="B67" s="63"/>
      <c r="C67" s="64"/>
      <c r="D67" s="65"/>
      <c r="E67" s="64"/>
      <c r="F67" s="66"/>
      <c r="G67" s="67"/>
      <c r="H67" s="67"/>
      <c r="I67" s="68"/>
      <c r="J67" s="44">
        <f t="shared" si="6"/>
        <v>37824</v>
      </c>
      <c r="K67" s="45">
        <v>59</v>
      </c>
      <c r="L67" s="90">
        <f t="shared" si="3"/>
        <v>0.99390971890382285</v>
      </c>
      <c r="M67" s="46">
        <f t="shared" si="7"/>
        <v>0.98075438398529091</v>
      </c>
      <c r="N67" s="76">
        <v>0.98075438398529091</v>
      </c>
      <c r="O67" s="89">
        <f t="shared" si="4"/>
        <v>0.98075438398529091</v>
      </c>
      <c r="P67" s="4">
        <v>40381</v>
      </c>
      <c r="Q67" s="4">
        <v>0.99461250113431077</v>
      </c>
      <c r="U67" s="49">
        <v>40729</v>
      </c>
      <c r="V67" s="95">
        <v>0.51500000000000001</v>
      </c>
    </row>
    <row r="68" spans="2:26" x14ac:dyDescent="0.25">
      <c r="B68" s="63"/>
      <c r="C68" s="64"/>
      <c r="D68" s="65"/>
      <c r="E68" s="64"/>
      <c r="F68" s="69"/>
      <c r="G68" s="67"/>
      <c r="H68" s="67"/>
      <c r="I68" s="68"/>
      <c r="J68" s="44">
        <f t="shared" si="6"/>
        <v>37825</v>
      </c>
      <c r="K68" s="45">
        <v>60</v>
      </c>
      <c r="L68" s="90">
        <f t="shared" si="3"/>
        <v>0.99539826136330956</v>
      </c>
      <c r="M68" s="46">
        <f t="shared" si="7"/>
        <v>0.98516528350488675</v>
      </c>
      <c r="N68" s="76">
        <v>0.98516528350488675</v>
      </c>
      <c r="O68" s="89">
        <f t="shared" si="4"/>
        <v>0.98516528350488675</v>
      </c>
      <c r="P68" s="4">
        <v>40382</v>
      </c>
      <c r="Q68" s="4">
        <v>0.99594969608518535</v>
      </c>
      <c r="U68" s="49">
        <v>40730</v>
      </c>
      <c r="V68" s="95"/>
    </row>
    <row r="69" spans="2:26" x14ac:dyDescent="0.25">
      <c r="B69" s="63"/>
      <c r="C69" s="64"/>
      <c r="D69" s="65"/>
      <c r="E69" s="64"/>
      <c r="F69" s="64"/>
      <c r="G69" s="64"/>
      <c r="H69" s="64"/>
      <c r="I69" s="53"/>
      <c r="J69" s="44">
        <f t="shared" si="6"/>
        <v>37826</v>
      </c>
      <c r="K69" s="45">
        <v>61</v>
      </c>
      <c r="L69" s="90">
        <f t="shared" si="3"/>
        <v>0.99652425732932814</v>
      </c>
      <c r="M69" s="46">
        <f t="shared" si="7"/>
        <v>0.9885770241743157</v>
      </c>
      <c r="N69" s="76">
        <v>0.9885770241743157</v>
      </c>
      <c r="O69" s="89">
        <f t="shared" si="4"/>
        <v>0.9885770241743157</v>
      </c>
      <c r="P69" s="4">
        <v>40383</v>
      </c>
      <c r="Q69" s="4">
        <v>0.99695601060889649</v>
      </c>
      <c r="U69" s="49">
        <v>40731</v>
      </c>
      <c r="V69" s="95"/>
    </row>
    <row r="70" spans="2:26" ht="16.5" thickBot="1" x14ac:dyDescent="0.3">
      <c r="B70" s="63"/>
      <c r="C70" s="64"/>
      <c r="D70" s="65"/>
      <c r="E70" s="64"/>
      <c r="F70" s="64"/>
      <c r="G70" s="64"/>
      <c r="H70" s="64"/>
      <c r="I70" s="53"/>
      <c r="J70" s="44">
        <f t="shared" si="6"/>
        <v>37827</v>
      </c>
      <c r="K70" s="45">
        <v>62</v>
      </c>
      <c r="L70" s="90">
        <f t="shared" si="3"/>
        <v>0.997375460642977</v>
      </c>
      <c r="M70" s="46">
        <f t="shared" si="7"/>
        <v>0.99121112062050309</v>
      </c>
      <c r="N70" s="76">
        <v>0.99121112062050309</v>
      </c>
      <c r="O70" s="89">
        <f t="shared" si="4"/>
        <v>0.99121112062050309</v>
      </c>
      <c r="P70" s="4">
        <v>40384</v>
      </c>
      <c r="Q70" s="4">
        <v>0.99771287634461936</v>
      </c>
      <c r="U70" s="49">
        <v>40732</v>
      </c>
    </row>
    <row r="71" spans="2:26" x14ac:dyDescent="0.25">
      <c r="B71" s="63"/>
      <c r="C71" s="64"/>
      <c r="D71" s="65"/>
      <c r="E71" s="64"/>
      <c r="F71" s="64"/>
      <c r="G71" s="64"/>
      <c r="H71" s="64"/>
      <c r="I71" s="53"/>
      <c r="J71" s="44">
        <f t="shared" si="6"/>
        <v>37828</v>
      </c>
      <c r="K71" s="45">
        <v>63</v>
      </c>
      <c r="L71" s="90">
        <f t="shared" si="3"/>
        <v>0.99801862022624632</v>
      </c>
      <c r="M71" s="46">
        <f t="shared" si="7"/>
        <v>0.99324195641616453</v>
      </c>
      <c r="N71" s="76">
        <v>0.99324195641616453</v>
      </c>
      <c r="O71" s="89">
        <f t="shared" si="4"/>
        <v>0.99324195641616453</v>
      </c>
      <c r="P71" s="4">
        <v>40385</v>
      </c>
      <c r="Q71" s="4">
        <v>0.99828187726084372</v>
      </c>
      <c r="U71" s="40">
        <v>40733</v>
      </c>
      <c r="V71" s="95"/>
    </row>
    <row r="72" spans="2:26" x14ac:dyDescent="0.25">
      <c r="B72" s="63"/>
      <c r="C72" s="64"/>
      <c r="D72" s="65"/>
      <c r="E72" s="64"/>
      <c r="F72" s="64"/>
      <c r="G72" s="64"/>
      <c r="H72" s="64"/>
      <c r="I72" s="53"/>
      <c r="J72" s="44">
        <f t="shared" si="6"/>
        <v>37829</v>
      </c>
      <c r="K72" s="45">
        <v>64</v>
      </c>
      <c r="L72" s="90">
        <f t="shared" si="3"/>
        <v>0.99850440592154854</v>
      </c>
      <c r="M72" s="46">
        <f t="shared" si="7"/>
        <v>0.99480598839313295</v>
      </c>
      <c r="N72" s="76">
        <v>0.99480598839313295</v>
      </c>
      <c r="O72" s="89">
        <f t="shared" si="4"/>
        <v>0.99480598839313295</v>
      </c>
      <c r="P72" s="4">
        <v>40386</v>
      </c>
      <c r="Q72" s="4">
        <v>0.99870950266811021</v>
      </c>
      <c r="U72" s="49">
        <v>40734</v>
      </c>
      <c r="V72" s="95"/>
    </row>
    <row r="73" spans="2:26" x14ac:dyDescent="0.25">
      <c r="B73" s="63"/>
      <c r="C73" s="64"/>
      <c r="D73" s="65"/>
      <c r="E73" s="64"/>
      <c r="F73" s="64"/>
      <c r="G73" s="64"/>
      <c r="H73" s="64"/>
      <c r="I73" s="53"/>
      <c r="J73" s="44">
        <f t="shared" si="6"/>
        <v>37830</v>
      </c>
      <c r="K73" s="45">
        <v>65</v>
      </c>
      <c r="L73" s="90">
        <f t="shared" ref="L73:L104" si="11">$G$3/(1+EXP(-$G$4*(K73-$G$5)))</f>
        <v>0.99887122359333258</v>
      </c>
      <c r="M73" s="46">
        <f t="shared" si="7"/>
        <v>0.99887122359333258</v>
      </c>
      <c r="N73" s="77">
        <v>0.99600950655454856</v>
      </c>
      <c r="O73" s="89">
        <f t="shared" ref="O73:O104" si="12">IF(N73=M73,N73,M73)</f>
        <v>0.99887122359333258</v>
      </c>
      <c r="P73" s="4">
        <v>40387</v>
      </c>
      <c r="Q73" s="4">
        <v>0.99903079926177196</v>
      </c>
      <c r="U73" s="49">
        <v>40735</v>
      </c>
    </row>
    <row r="74" spans="2:26" x14ac:dyDescent="0.25">
      <c r="B74" s="63"/>
      <c r="C74" s="64"/>
      <c r="D74" s="65"/>
      <c r="E74" s="64"/>
      <c r="F74" s="64"/>
      <c r="G74" s="64"/>
      <c r="H74" s="64"/>
      <c r="I74" s="53"/>
      <c r="J74" s="44">
        <f t="shared" ref="J74:J107" si="13">J73+1</f>
        <v>37831</v>
      </c>
      <c r="K74" s="45">
        <v>66</v>
      </c>
      <c r="L74" s="90">
        <f t="shared" si="11"/>
        <v>0.99914815028883153</v>
      </c>
      <c r="M74" s="46">
        <f t="shared" ref="M74:M107" si="14">IF(J75&gt;MAX($B$9:$B$64),L74,N74)</f>
        <v>0.99914815028883153</v>
      </c>
      <c r="N74" s="77">
        <v>0.99693501353750869</v>
      </c>
      <c r="O74" s="89">
        <f t="shared" si="12"/>
        <v>0.99914815028883153</v>
      </c>
      <c r="P74" s="4">
        <v>40388</v>
      </c>
      <c r="Q74" s="4">
        <v>0.99927216057350388</v>
      </c>
      <c r="U74" s="49">
        <v>40736</v>
      </c>
      <c r="V74" s="95"/>
    </row>
    <row r="75" spans="2:26" x14ac:dyDescent="0.25">
      <c r="B75" s="63"/>
      <c r="C75" s="64"/>
      <c r="D75" s="65"/>
      <c r="E75" s="64"/>
      <c r="F75" s="64"/>
      <c r="G75" s="64"/>
      <c r="H75" s="64"/>
      <c r="I75" s="53"/>
      <c r="J75" s="44">
        <f t="shared" si="13"/>
        <v>37832</v>
      </c>
      <c r="K75" s="45">
        <v>67</v>
      </c>
      <c r="L75" s="90">
        <f t="shared" si="11"/>
        <v>0.99935718130385254</v>
      </c>
      <c r="M75" s="46">
        <f t="shared" si="14"/>
        <v>0.99935718130385254</v>
      </c>
      <c r="N75" s="77">
        <v>0.99764637681040835</v>
      </c>
      <c r="O75" s="89">
        <f t="shared" si="12"/>
        <v>0.99935718130385254</v>
      </c>
      <c r="P75" s="4">
        <v>40389</v>
      </c>
      <c r="Q75" s="4">
        <v>0.99945344824920912</v>
      </c>
      <c r="U75" s="49">
        <v>40737</v>
      </c>
      <c r="V75" s="95"/>
    </row>
    <row r="76" spans="2:26" x14ac:dyDescent="0.25">
      <c r="B76" s="63"/>
      <c r="C76" s="64"/>
      <c r="D76" s="65"/>
      <c r="E76" s="64"/>
      <c r="F76" s="64"/>
      <c r="G76" s="64"/>
      <c r="H76" s="64"/>
      <c r="I76" s="53"/>
      <c r="J76" s="44">
        <f t="shared" si="13"/>
        <v>37833</v>
      </c>
      <c r="K76" s="45">
        <v>68</v>
      </c>
      <c r="L76" s="90">
        <f t="shared" si="11"/>
        <v>0.99951494417545994</v>
      </c>
      <c r="M76" s="46">
        <f t="shared" si="14"/>
        <v>0.99951494417545994</v>
      </c>
      <c r="N76" s="77">
        <v>0.9981929365976735</v>
      </c>
      <c r="O76" s="89">
        <f t="shared" si="12"/>
        <v>0.99951494417545994</v>
      </c>
      <c r="P76" s="4">
        <v>40390</v>
      </c>
      <c r="Q76" s="4">
        <v>0.99958959997534225</v>
      </c>
      <c r="U76" s="49">
        <v>40738</v>
      </c>
    </row>
    <row r="77" spans="2:26" ht="16.5" thickBot="1" x14ac:dyDescent="0.3">
      <c r="B77" s="63"/>
      <c r="C77" s="64"/>
      <c r="D77" s="65"/>
      <c r="E77" s="64"/>
      <c r="F77" s="64"/>
      <c r="G77" s="64"/>
      <c r="H77" s="64"/>
      <c r="I77" s="53"/>
      <c r="J77" s="44">
        <f t="shared" si="13"/>
        <v>37834</v>
      </c>
      <c r="K77" s="45">
        <v>69</v>
      </c>
      <c r="L77" s="90">
        <f t="shared" si="11"/>
        <v>0.99963400249695022</v>
      </c>
      <c r="M77" s="46">
        <f t="shared" si="14"/>
        <v>0.99963400249695022</v>
      </c>
      <c r="N77" s="77">
        <v>0.99861275043215647</v>
      </c>
      <c r="O77" s="89">
        <f t="shared" si="12"/>
        <v>0.99963400249695022</v>
      </c>
      <c r="P77" s="4">
        <v>40391</v>
      </c>
      <c r="Q77" s="4">
        <v>0.999691845347639</v>
      </c>
      <c r="U77" s="49">
        <v>40739</v>
      </c>
      <c r="V77" s="95"/>
    </row>
    <row r="78" spans="2:26" x14ac:dyDescent="0.25">
      <c r="B78" s="63"/>
      <c r="C78" s="64"/>
      <c r="D78" s="65"/>
      <c r="E78" s="64"/>
      <c r="F78" s="64"/>
      <c r="G78" s="64"/>
      <c r="H78" s="64"/>
      <c r="I78" s="53"/>
      <c r="J78" s="44">
        <f t="shared" si="13"/>
        <v>37835</v>
      </c>
      <c r="K78" s="45">
        <v>70</v>
      </c>
      <c r="L78" s="90">
        <f t="shared" si="11"/>
        <v>0.99972384569134753</v>
      </c>
      <c r="M78" s="46">
        <f t="shared" si="14"/>
        <v>0.99972384569134753</v>
      </c>
      <c r="N78" s="77">
        <v>0.99893513788942956</v>
      </c>
      <c r="O78" s="89">
        <f t="shared" si="12"/>
        <v>0.99972384569134753</v>
      </c>
      <c r="P78" s="4">
        <v>40392</v>
      </c>
      <c r="Q78" s="4">
        <v>0.99976862362515118</v>
      </c>
      <c r="U78" s="40">
        <v>40740</v>
      </c>
      <c r="V78" s="95"/>
    </row>
    <row r="79" spans="2:26" x14ac:dyDescent="0.25">
      <c r="B79" s="63"/>
      <c r="C79" s="64"/>
      <c r="D79" s="65"/>
      <c r="E79" s="64"/>
      <c r="F79" s="64"/>
      <c r="G79" s="64"/>
      <c r="H79" s="64"/>
      <c r="I79" s="53"/>
      <c r="J79" s="44">
        <f t="shared" si="13"/>
        <v>37836</v>
      </c>
      <c r="K79" s="45">
        <v>71</v>
      </c>
      <c r="L79" s="90">
        <f t="shared" si="11"/>
        <v>0.99979163923499548</v>
      </c>
      <c r="M79" s="46">
        <f t="shared" si="14"/>
        <v>0.99979163923499548</v>
      </c>
      <c r="N79" s="77">
        <v>0.99918266599299976</v>
      </c>
      <c r="O79" s="89">
        <f t="shared" si="12"/>
        <v>0.99979163923499548</v>
      </c>
      <c r="P79" s="4">
        <v>40393</v>
      </c>
      <c r="Q79" s="4">
        <v>0.99982627553397851</v>
      </c>
      <c r="U79" s="49">
        <v>40741</v>
      </c>
    </row>
    <row r="80" spans="2:26" x14ac:dyDescent="0.25">
      <c r="B80" s="63"/>
      <c r="C80" s="64"/>
      <c r="D80" s="65"/>
      <c r="E80" s="64"/>
      <c r="F80" s="64"/>
      <c r="G80" s="64"/>
      <c r="H80" s="64"/>
      <c r="I80" s="53"/>
      <c r="J80" s="44">
        <f t="shared" si="13"/>
        <v>37837</v>
      </c>
      <c r="K80" s="45">
        <v>72</v>
      </c>
      <c r="L80" s="90">
        <f t="shared" si="11"/>
        <v>0.99984279265499731</v>
      </c>
      <c r="M80" s="46">
        <f t="shared" si="14"/>
        <v>0.99984279265499731</v>
      </c>
      <c r="N80" s="77">
        <v>0.99937269211089375</v>
      </c>
      <c r="O80" s="89">
        <f t="shared" si="12"/>
        <v>0.99984279265499731</v>
      </c>
      <c r="P80" s="4">
        <v>40394</v>
      </c>
      <c r="Q80" s="4">
        <v>0.99986956422634365</v>
      </c>
      <c r="U80" s="49">
        <v>40742</v>
      </c>
      <c r="V80" s="95"/>
    </row>
    <row r="81" spans="2:22" x14ac:dyDescent="0.25">
      <c r="B81" s="63"/>
      <c r="C81" s="64"/>
      <c r="D81" s="65"/>
      <c r="E81" s="64"/>
      <c r="F81" s="71"/>
      <c r="G81" s="64"/>
      <c r="H81" s="64"/>
      <c r="I81" s="53"/>
      <c r="J81" s="44">
        <f t="shared" si="13"/>
        <v>37838</v>
      </c>
      <c r="K81" s="45">
        <v>73</v>
      </c>
      <c r="L81" s="90">
        <f t="shared" si="11"/>
        <v>0.99988138919104108</v>
      </c>
      <c r="M81" s="46">
        <f t="shared" si="14"/>
        <v>0.99988138919104108</v>
      </c>
      <c r="N81" s="77">
        <v>0.99951855938287282</v>
      </c>
      <c r="O81" s="89">
        <f t="shared" si="12"/>
        <v>0.99988138919104108</v>
      </c>
      <c r="P81" s="4">
        <v>40395</v>
      </c>
      <c r="Q81" s="4">
        <v>0.99990206729144204</v>
      </c>
      <c r="U81" s="49">
        <v>40743</v>
      </c>
      <c r="V81" s="95"/>
    </row>
    <row r="82" spans="2:22" x14ac:dyDescent="0.25">
      <c r="B82" s="63"/>
      <c r="C82" s="64"/>
      <c r="D82" s="65"/>
      <c r="E82" s="64"/>
      <c r="F82" s="71"/>
      <c r="G82" s="64"/>
      <c r="H82" s="64"/>
      <c r="I82" s="53"/>
      <c r="J82" s="44">
        <f t="shared" si="13"/>
        <v>37839</v>
      </c>
      <c r="K82" s="45">
        <v>74</v>
      </c>
      <c r="L82" s="90">
        <f t="shared" si="11"/>
        <v>0.999910510601976</v>
      </c>
      <c r="M82" s="46">
        <f t="shared" si="14"/>
        <v>0.999910510601976</v>
      </c>
      <c r="N82" s="77">
        <v>0.99963052082493253</v>
      </c>
      <c r="O82" s="89">
        <f t="shared" si="12"/>
        <v>0.999910510601976</v>
      </c>
      <c r="P82" s="4">
        <v>40396</v>
      </c>
      <c r="Q82" s="4">
        <v>0.99992647156951309</v>
      </c>
      <c r="U82" s="49">
        <v>40744</v>
      </c>
      <c r="V82" s="95"/>
    </row>
    <row r="83" spans="2:22" x14ac:dyDescent="0.25">
      <c r="B83" s="63"/>
      <c r="C83" s="64"/>
      <c r="D83" s="65"/>
      <c r="E83" s="64"/>
      <c r="F83" s="71"/>
      <c r="G83" s="64"/>
      <c r="H83" s="64"/>
      <c r="I83" s="53"/>
      <c r="J83" s="44">
        <f t="shared" si="13"/>
        <v>37840</v>
      </c>
      <c r="K83" s="45">
        <v>75</v>
      </c>
      <c r="L83" s="90">
        <f t="shared" si="11"/>
        <v>0.99993248258600032</v>
      </c>
      <c r="M83" s="46">
        <f t="shared" si="14"/>
        <v>0.99993248258600032</v>
      </c>
      <c r="N83" s="77">
        <v>0.99971645245567509</v>
      </c>
      <c r="O83" s="89">
        <f t="shared" si="12"/>
        <v>0.99993248258600032</v>
      </c>
      <c r="P83" s="4">
        <v>40397</v>
      </c>
      <c r="Q83" s="4">
        <v>0.99994479477502707</v>
      </c>
      <c r="U83" s="94">
        <v>40745</v>
      </c>
    </row>
    <row r="84" spans="2:22" x14ac:dyDescent="0.25">
      <c r="B84" s="63"/>
      <c r="C84" s="64"/>
      <c r="D84" s="65"/>
      <c r="E84" s="64"/>
      <c r="F84" s="71"/>
      <c r="G84" s="64"/>
      <c r="H84" s="64"/>
      <c r="I84" s="53"/>
      <c r="J84" s="44">
        <f t="shared" si="13"/>
        <v>37841</v>
      </c>
      <c r="K84" s="45">
        <v>76</v>
      </c>
      <c r="L84" s="90">
        <f t="shared" si="11"/>
        <v>0.99994906014902862</v>
      </c>
      <c r="M84" s="46">
        <f t="shared" si="14"/>
        <v>0.99994906014902862</v>
      </c>
      <c r="N84" s="77">
        <v>0.99978240288510523</v>
      </c>
      <c r="O84" s="89">
        <f t="shared" si="12"/>
        <v>0.99994906014902862</v>
      </c>
      <c r="P84" s="4">
        <v>40398</v>
      </c>
      <c r="Q84" s="4">
        <v>0.99995855204677475</v>
      </c>
    </row>
    <row r="85" spans="2:22" x14ac:dyDescent="0.25">
      <c r="B85" s="63"/>
      <c r="C85" s="64"/>
      <c r="D85" s="65"/>
      <c r="E85" s="64"/>
      <c r="F85" s="71"/>
      <c r="G85" s="64"/>
      <c r="H85" s="64"/>
      <c r="I85" s="53"/>
      <c r="J85" s="44">
        <f t="shared" si="13"/>
        <v>37842</v>
      </c>
      <c r="K85" s="45">
        <v>77</v>
      </c>
      <c r="L85" s="90">
        <f t="shared" si="11"/>
        <v>0.9999615675764113</v>
      </c>
      <c r="M85" s="46">
        <f t="shared" si="14"/>
        <v>0.9999615675764113</v>
      </c>
      <c r="N85" s="77">
        <v>0.99983301644163747</v>
      </c>
      <c r="O85" s="89">
        <f t="shared" si="12"/>
        <v>0.9999615675764113</v>
      </c>
      <c r="P85" s="4">
        <v>40399</v>
      </c>
      <c r="Q85" s="4">
        <v>0.99996888108077731</v>
      </c>
    </row>
    <row r="86" spans="2:22" x14ac:dyDescent="0.25">
      <c r="B86" s="63"/>
      <c r="C86" s="64"/>
      <c r="D86" s="65"/>
      <c r="E86" s="64"/>
      <c r="F86" s="71"/>
      <c r="G86" s="64"/>
      <c r="H86" s="64"/>
      <c r="I86" s="53"/>
      <c r="J86" s="44">
        <f t="shared" si="13"/>
        <v>37843</v>
      </c>
      <c r="K86" s="45">
        <v>78</v>
      </c>
      <c r="L86" s="90">
        <f t="shared" si="11"/>
        <v>0.99997100410349649</v>
      </c>
      <c r="M86" s="46">
        <f t="shared" si="14"/>
        <v>0.99997100410349649</v>
      </c>
      <c r="N86" s="77">
        <v>0.99987185868506689</v>
      </c>
      <c r="O86" s="89">
        <f t="shared" si="12"/>
        <v>0.99997100410349649</v>
      </c>
      <c r="P86" s="4">
        <v>40400</v>
      </c>
      <c r="Q86" s="4">
        <v>0.99997663612879639</v>
      </c>
    </row>
    <row r="87" spans="2:22" x14ac:dyDescent="0.25">
      <c r="B87" s="63"/>
      <c r="C87" s="64"/>
      <c r="D87" s="65"/>
      <c r="E87" s="64"/>
      <c r="F87" s="71"/>
      <c r="G87" s="64"/>
      <c r="H87" s="64"/>
      <c r="I87" s="53"/>
      <c r="J87" s="44">
        <f t="shared" si="13"/>
        <v>37844</v>
      </c>
      <c r="K87" s="45">
        <v>79</v>
      </c>
      <c r="L87" s="90">
        <f t="shared" si="11"/>
        <v>0.99997812367820138</v>
      </c>
      <c r="M87" s="46">
        <f t="shared" si="14"/>
        <v>0.99997812367820138</v>
      </c>
      <c r="N87" s="77">
        <v>0.9999016666768179</v>
      </c>
      <c r="O87" s="89">
        <f t="shared" si="12"/>
        <v>0.99997812367820138</v>
      </c>
      <c r="P87" s="4">
        <v>40401</v>
      </c>
      <c r="Q87" s="4">
        <v>0.99998245859958268</v>
      </c>
    </row>
    <row r="88" spans="2:22" x14ac:dyDescent="0.25">
      <c r="B88" s="63"/>
      <c r="C88" s="64"/>
      <c r="D88" s="65"/>
      <c r="E88" s="64"/>
      <c r="F88" s="71"/>
      <c r="G88" s="64"/>
      <c r="H88" s="64"/>
      <c r="I88" s="53"/>
      <c r="J88" s="44">
        <f t="shared" si="13"/>
        <v>37845</v>
      </c>
      <c r="K88" s="45">
        <v>80</v>
      </c>
      <c r="L88" s="90">
        <f t="shared" si="11"/>
        <v>0.99998349516047036</v>
      </c>
      <c r="M88" s="46">
        <f t="shared" si="14"/>
        <v>0.99998349516047036</v>
      </c>
      <c r="N88" s="77">
        <v>0.99992454131286057</v>
      </c>
      <c r="O88" s="89">
        <f t="shared" si="12"/>
        <v>0.99998349516047036</v>
      </c>
      <c r="P88" s="4">
        <v>40402</v>
      </c>
      <c r="Q88" s="4">
        <v>0.99998683008139233</v>
      </c>
    </row>
    <row r="89" spans="2:22" x14ac:dyDescent="0.25">
      <c r="B89" s="63"/>
      <c r="C89" s="64"/>
      <c r="D89" s="65"/>
      <c r="E89" s="64"/>
      <c r="F89" s="71"/>
      <c r="G89" s="64"/>
      <c r="H89" s="64"/>
      <c r="I89" s="53"/>
      <c r="J89" s="44">
        <f t="shared" si="13"/>
        <v>37846</v>
      </c>
      <c r="K89" s="45">
        <v>81</v>
      </c>
      <c r="L89" s="90">
        <f t="shared" si="11"/>
        <v>0.99998754775272025</v>
      </c>
      <c r="M89" s="46">
        <f t="shared" si="14"/>
        <v>0.99998754775272025</v>
      </c>
      <c r="N89" s="77">
        <v>0.99994209508049881</v>
      </c>
      <c r="O89" s="89">
        <f t="shared" si="12"/>
        <v>0.99998754775272025</v>
      </c>
      <c r="P89" s="4">
        <v>40403</v>
      </c>
      <c r="Q89" s="4">
        <v>0.99999011215963096</v>
      </c>
    </row>
    <row r="90" spans="2:22" x14ac:dyDescent="0.25">
      <c r="B90" s="63"/>
      <c r="C90" s="64"/>
      <c r="D90" s="65"/>
      <c r="E90" s="64"/>
      <c r="F90" s="71"/>
      <c r="G90" s="64"/>
      <c r="H90" s="64"/>
      <c r="I90" s="53"/>
      <c r="J90" s="44">
        <f t="shared" si="13"/>
        <v>37847</v>
      </c>
      <c r="K90" s="45">
        <v>82</v>
      </c>
      <c r="L90" s="90">
        <f t="shared" si="11"/>
        <v>0.99999060528230255</v>
      </c>
      <c r="M90" s="46">
        <f t="shared" si="14"/>
        <v>0.99999060528230255</v>
      </c>
      <c r="N90" s="77">
        <v>0.99995556554007625</v>
      </c>
      <c r="O90" s="89">
        <f t="shared" si="12"/>
        <v>0.99999060528230255</v>
      </c>
      <c r="P90" s="4">
        <v>40404</v>
      </c>
      <c r="Q90" s="4">
        <v>0.9999925763165205</v>
      </c>
    </row>
    <row r="91" spans="2:22" x14ac:dyDescent="0.25">
      <c r="B91" s="63"/>
      <c r="C91" s="64"/>
      <c r="D91" s="65"/>
      <c r="E91" s="64"/>
      <c r="F91" s="71"/>
      <c r="G91" s="64"/>
      <c r="H91" s="64"/>
      <c r="I91" s="53"/>
      <c r="J91" s="44">
        <f t="shared" si="13"/>
        <v>37848</v>
      </c>
      <c r="K91" s="45">
        <v>83</v>
      </c>
      <c r="L91" s="90">
        <f t="shared" si="11"/>
        <v>0.99999291207021779</v>
      </c>
      <c r="M91" s="46">
        <f t="shared" si="14"/>
        <v>0.99999291207021779</v>
      </c>
      <c r="N91" s="77">
        <v>0.99996590246462225</v>
      </c>
      <c r="O91" s="89">
        <f t="shared" si="12"/>
        <v>0.99999291207021779</v>
      </c>
      <c r="P91" s="4">
        <v>40405</v>
      </c>
      <c r="Q91" s="4">
        <v>0.99999442638225311</v>
      </c>
    </row>
    <row r="92" spans="2:22" x14ac:dyDescent="0.25">
      <c r="B92" s="63"/>
      <c r="C92" s="64"/>
      <c r="D92" s="65"/>
      <c r="E92" s="64"/>
      <c r="F92" s="71"/>
      <c r="G92" s="64"/>
      <c r="H92" s="64"/>
      <c r="I92" s="53"/>
      <c r="J92" s="44">
        <f t="shared" si="13"/>
        <v>37849</v>
      </c>
      <c r="K92" s="45">
        <v>84</v>
      </c>
      <c r="L92" s="90">
        <f t="shared" si="11"/>
        <v>0.99999465245026409</v>
      </c>
      <c r="M92" s="46">
        <f t="shared" si="14"/>
        <v>0.99999465245026409</v>
      </c>
      <c r="N92" s="77">
        <v>0.99997383474166435</v>
      </c>
      <c r="O92" s="89">
        <f t="shared" si="12"/>
        <v>0.99999465245026409</v>
      </c>
      <c r="P92" s="4">
        <v>40406</v>
      </c>
      <c r="Q92" s="4">
        <v>0.99999581539264815</v>
      </c>
    </row>
    <row r="93" spans="2:22" x14ac:dyDescent="0.25">
      <c r="B93" s="63"/>
      <c r="C93" s="64"/>
      <c r="D93" s="65"/>
      <c r="E93" s="64"/>
      <c r="F93" s="71"/>
      <c r="G93" s="64"/>
      <c r="H93" s="64"/>
      <c r="I93" s="53"/>
      <c r="J93" s="44">
        <f t="shared" si="13"/>
        <v>37850</v>
      </c>
      <c r="K93" s="45">
        <v>85</v>
      </c>
      <c r="L93" s="90">
        <f t="shared" si="11"/>
        <v>0.99999596549671954</v>
      </c>
      <c r="M93" s="46">
        <f t="shared" si="14"/>
        <v>0.99999596549671954</v>
      </c>
      <c r="N93" s="77">
        <v>0.99997992173121009</v>
      </c>
      <c r="O93" s="89">
        <f t="shared" si="12"/>
        <v>0.99999596549671954</v>
      </c>
      <c r="P93" s="4">
        <v>40407</v>
      </c>
      <c r="Q93" s="4">
        <v>0.99999685824657825</v>
      </c>
    </row>
    <row r="94" spans="2:22" x14ac:dyDescent="0.25">
      <c r="B94" s="63"/>
      <c r="C94" s="64"/>
      <c r="D94" s="65"/>
      <c r="E94" s="64"/>
      <c r="F94" s="71"/>
      <c r="G94" s="64"/>
      <c r="H94" s="64"/>
      <c r="I94" s="53"/>
      <c r="J94" s="44">
        <f t="shared" si="13"/>
        <v>37851</v>
      </c>
      <c r="K94" s="45">
        <v>86</v>
      </c>
      <c r="L94" s="90">
        <f t="shared" si="11"/>
        <v>0.99999695613649686</v>
      </c>
      <c r="M94" s="46">
        <f t="shared" si="14"/>
        <v>0.99999695613649686</v>
      </c>
      <c r="N94" s="77">
        <v>0.99998459268769502</v>
      </c>
      <c r="O94" s="89">
        <f t="shared" si="12"/>
        <v>0.99999695613649686</v>
      </c>
      <c r="P94" s="4">
        <v>40408</v>
      </c>
      <c r="Q94" s="4">
        <v>0.99999764120951673</v>
      </c>
    </row>
    <row r="95" spans="2:22" x14ac:dyDescent="0.25">
      <c r="B95" s="63"/>
      <c r="C95" s="64"/>
      <c r="D95" s="65"/>
      <c r="E95" s="64"/>
      <c r="F95" s="71"/>
      <c r="G95" s="64"/>
      <c r="H95" s="64"/>
      <c r="I95" s="53"/>
      <c r="J95" s="44">
        <f t="shared" si="13"/>
        <v>37852</v>
      </c>
      <c r="K95" s="45">
        <v>87</v>
      </c>
      <c r="L95" s="90">
        <f t="shared" si="11"/>
        <v>0.99999770353321638</v>
      </c>
      <c r="M95" s="46">
        <f t="shared" si="14"/>
        <v>0.99999770353321638</v>
      </c>
      <c r="N95" s="77">
        <v>0.99998817701780018</v>
      </c>
      <c r="O95" s="89">
        <f t="shared" si="12"/>
        <v>0.99999770353321638</v>
      </c>
      <c r="P95" s="4">
        <v>40409</v>
      </c>
      <c r="Q95" s="4">
        <v>0.99999822904897007</v>
      </c>
    </row>
    <row r="96" spans="2:22" x14ac:dyDescent="0.25">
      <c r="B96" s="63"/>
      <c r="C96" s="64"/>
      <c r="D96" s="65"/>
      <c r="E96" s="64"/>
      <c r="F96" s="71"/>
      <c r="G96" s="64"/>
      <c r="H96" s="64"/>
      <c r="I96" s="53"/>
      <c r="J96" s="44">
        <f t="shared" si="13"/>
        <v>37853</v>
      </c>
      <c r="K96" s="45">
        <v>88</v>
      </c>
      <c r="L96" s="90">
        <f t="shared" si="11"/>
        <v>0.99999826741287356</v>
      </c>
      <c r="M96" s="46">
        <f t="shared" si="14"/>
        <v>0.99999826741287356</v>
      </c>
      <c r="N96" s="77">
        <v>0.99999092750320295</v>
      </c>
      <c r="O96" s="89">
        <f t="shared" si="12"/>
        <v>0.99999826741287356</v>
      </c>
      <c r="P96" s="4">
        <v>40410</v>
      </c>
      <c r="Q96" s="4">
        <v>0.99999867039183277</v>
      </c>
    </row>
    <row r="97" spans="2:17" x14ac:dyDescent="0.25">
      <c r="B97" s="63"/>
      <c r="C97" s="64"/>
      <c r="D97" s="65"/>
      <c r="E97" s="64"/>
      <c r="F97" s="71"/>
      <c r="G97" s="64"/>
      <c r="H97" s="64"/>
      <c r="I97" s="53"/>
      <c r="J97" s="44">
        <f t="shared" si="13"/>
        <v>37854</v>
      </c>
      <c r="K97" s="45">
        <v>89</v>
      </c>
      <c r="L97" s="90">
        <f t="shared" si="11"/>
        <v>0.99999869283642306</v>
      </c>
      <c r="M97" s="46">
        <f t="shared" si="14"/>
        <v>0.99999869283642306</v>
      </c>
      <c r="N97" s="77">
        <v>0.99999303812320184</v>
      </c>
      <c r="O97" s="89">
        <f t="shared" si="12"/>
        <v>0.99999869283642306</v>
      </c>
      <c r="P97" s="4">
        <v>40411</v>
      </c>
      <c r="Q97" s="4">
        <v>0.99999900174671486</v>
      </c>
    </row>
    <row r="98" spans="2:17" x14ac:dyDescent="0.25">
      <c r="B98" s="63"/>
      <c r="C98" s="64"/>
      <c r="D98" s="65"/>
      <c r="E98" s="64"/>
      <c r="F98" s="71"/>
      <c r="G98" s="64"/>
      <c r="H98" s="64"/>
      <c r="I98" s="53"/>
      <c r="J98" s="44">
        <f t="shared" si="13"/>
        <v>37855</v>
      </c>
      <c r="K98" s="45">
        <v>90</v>
      </c>
      <c r="L98" s="90">
        <f t="shared" si="11"/>
        <v>0.99999901380056877</v>
      </c>
      <c r="M98" s="46">
        <f t="shared" si="14"/>
        <v>0.99999901380056877</v>
      </c>
      <c r="N98" s="77">
        <v>0.99999465773250285</v>
      </c>
      <c r="O98" s="89">
        <f t="shared" si="12"/>
        <v>0.99999901380056877</v>
      </c>
      <c r="P98" s="4">
        <v>40412</v>
      </c>
      <c r="Q98" s="4">
        <v>0.99999925052390337</v>
      </c>
    </row>
    <row r="99" spans="2:17" x14ac:dyDescent="0.25">
      <c r="B99" s="63"/>
      <c r="C99" s="64"/>
      <c r="D99" s="65"/>
      <c r="E99" s="64"/>
      <c r="F99" s="71"/>
      <c r="G99" s="64"/>
      <c r="H99" s="64"/>
      <c r="I99" s="53"/>
      <c r="J99" s="44">
        <f t="shared" si="13"/>
        <v>37856</v>
      </c>
      <c r="K99" s="45">
        <v>91</v>
      </c>
      <c r="L99" s="90">
        <f t="shared" si="11"/>
        <v>0.99999925595445105</v>
      </c>
      <c r="M99" s="46">
        <f t="shared" si="14"/>
        <v>0.99999925595445105</v>
      </c>
      <c r="N99" s="77">
        <v>0.99999590055784027</v>
      </c>
      <c r="O99" s="89">
        <f t="shared" si="12"/>
        <v>0.99999925595445105</v>
      </c>
      <c r="P99" s="4">
        <v>40413</v>
      </c>
      <c r="Q99" s="4">
        <v>0.99999943730274388</v>
      </c>
    </row>
    <row r="100" spans="2:17" x14ac:dyDescent="0.25">
      <c r="B100" s="63"/>
      <c r="C100" s="64"/>
      <c r="D100" s="65"/>
      <c r="E100" s="64"/>
      <c r="F100" s="71"/>
      <c r="G100" s="64"/>
      <c r="H100" s="64"/>
      <c r="I100" s="53"/>
      <c r="J100" s="44">
        <f t="shared" si="13"/>
        <v>37857</v>
      </c>
      <c r="K100" s="45">
        <v>92</v>
      </c>
      <c r="L100" s="90">
        <f t="shared" si="11"/>
        <v>0.99999943864929475</v>
      </c>
      <c r="M100" s="46">
        <f t="shared" si="14"/>
        <v>0.99999943864929475</v>
      </c>
      <c r="N100" s="77">
        <v>0.99999685425314822</v>
      </c>
      <c r="O100" s="89">
        <f t="shared" si="12"/>
        <v>0.99999943864929475</v>
      </c>
      <c r="P100" s="4">
        <v>40414</v>
      </c>
      <c r="Q100" s="4">
        <v>0.99999957753397495</v>
      </c>
    </row>
    <row r="101" spans="2:17" x14ac:dyDescent="0.25">
      <c r="B101" s="63"/>
      <c r="C101" s="64"/>
      <c r="D101" s="65"/>
      <c r="E101" s="64"/>
      <c r="F101" s="71"/>
      <c r="G101" s="64"/>
      <c r="H101" s="64"/>
      <c r="I101" s="53"/>
      <c r="J101" s="44">
        <f t="shared" si="13"/>
        <v>37858</v>
      </c>
      <c r="K101" s="45">
        <v>93</v>
      </c>
      <c r="L101" s="90">
        <f t="shared" si="11"/>
        <v>0.99999957648479931</v>
      </c>
      <c r="M101" s="46">
        <f t="shared" si="14"/>
        <v>0.99999957648479931</v>
      </c>
      <c r="N101" s="77">
        <v>0.99999758608106293</v>
      </c>
      <c r="O101" s="89">
        <f t="shared" si="12"/>
        <v>0.99999957648479931</v>
      </c>
      <c r="P101" s="4">
        <v>40415</v>
      </c>
      <c r="Q101" s="4">
        <v>0.99999968281783125</v>
      </c>
    </row>
    <row r="102" spans="2:17" x14ac:dyDescent="0.25">
      <c r="B102" s="63"/>
      <c r="C102" s="64"/>
      <c r="D102" s="65"/>
      <c r="E102" s="64"/>
      <c r="F102" s="71"/>
      <c r="G102" s="64"/>
      <c r="H102" s="64"/>
      <c r="I102" s="53"/>
      <c r="J102" s="44">
        <f t="shared" si="13"/>
        <v>37859</v>
      </c>
      <c r="K102" s="45">
        <v>94</v>
      </c>
      <c r="L102" s="90">
        <f t="shared" si="11"/>
        <v>0.99999968047582821</v>
      </c>
      <c r="M102" s="46">
        <f t="shared" si="14"/>
        <v>0.99999968047582821</v>
      </c>
      <c r="N102" s="77">
        <v>0.99999814765652884</v>
      </c>
      <c r="O102" s="89">
        <f t="shared" si="12"/>
        <v>0.99999968047582821</v>
      </c>
      <c r="P102" s="4">
        <v>40416</v>
      </c>
      <c r="Q102" s="4">
        <v>0.99999976186363015</v>
      </c>
    </row>
    <row r="103" spans="2:17" x14ac:dyDescent="0.25">
      <c r="B103" s="63"/>
      <c r="C103" s="64"/>
      <c r="D103" s="65"/>
      <c r="E103" s="64"/>
      <c r="F103" s="71"/>
      <c r="G103" s="64"/>
      <c r="H103" s="64"/>
      <c r="I103" s="53"/>
      <c r="J103" s="44">
        <f t="shared" si="13"/>
        <v>37860</v>
      </c>
      <c r="K103" s="45">
        <v>95</v>
      </c>
      <c r="L103" s="90">
        <f t="shared" si="11"/>
        <v>0.99999975893263426</v>
      </c>
      <c r="M103" s="46">
        <f t="shared" si="14"/>
        <v>0.99999975893263426</v>
      </c>
      <c r="N103" s="77">
        <v>0.99999857858694674</v>
      </c>
      <c r="O103" s="89">
        <f t="shared" si="12"/>
        <v>0.99999975893263426</v>
      </c>
      <c r="P103" s="4">
        <v>40417</v>
      </c>
      <c r="Q103" s="4">
        <v>0.99999982121022213</v>
      </c>
    </row>
    <row r="104" spans="2:17" x14ac:dyDescent="0.25">
      <c r="B104" s="63"/>
      <c r="C104" s="64"/>
      <c r="D104" s="65"/>
      <c r="E104" s="64"/>
      <c r="F104" s="71"/>
      <c r="G104" s="64"/>
      <c r="H104" s="64"/>
      <c r="I104" s="53"/>
      <c r="J104" s="44">
        <f t="shared" si="13"/>
        <v>37861</v>
      </c>
      <c r="K104" s="45">
        <v>96</v>
      </c>
      <c r="L104" s="90">
        <f t="shared" si="11"/>
        <v>0.9999998181249532</v>
      </c>
      <c r="M104" s="46">
        <f t="shared" si="14"/>
        <v>0.9999998181249532</v>
      </c>
      <c r="N104" s="77">
        <v>0.99999890926553481</v>
      </c>
      <c r="O104" s="89">
        <f t="shared" si="12"/>
        <v>0.9999998181249532</v>
      </c>
      <c r="P104" s="4">
        <v>40418</v>
      </c>
      <c r="Q104" s="4">
        <v>0.99999986576689559</v>
      </c>
    </row>
    <row r="105" spans="2:17" x14ac:dyDescent="0.25">
      <c r="B105" s="63"/>
      <c r="C105" s="64"/>
      <c r="D105" s="65"/>
      <c r="E105" s="64"/>
      <c r="F105" s="71"/>
      <c r="G105" s="64"/>
      <c r="H105" s="64"/>
      <c r="I105" s="53"/>
      <c r="J105" s="44">
        <f t="shared" si="13"/>
        <v>37862</v>
      </c>
      <c r="K105" s="45">
        <v>97</v>
      </c>
      <c r="L105" s="90">
        <f>$G$3/(1+EXP(-$G$4*(K105-$G$5)))</f>
        <v>0.99999986278303554</v>
      </c>
      <c r="M105" s="46">
        <f t="shared" si="14"/>
        <v>0.99999986278303554</v>
      </c>
      <c r="N105" s="77">
        <v>0.99999916301487501</v>
      </c>
      <c r="O105" s="89">
        <f>IF(N105=M105,N105,M105)</f>
        <v>0.99999986278303554</v>
      </c>
      <c r="P105" s="4">
        <v>40419</v>
      </c>
      <c r="Q105" s="4">
        <v>0.99999989921948373</v>
      </c>
    </row>
    <row r="106" spans="2:17" x14ac:dyDescent="0.25">
      <c r="B106" s="63"/>
      <c r="C106" s="64"/>
      <c r="D106" s="65"/>
      <c r="E106" s="64"/>
      <c r="F106" s="71"/>
      <c r="G106" s="64"/>
      <c r="H106" s="64"/>
      <c r="I106" s="53"/>
      <c r="J106" s="44">
        <f t="shared" si="13"/>
        <v>37863</v>
      </c>
      <c r="K106" s="45">
        <v>98</v>
      </c>
      <c r="L106" s="90">
        <f>$G$3/(1+EXP(-$G$4*(K106-$G$5)))</f>
        <v>0.99999989647565479</v>
      </c>
      <c r="M106" s="46">
        <f t="shared" si="14"/>
        <v>0.99999989647565479</v>
      </c>
      <c r="N106" s="77">
        <v>0.99999935773180315</v>
      </c>
      <c r="O106" s="89">
        <f>IF(N106=M106,N106,M106)</f>
        <v>0.99999989647565479</v>
      </c>
      <c r="P106" s="4">
        <v>40420</v>
      </c>
      <c r="Q106" s="4">
        <v>0.99999992433526419</v>
      </c>
    </row>
    <row r="107" spans="2:17" x14ac:dyDescent="0.25">
      <c r="B107" s="63"/>
      <c r="C107" s="64"/>
      <c r="D107" s="65"/>
      <c r="E107" s="64"/>
      <c r="F107" s="71"/>
      <c r="G107" s="64"/>
      <c r="H107" s="64"/>
      <c r="I107" s="53"/>
      <c r="J107" s="44">
        <f t="shared" si="13"/>
        <v>37864</v>
      </c>
      <c r="K107" s="45">
        <v>99</v>
      </c>
      <c r="L107" s="90">
        <f>$G$3/(1+EXP(-$G$4*(K107-$G$5)))</f>
        <v>0.99999992189529918</v>
      </c>
      <c r="M107" s="46">
        <f t="shared" si="14"/>
        <v>0.99999999730296318</v>
      </c>
      <c r="N107" s="77">
        <v>0.99999999730296318</v>
      </c>
      <c r="O107" s="89">
        <f>IF(N107=M107,N107,M107)</f>
        <v>0.99999999730296318</v>
      </c>
      <c r="P107" s="4">
        <v>40421</v>
      </c>
      <c r="Q107" s="4">
        <v>0.99999994319187457</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controls>
    <mc:AlternateContent xmlns:mc="http://schemas.openxmlformats.org/markup-compatibility/2006">
      <mc:Choice Requires="x14">
        <control shapeId="34817" r:id="rId4" name="CommandButton1">
          <controlPr defaultSize="0" autoLine="0" r:id="rId5">
            <anchor moveWithCells="1">
              <from>
                <xdr:col>4</xdr:col>
                <xdr:colOff>114300</xdr:colOff>
                <xdr:row>4</xdr:row>
                <xdr:rowOff>0</xdr:rowOff>
              </from>
              <to>
                <xdr:col>4</xdr:col>
                <xdr:colOff>1790700</xdr:colOff>
                <xdr:row>5</xdr:row>
                <xdr:rowOff>152400</xdr:rowOff>
              </to>
            </anchor>
          </controlPr>
        </control>
      </mc:Choice>
      <mc:Fallback>
        <control shapeId="34817" r:id="rId4" name="CommandButton1"/>
      </mc:Fallback>
    </mc:AlternateContent>
  </contro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B1022"/>
  <sheetViews>
    <sheetView zoomScale="75" workbookViewId="0">
      <selection activeCell="C9" sqref="C9:C19"/>
    </sheetView>
  </sheetViews>
  <sheetFormatPr defaultRowHeight="15.75" x14ac:dyDescent="0.25"/>
  <cols>
    <col min="1" max="1" width="11.125" style="4" customWidth="1"/>
    <col min="2" max="2" width="9.125" style="4" bestFit="1" customWidth="1"/>
    <col min="3" max="3" width="12.37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23" width="9" style="4"/>
    <col min="24" max="24" width="9.125" style="4" bestFit="1" customWidth="1"/>
    <col min="25" max="16384" width="9" style="4"/>
  </cols>
  <sheetData>
    <row r="1" spans="1:28" ht="16.5" thickBot="1" x14ac:dyDescent="0.3">
      <c r="A1" s="3" t="s">
        <v>3</v>
      </c>
      <c r="B1" s="3" t="s">
        <v>4</v>
      </c>
      <c r="C1" s="4" t="s">
        <v>5</v>
      </c>
    </row>
    <row r="2" spans="1:28" ht="19.5" thickBot="1" x14ac:dyDescent="0.4">
      <c r="A2" s="5">
        <v>2003</v>
      </c>
      <c r="B2" s="6">
        <v>1.3</v>
      </c>
      <c r="C2" s="4" t="s">
        <v>6</v>
      </c>
      <c r="F2" s="3" t="s">
        <v>0</v>
      </c>
      <c r="G2" s="7" t="s">
        <v>7</v>
      </c>
      <c r="H2" s="7" t="s">
        <v>8</v>
      </c>
      <c r="I2" s="96" t="s">
        <v>27</v>
      </c>
      <c r="J2" s="39">
        <v>41468</v>
      </c>
      <c r="K2" s="97">
        <v>41466</v>
      </c>
    </row>
    <row r="3" spans="1:28" ht="21" thickBot="1" x14ac:dyDescent="0.4">
      <c r="A3" s="8">
        <f>DATE(A2,5,25)</f>
        <v>37766</v>
      </c>
      <c r="C3" s="9"/>
      <c r="F3" s="73" t="s">
        <v>25</v>
      </c>
      <c r="G3" s="10">
        <v>1</v>
      </c>
      <c r="H3" s="11"/>
      <c r="I3">
        <f>G5-(1/G4)*LN((2*G3)-1)</f>
        <v>47.986433580101867</v>
      </c>
      <c r="J3" s="3" t="s">
        <v>9</v>
      </c>
      <c r="Z3" s="4" t="s">
        <v>46</v>
      </c>
    </row>
    <row r="4" spans="1:28" ht="16.5" thickBot="1" x14ac:dyDescent="0.3">
      <c r="A4" s="12" t="s">
        <v>10</v>
      </c>
      <c r="C4" s="4" t="s">
        <v>11</v>
      </c>
      <c r="F4" s="13" t="s">
        <v>1</v>
      </c>
      <c r="G4" s="14">
        <v>0.25021507541114896</v>
      </c>
      <c r="H4" s="15">
        <f>AB8</f>
        <v>5.3249920784638041E-2</v>
      </c>
      <c r="I4" s="2"/>
      <c r="J4" s="74">
        <f>SUM(H9:H65)</f>
        <v>9.6232664831887327</v>
      </c>
      <c r="K4" s="16"/>
      <c r="L4" s="16"/>
      <c r="Z4" s="4">
        <v>754.28820869792332</v>
      </c>
      <c r="AA4" s="4">
        <v>0.74037398396195719</v>
      </c>
    </row>
    <row r="5" spans="1:28" ht="16.5" thickBot="1" x14ac:dyDescent="0.3">
      <c r="C5" s="8">
        <f>DATE(A2,7,31)</f>
        <v>37833</v>
      </c>
      <c r="F5" s="17" t="s">
        <v>2</v>
      </c>
      <c r="G5" s="18">
        <v>47.986433580101867</v>
      </c>
      <c r="H5" s="15">
        <f>AB9</f>
        <v>0.6649587909332525</v>
      </c>
      <c r="I5" s="2"/>
      <c r="J5" s="20" t="s">
        <v>12</v>
      </c>
      <c r="K5" s="21"/>
      <c r="L5" s="21"/>
      <c r="N5" s="30"/>
      <c r="Z5" s="4">
        <v>0.74037398396195719</v>
      </c>
      <c r="AA5" s="4">
        <v>4.8371080322539832</v>
      </c>
    </row>
    <row r="6" spans="1:28" ht="16.5" thickBot="1" x14ac:dyDescent="0.3">
      <c r="C6" s="22"/>
      <c r="G6" s="23"/>
      <c r="H6" s="9"/>
      <c r="K6" s="24"/>
      <c r="L6" s="24"/>
    </row>
    <row r="7" spans="1:28" ht="16.5" thickBot="1" x14ac:dyDescent="0.3">
      <c r="E7" s="25"/>
      <c r="F7" s="26"/>
      <c r="G7" s="27"/>
      <c r="H7" s="28"/>
      <c r="J7" s="29"/>
      <c r="M7" s="29"/>
      <c r="O7" s="3" t="s">
        <v>26</v>
      </c>
      <c r="Z7" s="4" t="s">
        <v>47</v>
      </c>
      <c r="AB7" s="4" t="s">
        <v>8</v>
      </c>
    </row>
    <row r="8" spans="1:28" s="29" customFormat="1" ht="16.5" thickBot="1" x14ac:dyDescent="0.3">
      <c r="B8" s="31" t="s">
        <v>14</v>
      </c>
      <c r="C8" s="32" t="s">
        <v>15</v>
      </c>
      <c r="D8" s="83" t="s">
        <v>16</v>
      </c>
      <c r="E8" s="33" t="s">
        <v>13</v>
      </c>
      <c r="F8" s="34" t="s">
        <v>17</v>
      </c>
      <c r="G8" s="34" t="s">
        <v>18</v>
      </c>
      <c r="H8" s="35" t="s">
        <v>19</v>
      </c>
      <c r="I8" s="3"/>
      <c r="J8" s="36" t="s">
        <v>14</v>
      </c>
      <c r="K8" s="37" t="s">
        <v>20</v>
      </c>
      <c r="L8" s="37" t="s">
        <v>21</v>
      </c>
      <c r="M8" s="37" t="s">
        <v>22</v>
      </c>
      <c r="N8" s="38" t="s">
        <v>23</v>
      </c>
      <c r="O8" s="88" t="s">
        <v>24</v>
      </c>
      <c r="V8" s="4">
        <f>TINV(0.01,9)</f>
        <v>3.2498355415921263</v>
      </c>
      <c r="W8" s="29">
        <f>Z37*V8</f>
        <v>2.1610067124690122</v>
      </c>
      <c r="X8" s="118">
        <f>G5-W8</f>
        <v>45.825426867632856</v>
      </c>
      <c r="Z8" s="29">
        <f t="array" ref="Z8:AA9">2* 1.03404633912867^2*MINVERSE($Z$4:$AA$5)</f>
        <v>2.8355540635702265E-3</v>
      </c>
      <c r="AA8" s="29">
        <v>-4.3401355619645859E-4</v>
      </c>
      <c r="AB8" s="29">
        <v>5.3249920784638041E-2</v>
      </c>
    </row>
    <row r="9" spans="1:28" x14ac:dyDescent="0.25">
      <c r="A9" s="39"/>
      <c r="B9" s="40">
        <v>37782</v>
      </c>
      <c r="C9" s="78">
        <v>188</v>
      </c>
      <c r="D9" s="106">
        <f>IF(B9&lt;&gt;0,B9-$A$3+1,"")</f>
        <v>17</v>
      </c>
      <c r="E9" s="81">
        <v>2E-3</v>
      </c>
      <c r="F9" s="41">
        <f t="shared" ref="F9:F65" si="0">IF(B9&lt;&gt;0,$G$3/(1+EXP(-$G$4*(D9-$G$5))),"")</f>
        <v>4.2915085481010497E-4</v>
      </c>
      <c r="G9" s="42">
        <f t="shared" ref="G9:G65" si="1">IF(B9&lt;&gt;0,E9-F9,"")</f>
        <v>1.5708491451898951E-3</v>
      </c>
      <c r="H9" s="43">
        <f t="shared" ref="H9:H65" si="2">IF(B9&lt;&gt;0,C9*(G9)^2,"")</f>
        <v>4.6390260294543889E-4</v>
      </c>
      <c r="J9" s="44">
        <f>A3</f>
        <v>37766</v>
      </c>
      <c r="K9" s="45">
        <v>1</v>
      </c>
      <c r="L9" s="90">
        <f t="shared" ref="L9:L72" si="3">$G$3/(1+EXP(-$G$4*(K9-$G$5)))</f>
        <v>7.836471740093746E-6</v>
      </c>
      <c r="M9" s="46">
        <f>IF(J10&gt;MAX($B$9:$B$64),L9,N9)</f>
        <v>3.1121623501212576E-7</v>
      </c>
      <c r="N9" s="75">
        <v>3.1121623501212576E-7</v>
      </c>
      <c r="O9" s="89">
        <f t="shared" ref="O9:O72" si="4">IF(N9=M9,N9,M9)</f>
        <v>3.1121623501212576E-7</v>
      </c>
      <c r="X9" s="93"/>
      <c r="Z9" s="4">
        <v>-4.3401355619645854E-4</v>
      </c>
      <c r="AA9" s="4">
        <v>0.44217019363941296</v>
      </c>
      <c r="AB9" s="4">
        <v>0.6649587909332525</v>
      </c>
    </row>
    <row r="10" spans="1:28" x14ac:dyDescent="0.25">
      <c r="A10" s="39"/>
      <c r="B10" s="49">
        <v>37789</v>
      </c>
      <c r="C10" s="79">
        <v>188</v>
      </c>
      <c r="D10" s="103">
        <f t="shared" ref="D10:D65" si="5">IF(B10&lt;&gt;0,B10-$A$3+1,"")</f>
        <v>24</v>
      </c>
      <c r="E10" s="81">
        <v>0</v>
      </c>
      <c r="F10" s="50">
        <f t="shared" si="0"/>
        <v>2.4682679571534747E-3</v>
      </c>
      <c r="G10" s="16">
        <f t="shared" si="1"/>
        <v>-2.4682679571534747E-3</v>
      </c>
      <c r="H10" s="51">
        <f t="shared" si="2"/>
        <v>1.1453611811623903E-3</v>
      </c>
      <c r="J10" s="44">
        <f t="shared" ref="J10:J73" si="6">J9+1</f>
        <v>37767</v>
      </c>
      <c r="K10" s="45">
        <v>2</v>
      </c>
      <c r="L10" s="90">
        <f t="shared" si="3"/>
        <v>1.0064370839566216E-5</v>
      </c>
      <c r="M10" s="46">
        <f t="shared" ref="M10:M73" si="7">IF(J11&gt;MAX($B$9:$B$64),L10,N10)</f>
        <v>4.4350593880565207E-7</v>
      </c>
      <c r="N10" s="75">
        <v>4.4350593880565207E-7</v>
      </c>
      <c r="O10" s="89">
        <f t="shared" si="4"/>
        <v>4.4350593880565207E-7</v>
      </c>
      <c r="X10" s="93"/>
    </row>
    <row r="11" spans="1:28" x14ac:dyDescent="0.25">
      <c r="A11" s="39"/>
      <c r="B11" s="49">
        <v>37796</v>
      </c>
      <c r="C11" s="79">
        <v>188</v>
      </c>
      <c r="D11" s="103">
        <f t="shared" si="5"/>
        <v>31</v>
      </c>
      <c r="E11" s="81">
        <v>2.4E-2</v>
      </c>
      <c r="F11" s="50">
        <f t="shared" si="0"/>
        <v>1.405999799315154E-2</v>
      </c>
      <c r="G11" s="16">
        <f t="shared" si="1"/>
        <v>9.9400020068484609E-3</v>
      </c>
      <c r="H11" s="51">
        <f t="shared" si="2"/>
        <v>1.8575084300476469E-2</v>
      </c>
      <c r="J11" s="44">
        <f t="shared" si="6"/>
        <v>37768</v>
      </c>
      <c r="K11" s="45">
        <v>3</v>
      </c>
      <c r="L11" s="90">
        <f t="shared" si="3"/>
        <v>1.2925650675246917E-5</v>
      </c>
      <c r="M11" s="46">
        <f t="shared" si="7"/>
        <v>6.3202842450478264E-7</v>
      </c>
      <c r="N11" s="75">
        <v>6.3202842450478264E-7</v>
      </c>
      <c r="O11" s="89">
        <f t="shared" si="4"/>
        <v>6.3202842450478264E-7</v>
      </c>
      <c r="X11" s="93"/>
      <c r="Z11" s="4" t="s">
        <v>48</v>
      </c>
    </row>
    <row r="12" spans="1:28" x14ac:dyDescent="0.25">
      <c r="A12" s="39"/>
      <c r="B12" s="49">
        <v>37800</v>
      </c>
      <c r="C12" s="79">
        <v>190</v>
      </c>
      <c r="D12" s="103">
        <f t="shared" si="5"/>
        <v>35</v>
      </c>
      <c r="E12" s="81">
        <v>0.16800000000000001</v>
      </c>
      <c r="F12" s="50">
        <f t="shared" si="0"/>
        <v>3.7348401080151791E-2</v>
      </c>
      <c r="G12" s="16">
        <f t="shared" si="1"/>
        <v>0.13065159891984823</v>
      </c>
      <c r="H12" s="51">
        <f t="shared" si="2"/>
        <v>3.2432696570594488</v>
      </c>
      <c r="J12" s="44">
        <f t="shared" si="6"/>
        <v>37769</v>
      </c>
      <c r="K12" s="45">
        <v>4</v>
      </c>
      <c r="L12" s="90">
        <f t="shared" si="3"/>
        <v>1.6600372952710151E-5</v>
      </c>
      <c r="M12" s="46">
        <f t="shared" si="7"/>
        <v>9.0068669305005554E-7</v>
      </c>
      <c r="N12" s="75">
        <v>9.0068669305005554E-7</v>
      </c>
      <c r="O12" s="89">
        <f t="shared" si="4"/>
        <v>9.0068669305005554E-7</v>
      </c>
      <c r="P12" s="44">
        <v>40326</v>
      </c>
      <c r="Q12" s="1">
        <v>1.3958317686261709E-4</v>
      </c>
      <c r="X12" s="93"/>
      <c r="Z12" s="4">
        <v>1</v>
      </c>
      <c r="AA12" s="4">
        <v>-1.2257152705044476E-2</v>
      </c>
    </row>
    <row r="13" spans="1:28" x14ac:dyDescent="0.25">
      <c r="A13" s="39"/>
      <c r="B13" s="49">
        <v>37804</v>
      </c>
      <c r="C13" s="79">
        <v>190</v>
      </c>
      <c r="D13" s="103">
        <f t="shared" si="5"/>
        <v>39</v>
      </c>
      <c r="E13" s="81">
        <v>4.7E-2</v>
      </c>
      <c r="F13" s="50">
        <f t="shared" ref="F13:F19" si="8">IF(B13&lt;&gt;0,$G$3/(1+EXP(-$G$4*(D13-$G$5))),"")</f>
        <v>9.5475376096323186E-2</v>
      </c>
      <c r="G13" s="16">
        <f t="shared" ref="G13:G19" si="9">IF(B13&lt;&gt;0,E13-F13,"")</f>
        <v>-4.8475376096323186E-2</v>
      </c>
      <c r="H13" s="51">
        <f t="shared" ref="H13:H19" si="10">IF(B13&lt;&gt;0,C13*(G13)^2,"")</f>
        <v>0.44647379665919645</v>
      </c>
      <c r="J13" s="44">
        <f t="shared" si="6"/>
        <v>37770</v>
      </c>
      <c r="K13" s="45">
        <v>5</v>
      </c>
      <c r="L13" s="90">
        <f t="shared" si="3"/>
        <v>2.1319785068892179E-5</v>
      </c>
      <c r="M13" s="46">
        <f t="shared" si="7"/>
        <v>1.2835442124779599E-6</v>
      </c>
      <c r="N13" s="75">
        <v>1.2835442124779599E-6</v>
      </c>
      <c r="O13" s="89">
        <f t="shared" si="4"/>
        <v>1.2835442124779599E-6</v>
      </c>
      <c r="P13" s="48">
        <v>40327</v>
      </c>
      <c r="Q13" s="1">
        <v>1.7045928901654236E-4</v>
      </c>
      <c r="X13" s="93"/>
      <c r="Z13" s="4">
        <v>-1.2257152705044475E-2</v>
      </c>
      <c r="AA13" s="4">
        <v>0.99999999999999989</v>
      </c>
    </row>
    <row r="14" spans="1:28" x14ac:dyDescent="0.25">
      <c r="A14" s="39"/>
      <c r="B14" s="49">
        <v>37807</v>
      </c>
      <c r="C14" s="79">
        <v>190</v>
      </c>
      <c r="D14" s="103">
        <f t="shared" si="5"/>
        <v>42</v>
      </c>
      <c r="E14" s="81">
        <v>0.215</v>
      </c>
      <c r="F14" s="50">
        <f t="shared" si="8"/>
        <v>0.18273954814304952</v>
      </c>
      <c r="G14" s="16">
        <f t="shared" si="9"/>
        <v>3.2260451856950478E-2</v>
      </c>
      <c r="H14" s="51">
        <f t="shared" si="10"/>
        <v>0.19773998326277772</v>
      </c>
      <c r="J14" s="44">
        <f t="shared" si="6"/>
        <v>37771</v>
      </c>
      <c r="K14" s="45">
        <v>6</v>
      </c>
      <c r="L14" s="90">
        <f t="shared" si="3"/>
        <v>2.7380868298470043E-5</v>
      </c>
      <c r="M14" s="46">
        <f t="shared" si="7"/>
        <v>1.8291437965967419E-6</v>
      </c>
      <c r="N14" s="75">
        <v>1.8291437965967419E-6</v>
      </c>
      <c r="O14" s="89">
        <f t="shared" si="4"/>
        <v>1.8291437965967419E-6</v>
      </c>
      <c r="P14" s="48">
        <v>40328</v>
      </c>
      <c r="Q14" s="1">
        <v>2.0816384458125417E-4</v>
      </c>
      <c r="X14" s="93"/>
    </row>
    <row r="15" spans="1:28" x14ac:dyDescent="0.25">
      <c r="A15" s="39"/>
      <c r="B15" s="49">
        <v>37811</v>
      </c>
      <c r="C15" s="79">
        <v>187</v>
      </c>
      <c r="D15" s="103">
        <v>46.5</v>
      </c>
      <c r="E15" s="81">
        <v>0.28100000000000003</v>
      </c>
      <c r="F15" s="50">
        <f t="shared" si="8"/>
        <v>0.40807520925221502</v>
      </c>
      <c r="G15" s="16">
        <f t="shared" si="9"/>
        <v>-0.12707520925221499</v>
      </c>
      <c r="H15" s="51">
        <f t="shared" si="10"/>
        <v>3.0196963468144205</v>
      </c>
      <c r="J15" s="44">
        <f t="shared" si="6"/>
        <v>37772</v>
      </c>
      <c r="K15" s="45">
        <v>7</v>
      </c>
      <c r="L15" s="90">
        <f t="shared" si="3"/>
        <v>3.5165019463385926E-5</v>
      </c>
      <c r="M15" s="46">
        <f t="shared" si="7"/>
        <v>2.6066622560821447E-6</v>
      </c>
      <c r="N15" s="75">
        <v>2.6066622560821447E-6</v>
      </c>
      <c r="O15" s="89">
        <f t="shared" si="4"/>
        <v>2.6066622560821447E-6</v>
      </c>
      <c r="P15" s="48">
        <v>40329</v>
      </c>
      <c r="Q15" s="1">
        <v>3.5888786587624556E-5</v>
      </c>
      <c r="X15" s="93"/>
    </row>
    <row r="16" spans="1:28" x14ac:dyDescent="0.25">
      <c r="A16" s="39"/>
      <c r="B16" s="49">
        <v>37814</v>
      </c>
      <c r="C16" s="79">
        <v>190</v>
      </c>
      <c r="D16" s="103">
        <v>49.5</v>
      </c>
      <c r="E16" s="81">
        <v>0.7</v>
      </c>
      <c r="F16" s="50">
        <f t="shared" si="8"/>
        <v>0.5935636544875128</v>
      </c>
      <c r="G16" s="16">
        <f t="shared" si="9"/>
        <v>0.10643634551248715</v>
      </c>
      <c r="H16" s="51">
        <f t="shared" si="10"/>
        <v>2.1524521727501735</v>
      </c>
      <c r="J16" s="44">
        <f t="shared" si="6"/>
        <v>37773</v>
      </c>
      <c r="K16" s="45">
        <v>8</v>
      </c>
      <c r="L16" s="90">
        <f t="shared" si="3"/>
        <v>4.516203955995761E-5</v>
      </c>
      <c r="M16" s="46">
        <f t="shared" si="7"/>
        <v>3.7146810897353246E-6</v>
      </c>
      <c r="N16" s="75">
        <v>3.7146810897353246E-6</v>
      </c>
      <c r="O16" s="89">
        <f t="shared" si="4"/>
        <v>3.7146810897353246E-6</v>
      </c>
      <c r="P16" s="48">
        <v>40330</v>
      </c>
      <c r="Q16" s="1">
        <v>4.6160789501698919E-5</v>
      </c>
      <c r="X16" s="93"/>
    </row>
    <row r="17" spans="1:25" x14ac:dyDescent="0.25">
      <c r="A17" s="39"/>
      <c r="B17" s="49">
        <v>37816</v>
      </c>
      <c r="C17" s="79">
        <v>190</v>
      </c>
      <c r="D17" s="103">
        <f t="shared" si="5"/>
        <v>51</v>
      </c>
      <c r="E17" s="81">
        <v>0.69199999999999995</v>
      </c>
      <c r="F17" s="50">
        <f t="shared" si="8"/>
        <v>0.68005830237546694</v>
      </c>
      <c r="G17" s="16">
        <f t="shared" si="9"/>
        <v>1.194169762453301E-2</v>
      </c>
      <c r="H17" s="51">
        <f t="shared" si="10"/>
        <v>2.7094787009597693E-2</v>
      </c>
      <c r="J17" s="44">
        <f t="shared" si="6"/>
        <v>37774</v>
      </c>
      <c r="K17" s="45">
        <v>9</v>
      </c>
      <c r="L17" s="90">
        <f t="shared" si="3"/>
        <v>5.8000935347062004E-5</v>
      </c>
      <c r="M17" s="46">
        <f t="shared" si="7"/>
        <v>5.2936850821911276E-6</v>
      </c>
      <c r="N17" s="75">
        <v>5.2936850821911276E-6</v>
      </c>
      <c r="O17" s="89">
        <f t="shared" si="4"/>
        <v>5.2936850821911276E-6</v>
      </c>
      <c r="P17" s="48">
        <v>40331</v>
      </c>
      <c r="Q17" s="1">
        <v>5.9372646030949961E-5</v>
      </c>
      <c r="X17" s="93"/>
    </row>
    <row r="18" spans="1:25" x14ac:dyDescent="0.25">
      <c r="A18" s="39"/>
      <c r="B18" s="49">
        <v>37823</v>
      </c>
      <c r="C18" s="79">
        <v>186</v>
      </c>
      <c r="D18" s="103">
        <f t="shared" si="5"/>
        <v>58</v>
      </c>
      <c r="E18" s="81">
        <v>0.877</v>
      </c>
      <c r="F18" s="50">
        <f t="shared" si="8"/>
        <v>0.92452965133108167</v>
      </c>
      <c r="G18" s="16">
        <f t="shared" si="9"/>
        <v>-4.7529651331081668E-2</v>
      </c>
      <c r="H18" s="51">
        <f t="shared" si="10"/>
        <v>0.42018660255167994</v>
      </c>
      <c r="J18" s="44">
        <f t="shared" si="6"/>
        <v>37775</v>
      </c>
      <c r="K18" s="45">
        <v>10</v>
      </c>
      <c r="L18" s="90">
        <f t="shared" si="3"/>
        <v>7.4489466257937842E-5</v>
      </c>
      <c r="M18" s="46">
        <f t="shared" si="7"/>
        <v>7.543873151853996E-6</v>
      </c>
      <c r="N18" s="75">
        <v>7.543873151853996E-6</v>
      </c>
      <c r="O18" s="89">
        <f t="shared" si="4"/>
        <v>7.543873151853996E-6</v>
      </c>
      <c r="P18" s="48">
        <v>40332</v>
      </c>
      <c r="Q18" s="1">
        <v>7.6365629883993208E-5</v>
      </c>
      <c r="X18" s="93"/>
    </row>
    <row r="19" spans="1:25" ht="16.5" thickBot="1" x14ac:dyDescent="0.3">
      <c r="A19" s="39"/>
      <c r="B19" s="49">
        <v>37830</v>
      </c>
      <c r="C19" s="79">
        <v>189</v>
      </c>
      <c r="D19" s="103">
        <f t="shared" si="5"/>
        <v>65</v>
      </c>
      <c r="E19" s="81">
        <v>0.96399999999999997</v>
      </c>
      <c r="F19" s="50">
        <f t="shared" si="8"/>
        <v>0.9860338040714024</v>
      </c>
      <c r="G19" s="16">
        <f t="shared" si="9"/>
        <v>-2.203380407140243E-2</v>
      </c>
      <c r="H19" s="51">
        <f t="shared" si="10"/>
        <v>9.1757330630963613E-2</v>
      </c>
      <c r="J19" s="44">
        <f t="shared" si="6"/>
        <v>37776</v>
      </c>
      <c r="K19" s="45">
        <v>11</v>
      </c>
      <c r="L19" s="90">
        <f t="shared" si="3"/>
        <v>9.5664915403581588E-5</v>
      </c>
      <c r="M19" s="46">
        <f t="shared" si="7"/>
        <v>1.0750538956072072E-5</v>
      </c>
      <c r="N19" s="75">
        <v>1.0750538956072072E-5</v>
      </c>
      <c r="O19" s="89">
        <f t="shared" si="4"/>
        <v>1.0750538956072072E-5</v>
      </c>
      <c r="P19" s="48">
        <v>40333</v>
      </c>
      <c r="Q19" s="1">
        <v>9.8221680405067934E-5</v>
      </c>
      <c r="X19" s="93"/>
    </row>
    <row r="20" spans="1:25" x14ac:dyDescent="0.25">
      <c r="A20" s="39"/>
      <c r="B20" s="49"/>
      <c r="C20" s="79"/>
      <c r="D20" s="86" t="str">
        <f t="shared" si="5"/>
        <v/>
      </c>
      <c r="E20" s="81"/>
      <c r="F20" s="50" t="str">
        <f t="shared" si="0"/>
        <v/>
      </c>
      <c r="G20" s="16" t="str">
        <f t="shared" si="1"/>
        <v/>
      </c>
      <c r="H20" s="51" t="str">
        <f t="shared" si="2"/>
        <v/>
      </c>
      <c r="J20" s="44">
        <f t="shared" si="6"/>
        <v>37777</v>
      </c>
      <c r="K20" s="45">
        <v>12</v>
      </c>
      <c r="L20" s="90">
        <f t="shared" si="3"/>
        <v>1.2285926325918643E-4</v>
      </c>
      <c r="M20" s="46">
        <f t="shared" si="7"/>
        <v>1.5320237759159121E-5</v>
      </c>
      <c r="N20" s="75">
        <v>1.5320237759159121E-5</v>
      </c>
      <c r="O20" s="89">
        <f t="shared" si="4"/>
        <v>1.5320237759159121E-5</v>
      </c>
      <c r="P20" s="48">
        <v>40334</v>
      </c>
      <c r="Q20" s="1">
        <v>1.2633220159905076E-4</v>
      </c>
      <c r="R20" s="52"/>
      <c r="U20" s="40">
        <v>40711</v>
      </c>
      <c r="V20" s="92">
        <v>0</v>
      </c>
      <c r="X20" s="93"/>
    </row>
    <row r="21" spans="1:25" x14ac:dyDescent="0.25">
      <c r="A21" s="39"/>
      <c r="B21" s="49"/>
      <c r="C21" s="79"/>
      <c r="D21" s="86" t="str">
        <f t="shared" si="5"/>
        <v/>
      </c>
      <c r="E21" s="81"/>
      <c r="F21" s="50" t="str">
        <f t="shared" si="0"/>
        <v/>
      </c>
      <c r="G21" s="16" t="str">
        <f t="shared" si="1"/>
        <v/>
      </c>
      <c r="H21" s="51" t="str">
        <f t="shared" si="2"/>
        <v/>
      </c>
      <c r="I21" s="9"/>
      <c r="J21" s="44">
        <f t="shared" si="6"/>
        <v>37778</v>
      </c>
      <c r="K21" s="45">
        <v>13</v>
      </c>
      <c r="L21" s="90">
        <f t="shared" si="3"/>
        <v>1.5778283823492166E-4</v>
      </c>
      <c r="M21" s="46">
        <f t="shared" si="7"/>
        <v>2.1832322085948411E-5</v>
      </c>
      <c r="N21" s="75">
        <v>2.1832322085948411E-5</v>
      </c>
      <c r="O21" s="89">
        <f t="shared" si="4"/>
        <v>2.1832322085948411E-5</v>
      </c>
      <c r="P21" s="48">
        <v>40335</v>
      </c>
      <c r="Q21" s="1">
        <v>1.624864967222617E-4</v>
      </c>
      <c r="R21" s="52"/>
      <c r="U21" s="49">
        <v>40712</v>
      </c>
      <c r="V21" s="92"/>
      <c r="X21" s="93"/>
    </row>
    <row r="22" spans="1:25" x14ac:dyDescent="0.25">
      <c r="A22" s="39"/>
      <c r="B22" s="49"/>
      <c r="C22" s="79"/>
      <c r="D22" s="86" t="str">
        <f t="shared" si="5"/>
        <v/>
      </c>
      <c r="E22" s="81"/>
      <c r="F22" s="50" t="str">
        <f t="shared" si="0"/>
        <v/>
      </c>
      <c r="G22" s="16" t="str">
        <f t="shared" si="1"/>
        <v/>
      </c>
      <c r="H22" s="51" t="str">
        <f t="shared" si="2"/>
        <v/>
      </c>
      <c r="I22" s="53"/>
      <c r="J22" s="44">
        <f t="shared" si="6"/>
        <v>37779</v>
      </c>
      <c r="K22" s="45">
        <v>14</v>
      </c>
      <c r="L22" s="90">
        <f t="shared" si="3"/>
        <v>2.0263166333366929E-4</v>
      </c>
      <c r="M22" s="46">
        <f t="shared" si="7"/>
        <v>3.1112374086324488E-5</v>
      </c>
      <c r="N22" s="75">
        <v>3.1112374086324488E-5</v>
      </c>
      <c r="O22" s="89">
        <f t="shared" si="4"/>
        <v>3.1112374086324488E-5</v>
      </c>
      <c r="P22" s="48">
        <v>40336</v>
      </c>
      <c r="Q22" s="1">
        <v>2.0898542158394941E-4</v>
      </c>
      <c r="R22" s="52"/>
      <c r="U22" s="49">
        <v>40713</v>
      </c>
      <c r="V22" s="92"/>
      <c r="X22" s="93"/>
    </row>
    <row r="23" spans="1:25" x14ac:dyDescent="0.25">
      <c r="A23" s="39"/>
      <c r="B23" s="49"/>
      <c r="C23" s="79"/>
      <c r="D23" s="86" t="str">
        <f t="shared" si="5"/>
        <v/>
      </c>
      <c r="E23" s="81"/>
      <c r="F23" s="50" t="str">
        <f t="shared" si="0"/>
        <v/>
      </c>
      <c r="G23" s="16" t="str">
        <f t="shared" si="1"/>
        <v/>
      </c>
      <c r="H23" s="51" t="str">
        <f t="shared" si="2"/>
        <v/>
      </c>
      <c r="I23" s="53"/>
      <c r="J23" s="44">
        <f t="shared" si="6"/>
        <v>37780</v>
      </c>
      <c r="K23" s="45">
        <v>15</v>
      </c>
      <c r="L23" s="90">
        <f t="shared" si="3"/>
        <v>2.6022518000504499E-4</v>
      </c>
      <c r="M23" s="46">
        <f t="shared" si="7"/>
        <v>4.4336832295415093E-5</v>
      </c>
      <c r="N23" s="75">
        <v>4.4336832295415093E-5</v>
      </c>
      <c r="O23" s="89">
        <f t="shared" si="4"/>
        <v>4.4336832295415093E-5</v>
      </c>
      <c r="P23" s="48">
        <v>40337</v>
      </c>
      <c r="Q23" s="1">
        <v>2.6878741349269233E-4</v>
      </c>
      <c r="R23" s="52"/>
      <c r="U23" s="49">
        <v>40714</v>
      </c>
      <c r="V23" s="92"/>
      <c r="X23" s="93"/>
    </row>
    <row r="24" spans="1:25" x14ac:dyDescent="0.25">
      <c r="A24" s="39"/>
      <c r="B24" s="49"/>
      <c r="C24" s="79"/>
      <c r="D24" s="86" t="str">
        <f t="shared" si="5"/>
        <v/>
      </c>
      <c r="E24" s="81"/>
      <c r="F24" s="50" t="str">
        <f t="shared" si="0"/>
        <v/>
      </c>
      <c r="G24" s="16" t="str">
        <f t="shared" si="1"/>
        <v/>
      </c>
      <c r="H24" s="51" t="str">
        <f t="shared" si="2"/>
        <v/>
      </c>
      <c r="I24" s="53"/>
      <c r="J24" s="44">
        <f t="shared" si="6"/>
        <v>37781</v>
      </c>
      <c r="K24" s="45">
        <v>16</v>
      </c>
      <c r="L24" s="90">
        <f t="shared" si="3"/>
        <v>3.3418289363510773E-4</v>
      </c>
      <c r="M24" s="46">
        <f t="shared" si="7"/>
        <v>6.3182052340935858E-5</v>
      </c>
      <c r="N24" s="75">
        <v>6.3182052340935858E-5</v>
      </c>
      <c r="O24" s="89">
        <f t="shared" si="4"/>
        <v>6.3182052340935858E-5</v>
      </c>
      <c r="P24" s="48">
        <v>40338</v>
      </c>
      <c r="Q24" s="1">
        <v>3.4569606119318159E-4</v>
      </c>
      <c r="R24" s="52"/>
      <c r="U24" s="49">
        <v>40715</v>
      </c>
      <c r="V24" s="92"/>
      <c r="X24" s="93"/>
    </row>
    <row r="25" spans="1:25" x14ac:dyDescent="0.25">
      <c r="A25" s="39"/>
      <c r="B25" s="49"/>
      <c r="C25" s="79"/>
      <c r="D25" s="86" t="str">
        <f t="shared" si="5"/>
        <v/>
      </c>
      <c r="E25" s="81"/>
      <c r="F25" s="50" t="str">
        <f t="shared" si="0"/>
        <v/>
      </c>
      <c r="G25" s="16" t="str">
        <f t="shared" si="1"/>
        <v/>
      </c>
      <c r="H25" s="51" t="str">
        <f t="shared" si="2"/>
        <v/>
      </c>
      <c r="I25" s="54"/>
      <c r="J25" s="44">
        <f t="shared" si="6"/>
        <v>37782</v>
      </c>
      <c r="K25" s="45">
        <v>17</v>
      </c>
      <c r="L25" s="90">
        <f t="shared" si="3"/>
        <v>4.2915085481010497E-4</v>
      </c>
      <c r="M25" s="46">
        <f t="shared" si="7"/>
        <v>9.003664795384782E-5</v>
      </c>
      <c r="N25" s="75">
        <v>9.003664795384782E-5</v>
      </c>
      <c r="O25" s="89">
        <f t="shared" si="4"/>
        <v>9.003664795384782E-5</v>
      </c>
      <c r="P25" s="48">
        <v>40339</v>
      </c>
      <c r="Q25" s="1">
        <v>4.4460093825327419E-4</v>
      </c>
      <c r="R25" s="52"/>
      <c r="U25" s="49">
        <v>40716</v>
      </c>
      <c r="V25" s="92"/>
      <c r="X25" s="93"/>
    </row>
    <row r="26" spans="1:25" x14ac:dyDescent="0.25">
      <c r="A26" s="39"/>
      <c r="B26" s="49"/>
      <c r="C26" s="79"/>
      <c r="D26" s="86" t="str">
        <f t="shared" si="5"/>
        <v/>
      </c>
      <c r="E26" s="81"/>
      <c r="F26" s="50" t="str">
        <f t="shared" si="0"/>
        <v/>
      </c>
      <c r="G26" s="16" t="str">
        <f t="shared" si="1"/>
        <v/>
      </c>
      <c r="H26" s="51" t="str">
        <f t="shared" si="2"/>
        <v/>
      </c>
      <c r="I26" s="54"/>
      <c r="J26" s="44">
        <f t="shared" si="6"/>
        <v>37783</v>
      </c>
      <c r="K26" s="45">
        <v>18</v>
      </c>
      <c r="L26" s="90">
        <f t="shared" si="3"/>
        <v>5.510918954265417E-4</v>
      </c>
      <c r="M26" s="46">
        <f t="shared" si="7"/>
        <v>1.2830392713932698E-4</v>
      </c>
      <c r="N26" s="75">
        <v>1.2830392713932698E-4</v>
      </c>
      <c r="O26" s="89">
        <f t="shared" si="4"/>
        <v>1.2830392713932698E-4</v>
      </c>
      <c r="P26" s="48">
        <v>40340</v>
      </c>
      <c r="Q26" s="1">
        <v>5.7178666821399956E-4</v>
      </c>
      <c r="R26" s="52"/>
      <c r="U26" s="49">
        <v>40717</v>
      </c>
      <c r="V26" s="92"/>
      <c r="X26" s="93"/>
    </row>
    <row r="27" spans="1:25" ht="16.5" thickBot="1" x14ac:dyDescent="0.3">
      <c r="B27" s="49"/>
      <c r="C27" s="79"/>
      <c r="D27" s="86" t="str">
        <f t="shared" si="5"/>
        <v/>
      </c>
      <c r="E27" s="81"/>
      <c r="F27" s="50" t="str">
        <f t="shared" si="0"/>
        <v/>
      </c>
      <c r="G27" s="16" t="str">
        <f t="shared" si="1"/>
        <v/>
      </c>
      <c r="H27" s="51" t="str">
        <f t="shared" si="2"/>
        <v/>
      </c>
      <c r="I27" s="54"/>
      <c r="J27" s="44">
        <f t="shared" si="6"/>
        <v>37784</v>
      </c>
      <c r="K27" s="45">
        <v>19</v>
      </c>
      <c r="L27" s="90">
        <f t="shared" si="3"/>
        <v>7.0765733468636032E-4</v>
      </c>
      <c r="M27" s="46">
        <f t="shared" si="7"/>
        <v>1.8283255021357849E-4</v>
      </c>
      <c r="N27" s="75">
        <v>1.8283255021357849E-4</v>
      </c>
      <c r="O27" s="89">
        <f t="shared" si="4"/>
        <v>1.8283255021357849E-4</v>
      </c>
      <c r="P27" s="48">
        <v>40341</v>
      </c>
      <c r="Q27" s="1">
        <v>7.3532929350053459E-4</v>
      </c>
      <c r="R27" s="52"/>
      <c r="U27" s="49">
        <v>40718</v>
      </c>
      <c r="V27" s="92">
        <v>2.4E-2</v>
      </c>
      <c r="X27" s="93"/>
    </row>
    <row r="28" spans="1:25" x14ac:dyDescent="0.25">
      <c r="B28" s="49"/>
      <c r="C28" s="79"/>
      <c r="D28" s="86" t="str">
        <f t="shared" si="5"/>
        <v/>
      </c>
      <c r="E28" s="81"/>
      <c r="F28" s="50" t="str">
        <f t="shared" si="0"/>
        <v/>
      </c>
      <c r="G28" s="16" t="str">
        <f t="shared" si="1"/>
        <v/>
      </c>
      <c r="H28" s="51" t="str">
        <f t="shared" si="2"/>
        <v/>
      </c>
      <c r="I28" s="54"/>
      <c r="J28" s="44">
        <f t="shared" si="6"/>
        <v>37785</v>
      </c>
      <c r="K28" s="45">
        <v>20</v>
      </c>
      <c r="L28" s="90">
        <f t="shared" si="3"/>
        <v>9.0866264120614631E-4</v>
      </c>
      <c r="M28" s="46">
        <f t="shared" si="7"/>
        <v>2.6052956766402371E-4</v>
      </c>
      <c r="N28" s="75">
        <v>2.6052956766402371E-4</v>
      </c>
      <c r="O28" s="89">
        <f t="shared" si="4"/>
        <v>2.6052956766402371E-4</v>
      </c>
      <c r="P28" s="48">
        <v>40342</v>
      </c>
      <c r="Q28" s="1">
        <v>9.4560418099634688E-4</v>
      </c>
      <c r="U28" s="40">
        <v>40719</v>
      </c>
      <c r="V28" s="92"/>
      <c r="X28" s="93"/>
    </row>
    <row r="29" spans="1:25" x14ac:dyDescent="0.25">
      <c r="B29" s="49"/>
      <c r="C29" s="79"/>
      <c r="D29" s="86" t="str">
        <f t="shared" si="5"/>
        <v/>
      </c>
      <c r="E29" s="81"/>
      <c r="F29" s="50" t="str">
        <f t="shared" si="0"/>
        <v/>
      </c>
      <c r="G29" s="16" t="str">
        <f t="shared" si="1"/>
        <v/>
      </c>
      <c r="H29" s="51" t="str">
        <f t="shared" si="2"/>
        <v/>
      </c>
      <c r="I29" s="54"/>
      <c r="J29" s="44">
        <f t="shared" si="6"/>
        <v>37786</v>
      </c>
      <c r="K29" s="45">
        <v>21</v>
      </c>
      <c r="L29" s="90">
        <f t="shared" si="3"/>
        <v>1.1666954944441379E-3</v>
      </c>
      <c r="M29" s="46">
        <f t="shared" si="7"/>
        <v>3.7123266109304417E-4</v>
      </c>
      <c r="N29" s="75">
        <v>3.7123266109304417E-4</v>
      </c>
      <c r="O29" s="89">
        <f t="shared" si="4"/>
        <v>3.7123266109304417E-4</v>
      </c>
      <c r="P29" s="48">
        <v>40343</v>
      </c>
      <c r="Q29" s="1">
        <v>1.2159361420781157E-3</v>
      </c>
      <c r="U29" s="49">
        <v>40720</v>
      </c>
      <c r="V29" s="92"/>
      <c r="X29" s="93"/>
    </row>
    <row r="30" spans="1:25" x14ac:dyDescent="0.25">
      <c r="B30" s="49"/>
      <c r="C30" s="79"/>
      <c r="D30" s="86" t="str">
        <f t="shared" si="5"/>
        <v/>
      </c>
      <c r="E30" s="81"/>
      <c r="F30" s="50" t="str">
        <f t="shared" si="0"/>
        <v/>
      </c>
      <c r="G30" s="16" t="str">
        <f t="shared" si="1"/>
        <v/>
      </c>
      <c r="H30" s="51" t="str">
        <f t="shared" si="2"/>
        <v/>
      </c>
      <c r="I30" s="54"/>
      <c r="J30" s="44">
        <f t="shared" si="6"/>
        <v>37787</v>
      </c>
      <c r="K30" s="45">
        <v>22</v>
      </c>
      <c r="L30" s="90">
        <f t="shared" si="3"/>
        <v>1.4978920594379374E-3</v>
      </c>
      <c r="M30" s="46">
        <f t="shared" si="7"/>
        <v>5.2895034459836269E-4</v>
      </c>
      <c r="N30" s="76">
        <v>5.2895034459836269E-4</v>
      </c>
      <c r="O30" s="89">
        <f t="shared" si="4"/>
        <v>5.2895034459836269E-4</v>
      </c>
      <c r="P30" s="48">
        <v>40344</v>
      </c>
      <c r="Q30" s="1">
        <v>1.5634304169464023E-3</v>
      </c>
      <c r="U30" s="49">
        <v>40721</v>
      </c>
      <c r="V30" s="92"/>
      <c r="X30" s="93"/>
    </row>
    <row r="31" spans="1:25" x14ac:dyDescent="0.25">
      <c r="B31" s="49"/>
      <c r="C31" s="79"/>
      <c r="D31" s="86" t="str">
        <f t="shared" si="5"/>
        <v/>
      </c>
      <c r="E31" s="81"/>
      <c r="F31" s="50" t="str">
        <f t="shared" si="0"/>
        <v/>
      </c>
      <c r="G31" s="16" t="str">
        <f t="shared" si="1"/>
        <v/>
      </c>
      <c r="H31" s="51" t="str">
        <f t="shared" si="2"/>
        <v/>
      </c>
      <c r="I31" s="54"/>
      <c r="J31" s="44">
        <f t="shared" si="6"/>
        <v>37788</v>
      </c>
      <c r="K31" s="45">
        <v>23</v>
      </c>
      <c r="L31" s="90">
        <f t="shared" si="3"/>
        <v>1.9229262974009872E-3</v>
      </c>
      <c r="M31" s="46">
        <f t="shared" si="7"/>
        <v>7.5362365201523903E-4</v>
      </c>
      <c r="N31" s="76">
        <v>7.5362365201523903E-4</v>
      </c>
      <c r="O31" s="89">
        <f t="shared" si="4"/>
        <v>7.5362365201523903E-4</v>
      </c>
      <c r="P31" s="48">
        <v>40345</v>
      </c>
      <c r="Q31" s="1">
        <v>2.0100329059479318E-3</v>
      </c>
      <c r="R31" s="55"/>
      <c r="S31" s="55"/>
      <c r="U31" s="49">
        <v>40722</v>
      </c>
      <c r="V31" s="92">
        <v>0.16800000000000001</v>
      </c>
      <c r="X31" s="93" t="s">
        <v>46</v>
      </c>
    </row>
    <row r="32" spans="1:25" x14ac:dyDescent="0.25">
      <c r="B32" s="49"/>
      <c r="C32" s="79"/>
      <c r="D32" s="86" t="str">
        <f t="shared" si="5"/>
        <v/>
      </c>
      <c r="E32" s="81"/>
      <c r="F32" s="50" t="str">
        <f t="shared" si="0"/>
        <v/>
      </c>
      <c r="G32" s="16" t="str">
        <f t="shared" si="1"/>
        <v/>
      </c>
      <c r="H32" s="51" t="str">
        <f t="shared" si="2"/>
        <v/>
      </c>
      <c r="I32" s="54"/>
      <c r="J32" s="44">
        <f t="shared" si="6"/>
        <v>37789</v>
      </c>
      <c r="K32" s="45">
        <v>24</v>
      </c>
      <c r="L32" s="90">
        <f t="shared" si="3"/>
        <v>2.4682679571534747E-3</v>
      </c>
      <c r="M32" s="46">
        <f t="shared" si="7"/>
        <v>1.0736251359755081E-3</v>
      </c>
      <c r="N32" s="76">
        <v>1.0736251359755081E-3</v>
      </c>
      <c r="O32" s="89">
        <f t="shared" si="4"/>
        <v>1.0736251359755081E-3</v>
      </c>
      <c r="P32" s="48">
        <v>40346</v>
      </c>
      <c r="Q32" s="1">
        <v>2.5838796966125908E-3</v>
      </c>
      <c r="U32" s="49">
        <v>40723</v>
      </c>
      <c r="V32" s="92"/>
      <c r="X32" s="93">
        <v>754.28820869792332</v>
      </c>
      <c r="Y32" s="4">
        <v>0.74037398396195719</v>
      </c>
    </row>
    <row r="33" spans="2:26" x14ac:dyDescent="0.25">
      <c r="B33" s="49"/>
      <c r="C33" s="79"/>
      <c r="D33" s="86" t="str">
        <f t="shared" si="5"/>
        <v/>
      </c>
      <c r="E33" s="81"/>
      <c r="F33" s="50" t="str">
        <f t="shared" si="0"/>
        <v/>
      </c>
      <c r="G33" s="16" t="str">
        <f t="shared" si="1"/>
        <v/>
      </c>
      <c r="H33" s="51" t="str">
        <f t="shared" si="2"/>
        <v/>
      </c>
      <c r="I33" s="54"/>
      <c r="J33" s="44">
        <f t="shared" si="6"/>
        <v>37790</v>
      </c>
      <c r="K33" s="45">
        <v>25</v>
      </c>
      <c r="L33" s="90">
        <f t="shared" si="3"/>
        <v>3.1677775753922201E-3</v>
      </c>
      <c r="M33" s="46">
        <f t="shared" si="7"/>
        <v>1.5292967649937837E-3</v>
      </c>
      <c r="N33" s="76">
        <v>1.5292967649937837E-3</v>
      </c>
      <c r="O33" s="89">
        <f t="shared" si="4"/>
        <v>1.5292967649937837E-3</v>
      </c>
      <c r="P33" s="48">
        <v>40347</v>
      </c>
      <c r="Q33" s="1">
        <v>3.3210095492913049E-3</v>
      </c>
      <c r="U33" s="49">
        <v>40724</v>
      </c>
      <c r="V33" s="92"/>
      <c r="X33" s="93">
        <v>0.74037398396195719</v>
      </c>
      <c r="Y33" s="4">
        <v>4.8371080322539832</v>
      </c>
    </row>
    <row r="34" spans="2:26" ht="16.5" thickBot="1" x14ac:dyDescent="0.3">
      <c r="B34" s="49"/>
      <c r="C34" s="79"/>
      <c r="D34" s="86" t="str">
        <f t="shared" si="5"/>
        <v/>
      </c>
      <c r="E34" s="81"/>
      <c r="F34" s="50" t="str">
        <f t="shared" si="0"/>
        <v/>
      </c>
      <c r="G34" s="16" t="str">
        <f t="shared" si="1"/>
        <v/>
      </c>
      <c r="H34" s="51" t="str">
        <f t="shared" si="2"/>
        <v/>
      </c>
      <c r="I34" s="54"/>
      <c r="J34" s="44">
        <f t="shared" si="6"/>
        <v>37791</v>
      </c>
      <c r="K34" s="45">
        <v>26</v>
      </c>
      <c r="L34" s="90">
        <f t="shared" si="3"/>
        <v>4.0647211308547405E-3</v>
      </c>
      <c r="M34" s="46">
        <f t="shared" si="7"/>
        <v>2.1779444332849758E-3</v>
      </c>
      <c r="N34" s="76">
        <v>2.1779444332849758E-3</v>
      </c>
      <c r="O34" s="89">
        <f t="shared" si="4"/>
        <v>2.1779444332849758E-3</v>
      </c>
      <c r="P34" s="48">
        <v>40348</v>
      </c>
      <c r="Q34" s="1">
        <v>4.2675282552662704E-3</v>
      </c>
      <c r="U34" s="49">
        <v>40725</v>
      </c>
      <c r="V34" s="92"/>
      <c r="X34" s="93"/>
    </row>
    <row r="35" spans="2:26" x14ac:dyDescent="0.25">
      <c r="B35" s="49"/>
      <c r="C35" s="79"/>
      <c r="D35" s="86" t="str">
        <f t="shared" si="5"/>
        <v/>
      </c>
      <c r="E35" s="81"/>
      <c r="F35" s="50" t="str">
        <f t="shared" si="0"/>
        <v/>
      </c>
      <c r="G35" s="16" t="str">
        <f t="shared" si="1"/>
        <v/>
      </c>
      <c r="H35" s="51" t="str">
        <f t="shared" si="2"/>
        <v/>
      </c>
      <c r="I35" s="54"/>
      <c r="J35" s="44">
        <f t="shared" si="6"/>
        <v>37792</v>
      </c>
      <c r="K35" s="45">
        <v>27</v>
      </c>
      <c r="L35" s="90">
        <f t="shared" si="3"/>
        <v>5.2143022043441012E-3</v>
      </c>
      <c r="M35" s="46">
        <f t="shared" si="7"/>
        <v>3.1008600796789275E-3</v>
      </c>
      <c r="N35" s="76">
        <v>3.1008600796789275E-3</v>
      </c>
      <c r="O35" s="89">
        <f t="shared" si="4"/>
        <v>3.1008600796789275E-3</v>
      </c>
      <c r="P35" s="48">
        <v>40349</v>
      </c>
      <c r="Q35" s="1">
        <v>5.4823297455268887E-3</v>
      </c>
      <c r="U35" s="40">
        <v>40726</v>
      </c>
      <c r="V35" s="4">
        <v>4.7E-2</v>
      </c>
      <c r="X35" s="93" t="s">
        <v>47</v>
      </c>
      <c r="Z35" s="4" t="s">
        <v>8</v>
      </c>
    </row>
    <row r="36" spans="2:26" x14ac:dyDescent="0.25">
      <c r="B36" s="49"/>
      <c r="C36" s="79"/>
      <c r="D36" s="86" t="str">
        <f t="shared" si="5"/>
        <v/>
      </c>
      <c r="E36" s="81"/>
      <c r="F36" s="50" t="str">
        <f t="shared" si="0"/>
        <v/>
      </c>
      <c r="G36" s="16" t="str">
        <f t="shared" si="1"/>
        <v/>
      </c>
      <c r="H36" s="51" t="str">
        <f t="shared" si="2"/>
        <v/>
      </c>
      <c r="I36" s="54"/>
      <c r="J36" s="44">
        <f t="shared" si="6"/>
        <v>37793</v>
      </c>
      <c r="K36" s="45">
        <v>28</v>
      </c>
      <c r="L36" s="90">
        <f t="shared" si="3"/>
        <v>6.6868239306713288E-3</v>
      </c>
      <c r="M36" s="46">
        <f t="shared" si="7"/>
        <v>4.4131364833405974E-3</v>
      </c>
      <c r="N36" s="76">
        <v>4.4131364833405974E-3</v>
      </c>
      <c r="O36" s="89">
        <f t="shared" si="4"/>
        <v>4.4131364833405974E-3</v>
      </c>
      <c r="P36" s="48">
        <v>40350</v>
      </c>
      <c r="Q36" s="1">
        <v>7.0404935024234346E-3</v>
      </c>
      <c r="U36" s="49">
        <v>40727</v>
      </c>
      <c r="X36" s="93">
        <f t="array" ref="X36:Y37">2* 1.03404633912867^2*MINVERSE($X$32:$Y$33)</f>
        <v>2.8355540635702265E-3</v>
      </c>
      <c r="Y36" s="4">
        <v>-4.3401355619645859E-4</v>
      </c>
      <c r="Z36" s="4">
        <v>5.3249920784638041E-2</v>
      </c>
    </row>
    <row r="37" spans="2:26" x14ac:dyDescent="0.25">
      <c r="B37" s="49"/>
      <c r="C37" s="79"/>
      <c r="D37" s="86" t="str">
        <f t="shared" si="5"/>
        <v/>
      </c>
      <c r="E37" s="81"/>
      <c r="F37" s="50" t="str">
        <f t="shared" si="0"/>
        <v/>
      </c>
      <c r="G37" s="16" t="str">
        <f t="shared" si="1"/>
        <v/>
      </c>
      <c r="H37" s="51" t="str">
        <f t="shared" si="2"/>
        <v/>
      </c>
      <c r="I37" s="54"/>
      <c r="J37" s="44">
        <f t="shared" si="6"/>
        <v>37794</v>
      </c>
      <c r="K37" s="45">
        <v>29</v>
      </c>
      <c r="L37" s="90">
        <f t="shared" si="3"/>
        <v>8.5716034717757232E-3</v>
      </c>
      <c r="M37" s="46">
        <f t="shared" si="7"/>
        <v>6.2772681143683619E-3</v>
      </c>
      <c r="N37" s="76">
        <v>6.2772681143683619E-3</v>
      </c>
      <c r="O37" s="89">
        <f t="shared" si="4"/>
        <v>6.2772681143683619E-3</v>
      </c>
      <c r="P37" s="48">
        <v>40351</v>
      </c>
      <c r="Q37" s="1">
        <v>9.0374873855469922E-3</v>
      </c>
      <c r="U37" s="49">
        <v>40728</v>
      </c>
      <c r="X37" s="93">
        <v>-4.3401355619645854E-4</v>
      </c>
      <c r="Y37" s="4">
        <v>0.44217019363941296</v>
      </c>
      <c r="Z37" s="4">
        <v>0.6649587909332525</v>
      </c>
    </row>
    <row r="38" spans="2:26" x14ac:dyDescent="0.25">
      <c r="B38" s="49"/>
      <c r="C38" s="79"/>
      <c r="D38" s="86" t="str">
        <f t="shared" si="5"/>
        <v/>
      </c>
      <c r="E38" s="81"/>
      <c r="F38" s="50" t="str">
        <f t="shared" si="0"/>
        <v/>
      </c>
      <c r="G38" s="16" t="str">
        <f t="shared" si="1"/>
        <v/>
      </c>
      <c r="H38" s="51" t="str">
        <f t="shared" si="2"/>
        <v/>
      </c>
      <c r="I38" s="54"/>
      <c r="J38" s="44">
        <f t="shared" si="6"/>
        <v>37795</v>
      </c>
      <c r="K38" s="45">
        <v>30</v>
      </c>
      <c r="L38" s="90">
        <f t="shared" si="3"/>
        <v>1.0981762444047746E-2</v>
      </c>
      <c r="M38" s="46">
        <f t="shared" si="7"/>
        <v>8.9217622649491162E-3</v>
      </c>
      <c r="N38" s="76">
        <v>8.9217622649491162E-3</v>
      </c>
      <c r="O38" s="89">
        <f t="shared" si="4"/>
        <v>8.9217622649491162E-3</v>
      </c>
      <c r="P38" s="48">
        <v>40352</v>
      </c>
      <c r="Q38" s="1">
        <v>1.1594302653630432E-2</v>
      </c>
      <c r="U38" s="49">
        <v>40729</v>
      </c>
      <c r="V38" s="4">
        <v>0.215</v>
      </c>
      <c r="X38" s="93"/>
    </row>
    <row r="39" spans="2:26" x14ac:dyDescent="0.25">
      <c r="B39" s="49"/>
      <c r="C39" s="79"/>
      <c r="D39" s="86" t="str">
        <f t="shared" si="5"/>
        <v/>
      </c>
      <c r="E39" s="81"/>
      <c r="F39" s="50" t="str">
        <f t="shared" si="0"/>
        <v/>
      </c>
      <c r="G39" s="16" t="str">
        <f t="shared" si="1"/>
        <v/>
      </c>
      <c r="H39" s="51" t="str">
        <f t="shared" si="2"/>
        <v/>
      </c>
      <c r="I39" s="54"/>
      <c r="J39" s="44">
        <f t="shared" si="6"/>
        <v>37796</v>
      </c>
      <c r="K39" s="45">
        <v>31</v>
      </c>
      <c r="L39" s="90">
        <f t="shared" si="3"/>
        <v>1.405999799315154E-2</v>
      </c>
      <c r="M39" s="46">
        <f t="shared" si="7"/>
        <v>1.2666131545885561E-2</v>
      </c>
      <c r="N39" s="76">
        <v>1.2666131545885561E-2</v>
      </c>
      <c r="O39" s="89">
        <f t="shared" si="4"/>
        <v>1.2666131545885561E-2</v>
      </c>
      <c r="P39" s="48">
        <v>40353</v>
      </c>
      <c r="Q39" s="1">
        <v>1.4863622388293144E-2</v>
      </c>
      <c r="U39" s="49"/>
      <c r="X39" s="93" t="s">
        <v>48</v>
      </c>
    </row>
    <row r="40" spans="2:26" x14ac:dyDescent="0.25">
      <c r="B40" s="49"/>
      <c r="C40" s="79"/>
      <c r="D40" s="86" t="str">
        <f t="shared" si="5"/>
        <v/>
      </c>
      <c r="E40" s="81"/>
      <c r="F40" s="50" t="str">
        <f t="shared" si="0"/>
        <v/>
      </c>
      <c r="G40" s="16" t="str">
        <f t="shared" si="1"/>
        <v/>
      </c>
      <c r="H40" s="51" t="str">
        <f t="shared" si="2"/>
        <v/>
      </c>
      <c r="I40" s="54"/>
      <c r="J40" s="44">
        <f t="shared" si="6"/>
        <v>37797</v>
      </c>
      <c r="K40" s="45">
        <v>32</v>
      </c>
      <c r="L40" s="90">
        <f t="shared" si="3"/>
        <v>1.7985385418392414E-2</v>
      </c>
      <c r="M40" s="46">
        <f t="shared" si="7"/>
        <v>1.7953505605503725E-2</v>
      </c>
      <c r="N40" s="76">
        <v>1.7953505605503725E-2</v>
      </c>
      <c r="O40" s="89">
        <f t="shared" si="4"/>
        <v>1.7953505605503725E-2</v>
      </c>
      <c r="P40" s="48">
        <v>40354</v>
      </c>
      <c r="Q40" s="1">
        <v>1.9037057560494706E-2</v>
      </c>
      <c r="U40" s="49"/>
      <c r="X40" s="93">
        <v>1</v>
      </c>
      <c r="Y40" s="4">
        <v>-1.2257152705044476E-2</v>
      </c>
    </row>
    <row r="41" spans="2:26" x14ac:dyDescent="0.25">
      <c r="B41" s="49"/>
      <c r="C41" s="79"/>
      <c r="D41" s="86" t="str">
        <f t="shared" si="5"/>
        <v/>
      </c>
      <c r="E41" s="81"/>
      <c r="F41" s="50" t="str">
        <f t="shared" si="0"/>
        <v/>
      </c>
      <c r="G41" s="16" t="str">
        <f t="shared" si="1"/>
        <v/>
      </c>
      <c r="H41" s="51" t="str">
        <f t="shared" si="2"/>
        <v/>
      </c>
      <c r="I41" s="54"/>
      <c r="J41" s="44">
        <f t="shared" si="6"/>
        <v>37798</v>
      </c>
      <c r="K41" s="45">
        <v>33</v>
      </c>
      <c r="L41" s="90">
        <f t="shared" si="3"/>
        <v>2.2981150506071208E-2</v>
      </c>
      <c r="M41" s="46">
        <f t="shared" si="7"/>
        <v>2.5391289272607597E-2</v>
      </c>
      <c r="N41" s="76">
        <v>2.5391289272607597E-2</v>
      </c>
      <c r="O41" s="89">
        <f t="shared" si="4"/>
        <v>2.5391289272607597E-2</v>
      </c>
      <c r="P41" s="48">
        <v>40355</v>
      </c>
      <c r="Q41" s="1">
        <v>2.4353349085554369E-2</v>
      </c>
      <c r="U41" s="49"/>
      <c r="X41" s="93">
        <v>-1.2257152705044475E-2</v>
      </c>
      <c r="Y41" s="4">
        <v>0.99999999999999989</v>
      </c>
    </row>
    <row r="42" spans="2:26" x14ac:dyDescent="0.25">
      <c r="B42" s="49"/>
      <c r="C42" s="79"/>
      <c r="D42" s="86" t="str">
        <f t="shared" si="5"/>
        <v/>
      </c>
      <c r="E42" s="81"/>
      <c r="F42" s="50" t="str">
        <f t="shared" si="0"/>
        <v/>
      </c>
      <c r="G42" s="16" t="str">
        <f t="shared" si="1"/>
        <v/>
      </c>
      <c r="H42" s="51" t="str">
        <f t="shared" si="2"/>
        <v/>
      </c>
      <c r="I42" s="54"/>
      <c r="J42" s="44">
        <f t="shared" si="6"/>
        <v>37799</v>
      </c>
      <c r="K42" s="45">
        <v>34</v>
      </c>
      <c r="L42" s="90">
        <f t="shared" si="3"/>
        <v>2.9323143517230983E-2</v>
      </c>
      <c r="M42" s="46">
        <f t="shared" si="7"/>
        <v>3.5798078010252969E-2</v>
      </c>
      <c r="N42" s="76">
        <v>3.5798078010252969E-2</v>
      </c>
      <c r="O42" s="89">
        <f t="shared" si="4"/>
        <v>3.5798078010252969E-2</v>
      </c>
      <c r="P42" s="48">
        <v>40356</v>
      </c>
      <c r="Q42" s="1">
        <v>3.1107190112750017E-2</v>
      </c>
      <c r="X42" s="93"/>
    </row>
    <row r="43" spans="2:26" ht="16.5" thickBot="1" x14ac:dyDescent="0.3">
      <c r="B43" s="49"/>
      <c r="C43" s="79"/>
      <c r="D43" s="86" t="str">
        <f t="shared" si="5"/>
        <v/>
      </c>
      <c r="E43" s="81"/>
      <c r="F43" s="50" t="str">
        <f t="shared" si="0"/>
        <v/>
      </c>
      <c r="G43" s="16" t="str">
        <f t="shared" si="1"/>
        <v/>
      </c>
      <c r="H43" s="51" t="str">
        <f t="shared" si="2"/>
        <v/>
      </c>
      <c r="I43" s="54"/>
      <c r="J43" s="44">
        <f t="shared" si="6"/>
        <v>37800</v>
      </c>
      <c r="K43" s="45">
        <v>35</v>
      </c>
      <c r="L43" s="90">
        <f t="shared" si="3"/>
        <v>3.7348401080151791E-2</v>
      </c>
      <c r="M43" s="46">
        <f t="shared" si="7"/>
        <v>5.0250242425127004E-2</v>
      </c>
      <c r="N43" s="76">
        <v>5.0250242425127004E-2</v>
      </c>
      <c r="O43" s="89">
        <f t="shared" si="4"/>
        <v>5.0250242425127004E-2</v>
      </c>
      <c r="P43" s="48">
        <v>40357</v>
      </c>
      <c r="Q43" s="1">
        <v>3.9657919254324193E-2</v>
      </c>
      <c r="X43" s="93"/>
    </row>
    <row r="44" spans="2:26" x14ac:dyDescent="0.25">
      <c r="B44" s="49"/>
      <c r="C44" s="79"/>
      <c r="D44" s="86" t="str">
        <f t="shared" si="5"/>
        <v/>
      </c>
      <c r="E44" s="81"/>
      <c r="F44" s="50" t="str">
        <f t="shared" si="0"/>
        <v/>
      </c>
      <c r="G44" s="16" t="str">
        <f t="shared" si="1"/>
        <v/>
      </c>
      <c r="H44" s="51" t="str">
        <f t="shared" si="2"/>
        <v/>
      </c>
      <c r="I44" s="54"/>
      <c r="J44" s="44">
        <f t="shared" si="6"/>
        <v>37801</v>
      </c>
      <c r="K44" s="45">
        <v>36</v>
      </c>
      <c r="L44" s="90">
        <f t="shared" si="3"/>
        <v>4.7462643251595896E-2</v>
      </c>
      <c r="M44" s="46">
        <f t="shared" si="7"/>
        <v>7.0112677039206914E-2</v>
      </c>
      <c r="N44" s="76">
        <v>7.0112677039206914E-2</v>
      </c>
      <c r="O44" s="89">
        <f t="shared" si="4"/>
        <v>7.0112677039206914E-2</v>
      </c>
      <c r="P44" s="48">
        <v>40358</v>
      </c>
      <c r="Q44" s="1">
        <v>5.0436715072649276E-2</v>
      </c>
      <c r="U44" s="40">
        <v>40704</v>
      </c>
      <c r="V44" s="91">
        <v>2E-3</v>
      </c>
      <c r="X44" s="93"/>
    </row>
    <row r="45" spans="2:26" x14ac:dyDescent="0.25">
      <c r="B45" s="49"/>
      <c r="C45" s="79"/>
      <c r="D45" s="86" t="str">
        <f t="shared" si="5"/>
        <v/>
      </c>
      <c r="E45" s="81"/>
      <c r="F45" s="50" t="str">
        <f t="shared" si="0"/>
        <v/>
      </c>
      <c r="G45" s="16" t="str">
        <f t="shared" si="1"/>
        <v/>
      </c>
      <c r="H45" s="51" t="str">
        <f t="shared" si="2"/>
        <v/>
      </c>
      <c r="I45" s="54"/>
      <c r="J45" s="44">
        <f t="shared" si="6"/>
        <v>37802</v>
      </c>
      <c r="K45" s="45">
        <v>37</v>
      </c>
      <c r="L45" s="90">
        <f t="shared" si="3"/>
        <v>6.0144773203586376E-2</v>
      </c>
      <c r="M45" s="46">
        <f t="shared" si="7"/>
        <v>9.7024102357607847E-2</v>
      </c>
      <c r="N45" s="76">
        <v>9.7024102357607847E-2</v>
      </c>
      <c r="O45" s="89">
        <f t="shared" si="4"/>
        <v>9.7024102357607847E-2</v>
      </c>
      <c r="P45" s="48">
        <v>40359</v>
      </c>
      <c r="Q45" s="1">
        <v>6.3950040299436198E-2</v>
      </c>
      <c r="U45" s="49">
        <v>40705</v>
      </c>
      <c r="V45" s="91"/>
      <c r="X45" s="93"/>
    </row>
    <row r="46" spans="2:26" x14ac:dyDescent="0.25">
      <c r="B46" s="49"/>
      <c r="C46" s="79"/>
      <c r="D46" s="86" t="str">
        <f t="shared" si="5"/>
        <v/>
      </c>
      <c r="E46" s="81"/>
      <c r="F46" s="50" t="str">
        <f t="shared" si="0"/>
        <v/>
      </c>
      <c r="G46" s="16" t="str">
        <f t="shared" si="1"/>
        <v/>
      </c>
      <c r="H46" s="51" t="str">
        <f t="shared" si="2"/>
        <v/>
      </c>
      <c r="I46" s="54"/>
      <c r="J46" s="44">
        <f t="shared" si="6"/>
        <v>37803</v>
      </c>
      <c r="K46" s="45">
        <v>38</v>
      </c>
      <c r="L46" s="90">
        <f t="shared" si="3"/>
        <v>7.5945418837501361E-2</v>
      </c>
      <c r="M46" s="46">
        <f t="shared" si="7"/>
        <v>0.13278990299316346</v>
      </c>
      <c r="N46" s="76">
        <v>0.13278990299316346</v>
      </c>
      <c r="O46" s="89">
        <f t="shared" si="4"/>
        <v>0.13278990299316346</v>
      </c>
      <c r="P46" s="48">
        <v>40360</v>
      </c>
      <c r="Q46" s="1">
        <v>8.0775952050874497E-2</v>
      </c>
      <c r="U46" s="49">
        <v>40706</v>
      </c>
      <c r="V46" s="91"/>
      <c r="X46" s="93"/>
    </row>
    <row r="47" spans="2:26" x14ac:dyDescent="0.25">
      <c r="B47" s="49"/>
      <c r="C47" s="79"/>
      <c r="D47" s="86" t="str">
        <f t="shared" si="5"/>
        <v/>
      </c>
      <c r="E47" s="81"/>
      <c r="F47" s="50" t="str">
        <f t="shared" si="0"/>
        <v/>
      </c>
      <c r="G47" s="16" t="str">
        <f t="shared" si="1"/>
        <v/>
      </c>
      <c r="H47" s="51" t="str">
        <f t="shared" si="2"/>
        <v/>
      </c>
      <c r="I47" s="54"/>
      <c r="J47" s="44">
        <f t="shared" si="6"/>
        <v>37804</v>
      </c>
      <c r="K47" s="45">
        <v>39</v>
      </c>
      <c r="L47" s="90">
        <f t="shared" si="3"/>
        <v>9.5475376096323186E-2</v>
      </c>
      <c r="M47" s="46">
        <f t="shared" si="7"/>
        <v>0.17912459589298799</v>
      </c>
      <c r="N47" s="76">
        <v>0.17912459589298799</v>
      </c>
      <c r="O47" s="89">
        <f t="shared" si="4"/>
        <v>0.17912459589298799</v>
      </c>
      <c r="P47" s="48">
        <v>40361</v>
      </c>
      <c r="Q47" s="1">
        <v>0.10154865709169383</v>
      </c>
      <c r="U47" s="49">
        <v>40707</v>
      </c>
      <c r="V47" s="91"/>
      <c r="X47" s="93"/>
    </row>
    <row r="48" spans="2:26" x14ac:dyDescent="0.25">
      <c r="B48" s="49"/>
      <c r="C48" s="79"/>
      <c r="D48" s="86" t="str">
        <f t="shared" si="5"/>
        <v/>
      </c>
      <c r="E48" s="81"/>
      <c r="F48" s="50" t="str">
        <f t="shared" si="0"/>
        <v/>
      </c>
      <c r="G48" s="16" t="str">
        <f t="shared" si="1"/>
        <v/>
      </c>
      <c r="H48" s="51" t="str">
        <f t="shared" si="2"/>
        <v/>
      </c>
      <c r="I48" s="54"/>
      <c r="J48" s="44">
        <f t="shared" si="6"/>
        <v>37805</v>
      </c>
      <c r="K48" s="45">
        <v>40</v>
      </c>
      <c r="L48" s="90">
        <f t="shared" si="3"/>
        <v>0.1193787848889972</v>
      </c>
      <c r="M48" s="46">
        <f t="shared" si="7"/>
        <v>0.23720467988333704</v>
      </c>
      <c r="N48" s="76">
        <v>0.23720467988333704</v>
      </c>
      <c r="O48" s="89">
        <f t="shared" si="4"/>
        <v>0.23720467988333704</v>
      </c>
      <c r="P48" s="48">
        <v>40362</v>
      </c>
      <c r="Q48" s="1">
        <v>0.12692574439278323</v>
      </c>
      <c r="U48" s="49">
        <v>40708</v>
      </c>
      <c r="V48" s="91"/>
      <c r="X48" s="93"/>
    </row>
    <row r="49" spans="2:24" x14ac:dyDescent="0.25">
      <c r="B49" s="49"/>
      <c r="C49" s="79"/>
      <c r="D49" s="86" t="str">
        <f t="shared" si="5"/>
        <v/>
      </c>
      <c r="E49" s="81"/>
      <c r="F49" s="50" t="str">
        <f t="shared" si="0"/>
        <v/>
      </c>
      <c r="G49" s="16" t="str">
        <f t="shared" si="1"/>
        <v/>
      </c>
      <c r="H49" s="51" t="str">
        <f t="shared" si="2"/>
        <v/>
      </c>
      <c r="I49" s="54"/>
      <c r="J49" s="44">
        <f t="shared" si="6"/>
        <v>37806</v>
      </c>
      <c r="K49" s="45">
        <v>41</v>
      </c>
      <c r="L49" s="90">
        <f t="shared" si="3"/>
        <v>0.14828561393161441</v>
      </c>
      <c r="M49" s="46">
        <f t="shared" si="7"/>
        <v>0.30707218568713457</v>
      </c>
      <c r="N49" s="76">
        <v>0.30707218568713457</v>
      </c>
      <c r="O49" s="89">
        <f t="shared" si="4"/>
        <v>0.30707218568713457</v>
      </c>
      <c r="P49" s="4">
        <v>40363</v>
      </c>
      <c r="Q49" s="4">
        <v>0.15753263507351994</v>
      </c>
      <c r="U49" s="49">
        <v>40709</v>
      </c>
      <c r="V49" s="91"/>
      <c r="X49" s="93"/>
    </row>
    <row r="50" spans="2:24" x14ac:dyDescent="0.25">
      <c r="B50" s="49"/>
      <c r="C50" s="79"/>
      <c r="D50" s="86" t="str">
        <f t="shared" si="5"/>
        <v/>
      </c>
      <c r="E50" s="81"/>
      <c r="F50" s="50" t="str">
        <f t="shared" si="0"/>
        <v/>
      </c>
      <c r="G50" s="16" t="str">
        <f t="shared" si="1"/>
        <v/>
      </c>
      <c r="H50" s="51" t="str">
        <f t="shared" si="2"/>
        <v/>
      </c>
      <c r="I50" s="54"/>
      <c r="J50" s="44">
        <f t="shared" si="6"/>
        <v>37807</v>
      </c>
      <c r="K50" s="45">
        <v>42</v>
      </c>
      <c r="L50" s="90">
        <f t="shared" si="3"/>
        <v>0.18273954814304952</v>
      </c>
      <c r="M50" s="46">
        <f t="shared" si="7"/>
        <v>0.38707606622199253</v>
      </c>
      <c r="N50" s="76">
        <v>0.38707606622199253</v>
      </c>
      <c r="O50" s="89">
        <f t="shared" si="4"/>
        <v>0.38707606622199253</v>
      </c>
      <c r="P50" s="4">
        <v>40364</v>
      </c>
      <c r="Q50" s="4">
        <v>0.19388109788722835</v>
      </c>
      <c r="U50" s="49">
        <v>40710</v>
      </c>
      <c r="V50" s="91"/>
      <c r="X50" s="93"/>
    </row>
    <row r="51" spans="2:24" ht="16.5" thickBot="1" x14ac:dyDescent="0.3">
      <c r="B51" s="49"/>
      <c r="C51" s="79"/>
      <c r="D51" s="86" t="str">
        <f t="shared" si="5"/>
        <v/>
      </c>
      <c r="E51" s="81"/>
      <c r="F51" s="50" t="str">
        <f t="shared" si="0"/>
        <v/>
      </c>
      <c r="G51" s="16" t="str">
        <f t="shared" si="1"/>
        <v/>
      </c>
      <c r="H51" s="51" t="str">
        <f t="shared" si="2"/>
        <v/>
      </c>
      <c r="I51" s="54"/>
      <c r="J51" s="44">
        <f t="shared" si="6"/>
        <v>37808</v>
      </c>
      <c r="K51" s="45">
        <v>43</v>
      </c>
      <c r="L51" s="90">
        <f t="shared" si="3"/>
        <v>0.22310185221288506</v>
      </c>
      <c r="M51" s="46">
        <f t="shared" si="7"/>
        <v>0.47367530224191001</v>
      </c>
      <c r="N51" s="76">
        <v>0.47367530224191001</v>
      </c>
      <c r="O51" s="89">
        <f t="shared" si="4"/>
        <v>0.47367530224191001</v>
      </c>
      <c r="P51" s="4">
        <v>40365</v>
      </c>
      <c r="Q51" s="4">
        <v>0.2362644112915534</v>
      </c>
      <c r="U51" s="49">
        <v>40711</v>
      </c>
      <c r="V51" s="92">
        <v>0</v>
      </c>
      <c r="X51" s="93"/>
    </row>
    <row r="52" spans="2:24" x14ac:dyDescent="0.25">
      <c r="B52" s="49"/>
      <c r="C52" s="79"/>
      <c r="D52" s="86" t="str">
        <f t="shared" si="5"/>
        <v/>
      </c>
      <c r="E52" s="81"/>
      <c r="F52" s="50" t="str">
        <f t="shared" si="0"/>
        <v/>
      </c>
      <c r="G52" s="16" t="str">
        <f t="shared" si="1"/>
        <v/>
      </c>
      <c r="H52" s="51" t="str">
        <f t="shared" si="2"/>
        <v/>
      </c>
      <c r="I52" s="54"/>
      <c r="J52" s="44">
        <f t="shared" si="6"/>
        <v>37809</v>
      </c>
      <c r="K52" s="45">
        <v>44</v>
      </c>
      <c r="L52" s="90">
        <f t="shared" si="3"/>
        <v>0.26943997114703433</v>
      </c>
      <c r="M52" s="46">
        <f t="shared" si="7"/>
        <v>0.56188779335925654</v>
      </c>
      <c r="N52" s="76">
        <v>0.56188779335925654</v>
      </c>
      <c r="O52" s="89">
        <f t="shared" si="4"/>
        <v>0.56188779335925654</v>
      </c>
      <c r="P52" s="4">
        <v>40366</v>
      </c>
      <c r="Q52" s="4">
        <v>0.28464136726106892</v>
      </c>
      <c r="U52" s="40">
        <v>40712</v>
      </c>
      <c r="V52" s="92"/>
      <c r="X52" s="93"/>
    </row>
    <row r="53" spans="2:24" x14ac:dyDescent="0.25">
      <c r="B53" s="49"/>
      <c r="C53" s="79"/>
      <c r="D53" s="86" t="str">
        <f t="shared" si="5"/>
        <v/>
      </c>
      <c r="E53" s="81"/>
      <c r="F53" s="50" t="str">
        <f t="shared" si="0"/>
        <v/>
      </c>
      <c r="G53" s="16" t="str">
        <f t="shared" si="1"/>
        <v/>
      </c>
      <c r="H53" s="51" t="str">
        <f t="shared" si="2"/>
        <v/>
      </c>
      <c r="I53" s="54"/>
      <c r="J53" s="44">
        <f t="shared" si="6"/>
        <v>37810</v>
      </c>
      <c r="K53" s="45">
        <v>45</v>
      </c>
      <c r="L53" s="90">
        <f t="shared" si="3"/>
        <v>0.32142065365089911</v>
      </c>
      <c r="M53" s="46">
        <f t="shared" si="7"/>
        <v>0.64635389784882469</v>
      </c>
      <c r="N53" s="75">
        <v>0.64635389784882469</v>
      </c>
      <c r="O53" s="89">
        <f t="shared" si="4"/>
        <v>0.64635389784882469</v>
      </c>
      <c r="P53" s="4">
        <v>40367</v>
      </c>
      <c r="Q53" s="4">
        <v>0.33853314511451504</v>
      </c>
      <c r="U53" s="49">
        <v>40713</v>
      </c>
      <c r="V53" s="92"/>
      <c r="X53" s="93"/>
    </row>
    <row r="54" spans="2:24" x14ac:dyDescent="0.25">
      <c r="B54" s="49"/>
      <c r="C54" s="79"/>
      <c r="D54" s="86" t="str">
        <f t="shared" si="5"/>
        <v/>
      </c>
      <c r="E54" s="81"/>
      <c r="F54" s="50" t="str">
        <f t="shared" si="0"/>
        <v/>
      </c>
      <c r="G54" s="16" t="str">
        <f t="shared" si="1"/>
        <v/>
      </c>
      <c r="H54" s="51" t="str">
        <f t="shared" si="2"/>
        <v/>
      </c>
      <c r="I54" s="54"/>
      <c r="J54" s="44">
        <f t="shared" si="6"/>
        <v>37811</v>
      </c>
      <c r="K54" s="45">
        <v>46</v>
      </c>
      <c r="L54" s="90">
        <f t="shared" si="3"/>
        <v>0.37823755968357375</v>
      </c>
      <c r="M54" s="46">
        <f t="shared" si="7"/>
        <v>0.72257565187378159</v>
      </c>
      <c r="N54" s="75">
        <v>0.72257565187378159</v>
      </c>
      <c r="O54" s="89">
        <f t="shared" si="4"/>
        <v>0.72257565187378159</v>
      </c>
      <c r="P54" s="4">
        <v>40368</v>
      </c>
      <c r="Q54" s="4">
        <v>0.39696628169175319</v>
      </c>
      <c r="U54" s="49">
        <v>40714</v>
      </c>
      <c r="V54" s="92"/>
      <c r="X54" s="93"/>
    </row>
    <row r="55" spans="2:24" x14ac:dyDescent="0.25">
      <c r="B55" s="49"/>
      <c r="C55" s="79"/>
      <c r="D55" s="86" t="str">
        <f t="shared" si="5"/>
        <v/>
      </c>
      <c r="E55" s="81"/>
      <c r="F55" s="50" t="str">
        <f t="shared" si="0"/>
        <v/>
      </c>
      <c r="G55" s="16" t="str">
        <f t="shared" si="1"/>
        <v/>
      </c>
      <c r="H55" s="51" t="str">
        <f t="shared" si="2"/>
        <v/>
      </c>
      <c r="I55" s="54"/>
      <c r="J55" s="44">
        <f t="shared" si="6"/>
        <v>37812</v>
      </c>
      <c r="K55" s="45">
        <v>47</v>
      </c>
      <c r="L55" s="90">
        <f t="shared" si="3"/>
        <v>0.43860622355042667</v>
      </c>
      <c r="M55" s="46">
        <f t="shared" si="7"/>
        <v>0.67992615512835608</v>
      </c>
      <c r="N55" s="76">
        <v>0.67992615512835608</v>
      </c>
      <c r="O55" s="89">
        <f t="shared" si="4"/>
        <v>0.67992615512835608</v>
      </c>
      <c r="P55" s="4">
        <v>40369</v>
      </c>
      <c r="Q55" s="4">
        <v>0.45849431667616858</v>
      </c>
      <c r="U55" s="49">
        <v>40715</v>
      </c>
      <c r="V55" s="92"/>
      <c r="X55" s="93"/>
    </row>
    <row r="56" spans="2:24" x14ac:dyDescent="0.25">
      <c r="B56" s="49"/>
      <c r="C56" s="79"/>
      <c r="D56" s="86" t="str">
        <f t="shared" si="5"/>
        <v/>
      </c>
      <c r="E56" s="81"/>
      <c r="F56" s="50" t="str">
        <f t="shared" si="0"/>
        <v/>
      </c>
      <c r="G56" s="16" t="str">
        <f t="shared" si="1"/>
        <v/>
      </c>
      <c r="H56" s="51" t="str">
        <f t="shared" si="2"/>
        <v/>
      </c>
      <c r="I56" s="54"/>
      <c r="J56" s="44">
        <f t="shared" si="6"/>
        <v>37813</v>
      </c>
      <c r="K56" s="45">
        <v>48</v>
      </c>
      <c r="L56" s="90">
        <f t="shared" si="3"/>
        <v>0.50084862987958612</v>
      </c>
      <c r="M56" s="46">
        <f t="shared" si="7"/>
        <v>0.73462826392623781</v>
      </c>
      <c r="N56" s="76">
        <v>0.73462826392623781</v>
      </c>
      <c r="O56" s="89">
        <f t="shared" si="4"/>
        <v>0.73462826392623781</v>
      </c>
      <c r="P56" s="4">
        <v>40370</v>
      </c>
      <c r="Q56" s="4">
        <v>0.52131468367366807</v>
      </c>
      <c r="U56" s="49">
        <v>40716</v>
      </c>
      <c r="V56" s="92"/>
      <c r="X56" s="93"/>
    </row>
    <row r="57" spans="2:24" x14ac:dyDescent="0.25">
      <c r="B57" s="49"/>
      <c r="C57" s="79"/>
      <c r="D57" s="86" t="str">
        <f t="shared" si="5"/>
        <v/>
      </c>
      <c r="E57" s="81"/>
      <c r="F57" s="50" t="str">
        <f t="shared" si="0"/>
        <v/>
      </c>
      <c r="G57" s="16" t="str">
        <f t="shared" si="1"/>
        <v/>
      </c>
      <c r="H57" s="51" t="str">
        <f t="shared" si="2"/>
        <v/>
      </c>
      <c r="I57" s="54"/>
      <c r="J57" s="44">
        <f t="shared" si="6"/>
        <v>37814</v>
      </c>
      <c r="K57" s="45">
        <v>49</v>
      </c>
      <c r="L57" s="90">
        <f t="shared" si="3"/>
        <v>0.56306474570995069</v>
      </c>
      <c r="M57" s="46">
        <f t="shared" si="7"/>
        <v>0.78296570483334704</v>
      </c>
      <c r="N57" s="76">
        <v>0.78296570483334704</v>
      </c>
      <c r="O57" s="89">
        <f t="shared" si="4"/>
        <v>0.78296570483334704</v>
      </c>
      <c r="P57" s="4">
        <v>40371</v>
      </c>
      <c r="Q57" s="4">
        <v>0.58346805352827824</v>
      </c>
      <c r="U57" s="49">
        <v>40717</v>
      </c>
      <c r="V57" s="92"/>
      <c r="X57" s="93"/>
    </row>
    <row r="58" spans="2:24" ht="16.5" thickBot="1" x14ac:dyDescent="0.3">
      <c r="B58" s="49"/>
      <c r="C58" s="79"/>
      <c r="D58" s="86" t="str">
        <f t="shared" si="5"/>
        <v/>
      </c>
      <c r="E58" s="81"/>
      <c r="F58" s="50" t="str">
        <f t="shared" si="0"/>
        <v/>
      </c>
      <c r="G58" s="16" t="str">
        <f t="shared" si="1"/>
        <v/>
      </c>
      <c r="H58" s="51" t="str">
        <f t="shared" si="2"/>
        <v/>
      </c>
      <c r="I58" s="54"/>
      <c r="J58" s="44">
        <f t="shared" si="6"/>
        <v>37815</v>
      </c>
      <c r="K58" s="45">
        <v>50</v>
      </c>
      <c r="L58" s="90">
        <f t="shared" si="3"/>
        <v>0.62335772182421145</v>
      </c>
      <c r="M58" s="46">
        <f t="shared" si="7"/>
        <v>0.82460067927314873</v>
      </c>
      <c r="N58" s="75">
        <v>0.82460067927314873</v>
      </c>
      <c r="O58" s="89">
        <f t="shared" si="4"/>
        <v>0.82460067927314873</v>
      </c>
      <c r="P58" s="4">
        <v>40372</v>
      </c>
      <c r="Q58" s="4">
        <v>0.64307659747584256</v>
      </c>
      <c r="U58" s="49">
        <v>40718</v>
      </c>
      <c r="V58" s="92">
        <v>2.4E-2</v>
      </c>
      <c r="X58" s="93"/>
    </row>
    <row r="59" spans="2:24" x14ac:dyDescent="0.25">
      <c r="B59" s="49"/>
      <c r="C59" s="79"/>
      <c r="D59" s="86" t="str">
        <f t="shared" si="5"/>
        <v/>
      </c>
      <c r="E59" s="81"/>
      <c r="F59" s="50" t="str">
        <f t="shared" si="0"/>
        <v/>
      </c>
      <c r="G59" s="16" t="str">
        <f t="shared" si="1"/>
        <v/>
      </c>
      <c r="H59" s="51" t="str">
        <f t="shared" si="2"/>
        <v/>
      </c>
      <c r="I59" s="54"/>
      <c r="J59" s="44">
        <f t="shared" si="6"/>
        <v>37816</v>
      </c>
      <c r="K59" s="45">
        <v>51</v>
      </c>
      <c r="L59" s="90">
        <f t="shared" si="3"/>
        <v>0.68005830237546694</v>
      </c>
      <c r="M59" s="46">
        <f t="shared" si="7"/>
        <v>0.85967998350172414</v>
      </c>
      <c r="N59" s="75">
        <v>0.85967998350172414</v>
      </c>
      <c r="O59" s="89">
        <f t="shared" si="4"/>
        <v>0.85967998350172414</v>
      </c>
      <c r="P59" s="4">
        <v>40373</v>
      </c>
      <c r="Q59" s="4">
        <v>0.69856182420049406</v>
      </c>
      <c r="U59" s="40">
        <v>40719</v>
      </c>
      <c r="V59" s="92"/>
      <c r="X59" s="93"/>
    </row>
    <row r="60" spans="2:24" x14ac:dyDescent="0.25">
      <c r="B60" s="49"/>
      <c r="C60" s="79"/>
      <c r="D60" s="86" t="str">
        <f t="shared" si="5"/>
        <v/>
      </c>
      <c r="E60" s="81"/>
      <c r="F60" s="50" t="str">
        <f t="shared" si="0"/>
        <v/>
      </c>
      <c r="G60" s="16" t="str">
        <f t="shared" si="1"/>
        <v/>
      </c>
      <c r="H60" s="51" t="str">
        <f t="shared" si="2"/>
        <v/>
      </c>
      <c r="I60" s="54"/>
      <c r="J60" s="44">
        <f t="shared" si="6"/>
        <v>37817</v>
      </c>
      <c r="K60" s="45">
        <v>52</v>
      </c>
      <c r="L60" s="90">
        <f t="shared" si="3"/>
        <v>0.73189430501046937</v>
      </c>
      <c r="M60" s="46">
        <f t="shared" si="7"/>
        <v>0.8886905657803027</v>
      </c>
      <c r="N60" s="76">
        <v>0.8886905657803027</v>
      </c>
      <c r="O60" s="89">
        <f t="shared" si="4"/>
        <v>0.8886905657803027</v>
      </c>
      <c r="P60" s="4">
        <v>40374</v>
      </c>
      <c r="Q60" s="4">
        <v>0.74879103833236005</v>
      </c>
      <c r="U60" s="49">
        <v>40720</v>
      </c>
      <c r="V60" s="92"/>
      <c r="X60" s="93"/>
    </row>
    <row r="61" spans="2:24" x14ac:dyDescent="0.25">
      <c r="B61" s="49"/>
      <c r="C61" s="79"/>
      <c r="D61" s="86" t="str">
        <f t="shared" si="5"/>
        <v/>
      </c>
      <c r="E61" s="81"/>
      <c r="F61" s="50" t="str">
        <f t="shared" si="0"/>
        <v/>
      </c>
      <c r="G61" s="16" t="str">
        <f t="shared" si="1"/>
        <v/>
      </c>
      <c r="H61" s="51" t="str">
        <f t="shared" si="2"/>
        <v/>
      </c>
      <c r="I61" s="54"/>
      <c r="J61" s="44">
        <f t="shared" si="6"/>
        <v>37818</v>
      </c>
      <c r="K61" s="45">
        <v>53</v>
      </c>
      <c r="L61" s="90">
        <f t="shared" si="3"/>
        <v>0.77807266305660738</v>
      </c>
      <c r="M61" s="46">
        <f t="shared" si="7"/>
        <v>0.91231509064301375</v>
      </c>
      <c r="N61" s="75">
        <v>0.91231509064301375</v>
      </c>
      <c r="O61" s="89">
        <f t="shared" si="4"/>
        <v>0.91231509064301375</v>
      </c>
      <c r="P61" s="4">
        <v>40375</v>
      </c>
      <c r="Q61" s="4">
        <v>0.79312907861690396</v>
      </c>
      <c r="U61" s="49">
        <v>40721</v>
      </c>
      <c r="V61" s="92"/>
      <c r="X61" s="93"/>
    </row>
    <row r="62" spans="2:24" ht="16.5" thickBot="1" x14ac:dyDescent="0.3">
      <c r="B62" s="49"/>
      <c r="C62" s="79"/>
      <c r="D62" s="86" t="str">
        <f t="shared" si="5"/>
        <v/>
      </c>
      <c r="E62" s="81"/>
      <c r="F62" s="50" t="str">
        <f t="shared" si="0"/>
        <v/>
      </c>
      <c r="G62" s="16" t="str">
        <f t="shared" si="1"/>
        <v/>
      </c>
      <c r="H62" s="51" t="str">
        <f t="shared" si="2"/>
        <v/>
      </c>
      <c r="I62" s="54"/>
      <c r="J62" s="44">
        <f t="shared" si="6"/>
        <v>37819</v>
      </c>
      <c r="K62" s="45">
        <v>54</v>
      </c>
      <c r="L62" s="90">
        <f t="shared" si="3"/>
        <v>0.81827218428325044</v>
      </c>
      <c r="M62" s="46">
        <f t="shared" si="7"/>
        <v>0.93131304287865924</v>
      </c>
      <c r="N62" s="75">
        <v>0.93131304287865924</v>
      </c>
      <c r="O62" s="89">
        <f t="shared" si="4"/>
        <v>0.93131304287865924</v>
      </c>
      <c r="P62" s="4">
        <v>40376</v>
      </c>
      <c r="Q62" s="4">
        <v>0.83140351438424964</v>
      </c>
      <c r="U62" s="49">
        <v>40722</v>
      </c>
      <c r="V62" s="92">
        <v>0.16800000000000001</v>
      </c>
      <c r="X62" s="93"/>
    </row>
    <row r="63" spans="2:24" x14ac:dyDescent="0.25">
      <c r="B63" s="49"/>
      <c r="C63" s="79"/>
      <c r="D63" s="86" t="str">
        <f t="shared" si="5"/>
        <v/>
      </c>
      <c r="E63" s="81"/>
      <c r="F63" s="50" t="str">
        <f t="shared" si="0"/>
        <v/>
      </c>
      <c r="G63" s="16" t="str">
        <f t="shared" si="1"/>
        <v/>
      </c>
      <c r="H63" s="51" t="str">
        <f t="shared" si="2"/>
        <v/>
      </c>
      <c r="I63" s="54"/>
      <c r="J63" s="44">
        <f t="shared" si="6"/>
        <v>37820</v>
      </c>
      <c r="K63" s="45">
        <v>55</v>
      </c>
      <c r="L63" s="90">
        <f t="shared" si="3"/>
        <v>0.8525697763007879</v>
      </c>
      <c r="M63" s="46">
        <f t="shared" si="7"/>
        <v>0.94643653282667362</v>
      </c>
      <c r="N63" s="75">
        <v>0.94643653282667362</v>
      </c>
      <c r="O63" s="89">
        <f t="shared" si="4"/>
        <v>0.94643653282667362</v>
      </c>
      <c r="P63" s="4">
        <v>40377</v>
      </c>
      <c r="Q63" s="4">
        <v>0.86381250435994517</v>
      </c>
      <c r="U63" s="40">
        <v>40723</v>
      </c>
      <c r="V63" s="92"/>
      <c r="X63" s="93"/>
    </row>
    <row r="64" spans="2:24" ht="16.5" thickBot="1" x14ac:dyDescent="0.3">
      <c r="B64" s="56"/>
      <c r="C64" s="80"/>
      <c r="D64" s="87" t="str">
        <f t="shared" si="5"/>
        <v/>
      </c>
      <c r="E64" s="82"/>
      <c r="F64" s="50" t="str">
        <f t="shared" si="0"/>
        <v/>
      </c>
      <c r="G64" s="16" t="str">
        <f t="shared" si="1"/>
        <v/>
      </c>
      <c r="H64" s="51" t="str">
        <f t="shared" si="2"/>
        <v/>
      </c>
      <c r="I64" s="54"/>
      <c r="J64" s="44">
        <f t="shared" si="6"/>
        <v>37821</v>
      </c>
      <c r="K64" s="45">
        <v>56</v>
      </c>
      <c r="L64" s="90">
        <f t="shared" si="3"/>
        <v>0.88133308818064571</v>
      </c>
      <c r="M64" s="46">
        <f t="shared" si="7"/>
        <v>0.95837894884125729</v>
      </c>
      <c r="N64" s="76">
        <v>0.95837894884125729</v>
      </c>
      <c r="O64" s="89">
        <f t="shared" si="4"/>
        <v>0.95837894884125729</v>
      </c>
      <c r="P64" s="4">
        <v>40378</v>
      </c>
      <c r="Q64" s="4">
        <v>0.89080976473363638</v>
      </c>
      <c r="U64" s="49">
        <v>40724</v>
      </c>
      <c r="V64" s="92"/>
      <c r="X64" s="93"/>
    </row>
    <row r="65" spans="2:25" ht="16.5" thickBot="1" x14ac:dyDescent="0.3">
      <c r="B65" s="57">
        <f>C5</f>
        <v>37833</v>
      </c>
      <c r="C65" s="58">
        <v>100</v>
      </c>
      <c r="D65" s="84">
        <f t="shared" si="5"/>
        <v>68</v>
      </c>
      <c r="E65" s="59">
        <v>1</v>
      </c>
      <c r="F65" s="60">
        <f t="shared" si="0"/>
        <v>0.99335811896682091</v>
      </c>
      <c r="G65" s="61">
        <f t="shared" si="1"/>
        <v>6.6418810331790867E-3</v>
      </c>
      <c r="H65" s="62">
        <f t="shared" si="2"/>
        <v>4.4114583658904092E-3</v>
      </c>
      <c r="I65" s="54"/>
      <c r="J65" s="44">
        <f t="shared" si="6"/>
        <v>37822</v>
      </c>
      <c r="K65" s="45">
        <v>57</v>
      </c>
      <c r="L65" s="90">
        <f t="shared" si="3"/>
        <v>0.90510931670589412</v>
      </c>
      <c r="M65" s="46">
        <f t="shared" si="7"/>
        <v>0.96774943709406713</v>
      </c>
      <c r="N65" s="75">
        <v>0.96774943709406713</v>
      </c>
      <c r="O65" s="89">
        <f t="shared" si="4"/>
        <v>0.96774943709406713</v>
      </c>
      <c r="P65" s="4">
        <v>40379</v>
      </c>
      <c r="Q65" s="4">
        <v>0.91299424895614467</v>
      </c>
      <c r="U65" s="49">
        <v>40725</v>
      </c>
      <c r="V65" s="92"/>
    </row>
    <row r="66" spans="2:25" ht="16.5" thickBot="1" x14ac:dyDescent="0.3">
      <c r="B66" s="57">
        <f>A3</f>
        <v>37766</v>
      </c>
      <c r="C66" s="58">
        <v>100</v>
      </c>
      <c r="D66" s="84">
        <f>IF(B66&lt;&gt;0,B66-$A$3+1,"")</f>
        <v>1</v>
      </c>
      <c r="E66" s="59">
        <v>0</v>
      </c>
      <c r="F66" s="60">
        <f>IF(B66&lt;&gt;0,$G$3/(1+EXP(-$G$4*(D66-$G$5))),"")</f>
        <v>7.836471740093746E-6</v>
      </c>
      <c r="G66" s="61">
        <f>IF(B66&lt;&gt;0,E66-F66,"")</f>
        <v>-7.836471740093746E-6</v>
      </c>
      <c r="H66" s="62">
        <f>IF(B66&lt;&gt;0,C66*(G66)^2,"")</f>
        <v>6.1410289333287897E-9</v>
      </c>
      <c r="I66" s="68"/>
      <c r="J66" s="44">
        <f t="shared" si="6"/>
        <v>37823</v>
      </c>
      <c r="K66" s="45">
        <v>58</v>
      </c>
      <c r="L66" s="90">
        <f t="shared" si="3"/>
        <v>0.92452965133108167</v>
      </c>
      <c r="M66" s="46">
        <f t="shared" si="7"/>
        <v>0.97506515897383861</v>
      </c>
      <c r="N66" s="75">
        <v>0.97506515897383861</v>
      </c>
      <c r="O66" s="89">
        <f t="shared" si="4"/>
        <v>0.97506515897383861</v>
      </c>
      <c r="P66" s="4">
        <v>40380</v>
      </c>
      <c r="Q66" s="4">
        <v>0.93102046958550611</v>
      </c>
      <c r="U66" s="49">
        <v>40726</v>
      </c>
      <c r="V66" s="92">
        <v>4.7E-2</v>
      </c>
    </row>
    <row r="67" spans="2:25" x14ac:dyDescent="0.25">
      <c r="B67" s="63"/>
      <c r="C67" s="64"/>
      <c r="D67" s="65"/>
      <c r="E67" s="64"/>
      <c r="F67" s="66"/>
      <c r="G67" s="67"/>
      <c r="H67" s="67"/>
      <c r="I67" s="68"/>
      <c r="J67" s="44">
        <f t="shared" si="6"/>
        <v>37824</v>
      </c>
      <c r="K67" s="45">
        <v>59</v>
      </c>
      <c r="L67" s="90">
        <f t="shared" si="3"/>
        <v>0.94023784969367341</v>
      </c>
      <c r="M67" s="46">
        <f t="shared" si="7"/>
        <v>0.98075438398529091</v>
      </c>
      <c r="N67" s="76">
        <v>0.98075438398529091</v>
      </c>
      <c r="O67" s="89">
        <f t="shared" si="4"/>
        <v>0.98075438398529091</v>
      </c>
      <c r="P67" s="4">
        <v>40381</v>
      </c>
      <c r="Q67" s="4">
        <v>0.94553474019587147</v>
      </c>
      <c r="U67" s="49">
        <v>40727</v>
      </c>
      <c r="V67" s="92"/>
    </row>
    <row r="68" spans="2:25" x14ac:dyDescent="0.25">
      <c r="B68" s="63"/>
      <c r="C68" s="64"/>
      <c r="D68" s="65"/>
      <c r="E68" s="64"/>
      <c r="F68" s="69"/>
      <c r="G68" s="67"/>
      <c r="H68" s="67"/>
      <c r="I68" s="68"/>
      <c r="J68" s="44">
        <f t="shared" si="6"/>
        <v>37825</v>
      </c>
      <c r="K68" s="45">
        <v>60</v>
      </c>
      <c r="L68" s="90">
        <f t="shared" si="3"/>
        <v>0.95284334782503577</v>
      </c>
      <c r="M68" s="46">
        <f t="shared" si="7"/>
        <v>0.98516528350488675</v>
      </c>
      <c r="N68" s="76">
        <v>0.98516528350488675</v>
      </c>
      <c r="O68" s="89">
        <f t="shared" si="4"/>
        <v>0.98516528350488675</v>
      </c>
      <c r="P68" s="4">
        <v>40382</v>
      </c>
      <c r="Q68" s="4">
        <v>0.95713560982756274</v>
      </c>
      <c r="U68" s="49">
        <v>40728</v>
      </c>
      <c r="V68" s="92"/>
    </row>
    <row r="69" spans="2:25" x14ac:dyDescent="0.25">
      <c r="B69" s="63"/>
      <c r="C69" s="64"/>
      <c r="D69" s="65"/>
      <c r="E69" s="64"/>
      <c r="F69" s="64"/>
      <c r="G69" s="64"/>
      <c r="H69" s="64"/>
      <c r="I69" s="53"/>
      <c r="J69" s="44">
        <f t="shared" si="6"/>
        <v>37826</v>
      </c>
      <c r="K69" s="45">
        <v>61</v>
      </c>
      <c r="L69" s="90">
        <f t="shared" si="3"/>
        <v>0.96289492364726859</v>
      </c>
      <c r="M69" s="46">
        <f t="shared" si="7"/>
        <v>0.9885770241743157</v>
      </c>
      <c r="N69" s="76">
        <v>0.9885770241743157</v>
      </c>
      <c r="O69" s="89">
        <f t="shared" si="4"/>
        <v>0.9885770241743157</v>
      </c>
      <c r="P69" s="4">
        <v>40383</v>
      </c>
      <c r="Q69" s="4">
        <v>0.96635347078003297</v>
      </c>
      <c r="U69" s="49">
        <v>40729</v>
      </c>
      <c r="V69" s="92">
        <v>0.215</v>
      </c>
    </row>
    <row r="70" spans="2:25" ht="16.5" thickBot="1" x14ac:dyDescent="0.3">
      <c r="B70" s="63"/>
      <c r="C70" s="64"/>
      <c r="D70" s="65"/>
      <c r="E70" s="64"/>
      <c r="F70" s="64"/>
      <c r="G70" s="64"/>
      <c r="H70" s="64"/>
      <c r="I70" s="53"/>
      <c r="J70" s="44">
        <f t="shared" si="6"/>
        <v>37827</v>
      </c>
      <c r="K70" s="45">
        <v>62</v>
      </c>
      <c r="L70" s="90">
        <f t="shared" si="3"/>
        <v>0.97086947884688668</v>
      </c>
      <c r="M70" s="46">
        <f t="shared" si="7"/>
        <v>0.99121112062050309</v>
      </c>
      <c r="N70" s="76">
        <v>0.99121112062050309</v>
      </c>
      <c r="O70" s="89">
        <f t="shared" si="4"/>
        <v>0.99121112062050309</v>
      </c>
      <c r="P70" s="4">
        <v>40384</v>
      </c>
      <c r="Q70" s="4">
        <v>0.97364364314605079</v>
      </c>
      <c r="U70" s="49">
        <v>40730</v>
      </c>
      <c r="V70" s="92"/>
    </row>
    <row r="71" spans="2:25" x14ac:dyDescent="0.25">
      <c r="B71" s="63"/>
      <c r="C71" s="64"/>
      <c r="D71" s="65"/>
      <c r="E71" s="64"/>
      <c r="F71" s="64"/>
      <c r="G71" s="64"/>
      <c r="H71" s="64"/>
      <c r="I71" s="53"/>
      <c r="J71" s="44">
        <f t="shared" si="6"/>
        <v>37828</v>
      </c>
      <c r="K71" s="45">
        <v>63</v>
      </c>
      <c r="L71" s="90">
        <f t="shared" si="3"/>
        <v>0.97717079140287</v>
      </c>
      <c r="M71" s="46">
        <f t="shared" si="7"/>
        <v>0.99324195641616453</v>
      </c>
      <c r="N71" s="76">
        <v>0.99324195641616453</v>
      </c>
      <c r="O71" s="89">
        <f t="shared" si="4"/>
        <v>0.99324195641616453</v>
      </c>
      <c r="P71" s="4">
        <v>40385</v>
      </c>
      <c r="Q71" s="4">
        <v>0.97938794995342149</v>
      </c>
      <c r="U71" s="40">
        <v>40731</v>
      </c>
      <c r="V71" s="92"/>
    </row>
    <row r="72" spans="2:25" x14ac:dyDescent="0.25">
      <c r="B72" s="63"/>
      <c r="C72" s="64"/>
      <c r="D72" s="65"/>
      <c r="E72" s="64"/>
      <c r="F72" s="64"/>
      <c r="G72" s="64"/>
      <c r="H72" s="64"/>
      <c r="I72" s="53"/>
      <c r="J72" s="44">
        <f t="shared" si="6"/>
        <v>37829</v>
      </c>
      <c r="K72" s="45">
        <v>64</v>
      </c>
      <c r="L72" s="90">
        <f t="shared" si="3"/>
        <v>0.98213413053687093</v>
      </c>
      <c r="M72" s="46">
        <f t="shared" si="7"/>
        <v>0.99480598839313295</v>
      </c>
      <c r="N72" s="76">
        <v>0.99480598839313295</v>
      </c>
      <c r="O72" s="89">
        <f t="shared" si="4"/>
        <v>0.99480598839313295</v>
      </c>
      <c r="P72" s="4">
        <v>40386</v>
      </c>
      <c r="Q72" s="4">
        <v>0.98390099930162234</v>
      </c>
      <c r="U72" s="49">
        <v>40732</v>
      </c>
      <c r="V72" s="92"/>
      <c r="X72" s="93">
        <v>37779</v>
      </c>
      <c r="Y72" s="92">
        <v>0</v>
      </c>
    </row>
    <row r="73" spans="2:25" x14ac:dyDescent="0.25">
      <c r="B73" s="63"/>
      <c r="C73" s="64"/>
      <c r="D73" s="65"/>
      <c r="E73" s="64"/>
      <c r="F73" s="64"/>
      <c r="G73" s="64"/>
      <c r="H73" s="64"/>
      <c r="I73" s="53"/>
      <c r="J73" s="44">
        <f t="shared" si="6"/>
        <v>37830</v>
      </c>
      <c r="K73" s="45">
        <v>65</v>
      </c>
      <c r="L73" s="90">
        <f t="shared" ref="L73:L104" si="11">$G$3/(1+EXP(-$G$4*(K73-$G$5)))</f>
        <v>0.9860338040714024</v>
      </c>
      <c r="M73" s="46">
        <f t="shared" si="7"/>
        <v>0.9860338040714024</v>
      </c>
      <c r="N73" s="77">
        <v>0.99600950655454856</v>
      </c>
      <c r="O73" s="89">
        <f t="shared" ref="O73:O104" si="12">IF(N73=M73,N73,M73)</f>
        <v>0.9860338040714024</v>
      </c>
      <c r="P73" s="4">
        <v>40387</v>
      </c>
      <c r="Q73" s="4">
        <v>0.98743858120527517</v>
      </c>
      <c r="U73" s="49">
        <v>40733</v>
      </c>
      <c r="V73" s="92">
        <v>0.28100000000000003</v>
      </c>
      <c r="X73" s="93">
        <v>37811</v>
      </c>
      <c r="Y73" s="92">
        <v>0.28100000000000003</v>
      </c>
    </row>
    <row r="74" spans="2:25" x14ac:dyDescent="0.25">
      <c r="B74" s="63"/>
      <c r="C74" s="64"/>
      <c r="D74" s="65"/>
      <c r="E74" s="64"/>
      <c r="F74" s="64"/>
      <c r="G74" s="64"/>
      <c r="H74" s="64"/>
      <c r="I74" s="53"/>
      <c r="J74" s="44">
        <f t="shared" ref="J74:J107" si="13">J73+1</f>
        <v>37831</v>
      </c>
      <c r="K74" s="45">
        <v>66</v>
      </c>
      <c r="L74" s="90">
        <f t="shared" si="11"/>
        <v>0.98909173021315688</v>
      </c>
      <c r="M74" s="46">
        <f t="shared" ref="M74:M107" si="14">IF(J75&gt;MAX($B$9:$B$64),L74,N74)</f>
        <v>0.98909173021315688</v>
      </c>
      <c r="N74" s="77">
        <v>0.99693501353750869</v>
      </c>
      <c r="O74" s="89">
        <f t="shared" si="12"/>
        <v>0.98909173021315688</v>
      </c>
      <c r="P74" s="4">
        <v>40388</v>
      </c>
      <c r="Q74" s="4">
        <v>0.9902065550659539</v>
      </c>
      <c r="U74" s="49">
        <v>40734</v>
      </c>
      <c r="V74" s="92"/>
      <c r="X74" s="93">
        <v>37814</v>
      </c>
      <c r="Y74" s="92">
        <v>0.70299999999999996</v>
      </c>
    </row>
    <row r="75" spans="2:25" x14ac:dyDescent="0.25">
      <c r="B75" s="63"/>
      <c r="C75" s="64"/>
      <c r="D75" s="65"/>
      <c r="E75" s="64"/>
      <c r="F75" s="64"/>
      <c r="G75" s="64"/>
      <c r="H75" s="64"/>
      <c r="I75" s="53"/>
      <c r="J75" s="44">
        <f t="shared" si="13"/>
        <v>37832</v>
      </c>
      <c r="K75" s="45">
        <v>67</v>
      </c>
      <c r="L75" s="90">
        <f t="shared" si="11"/>
        <v>0.99148589866036696</v>
      </c>
      <c r="M75" s="46">
        <f t="shared" si="14"/>
        <v>0.99148589866036696</v>
      </c>
      <c r="N75" s="77">
        <v>0.99764637681040835</v>
      </c>
      <c r="O75" s="89">
        <f t="shared" si="12"/>
        <v>0.99148589866036696</v>
      </c>
      <c r="P75" s="4">
        <v>40389</v>
      </c>
      <c r="Q75" s="4">
        <v>0.99236930496689024</v>
      </c>
      <c r="U75" s="49">
        <v>40735</v>
      </c>
      <c r="V75" s="92"/>
      <c r="X75" s="93">
        <v>37816</v>
      </c>
      <c r="Y75" s="92">
        <v>0.69199999999999995</v>
      </c>
    </row>
    <row r="76" spans="2:25" x14ac:dyDescent="0.25">
      <c r="B76" s="63"/>
      <c r="C76" s="64"/>
      <c r="D76" s="65"/>
      <c r="E76" s="64"/>
      <c r="F76" s="64"/>
      <c r="G76" s="64"/>
      <c r="H76" s="64"/>
      <c r="I76" s="53"/>
      <c r="J76" s="44">
        <f t="shared" si="13"/>
        <v>37833</v>
      </c>
      <c r="K76" s="45">
        <v>68</v>
      </c>
      <c r="L76" s="90">
        <f t="shared" si="11"/>
        <v>0.99335811896682091</v>
      </c>
      <c r="M76" s="46">
        <f t="shared" si="14"/>
        <v>0.99335811896682091</v>
      </c>
      <c r="N76" s="77">
        <v>0.9981929365976735</v>
      </c>
      <c r="O76" s="89">
        <f t="shared" si="12"/>
        <v>0.99335811896682091</v>
      </c>
      <c r="P76" s="4">
        <v>40390</v>
      </c>
      <c r="Q76" s="4">
        <v>0.99405730717928753</v>
      </c>
      <c r="U76" s="49">
        <v>40736</v>
      </c>
      <c r="V76" s="92">
        <v>0.70299999999999996</v>
      </c>
      <c r="X76" s="93">
        <v>37823</v>
      </c>
      <c r="Y76" s="92">
        <v>0.877</v>
      </c>
    </row>
    <row r="77" spans="2:25" ht="16.5" thickBot="1" x14ac:dyDescent="0.3">
      <c r="B77" s="63"/>
      <c r="C77" s="64"/>
      <c r="D77" s="65"/>
      <c r="E77" s="64"/>
      <c r="F77" s="64"/>
      <c r="G77" s="64"/>
      <c r="H77" s="64"/>
      <c r="I77" s="53"/>
      <c r="J77" s="44">
        <f t="shared" si="13"/>
        <v>37834</v>
      </c>
      <c r="K77" s="45">
        <v>69</v>
      </c>
      <c r="L77" s="90">
        <f t="shared" si="11"/>
        <v>0.99482079531219003</v>
      </c>
      <c r="M77" s="46">
        <f t="shared" si="14"/>
        <v>0.99482079531219003</v>
      </c>
      <c r="N77" s="77">
        <v>0.99861275043215647</v>
      </c>
      <c r="O77" s="89">
        <f t="shared" si="12"/>
        <v>0.99482079531219003</v>
      </c>
      <c r="P77" s="4">
        <v>40391</v>
      </c>
      <c r="Q77" s="4">
        <v>0.99537364364180214</v>
      </c>
      <c r="U77" s="49">
        <v>40737</v>
      </c>
      <c r="V77" s="92"/>
      <c r="X77" s="93">
        <v>37830</v>
      </c>
      <c r="Y77" s="92">
        <v>0.96399999999999997</v>
      </c>
    </row>
    <row r="78" spans="2:25" x14ac:dyDescent="0.25">
      <c r="B78" s="63"/>
      <c r="C78" s="64"/>
      <c r="D78" s="65"/>
      <c r="E78" s="64"/>
      <c r="F78" s="64"/>
      <c r="G78" s="64"/>
      <c r="H78" s="64"/>
      <c r="I78" s="53"/>
      <c r="J78" s="44">
        <f t="shared" si="13"/>
        <v>37835</v>
      </c>
      <c r="K78" s="45">
        <v>70</v>
      </c>
      <c r="L78" s="90">
        <f t="shared" si="11"/>
        <v>0.99596266994877114</v>
      </c>
      <c r="M78" s="46">
        <f t="shared" si="14"/>
        <v>0.99596266994877114</v>
      </c>
      <c r="N78" s="77">
        <v>0.99893513788942956</v>
      </c>
      <c r="O78" s="89">
        <f t="shared" si="12"/>
        <v>0.99596266994877114</v>
      </c>
      <c r="P78" s="4">
        <v>40392</v>
      </c>
      <c r="Q78" s="4">
        <v>0.99639946103598354</v>
      </c>
      <c r="U78" s="40">
        <v>40738</v>
      </c>
      <c r="V78" s="92">
        <v>0.69199999999999995</v>
      </c>
    </row>
    <row r="79" spans="2:25" x14ac:dyDescent="0.25">
      <c r="B79" s="63"/>
      <c r="C79" s="64"/>
      <c r="D79" s="65"/>
      <c r="E79" s="64"/>
      <c r="F79" s="64"/>
      <c r="G79" s="64"/>
      <c r="H79" s="64"/>
      <c r="I79" s="53"/>
      <c r="J79" s="44">
        <f t="shared" si="13"/>
        <v>37836</v>
      </c>
      <c r="K79" s="45">
        <v>71</v>
      </c>
      <c r="L79" s="90">
        <f t="shared" si="11"/>
        <v>0.99685358833442972</v>
      </c>
      <c r="M79" s="46">
        <f t="shared" si="14"/>
        <v>0.99685358833442972</v>
      </c>
      <c r="N79" s="77">
        <v>0.99918266599299976</v>
      </c>
      <c r="O79" s="89">
        <f t="shared" si="12"/>
        <v>0.99685358833442972</v>
      </c>
      <c r="P79" s="4">
        <v>40393</v>
      </c>
      <c r="Q79" s="4">
        <v>0.9971984607189307</v>
      </c>
      <c r="U79" s="49">
        <v>40739</v>
      </c>
      <c r="V79" s="92"/>
      <c r="Y79" s="92"/>
    </row>
    <row r="80" spans="2:25" x14ac:dyDescent="0.25">
      <c r="B80" s="63"/>
      <c r="C80" s="64"/>
      <c r="D80" s="65"/>
      <c r="E80" s="64"/>
      <c r="F80" s="64"/>
      <c r="G80" s="64"/>
      <c r="H80" s="64"/>
      <c r="I80" s="53"/>
      <c r="J80" s="44">
        <f t="shared" si="13"/>
        <v>37837</v>
      </c>
      <c r="K80" s="45">
        <v>72</v>
      </c>
      <c r="L80" s="90">
        <f t="shared" si="11"/>
        <v>0.99754839152940378</v>
      </c>
      <c r="M80" s="46">
        <f t="shared" si="14"/>
        <v>0.99754839152940378</v>
      </c>
      <c r="N80" s="77">
        <v>0.99937269211089375</v>
      </c>
      <c r="O80" s="89">
        <f t="shared" si="12"/>
        <v>0.99754839152940378</v>
      </c>
      <c r="P80" s="4">
        <v>40394</v>
      </c>
      <c r="Q80" s="4">
        <v>0.99782054130603282</v>
      </c>
      <c r="U80" s="49">
        <v>40740</v>
      </c>
      <c r="V80" s="92"/>
      <c r="Y80" s="92"/>
    </row>
    <row r="81" spans="2:25" ht="16.5" thickBot="1" x14ac:dyDescent="0.3">
      <c r="B81" s="63"/>
      <c r="C81" s="64"/>
      <c r="D81" s="65"/>
      <c r="E81" s="64"/>
      <c r="F81" s="71"/>
      <c r="G81" s="64"/>
      <c r="H81" s="64"/>
      <c r="I81" s="53"/>
      <c r="J81" s="44">
        <f t="shared" si="13"/>
        <v>37838</v>
      </c>
      <c r="K81" s="45">
        <v>73</v>
      </c>
      <c r="L81" s="90">
        <f t="shared" si="11"/>
        <v>0.99809005947250629</v>
      </c>
      <c r="M81" s="46">
        <f t="shared" si="14"/>
        <v>0.99809005947250629</v>
      </c>
      <c r="N81" s="77">
        <v>0.99951855938287282</v>
      </c>
      <c r="O81" s="89">
        <f t="shared" si="12"/>
        <v>0.99809005947250629</v>
      </c>
      <c r="P81" s="4">
        <v>40395</v>
      </c>
      <c r="Q81" s="4">
        <v>0.99830472399848957</v>
      </c>
      <c r="U81" s="49">
        <v>40741</v>
      </c>
      <c r="V81" s="92"/>
      <c r="Y81" s="92"/>
    </row>
    <row r="82" spans="2:25" x14ac:dyDescent="0.25">
      <c r="B82" s="63"/>
      <c r="C82" s="64"/>
      <c r="D82" s="65"/>
      <c r="E82" s="64"/>
      <c r="F82" s="71"/>
      <c r="G82" s="64"/>
      <c r="H82" s="64"/>
      <c r="I82" s="53"/>
      <c r="J82" s="44">
        <f t="shared" si="13"/>
        <v>37839</v>
      </c>
      <c r="K82" s="45">
        <v>74</v>
      </c>
      <c r="L82" s="90">
        <f t="shared" si="11"/>
        <v>0.99851222767790326</v>
      </c>
      <c r="M82" s="46">
        <f t="shared" si="14"/>
        <v>0.99851222767790326</v>
      </c>
      <c r="N82" s="77">
        <v>0.99963052082493253</v>
      </c>
      <c r="O82" s="89">
        <f t="shared" si="12"/>
        <v>0.99851222767790326</v>
      </c>
      <c r="P82" s="4">
        <v>40396</v>
      </c>
      <c r="Q82" s="4">
        <v>0.99868148409941315</v>
      </c>
      <c r="U82" s="40">
        <v>40742</v>
      </c>
      <c r="V82" s="92"/>
      <c r="Y82" s="92"/>
    </row>
    <row r="83" spans="2:25" x14ac:dyDescent="0.25">
      <c r="B83" s="63"/>
      <c r="C83" s="64"/>
      <c r="D83" s="65"/>
      <c r="E83" s="64"/>
      <c r="F83" s="71"/>
      <c r="G83" s="64"/>
      <c r="H83" s="64"/>
      <c r="I83" s="53"/>
      <c r="J83" s="44">
        <f t="shared" si="13"/>
        <v>37840</v>
      </c>
      <c r="K83" s="45">
        <v>75</v>
      </c>
      <c r="L83" s="90">
        <f t="shared" si="11"/>
        <v>0.99884118928043586</v>
      </c>
      <c r="M83" s="46">
        <f t="shared" si="14"/>
        <v>0.99884118928043586</v>
      </c>
      <c r="N83" s="77">
        <v>0.99971645245567509</v>
      </c>
      <c r="O83" s="89">
        <f t="shared" si="12"/>
        <v>0.99884118928043586</v>
      </c>
      <c r="P83" s="4">
        <v>40397</v>
      </c>
      <c r="Q83" s="4">
        <v>0.99897459860369453</v>
      </c>
      <c r="U83" s="49">
        <v>40743</v>
      </c>
      <c r="V83" s="92"/>
    </row>
    <row r="84" spans="2:25" x14ac:dyDescent="0.25">
      <c r="B84" s="63"/>
      <c r="C84" s="64"/>
      <c r="D84" s="65"/>
      <c r="E84" s="64"/>
      <c r="F84" s="71"/>
      <c r="G84" s="64"/>
      <c r="H84" s="64"/>
      <c r="I84" s="53"/>
      <c r="J84" s="44">
        <f t="shared" si="13"/>
        <v>37841</v>
      </c>
      <c r="K84" s="45">
        <v>76</v>
      </c>
      <c r="L84" s="90">
        <f t="shared" si="11"/>
        <v>0.9990974798687734</v>
      </c>
      <c r="M84" s="46">
        <f t="shared" si="14"/>
        <v>0.9990974798687734</v>
      </c>
      <c r="N84" s="77">
        <v>0.99978240288510523</v>
      </c>
      <c r="O84" s="89">
        <f t="shared" si="12"/>
        <v>0.9990974798687734</v>
      </c>
      <c r="P84" s="4">
        <v>40398</v>
      </c>
      <c r="Q84" s="4">
        <v>0.99920260390985383</v>
      </c>
      <c r="U84" s="49">
        <v>40744</v>
      </c>
      <c r="V84" s="92"/>
      <c r="Y84" s="92"/>
    </row>
    <row r="85" spans="2:25" x14ac:dyDescent="0.25">
      <c r="B85" s="63"/>
      <c r="C85" s="64"/>
      <c r="D85" s="65"/>
      <c r="E85" s="64"/>
      <c r="F85" s="71"/>
      <c r="G85" s="64"/>
      <c r="H85" s="64"/>
      <c r="I85" s="53"/>
      <c r="J85" s="44">
        <f t="shared" si="13"/>
        <v>37842</v>
      </c>
      <c r="K85" s="45">
        <v>77</v>
      </c>
      <c r="L85" s="90">
        <f t="shared" si="11"/>
        <v>0.99929712734628684</v>
      </c>
      <c r="M85" s="46">
        <f t="shared" si="14"/>
        <v>0.99929712734628684</v>
      </c>
      <c r="N85" s="77">
        <v>0.99983301644163747</v>
      </c>
      <c r="O85" s="89">
        <f t="shared" si="12"/>
        <v>0.99929712734628684</v>
      </c>
      <c r="P85" s="4">
        <v>40399</v>
      </c>
      <c r="Q85" s="4">
        <v>0.99937994208005521</v>
      </c>
      <c r="U85" s="49">
        <v>40745</v>
      </c>
      <c r="V85" s="92">
        <v>0.877</v>
      </c>
    </row>
    <row r="86" spans="2:25" x14ac:dyDescent="0.25">
      <c r="B86" s="63"/>
      <c r="C86" s="64"/>
      <c r="D86" s="65"/>
      <c r="E86" s="64"/>
      <c r="F86" s="71"/>
      <c r="G86" s="64"/>
      <c r="H86" s="64"/>
      <c r="I86" s="53"/>
      <c r="J86" s="44">
        <f t="shared" si="13"/>
        <v>37843</v>
      </c>
      <c r="K86" s="45">
        <v>78</v>
      </c>
      <c r="L86" s="90">
        <f t="shared" si="11"/>
        <v>0.99945263478005264</v>
      </c>
      <c r="M86" s="46">
        <f t="shared" si="14"/>
        <v>0.99945263478005264</v>
      </c>
      <c r="N86" s="77">
        <v>0.99987185868506689</v>
      </c>
      <c r="O86" s="89">
        <f t="shared" si="12"/>
        <v>0.99945263478005264</v>
      </c>
      <c r="P86" s="4">
        <v>40400</v>
      </c>
      <c r="Q86" s="4">
        <v>0.99951785987667141</v>
      </c>
      <c r="U86" s="49">
        <v>40746</v>
      </c>
      <c r="V86" s="92"/>
      <c r="Y86" s="92"/>
    </row>
    <row r="87" spans="2:25" x14ac:dyDescent="0.25">
      <c r="B87" s="63"/>
      <c r="C87" s="64"/>
      <c r="D87" s="65"/>
      <c r="E87" s="64"/>
      <c r="F87" s="71"/>
      <c r="G87" s="64"/>
      <c r="H87" s="64"/>
      <c r="I87" s="53"/>
      <c r="J87" s="44">
        <f t="shared" si="13"/>
        <v>37844</v>
      </c>
      <c r="K87" s="45">
        <v>79</v>
      </c>
      <c r="L87" s="90">
        <f t="shared" si="11"/>
        <v>0.99957375156453165</v>
      </c>
      <c r="M87" s="46">
        <f t="shared" si="14"/>
        <v>0.99957375156453165</v>
      </c>
      <c r="N87" s="77">
        <v>0.9999016666768179</v>
      </c>
      <c r="O87" s="89">
        <f t="shared" si="12"/>
        <v>0.99957375156453165</v>
      </c>
      <c r="P87" s="4">
        <v>40401</v>
      </c>
      <c r="Q87" s="4">
        <v>0.99962511250035302</v>
      </c>
      <c r="U87" s="49">
        <v>40747</v>
      </c>
      <c r="V87" s="92"/>
      <c r="Y87" s="92"/>
    </row>
    <row r="88" spans="2:25" ht="16.5" thickBot="1" x14ac:dyDescent="0.3">
      <c r="B88" s="63"/>
      <c r="C88" s="64"/>
      <c r="D88" s="65"/>
      <c r="E88" s="64"/>
      <c r="F88" s="71"/>
      <c r="G88" s="64"/>
      <c r="H88" s="64"/>
      <c r="I88" s="53"/>
      <c r="J88" s="44">
        <f t="shared" si="13"/>
        <v>37845</v>
      </c>
      <c r="K88" s="45">
        <v>80</v>
      </c>
      <c r="L88" s="90">
        <f t="shared" si="11"/>
        <v>0.99966807745470787</v>
      </c>
      <c r="M88" s="46">
        <f t="shared" si="14"/>
        <v>0.99966807745470787</v>
      </c>
      <c r="N88" s="77">
        <v>0.99992454131286057</v>
      </c>
      <c r="O88" s="89">
        <f t="shared" si="12"/>
        <v>0.99966807745470787</v>
      </c>
      <c r="P88" s="4">
        <v>40402</v>
      </c>
      <c r="Q88" s="4">
        <v>0.99970851361259971</v>
      </c>
      <c r="U88" s="49">
        <v>40748</v>
      </c>
      <c r="V88" s="92"/>
      <c r="Y88" s="92"/>
    </row>
    <row r="89" spans="2:25" x14ac:dyDescent="0.25">
      <c r="B89" s="63"/>
      <c r="C89" s="64"/>
      <c r="D89" s="65"/>
      <c r="E89" s="64"/>
      <c r="F89" s="71"/>
      <c r="G89" s="64"/>
      <c r="H89" s="64"/>
      <c r="I89" s="53"/>
      <c r="J89" s="44">
        <f t="shared" si="13"/>
        <v>37846</v>
      </c>
      <c r="K89" s="45">
        <v>81</v>
      </c>
      <c r="L89" s="90">
        <f t="shared" si="11"/>
        <v>0.99974153506202923</v>
      </c>
      <c r="M89" s="46">
        <f t="shared" si="14"/>
        <v>0.99974153506202923</v>
      </c>
      <c r="N89" s="77">
        <v>0.99994209508049881</v>
      </c>
      <c r="O89" s="89">
        <f t="shared" si="12"/>
        <v>0.99974153506202923</v>
      </c>
      <c r="P89" s="4">
        <v>40403</v>
      </c>
      <c r="Q89" s="4">
        <v>0.99977336471045031</v>
      </c>
      <c r="U89" s="40">
        <v>40749</v>
      </c>
      <c r="V89" s="92"/>
      <c r="Y89" s="92"/>
    </row>
    <row r="90" spans="2:25" x14ac:dyDescent="0.25">
      <c r="B90" s="63"/>
      <c r="C90" s="64"/>
      <c r="D90" s="65"/>
      <c r="E90" s="64"/>
      <c r="F90" s="71"/>
      <c r="G90" s="64"/>
      <c r="H90" s="64"/>
      <c r="I90" s="53"/>
      <c r="J90" s="44">
        <f t="shared" si="13"/>
        <v>37847</v>
      </c>
      <c r="K90" s="45">
        <v>82</v>
      </c>
      <c r="L90" s="90">
        <f t="shared" si="11"/>
        <v>0.99979873907711547</v>
      </c>
      <c r="M90" s="46">
        <f t="shared" si="14"/>
        <v>0.99979873907711547</v>
      </c>
      <c r="N90" s="77">
        <v>0.99995556554007625</v>
      </c>
      <c r="O90" s="89">
        <f t="shared" si="12"/>
        <v>0.99979873907711547</v>
      </c>
      <c r="P90" s="4">
        <v>40404</v>
      </c>
      <c r="Q90" s="4">
        <v>0.99982379001080945</v>
      </c>
      <c r="U90" s="49">
        <v>40750</v>
      </c>
      <c r="V90" s="92"/>
      <c r="Y90" s="92"/>
    </row>
    <row r="91" spans="2:25" x14ac:dyDescent="0.25">
      <c r="B91" s="63"/>
      <c r="C91" s="64"/>
      <c r="D91" s="65"/>
      <c r="E91" s="64"/>
      <c r="F91" s="71"/>
      <c r="G91" s="64"/>
      <c r="H91" s="64"/>
      <c r="I91" s="53"/>
      <c r="J91" s="44">
        <f t="shared" si="13"/>
        <v>37848</v>
      </c>
      <c r="K91" s="45">
        <v>83</v>
      </c>
      <c r="L91" s="90">
        <f t="shared" si="11"/>
        <v>0.99984328456135685</v>
      </c>
      <c r="M91" s="46">
        <f t="shared" si="14"/>
        <v>0.99984328456135685</v>
      </c>
      <c r="N91" s="77">
        <v>0.99996590246462225</v>
      </c>
      <c r="O91" s="89">
        <f t="shared" si="12"/>
        <v>0.99984328456135685</v>
      </c>
      <c r="P91" s="4">
        <v>40405</v>
      </c>
      <c r="Q91" s="4">
        <v>0.99986299745324125</v>
      </c>
      <c r="U91" s="49">
        <v>40751</v>
      </c>
      <c r="V91" s="92"/>
      <c r="Y91" s="92"/>
    </row>
    <row r="92" spans="2:25" x14ac:dyDescent="0.25">
      <c r="B92" s="63"/>
      <c r="C92" s="64"/>
      <c r="D92" s="65"/>
      <c r="E92" s="64"/>
      <c r="F92" s="71"/>
      <c r="G92" s="64"/>
      <c r="H92" s="64"/>
      <c r="I92" s="53"/>
      <c r="J92" s="44">
        <f t="shared" si="13"/>
        <v>37849</v>
      </c>
      <c r="K92" s="45">
        <v>84</v>
      </c>
      <c r="L92" s="90">
        <f t="shared" si="11"/>
        <v>0.99987797190747219</v>
      </c>
      <c r="M92" s="46">
        <f t="shared" si="14"/>
        <v>0.99987797190747219</v>
      </c>
      <c r="N92" s="77">
        <v>0.99997383474166435</v>
      </c>
      <c r="O92" s="89">
        <f t="shared" si="12"/>
        <v>0.99987797190747219</v>
      </c>
      <c r="P92" s="4">
        <v>40406</v>
      </c>
      <c r="Q92" s="4">
        <v>0.99989348200897243</v>
      </c>
      <c r="U92" s="49">
        <v>40752</v>
      </c>
      <c r="V92" s="92">
        <v>0.96399999999999997</v>
      </c>
    </row>
    <row r="93" spans="2:25" x14ac:dyDescent="0.25">
      <c r="B93" s="63"/>
      <c r="C93" s="64"/>
      <c r="D93" s="65"/>
      <c r="E93" s="64"/>
      <c r="F93" s="71"/>
      <c r="G93" s="64"/>
      <c r="H93" s="64"/>
      <c r="I93" s="53"/>
      <c r="J93" s="44">
        <f t="shared" si="13"/>
        <v>37850</v>
      </c>
      <c r="K93" s="45">
        <v>85</v>
      </c>
      <c r="L93" s="90">
        <f t="shared" si="11"/>
        <v>0.99990498229689084</v>
      </c>
      <c r="M93" s="46">
        <f t="shared" si="14"/>
        <v>0.99990498229689084</v>
      </c>
      <c r="N93" s="77">
        <v>0.99997992173121009</v>
      </c>
      <c r="O93" s="89">
        <f t="shared" si="12"/>
        <v>0.99990498229689084</v>
      </c>
      <c r="P93" s="4">
        <v>40407</v>
      </c>
      <c r="Q93" s="4">
        <v>0.99991718398154761</v>
      </c>
    </row>
    <row r="94" spans="2:25" x14ac:dyDescent="0.25">
      <c r="B94" s="63"/>
      <c r="C94" s="64"/>
      <c r="D94" s="65"/>
      <c r="E94" s="64"/>
      <c r="F94" s="71"/>
      <c r="G94" s="64"/>
      <c r="H94" s="64"/>
      <c r="I94" s="53"/>
      <c r="J94" s="44">
        <f t="shared" si="13"/>
        <v>37851</v>
      </c>
      <c r="K94" s="45">
        <v>86</v>
      </c>
      <c r="L94" s="90">
        <f t="shared" si="11"/>
        <v>0.99992601449605922</v>
      </c>
      <c r="M94" s="46">
        <f t="shared" si="14"/>
        <v>0.99992601449605922</v>
      </c>
      <c r="N94" s="77">
        <v>0.99998459268769502</v>
      </c>
      <c r="O94" s="89">
        <f t="shared" si="12"/>
        <v>0.99992601449605922</v>
      </c>
      <c r="P94" s="4">
        <v>40408</v>
      </c>
      <c r="Q94" s="4">
        <v>0.99993561222221428</v>
      </c>
    </row>
    <row r="95" spans="2:25" x14ac:dyDescent="0.25">
      <c r="B95" s="63"/>
      <c r="C95" s="64"/>
      <c r="D95" s="65"/>
      <c r="E95" s="64"/>
      <c r="F95" s="71"/>
      <c r="G95" s="64"/>
      <c r="H95" s="64"/>
      <c r="I95" s="53"/>
      <c r="J95" s="44">
        <f t="shared" si="13"/>
        <v>37852</v>
      </c>
      <c r="K95" s="45">
        <v>87</v>
      </c>
      <c r="L95" s="90">
        <f t="shared" si="11"/>
        <v>0.99994239147939268</v>
      </c>
      <c r="M95" s="46">
        <f t="shared" si="14"/>
        <v>0.99994239147939268</v>
      </c>
      <c r="N95" s="77">
        <v>0.99998817701780018</v>
      </c>
      <c r="O95" s="89">
        <f t="shared" si="12"/>
        <v>0.99994239147939268</v>
      </c>
      <c r="P95" s="4">
        <v>40409</v>
      </c>
      <c r="Q95" s="4">
        <v>0.99994994001155957</v>
      </c>
    </row>
    <row r="96" spans="2:25" x14ac:dyDescent="0.25">
      <c r="B96" s="63"/>
      <c r="C96" s="64"/>
      <c r="D96" s="65"/>
      <c r="E96" s="64"/>
      <c r="F96" s="71"/>
      <c r="G96" s="64"/>
      <c r="H96" s="64"/>
      <c r="I96" s="53"/>
      <c r="J96" s="44">
        <f t="shared" si="13"/>
        <v>37853</v>
      </c>
      <c r="K96" s="45">
        <v>88</v>
      </c>
      <c r="L96" s="90">
        <f t="shared" si="11"/>
        <v>0.99995514351544379</v>
      </c>
      <c r="M96" s="46">
        <f t="shared" si="14"/>
        <v>0.99995514351544379</v>
      </c>
      <c r="N96" s="77">
        <v>0.99999092750320295</v>
      </c>
      <c r="O96" s="89">
        <f t="shared" si="12"/>
        <v>0.99995514351544379</v>
      </c>
      <c r="P96" s="4">
        <v>40410</v>
      </c>
      <c r="Q96" s="4">
        <v>0.99996107965613146</v>
      </c>
    </row>
    <row r="97" spans="2:17" x14ac:dyDescent="0.25">
      <c r="B97" s="63"/>
      <c r="C97" s="64"/>
      <c r="D97" s="65"/>
      <c r="E97" s="64"/>
      <c r="F97" s="71"/>
      <c r="G97" s="64"/>
      <c r="H97" s="64"/>
      <c r="I97" s="53"/>
      <c r="J97" s="44">
        <f t="shared" si="13"/>
        <v>37854</v>
      </c>
      <c r="K97" s="45">
        <v>89</v>
      </c>
      <c r="L97" s="90">
        <f t="shared" si="11"/>
        <v>0.99996507290057857</v>
      </c>
      <c r="M97" s="46">
        <f t="shared" si="14"/>
        <v>0.99996507290057857</v>
      </c>
      <c r="N97" s="77">
        <v>0.99999303812320184</v>
      </c>
      <c r="O97" s="89">
        <f t="shared" si="12"/>
        <v>0.99996507290057857</v>
      </c>
      <c r="P97" s="4">
        <v>40411</v>
      </c>
      <c r="Q97" s="4">
        <v>0.99996974051615084</v>
      </c>
    </row>
    <row r="98" spans="2:17" x14ac:dyDescent="0.25">
      <c r="B98" s="63"/>
      <c r="C98" s="64"/>
      <c r="D98" s="65"/>
      <c r="E98" s="64"/>
      <c r="F98" s="71"/>
      <c r="G98" s="64"/>
      <c r="H98" s="64"/>
      <c r="I98" s="53"/>
      <c r="J98" s="44">
        <f t="shared" si="13"/>
        <v>37855</v>
      </c>
      <c r="K98" s="45">
        <v>90</v>
      </c>
      <c r="L98" s="90">
        <f t="shared" si="11"/>
        <v>0.99997280438704328</v>
      </c>
      <c r="M98" s="46">
        <f t="shared" si="14"/>
        <v>0.99997280438704328</v>
      </c>
      <c r="N98" s="77">
        <v>0.99999465773250285</v>
      </c>
      <c r="O98" s="89">
        <f t="shared" si="12"/>
        <v>0.99997280438704328</v>
      </c>
      <c r="P98" s="4">
        <v>40412</v>
      </c>
      <c r="Q98" s="4">
        <v>0.99997647413904767</v>
      </c>
    </row>
    <row r="99" spans="2:17" x14ac:dyDescent="0.25">
      <c r="B99" s="63"/>
      <c r="C99" s="64"/>
      <c r="D99" s="65"/>
      <c r="E99" s="64"/>
      <c r="F99" s="71"/>
      <c r="G99" s="64"/>
      <c r="H99" s="64"/>
      <c r="I99" s="53"/>
      <c r="J99" s="44">
        <f t="shared" si="13"/>
        <v>37856</v>
      </c>
      <c r="K99" s="45">
        <v>91</v>
      </c>
      <c r="L99" s="90">
        <f t="shared" si="11"/>
        <v>0.99997882446265196</v>
      </c>
      <c r="M99" s="46">
        <f t="shared" si="14"/>
        <v>0.99997882446265196</v>
      </c>
      <c r="N99" s="77">
        <v>0.99999590055784027</v>
      </c>
      <c r="O99" s="89">
        <f t="shared" si="12"/>
        <v>0.99997882446265196</v>
      </c>
      <c r="P99" s="4">
        <v>40413</v>
      </c>
      <c r="Q99" s="4">
        <v>0.99998170936070985</v>
      </c>
    </row>
    <row r="100" spans="2:17" x14ac:dyDescent="0.25">
      <c r="B100" s="63"/>
      <c r="C100" s="64"/>
      <c r="D100" s="65"/>
      <c r="E100" s="64"/>
      <c r="F100" s="71"/>
      <c r="G100" s="64"/>
      <c r="H100" s="64"/>
      <c r="I100" s="53"/>
      <c r="J100" s="44">
        <f t="shared" si="13"/>
        <v>37857</v>
      </c>
      <c r="K100" s="45">
        <v>92</v>
      </c>
      <c r="L100" s="90">
        <f t="shared" si="11"/>
        <v>0.99998351194418278</v>
      </c>
      <c r="M100" s="46">
        <f t="shared" si="14"/>
        <v>0.99998351194418278</v>
      </c>
      <c r="N100" s="77">
        <v>0.99999685425314822</v>
      </c>
      <c r="O100" s="89">
        <f t="shared" si="12"/>
        <v>0.99998351194418278</v>
      </c>
      <c r="P100" s="4">
        <v>40414</v>
      </c>
      <c r="Q100" s="4">
        <v>0.99998577960243129</v>
      </c>
    </row>
    <row r="101" spans="2:17" x14ac:dyDescent="0.25">
      <c r="B101" s="63"/>
      <c r="C101" s="64"/>
      <c r="D101" s="65"/>
      <c r="E101" s="64"/>
      <c r="F101" s="71"/>
      <c r="G101" s="64"/>
      <c r="H101" s="64"/>
      <c r="I101" s="53"/>
      <c r="J101" s="44">
        <f t="shared" si="13"/>
        <v>37858</v>
      </c>
      <c r="K101" s="45">
        <v>93</v>
      </c>
      <c r="L101" s="90">
        <f t="shared" si="11"/>
        <v>0.9999871618038273</v>
      </c>
      <c r="M101" s="46">
        <f t="shared" si="14"/>
        <v>0.9999871618038273</v>
      </c>
      <c r="N101" s="77">
        <v>0.99999758608106293</v>
      </c>
      <c r="O101" s="89">
        <f t="shared" si="12"/>
        <v>0.9999871618038273</v>
      </c>
      <c r="P101" s="4">
        <v>40415</v>
      </c>
      <c r="Q101" s="4">
        <v>0.99998894409754413</v>
      </c>
    </row>
    <row r="102" spans="2:17" x14ac:dyDescent="0.25">
      <c r="B102" s="63"/>
      <c r="C102" s="64"/>
      <c r="D102" s="65"/>
      <c r="E102" s="64"/>
      <c r="F102" s="71"/>
      <c r="G102" s="64"/>
      <c r="H102" s="64"/>
      <c r="I102" s="53"/>
      <c r="J102" s="44">
        <f t="shared" si="13"/>
        <v>37859</v>
      </c>
      <c r="K102" s="45">
        <v>94</v>
      </c>
      <c r="L102" s="90">
        <f t="shared" si="11"/>
        <v>0.99999000372453661</v>
      </c>
      <c r="M102" s="46">
        <f t="shared" si="14"/>
        <v>0.99999000372453661</v>
      </c>
      <c r="N102" s="77">
        <v>0.99999814765652884</v>
      </c>
      <c r="O102" s="89">
        <f t="shared" si="12"/>
        <v>0.99999000372453661</v>
      </c>
      <c r="P102" s="4">
        <v>40416</v>
      </c>
      <c r="Q102" s="4">
        <v>0.99999140439692724</v>
      </c>
    </row>
    <row r="103" spans="2:17" x14ac:dyDescent="0.25">
      <c r="B103" s="63"/>
      <c r="C103" s="64"/>
      <c r="D103" s="65"/>
      <c r="E103" s="64"/>
      <c r="F103" s="71"/>
      <c r="G103" s="64"/>
      <c r="H103" s="64"/>
      <c r="I103" s="53"/>
      <c r="J103" s="44">
        <f t="shared" si="13"/>
        <v>37860</v>
      </c>
      <c r="K103" s="45">
        <v>95</v>
      </c>
      <c r="L103" s="90">
        <f t="shared" si="11"/>
        <v>0.99999221654982284</v>
      </c>
      <c r="M103" s="46">
        <f t="shared" si="14"/>
        <v>0.99999221654982284</v>
      </c>
      <c r="N103" s="77">
        <v>0.99999857858694674</v>
      </c>
      <c r="O103" s="89">
        <f t="shared" si="12"/>
        <v>0.99999221654982284</v>
      </c>
      <c r="P103" s="4">
        <v>40417</v>
      </c>
      <c r="Q103" s="4">
        <v>0.99999331720300311</v>
      </c>
    </row>
    <row r="104" spans="2:17" x14ac:dyDescent="0.25">
      <c r="B104" s="63"/>
      <c r="C104" s="64"/>
      <c r="D104" s="65"/>
      <c r="E104" s="64"/>
      <c r="F104" s="71"/>
      <c r="G104" s="64"/>
      <c r="H104" s="64"/>
      <c r="I104" s="53"/>
      <c r="J104" s="44">
        <f t="shared" si="13"/>
        <v>37861</v>
      </c>
      <c r="K104" s="45">
        <v>96</v>
      </c>
      <c r="L104" s="90">
        <f t="shared" si="11"/>
        <v>0.99999393953605964</v>
      </c>
      <c r="M104" s="46">
        <f t="shared" si="14"/>
        <v>0.99999393953605964</v>
      </c>
      <c r="N104" s="77">
        <v>0.99999890926553481</v>
      </c>
      <c r="O104" s="89">
        <f t="shared" si="12"/>
        <v>0.99999393953605964</v>
      </c>
      <c r="P104" s="4">
        <v>40418</v>
      </c>
      <c r="Q104" s="4">
        <v>0.99999480434865184</v>
      </c>
    </row>
    <row r="105" spans="2:17" x14ac:dyDescent="0.25">
      <c r="B105" s="63"/>
      <c r="C105" s="64"/>
      <c r="D105" s="65"/>
      <c r="E105" s="64"/>
      <c r="F105" s="71"/>
      <c r="G105" s="64"/>
      <c r="H105" s="64"/>
      <c r="I105" s="53"/>
      <c r="J105" s="44">
        <f t="shared" si="13"/>
        <v>37862</v>
      </c>
      <c r="K105" s="45">
        <v>97</v>
      </c>
      <c r="L105" s="90">
        <f>$G$3/(1+EXP(-$G$4*(K105-$G$5)))</f>
        <v>0.99999528111463065</v>
      </c>
      <c r="M105" s="46">
        <f t="shared" si="14"/>
        <v>0.99999528111463065</v>
      </c>
      <c r="N105" s="77">
        <v>0.99999916301487501</v>
      </c>
      <c r="O105" s="89">
        <f>IF(N105=M105,N105,M105)</f>
        <v>0.99999528111463065</v>
      </c>
      <c r="P105" s="4">
        <v>40419</v>
      </c>
      <c r="Q105" s="4">
        <v>0.99999596055603512</v>
      </c>
    </row>
    <row r="106" spans="2:17" x14ac:dyDescent="0.25">
      <c r="B106" s="63"/>
      <c r="C106" s="64"/>
      <c r="D106" s="65"/>
      <c r="E106" s="64"/>
      <c r="F106" s="71"/>
      <c r="G106" s="64"/>
      <c r="H106" s="64"/>
      <c r="I106" s="53"/>
      <c r="J106" s="44">
        <f t="shared" si="13"/>
        <v>37863</v>
      </c>
      <c r="K106" s="45">
        <v>98</v>
      </c>
      <c r="L106" s="90">
        <f>$G$3/(1+EXP(-$G$4*(K106-$G$5)))</f>
        <v>0.99999632571487351</v>
      </c>
      <c r="M106" s="46">
        <f t="shared" si="14"/>
        <v>0.99999632571487351</v>
      </c>
      <c r="N106" s="77">
        <v>0.99999935773180315</v>
      </c>
      <c r="O106" s="89">
        <f>IF(N106=M106,N106,M106)</f>
        <v>0.99999632571487351</v>
      </c>
      <c r="P106" s="4">
        <v>40420</v>
      </c>
      <c r="Q106" s="4">
        <v>0.99999685946914973</v>
      </c>
    </row>
    <row r="107" spans="2:17" x14ac:dyDescent="0.25">
      <c r="B107" s="63"/>
      <c r="C107" s="64"/>
      <c r="D107" s="65"/>
      <c r="E107" s="64"/>
      <c r="F107" s="71"/>
      <c r="G107" s="64"/>
      <c r="H107" s="64"/>
      <c r="I107" s="53"/>
      <c r="J107" s="44">
        <f t="shared" si="13"/>
        <v>37864</v>
      </c>
      <c r="K107" s="45">
        <v>99</v>
      </c>
      <c r="L107" s="90">
        <f>$G$3/(1+EXP(-$G$4*(K107-$G$5)))</f>
        <v>0.99999713907691923</v>
      </c>
      <c r="M107" s="46">
        <f t="shared" si="14"/>
        <v>0.99999999730296318</v>
      </c>
      <c r="N107" s="77">
        <v>0.99999999730296318</v>
      </c>
      <c r="O107" s="89">
        <f>IF(N107=M107,N107,M107)</f>
        <v>0.99999999730296318</v>
      </c>
      <c r="P107" s="4">
        <v>40421</v>
      </c>
      <c r="Q107" s="4">
        <v>0.99999755834413473</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controls>
    <mc:AlternateContent xmlns:mc="http://schemas.openxmlformats.org/markup-compatibility/2006">
      <mc:Choice Requires="x14">
        <control shapeId="32769" r:id="rId4" name="CommandButton1">
          <controlPr defaultSize="0" autoLine="0" r:id="rId5">
            <anchor moveWithCells="1">
              <from>
                <xdr:col>4</xdr:col>
                <xdr:colOff>114300</xdr:colOff>
                <xdr:row>4</xdr:row>
                <xdr:rowOff>0</xdr:rowOff>
              </from>
              <to>
                <xdr:col>4</xdr:col>
                <xdr:colOff>1790700</xdr:colOff>
                <xdr:row>5</xdr:row>
                <xdr:rowOff>152400</xdr:rowOff>
              </to>
            </anchor>
          </controlPr>
        </control>
      </mc:Choice>
      <mc:Fallback>
        <control shapeId="32769" r:id="rId4" name="CommandButton1"/>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AB1022"/>
  <sheetViews>
    <sheetView zoomScale="75" workbookViewId="0">
      <selection activeCell="H10" sqref="H10"/>
    </sheetView>
  </sheetViews>
  <sheetFormatPr defaultRowHeight="15.75" x14ac:dyDescent="0.25"/>
  <cols>
    <col min="1" max="1" width="11.125" style="4" customWidth="1"/>
    <col min="2" max="2" width="9.125" style="4" bestFit="1" customWidth="1"/>
    <col min="3" max="3" width="12.375" style="4" customWidth="1"/>
    <col min="4" max="4" width="10.625" style="4" customWidth="1"/>
    <col min="5" max="5" width="25" style="4" customWidth="1"/>
    <col min="6" max="6" width="20.25" style="4" customWidth="1"/>
    <col min="7" max="7" width="10.375" style="4" customWidth="1"/>
    <col min="8" max="9" width="9" style="4"/>
    <col min="10" max="10" width="10.5" style="4" customWidth="1"/>
    <col min="11" max="11" width="11.875" style="3" customWidth="1"/>
    <col min="12" max="12" width="9.25" style="3" customWidth="1"/>
    <col min="13" max="13" width="9.25" style="4" customWidth="1"/>
    <col min="14" max="14" width="22.25" style="4" customWidth="1"/>
    <col min="15" max="15" width="13.125" style="4" bestFit="1" customWidth="1"/>
    <col min="16" max="16" width="9" style="4"/>
    <col min="17" max="17" width="10.625" style="4" bestFit="1" customWidth="1"/>
    <col min="18" max="18" width="9.125" style="4" bestFit="1" customWidth="1"/>
    <col min="19" max="16384" width="9" style="4"/>
  </cols>
  <sheetData>
    <row r="1" spans="1:28" ht="16.5" thickBot="1" x14ac:dyDescent="0.3">
      <c r="A1" s="3" t="s">
        <v>3</v>
      </c>
      <c r="B1" s="3" t="s">
        <v>4</v>
      </c>
      <c r="C1" s="4" t="s">
        <v>5</v>
      </c>
    </row>
    <row r="2" spans="1:28" ht="19.5" thickBot="1" x14ac:dyDescent="0.4">
      <c r="A2" s="5">
        <v>2003</v>
      </c>
      <c r="B2" s="6">
        <v>1.3</v>
      </c>
      <c r="C2" s="4" t="s">
        <v>6</v>
      </c>
      <c r="F2" s="3" t="s">
        <v>0</v>
      </c>
      <c r="G2" s="7" t="s">
        <v>7</v>
      </c>
      <c r="H2" s="7" t="s">
        <v>8</v>
      </c>
      <c r="I2" s="96" t="s">
        <v>27</v>
      </c>
      <c r="J2" s="98">
        <v>41467</v>
      </c>
      <c r="K2" s="99">
        <v>41467</v>
      </c>
    </row>
    <row r="3" spans="1:28" ht="21" thickBot="1" x14ac:dyDescent="0.4">
      <c r="A3" s="8">
        <f>DATE(A2,5,25)</f>
        <v>37766</v>
      </c>
      <c r="C3" s="9"/>
      <c r="F3" s="73" t="s">
        <v>25</v>
      </c>
      <c r="G3" s="10">
        <v>1</v>
      </c>
      <c r="H3" s="11"/>
      <c r="I3">
        <f>G5-(1/G4)*LN((2*G3)-1)</f>
        <v>48.582153976680864</v>
      </c>
      <c r="J3" s="3" t="s">
        <v>9</v>
      </c>
      <c r="Z3" s="4" t="s">
        <v>46</v>
      </c>
    </row>
    <row r="4" spans="1:28" ht="16.5" thickBot="1" x14ac:dyDescent="0.3">
      <c r="A4" s="12" t="s">
        <v>10</v>
      </c>
      <c r="C4" s="4" t="s">
        <v>11</v>
      </c>
      <c r="F4" s="13" t="s">
        <v>1</v>
      </c>
      <c r="G4" s="14">
        <v>0.19697534153486412</v>
      </c>
      <c r="H4" s="15">
        <f>AB8</f>
        <v>3.4874485632982559E-2</v>
      </c>
      <c r="I4" s="2"/>
      <c r="J4" s="74">
        <f>SUM(H9:H65)</f>
        <v>10.96658521528472</v>
      </c>
      <c r="K4" s="16"/>
      <c r="L4" s="16"/>
      <c r="Z4" s="4">
        <v>2024.1263205121022</v>
      </c>
      <c r="AA4" s="4">
        <v>8.6254633344712008</v>
      </c>
    </row>
    <row r="5" spans="1:28" ht="16.5" thickBot="1" x14ac:dyDescent="0.3">
      <c r="C5" s="8">
        <f>DATE(A2,7,31)</f>
        <v>37833</v>
      </c>
      <c r="F5" s="17" t="s">
        <v>2</v>
      </c>
      <c r="G5" s="18">
        <v>48.582153976680864</v>
      </c>
      <c r="H5" s="15">
        <f>AB9</f>
        <v>0.82114436574997907</v>
      </c>
      <c r="I5" s="2"/>
      <c r="J5" s="20" t="s">
        <v>12</v>
      </c>
      <c r="K5" s="21"/>
      <c r="L5" s="21"/>
      <c r="N5" s="30"/>
      <c r="V5" s="4" t="s">
        <v>46</v>
      </c>
      <c r="Z5" s="4">
        <v>8.6254633344712008</v>
      </c>
      <c r="AA5" s="4">
        <v>3.6510198933663878</v>
      </c>
    </row>
    <row r="6" spans="1:28" ht="16.5" thickBot="1" x14ac:dyDescent="0.3">
      <c r="C6" s="22"/>
      <c r="G6" s="23"/>
      <c r="H6" s="9"/>
      <c r="K6" s="24"/>
      <c r="L6" s="24"/>
      <c r="V6" s="4">
        <v>3413.5408040943462</v>
      </c>
      <c r="W6" s="4">
        <v>11.131207027313248</v>
      </c>
    </row>
    <row r="7" spans="1:28" ht="16.5" thickBot="1" x14ac:dyDescent="0.3">
      <c r="E7" s="25"/>
      <c r="F7" s="26"/>
      <c r="G7" s="27"/>
      <c r="H7" s="28"/>
      <c r="J7" s="29"/>
      <c r="M7" s="29"/>
      <c r="O7" s="3" t="s">
        <v>26</v>
      </c>
      <c r="V7" s="4">
        <v>11.131207027313248</v>
      </c>
      <c r="W7" s="4">
        <v>3.3014467901080091</v>
      </c>
      <c r="Z7" s="4" t="s">
        <v>47</v>
      </c>
      <c r="AB7" s="4" t="s">
        <v>8</v>
      </c>
    </row>
    <row r="8" spans="1:28" s="29" customFormat="1" ht="16.5" thickBot="1" x14ac:dyDescent="0.3">
      <c r="B8" s="31" t="s">
        <v>14</v>
      </c>
      <c r="C8" s="32" t="s">
        <v>15</v>
      </c>
      <c r="D8" s="83" t="s">
        <v>16</v>
      </c>
      <c r="E8" s="33" t="s">
        <v>13</v>
      </c>
      <c r="F8" s="34" t="s">
        <v>17</v>
      </c>
      <c r="G8" s="34" t="s">
        <v>18</v>
      </c>
      <c r="H8" s="35" t="s">
        <v>19</v>
      </c>
      <c r="I8" s="3"/>
      <c r="J8" s="36" t="s">
        <v>14</v>
      </c>
      <c r="K8" s="37" t="s">
        <v>20</v>
      </c>
      <c r="L8" s="37" t="s">
        <v>21</v>
      </c>
      <c r="M8" s="37" t="s">
        <v>22</v>
      </c>
      <c r="N8" s="38" t="s">
        <v>23</v>
      </c>
      <c r="O8" s="88" t="s">
        <v>24</v>
      </c>
      <c r="Z8" s="29">
        <f t="array" ref="Z8:AA9">2* 1.10386116353687^2*MINVERSE($Z$4:$AA$5)</f>
        <v>1.216229748165107E-3</v>
      </c>
      <c r="AA8" s="29">
        <v>-2.8733190739803306E-3</v>
      </c>
      <c r="AB8" s="29">
        <v>3.4874485632982559E-2</v>
      </c>
    </row>
    <row r="9" spans="1:28" x14ac:dyDescent="0.25">
      <c r="A9" s="39"/>
      <c r="B9" s="40">
        <v>37786</v>
      </c>
      <c r="C9" s="78">
        <v>190</v>
      </c>
      <c r="D9" s="106">
        <f>IF(B9&lt;&gt;0,B9-$A$3+1,"")</f>
        <v>21</v>
      </c>
      <c r="E9" s="81">
        <v>4.1000000000000002E-2</v>
      </c>
      <c r="F9" s="41">
        <f t="shared" ref="F9:F40" si="0">IF(B9&lt;&gt;0,$G$3/(1+EXP(-$G$4*(D9-$G$5))),"")</f>
        <v>4.350934509456012E-3</v>
      </c>
      <c r="G9" s="42">
        <f t="shared" ref="G9:G40" si="1">IF(B9&lt;&gt;0,E9-F9,"")</f>
        <v>3.6649065490543989E-2</v>
      </c>
      <c r="H9" s="43">
        <f t="shared" ref="H9:H40" si="2">IF(B9&lt;&gt;0,C9*(G9)^2,"")</f>
        <v>0.25519926025273465</v>
      </c>
      <c r="J9" s="44">
        <f>A3</f>
        <v>37766</v>
      </c>
      <c r="K9" s="45">
        <v>1</v>
      </c>
      <c r="L9" s="90">
        <f t="shared" ref="L9:L40" si="3">$G$3/(1+EXP(-$G$4*(K9-$G$5)))</f>
        <v>8.5022378766966617E-5</v>
      </c>
      <c r="M9" s="46">
        <f>IF(J10&gt;MAX($B$9:$B$64),L9,N9)</f>
        <v>3.1121623501212576E-7</v>
      </c>
      <c r="N9" s="75">
        <v>3.1121623501212576E-7</v>
      </c>
      <c r="O9" s="89">
        <f t="shared" ref="O9:O40" si="4">IF(N9=M9,N9,M9)</f>
        <v>3.1121623501212576E-7</v>
      </c>
      <c r="P9" s="48"/>
      <c r="Q9" s="1"/>
      <c r="V9" s="4" t="s">
        <v>47</v>
      </c>
      <c r="X9" s="4" t="s">
        <v>8</v>
      </c>
      <c r="Z9" s="4">
        <v>-2.8733190739803306E-3</v>
      </c>
      <c r="AA9" s="4">
        <v>0.67427806940293544</v>
      </c>
      <c r="AB9" s="4">
        <v>0.82114436574997907</v>
      </c>
    </row>
    <row r="10" spans="1:28" x14ac:dyDescent="0.25">
      <c r="A10" s="39"/>
      <c r="B10" s="49">
        <v>37793</v>
      </c>
      <c r="C10" s="79">
        <v>189</v>
      </c>
      <c r="D10" s="103">
        <f t="shared" ref="D10:D65" si="5">IF(B10&lt;&gt;0,B10-$A$3+1,"")</f>
        <v>28</v>
      </c>
      <c r="E10" s="81">
        <v>5.0000000000000001E-3</v>
      </c>
      <c r="F10" s="50">
        <f t="shared" si="0"/>
        <v>1.7053875875314754E-2</v>
      </c>
      <c r="G10" s="16">
        <f t="shared" si="1"/>
        <v>-1.2053875875314753E-2</v>
      </c>
      <c r="H10" s="51">
        <f t="shared" si="2"/>
        <v>2.7460929563706559E-2</v>
      </c>
      <c r="J10" s="44">
        <f t="shared" ref="J10:J41" si="6">J9+1</f>
        <v>37767</v>
      </c>
      <c r="K10" s="45">
        <v>2</v>
      </c>
      <c r="L10" s="90">
        <f t="shared" si="3"/>
        <v>1.035310256575905E-4</v>
      </c>
      <c r="M10" s="46">
        <f t="shared" ref="M10:M73" si="7">IF(J11&gt;MAX($B$9:$B$64),L10,N10)</f>
        <v>4.4350593880565207E-7</v>
      </c>
      <c r="N10" s="75">
        <v>4.4350593880565207E-7</v>
      </c>
      <c r="O10" s="89">
        <f t="shared" si="4"/>
        <v>4.4350593880565207E-7</v>
      </c>
      <c r="P10" s="48"/>
      <c r="Q10" s="1"/>
      <c r="V10" s="4">
        <f t="array" ref="V10:W11">2* 1.0604734023877^2*MINVERSE($V$6:$W$7)</f>
        <v>6.6623239677892341E-4</v>
      </c>
      <c r="W10" s="4">
        <v>-2.2462790431969017E-3</v>
      </c>
      <c r="X10" s="4">
        <v>2.581147800454138E-2</v>
      </c>
    </row>
    <row r="11" spans="1:28" x14ac:dyDescent="0.25">
      <c r="A11" s="39"/>
      <c r="B11" s="49">
        <v>37799</v>
      </c>
      <c r="C11" s="79">
        <v>189</v>
      </c>
      <c r="D11" s="103">
        <f t="shared" si="5"/>
        <v>34</v>
      </c>
      <c r="E11" s="81">
        <v>7.5999999999999998E-2</v>
      </c>
      <c r="F11" s="50">
        <f t="shared" si="0"/>
        <v>5.3538728659080159E-2</v>
      </c>
      <c r="G11" s="16">
        <f t="shared" si="1"/>
        <v>2.2461271340919839E-2</v>
      </c>
      <c r="H11" s="51">
        <f t="shared" si="2"/>
        <v>9.5352146237330682E-2</v>
      </c>
      <c r="J11" s="44">
        <f t="shared" si="6"/>
        <v>37768</v>
      </c>
      <c r="K11" s="45">
        <v>3</v>
      </c>
      <c r="L11" s="90">
        <f t="shared" si="3"/>
        <v>1.2606833916263888E-4</v>
      </c>
      <c r="M11" s="46">
        <f t="shared" si="7"/>
        <v>6.3202842450478264E-7</v>
      </c>
      <c r="N11" s="75">
        <v>6.3202842450478264E-7</v>
      </c>
      <c r="O11" s="89">
        <f t="shared" si="4"/>
        <v>6.3202842450478264E-7</v>
      </c>
      <c r="P11" s="48"/>
      <c r="Q11" s="1"/>
      <c r="V11" s="4">
        <v>-2.2462790431969017E-3</v>
      </c>
      <c r="W11" s="4">
        <v>0.68885298355513613</v>
      </c>
      <c r="X11" s="4">
        <v>0.82997167635717317</v>
      </c>
      <c r="Z11" s="4" t="s">
        <v>48</v>
      </c>
    </row>
    <row r="12" spans="1:28" x14ac:dyDescent="0.25">
      <c r="A12" s="39"/>
      <c r="B12" s="49">
        <v>37803</v>
      </c>
      <c r="C12" s="79">
        <v>189</v>
      </c>
      <c r="D12" s="103">
        <f t="shared" si="5"/>
        <v>38</v>
      </c>
      <c r="E12" s="81">
        <v>0.17699999999999999</v>
      </c>
      <c r="F12" s="50">
        <f t="shared" si="0"/>
        <v>0.11062002877277062</v>
      </c>
      <c r="G12" s="16">
        <f t="shared" si="1"/>
        <v>6.637997122722937E-2</v>
      </c>
      <c r="H12" s="51">
        <f t="shared" si="2"/>
        <v>0.83279080964415408</v>
      </c>
      <c r="J12" s="44">
        <f t="shared" si="6"/>
        <v>37769</v>
      </c>
      <c r="K12" s="45">
        <v>4</v>
      </c>
      <c r="L12" s="90">
        <f t="shared" si="3"/>
        <v>1.5351096984987485E-4</v>
      </c>
      <c r="M12" s="46">
        <f t="shared" si="7"/>
        <v>9.0068669305005554E-7</v>
      </c>
      <c r="N12" s="75">
        <v>9.0068669305005554E-7</v>
      </c>
      <c r="O12" s="89">
        <f t="shared" si="4"/>
        <v>9.0068669305005554E-7</v>
      </c>
      <c r="P12" s="48"/>
      <c r="Q12" s="1">
        <v>1.3958317686261709E-4</v>
      </c>
      <c r="Z12" s="4">
        <v>1</v>
      </c>
      <c r="AA12" s="4">
        <v>-0.10033594090242284</v>
      </c>
    </row>
    <row r="13" spans="1:28" x14ac:dyDescent="0.25">
      <c r="A13" s="39"/>
      <c r="B13" s="49">
        <v>37807</v>
      </c>
      <c r="C13" s="79">
        <v>190</v>
      </c>
      <c r="D13" s="103">
        <f t="shared" si="5"/>
        <v>42</v>
      </c>
      <c r="E13" s="81">
        <v>0.21199999999999999</v>
      </c>
      <c r="F13" s="50">
        <f t="shared" ref="F13:F18" si="8">IF(B13&lt;&gt;0,$G$3/(1+EXP(-$G$4*(D13-$G$5))),"")</f>
        <v>0.21475093590520525</v>
      </c>
      <c r="G13" s="16">
        <f t="shared" ref="G13:G18" si="9">IF(B13&lt;&gt;0,E13-F13,"")</f>
        <v>-2.750935905205254E-3</v>
      </c>
      <c r="H13" s="51">
        <f t="shared" ref="H13:H18" si="10">IF(B13&lt;&gt;0,C13*(G13)^2,"")</f>
        <v>1.4378531873640156E-3</v>
      </c>
      <c r="J13" s="44">
        <f t="shared" si="6"/>
        <v>37770</v>
      </c>
      <c r="K13" s="45">
        <v>5</v>
      </c>
      <c r="L13" s="90">
        <f t="shared" si="3"/>
        <v>1.8692621184091302E-4</v>
      </c>
      <c r="M13" s="46">
        <f t="shared" si="7"/>
        <v>1.2835442124779599E-6</v>
      </c>
      <c r="N13" s="75">
        <v>1.2835442124779599E-6</v>
      </c>
      <c r="O13" s="89">
        <f t="shared" si="4"/>
        <v>1.2835442124779599E-6</v>
      </c>
      <c r="P13" s="48"/>
      <c r="Q13" s="1">
        <v>1.7045928901654236E-4</v>
      </c>
      <c r="V13" s="4" t="s">
        <v>48</v>
      </c>
      <c r="Z13" s="4">
        <v>-0.10033594090242284</v>
      </c>
      <c r="AA13" s="4">
        <v>1</v>
      </c>
    </row>
    <row r="14" spans="1:28" x14ac:dyDescent="0.25">
      <c r="A14" s="39"/>
      <c r="B14" s="49">
        <v>37810</v>
      </c>
      <c r="C14" s="79">
        <v>190</v>
      </c>
      <c r="D14" s="103">
        <v>45.5</v>
      </c>
      <c r="E14" s="81">
        <v>0.216</v>
      </c>
      <c r="F14" s="50">
        <f t="shared" si="8"/>
        <v>0.35271910827966013</v>
      </c>
      <c r="G14" s="16">
        <f t="shared" si="9"/>
        <v>-0.13671910827966013</v>
      </c>
      <c r="H14" s="51">
        <f t="shared" si="10"/>
        <v>3.5515017680692318</v>
      </c>
      <c r="J14" s="44">
        <f t="shared" si="6"/>
        <v>37771</v>
      </c>
      <c r="K14" s="45">
        <v>6</v>
      </c>
      <c r="L14" s="90">
        <f t="shared" si="3"/>
        <v>2.2761340456733088E-4</v>
      </c>
      <c r="M14" s="46">
        <f t="shared" si="7"/>
        <v>1.8291437965967419E-6</v>
      </c>
      <c r="N14" s="75">
        <v>1.8291437965967419E-6</v>
      </c>
      <c r="O14" s="89">
        <f t="shared" si="4"/>
        <v>1.8291437965967419E-6</v>
      </c>
      <c r="P14" s="48"/>
      <c r="Q14" s="1">
        <v>2.0816384458125417E-4</v>
      </c>
      <c r="V14" s="4">
        <v>0.99999999999999989</v>
      </c>
      <c r="W14" s="4">
        <v>-0.10485461738686003</v>
      </c>
    </row>
    <row r="15" spans="1:28" x14ac:dyDescent="0.25">
      <c r="A15" s="39"/>
      <c r="B15" s="49">
        <v>37813</v>
      </c>
      <c r="C15" s="79">
        <v>190</v>
      </c>
      <c r="D15" s="103">
        <f t="shared" si="5"/>
        <v>48</v>
      </c>
      <c r="E15" s="81">
        <v>0.48099999999999998</v>
      </c>
      <c r="F15" s="50">
        <f t="shared" si="8"/>
        <v>0.47136387704819582</v>
      </c>
      <c r="G15" s="16">
        <f t="shared" si="9"/>
        <v>9.6361229518041602E-3</v>
      </c>
      <c r="H15" s="51">
        <f t="shared" si="10"/>
        <v>1.7642424453034516E-2</v>
      </c>
      <c r="J15" s="44">
        <f t="shared" si="6"/>
        <v>37772</v>
      </c>
      <c r="K15" s="45">
        <v>7</v>
      </c>
      <c r="L15" s="90">
        <f t="shared" si="3"/>
        <v>2.7715429809603467E-4</v>
      </c>
      <c r="M15" s="46">
        <f t="shared" si="7"/>
        <v>2.6066622560821447E-6</v>
      </c>
      <c r="N15" s="75">
        <v>2.6066622560821447E-6</v>
      </c>
      <c r="O15" s="89">
        <f t="shared" si="4"/>
        <v>2.6066622560821447E-6</v>
      </c>
      <c r="P15" s="48"/>
      <c r="Q15" s="1">
        <v>2.542062975332477E-4</v>
      </c>
      <c r="V15" s="4">
        <v>-0.10485461738686003</v>
      </c>
      <c r="W15" s="4">
        <v>0.99999999999999989</v>
      </c>
    </row>
    <row r="16" spans="1:28" x14ac:dyDescent="0.25">
      <c r="A16" s="39"/>
      <c r="B16" s="49">
        <v>37816</v>
      </c>
      <c r="C16" s="79">
        <v>188</v>
      </c>
      <c r="D16" s="103">
        <f t="shared" si="5"/>
        <v>51</v>
      </c>
      <c r="E16" s="81">
        <v>0.77300000000000002</v>
      </c>
      <c r="F16" s="50">
        <f t="shared" si="8"/>
        <v>0.61686340572559062</v>
      </c>
      <c r="G16" s="16">
        <f t="shared" si="9"/>
        <v>0.1561365942744094</v>
      </c>
      <c r="H16" s="51">
        <f t="shared" si="10"/>
        <v>4.5831835814629684</v>
      </c>
      <c r="J16" s="44">
        <f t="shared" si="6"/>
        <v>37773</v>
      </c>
      <c r="K16" s="45">
        <v>8</v>
      </c>
      <c r="L16" s="90">
        <f t="shared" si="3"/>
        <v>3.3747430933301909E-4</v>
      </c>
      <c r="M16" s="46">
        <f t="shared" si="7"/>
        <v>3.7146810897353246E-6</v>
      </c>
      <c r="N16" s="75">
        <v>3.7146810897353246E-6</v>
      </c>
      <c r="O16" s="89">
        <f t="shared" si="4"/>
        <v>3.7146810897353246E-6</v>
      </c>
      <c r="P16" s="48"/>
      <c r="Q16" s="1">
        <v>3.1042942936064727E-4</v>
      </c>
    </row>
    <row r="17" spans="1:27" x14ac:dyDescent="0.25">
      <c r="A17" s="39"/>
      <c r="B17" s="49">
        <v>37820</v>
      </c>
      <c r="C17" s="79">
        <v>188</v>
      </c>
      <c r="D17" s="103">
        <v>55.5</v>
      </c>
      <c r="E17" s="81">
        <v>0.70699999999999996</v>
      </c>
      <c r="F17" s="50">
        <f t="shared" si="8"/>
        <v>0.7961892567303962</v>
      </c>
      <c r="G17" s="16">
        <f t="shared" si="9"/>
        <v>-8.9189256730396238E-2</v>
      </c>
      <c r="H17" s="51">
        <f t="shared" si="10"/>
        <v>1.4954880210306598</v>
      </c>
      <c r="J17" s="44">
        <f t="shared" si="6"/>
        <v>37774</v>
      </c>
      <c r="K17" s="45">
        <v>9</v>
      </c>
      <c r="L17" s="90">
        <f t="shared" si="3"/>
        <v>4.1091700437125326E-4</v>
      </c>
      <c r="M17" s="46">
        <f t="shared" si="7"/>
        <v>5.2936850821911276E-6</v>
      </c>
      <c r="N17" s="75">
        <v>5.2936850821911276E-6</v>
      </c>
      <c r="O17" s="89">
        <f t="shared" si="4"/>
        <v>5.2936850821911276E-6</v>
      </c>
      <c r="P17" s="48"/>
      <c r="Q17" s="1">
        <v>3.7908278806435145E-4</v>
      </c>
    </row>
    <row r="18" spans="1:27" x14ac:dyDescent="0.25">
      <c r="A18" s="39"/>
      <c r="B18" s="49">
        <v>37825</v>
      </c>
      <c r="C18" s="79">
        <v>186</v>
      </c>
      <c r="D18" s="103">
        <f t="shared" si="5"/>
        <v>60</v>
      </c>
      <c r="E18" s="81">
        <v>0.89200000000000002</v>
      </c>
      <c r="F18" s="50">
        <f t="shared" si="8"/>
        <v>0.90456718771126388</v>
      </c>
      <c r="G18" s="16">
        <f t="shared" si="9"/>
        <v>-1.2567187711263861E-2</v>
      </c>
      <c r="H18" s="51">
        <f t="shared" si="10"/>
        <v>2.93757624964463E-2</v>
      </c>
      <c r="J18" s="44">
        <f t="shared" si="6"/>
        <v>37775</v>
      </c>
      <c r="K18" s="45">
        <v>10</v>
      </c>
      <c r="L18" s="90">
        <f t="shared" si="3"/>
        <v>5.0033463342563623E-4</v>
      </c>
      <c r="M18" s="46">
        <f t="shared" si="7"/>
        <v>7.543873151853996E-6</v>
      </c>
      <c r="N18" s="75">
        <v>7.543873151853996E-6</v>
      </c>
      <c r="O18" s="89">
        <f t="shared" si="4"/>
        <v>7.543873151853996E-6</v>
      </c>
      <c r="P18" s="48"/>
      <c r="Q18" s="1">
        <v>4.6291222449000769E-4</v>
      </c>
    </row>
    <row r="19" spans="1:27" ht="16.5" thickBot="1" x14ac:dyDescent="0.3">
      <c r="A19" s="39"/>
      <c r="B19" s="49">
        <v>37832</v>
      </c>
      <c r="C19" s="79">
        <v>190</v>
      </c>
      <c r="D19" s="103">
        <f t="shared" si="5"/>
        <v>67</v>
      </c>
      <c r="E19" s="81">
        <v>0.98699999999999999</v>
      </c>
      <c r="F19" s="50">
        <f t="shared" si="0"/>
        <v>0.97411489396191853</v>
      </c>
      <c r="G19" s="16">
        <f t="shared" si="1"/>
        <v>1.2885106038081462E-2</v>
      </c>
      <c r="H19" s="51">
        <f t="shared" si="2"/>
        <v>3.1544931946394635E-2</v>
      </c>
      <c r="J19" s="44">
        <f t="shared" si="6"/>
        <v>37776</v>
      </c>
      <c r="K19" s="45">
        <v>11</v>
      </c>
      <c r="L19" s="90">
        <f t="shared" si="3"/>
        <v>6.091981346321452E-4</v>
      </c>
      <c r="M19" s="46">
        <f t="shared" si="7"/>
        <v>1.0750538956072072E-5</v>
      </c>
      <c r="N19" s="75">
        <v>1.0750538956072072E-5</v>
      </c>
      <c r="O19" s="89">
        <f t="shared" si="4"/>
        <v>1.0750538956072072E-5</v>
      </c>
      <c r="P19" s="48"/>
      <c r="Q19" s="1">
        <v>5.6526901369757224E-4</v>
      </c>
    </row>
    <row r="20" spans="1:27" x14ac:dyDescent="0.25">
      <c r="A20" s="39"/>
      <c r="B20" s="49"/>
      <c r="C20" s="79"/>
      <c r="D20" s="86" t="str">
        <f t="shared" si="5"/>
        <v/>
      </c>
      <c r="E20" s="81"/>
      <c r="F20" s="50" t="str">
        <f t="shared" si="0"/>
        <v/>
      </c>
      <c r="G20" s="16" t="str">
        <f t="shared" si="1"/>
        <v/>
      </c>
      <c r="H20" s="51" t="str">
        <f t="shared" si="2"/>
        <v/>
      </c>
      <c r="J20" s="44">
        <f t="shared" si="6"/>
        <v>37777</v>
      </c>
      <c r="K20" s="45">
        <v>12</v>
      </c>
      <c r="L20" s="90">
        <f t="shared" si="3"/>
        <v>7.4173072899810018E-4</v>
      </c>
      <c r="M20" s="46">
        <f t="shared" si="7"/>
        <v>1.5320237759159121E-5</v>
      </c>
      <c r="N20" s="75">
        <v>1.5320237759159121E-5</v>
      </c>
      <c r="O20" s="89">
        <f t="shared" si="4"/>
        <v>1.5320237759159121E-5</v>
      </c>
      <c r="P20" s="48"/>
      <c r="Q20" s="1">
        <v>6.9024278465830858E-4</v>
      </c>
      <c r="R20" s="49">
        <v>37786</v>
      </c>
      <c r="S20" s="92">
        <v>4.1000000000000002E-2</v>
      </c>
      <c r="U20" s="40"/>
      <c r="V20" s="92"/>
    </row>
    <row r="21" spans="1:27" x14ac:dyDescent="0.25">
      <c r="A21" s="39"/>
      <c r="B21" s="49"/>
      <c r="C21" s="79"/>
      <c r="D21" s="86" t="str">
        <f t="shared" si="5"/>
        <v/>
      </c>
      <c r="E21" s="81"/>
      <c r="F21" s="50" t="str">
        <f t="shared" si="0"/>
        <v/>
      </c>
      <c r="G21" s="16" t="str">
        <f t="shared" si="1"/>
        <v/>
      </c>
      <c r="H21" s="51" t="str">
        <f t="shared" si="2"/>
        <v/>
      </c>
      <c r="I21" s="9"/>
      <c r="J21" s="44">
        <f t="shared" si="6"/>
        <v>37778</v>
      </c>
      <c r="K21" s="45">
        <v>13</v>
      </c>
      <c r="L21" s="90">
        <f t="shared" si="3"/>
        <v>9.0307007042611108E-4</v>
      </c>
      <c r="M21" s="46">
        <f t="shared" si="7"/>
        <v>2.1832322085948411E-5</v>
      </c>
      <c r="N21" s="75">
        <v>2.1832322085948411E-5</v>
      </c>
      <c r="O21" s="89">
        <f t="shared" si="4"/>
        <v>2.1832322085948411E-5</v>
      </c>
      <c r="P21" s="48"/>
      <c r="Q21" s="1">
        <v>8.428233623178356E-4</v>
      </c>
      <c r="R21" s="49">
        <v>37787</v>
      </c>
      <c r="S21" s="92"/>
      <c r="U21" s="49"/>
      <c r="V21" s="92"/>
    </row>
    <row r="22" spans="1:27" x14ac:dyDescent="0.25">
      <c r="A22" s="39"/>
      <c r="B22" s="49"/>
      <c r="C22" s="79"/>
      <c r="D22" s="86" t="str">
        <f t="shared" si="5"/>
        <v/>
      </c>
      <c r="E22" s="81"/>
      <c r="F22" s="50" t="str">
        <f t="shared" si="0"/>
        <v/>
      </c>
      <c r="G22" s="16" t="str">
        <f t="shared" si="1"/>
        <v/>
      </c>
      <c r="H22" s="51" t="str">
        <f t="shared" si="2"/>
        <v/>
      </c>
      <c r="I22" s="53"/>
      <c r="J22" s="44">
        <f t="shared" si="6"/>
        <v>37779</v>
      </c>
      <c r="K22" s="45">
        <v>14</v>
      </c>
      <c r="L22" s="90">
        <f t="shared" si="3"/>
        <v>1.0994649129130458E-3</v>
      </c>
      <c r="M22" s="46">
        <f t="shared" si="7"/>
        <v>3.1112374086324488E-5</v>
      </c>
      <c r="N22" s="75">
        <v>3.1112374086324488E-5</v>
      </c>
      <c r="O22" s="89">
        <f t="shared" si="4"/>
        <v>3.1112374086324488E-5</v>
      </c>
      <c r="P22" s="48"/>
      <c r="Q22" s="1">
        <v>1.0290976755680944E-3</v>
      </c>
      <c r="R22" s="49">
        <v>37788</v>
      </c>
      <c r="S22" s="92"/>
      <c r="U22" s="49"/>
      <c r="V22" s="92"/>
    </row>
    <row r="23" spans="1:27" x14ac:dyDescent="0.25">
      <c r="A23" s="39"/>
      <c r="B23" s="49"/>
      <c r="C23" s="79"/>
      <c r="D23" s="86" t="str">
        <f t="shared" si="5"/>
        <v/>
      </c>
      <c r="E23" s="81"/>
      <c r="F23" s="50" t="str">
        <f t="shared" si="0"/>
        <v/>
      </c>
      <c r="G23" s="16" t="str">
        <f t="shared" si="1"/>
        <v/>
      </c>
      <c r="H23" s="51" t="str">
        <f t="shared" si="2"/>
        <v/>
      </c>
      <c r="I23" s="53"/>
      <c r="J23" s="44">
        <f t="shared" si="6"/>
        <v>37780</v>
      </c>
      <c r="K23" s="45">
        <v>15</v>
      </c>
      <c r="L23" s="90">
        <f t="shared" si="3"/>
        <v>1.3385134331574686E-3</v>
      </c>
      <c r="M23" s="46">
        <f t="shared" si="7"/>
        <v>4.4336832295415093E-5</v>
      </c>
      <c r="N23" s="75">
        <v>4.4336832295415093E-5</v>
      </c>
      <c r="O23" s="89">
        <f t="shared" si="4"/>
        <v>4.4336832295415093E-5</v>
      </c>
      <c r="P23" s="48"/>
      <c r="Q23" s="1">
        <v>1.2564891276397731E-3</v>
      </c>
      <c r="R23" s="49">
        <v>37789</v>
      </c>
      <c r="S23" s="92"/>
      <c r="U23" s="49"/>
      <c r="V23" s="92"/>
    </row>
    <row r="24" spans="1:27" x14ac:dyDescent="0.25">
      <c r="A24" s="39"/>
      <c r="B24" s="49"/>
      <c r="C24" s="79"/>
      <c r="D24" s="86" t="str">
        <f t="shared" si="5"/>
        <v/>
      </c>
      <c r="E24" s="81"/>
      <c r="F24" s="50" t="str">
        <f t="shared" si="0"/>
        <v/>
      </c>
      <c r="G24" s="16" t="str">
        <f t="shared" si="1"/>
        <v/>
      </c>
      <c r="H24" s="51" t="str">
        <f t="shared" si="2"/>
        <v/>
      </c>
      <c r="I24" s="53"/>
      <c r="J24" s="44">
        <f t="shared" si="6"/>
        <v>37781</v>
      </c>
      <c r="K24" s="45">
        <v>16</v>
      </c>
      <c r="L24" s="90">
        <f t="shared" si="3"/>
        <v>1.6294517210207725E-3</v>
      </c>
      <c r="M24" s="46">
        <f t="shared" si="7"/>
        <v>6.3182052340935858E-5</v>
      </c>
      <c r="N24" s="75">
        <v>6.3182052340935858E-5</v>
      </c>
      <c r="O24" s="89">
        <f t="shared" si="4"/>
        <v>6.3182052340935858E-5</v>
      </c>
      <c r="P24" s="48"/>
      <c r="Q24" s="1">
        <v>1.5340482859932569E-3</v>
      </c>
      <c r="R24" s="49">
        <v>37790</v>
      </c>
      <c r="S24" s="92"/>
      <c r="U24" s="49"/>
      <c r="V24" s="92"/>
      <c r="Y24" s="4" t="s">
        <v>46</v>
      </c>
    </row>
    <row r="25" spans="1:27" x14ac:dyDescent="0.25">
      <c r="A25" s="39"/>
      <c r="B25" s="49"/>
      <c r="C25" s="79"/>
      <c r="D25" s="86" t="str">
        <f t="shared" si="5"/>
        <v/>
      </c>
      <c r="E25" s="81"/>
      <c r="F25" s="50" t="str">
        <f t="shared" si="0"/>
        <v/>
      </c>
      <c r="G25" s="16" t="str">
        <f t="shared" si="1"/>
        <v/>
      </c>
      <c r="H25" s="51" t="str">
        <f t="shared" si="2"/>
        <v/>
      </c>
      <c r="I25" s="54"/>
      <c r="J25" s="44">
        <f t="shared" si="6"/>
        <v>37782</v>
      </c>
      <c r="K25" s="45">
        <v>17</v>
      </c>
      <c r="L25" s="90">
        <f t="shared" si="3"/>
        <v>1.9835025384092424E-3</v>
      </c>
      <c r="M25" s="46">
        <f t="shared" si="7"/>
        <v>9.003664795384782E-5</v>
      </c>
      <c r="N25" s="75">
        <v>9.003664795384782E-5</v>
      </c>
      <c r="O25" s="89">
        <f t="shared" si="4"/>
        <v>9.003664795384782E-5</v>
      </c>
      <c r="P25" s="48"/>
      <c r="Q25" s="1">
        <v>1.8728054475450151E-3</v>
      </c>
      <c r="R25" s="49">
        <v>37791</v>
      </c>
      <c r="S25" s="92"/>
      <c r="U25" s="49"/>
      <c r="V25" s="92"/>
      <c r="Y25" s="4">
        <v>1953.4827870451404</v>
      </c>
      <c r="Z25" s="4">
        <v>8.5676537252597189</v>
      </c>
    </row>
    <row r="26" spans="1:27" x14ac:dyDescent="0.25">
      <c r="A26" s="39"/>
      <c r="B26" s="49"/>
      <c r="C26" s="79"/>
      <c r="D26" s="86" t="str">
        <f t="shared" si="5"/>
        <v/>
      </c>
      <c r="E26" s="81"/>
      <c r="F26" s="50" t="str">
        <f t="shared" si="0"/>
        <v/>
      </c>
      <c r="G26" s="16" t="str">
        <f t="shared" si="1"/>
        <v/>
      </c>
      <c r="H26" s="51" t="str">
        <f t="shared" si="2"/>
        <v/>
      </c>
      <c r="I26" s="54"/>
      <c r="J26" s="44">
        <f t="shared" si="6"/>
        <v>37783</v>
      </c>
      <c r="K26" s="45">
        <v>18</v>
      </c>
      <c r="L26" s="90">
        <f t="shared" si="3"/>
        <v>2.4142962558322549E-3</v>
      </c>
      <c r="M26" s="46">
        <f t="shared" si="7"/>
        <v>1.2830392713932698E-4</v>
      </c>
      <c r="N26" s="75">
        <v>1.2830392713932698E-4</v>
      </c>
      <c r="O26" s="89">
        <f t="shared" si="4"/>
        <v>1.2830392713932698E-4</v>
      </c>
      <c r="P26" s="48"/>
      <c r="Q26" s="1">
        <v>2.2861975841660187E-3</v>
      </c>
      <c r="R26" s="49">
        <v>37792</v>
      </c>
      <c r="S26" s="92"/>
      <c r="U26" s="49"/>
      <c r="V26" s="92"/>
      <c r="Y26" s="4">
        <v>8.5676537252597189</v>
      </c>
      <c r="Z26" s="4">
        <v>3.7389030425740541</v>
      </c>
    </row>
    <row r="27" spans="1:27" ht="16.5" thickBot="1" x14ac:dyDescent="0.3">
      <c r="B27" s="49"/>
      <c r="C27" s="79"/>
      <c r="D27" s="86" t="str">
        <f t="shared" si="5"/>
        <v/>
      </c>
      <c r="E27" s="81"/>
      <c r="F27" s="50" t="str">
        <f t="shared" si="0"/>
        <v/>
      </c>
      <c r="G27" s="16" t="str">
        <f t="shared" si="1"/>
        <v/>
      </c>
      <c r="H27" s="51" t="str">
        <f t="shared" si="2"/>
        <v/>
      </c>
      <c r="I27" s="54"/>
      <c r="J27" s="44">
        <f t="shared" si="6"/>
        <v>37784</v>
      </c>
      <c r="K27" s="45">
        <v>19</v>
      </c>
      <c r="L27" s="90">
        <f t="shared" si="3"/>
        <v>2.9383778949773321E-3</v>
      </c>
      <c r="M27" s="46">
        <f t="shared" si="7"/>
        <v>1.8283255021357849E-4</v>
      </c>
      <c r="N27" s="75">
        <v>1.8283255021357849E-4</v>
      </c>
      <c r="O27" s="89">
        <f t="shared" si="4"/>
        <v>1.8283255021357849E-4</v>
      </c>
      <c r="P27" s="48"/>
      <c r="Q27" s="1">
        <v>2.7905843687065831E-3</v>
      </c>
      <c r="R27" s="49">
        <v>37793</v>
      </c>
      <c r="S27" s="92">
        <v>5.0000000000000001E-3</v>
      </c>
      <c r="U27" s="49"/>
      <c r="V27" s="92"/>
    </row>
    <row r="28" spans="1:27" x14ac:dyDescent="0.25">
      <c r="B28" s="49"/>
      <c r="C28" s="79"/>
      <c r="D28" s="86" t="str">
        <f t="shared" si="5"/>
        <v/>
      </c>
      <c r="E28" s="81"/>
      <c r="F28" s="50" t="str">
        <f t="shared" si="0"/>
        <v/>
      </c>
      <c r="G28" s="16" t="str">
        <f t="shared" si="1"/>
        <v/>
      </c>
      <c r="H28" s="51" t="str">
        <f t="shared" si="2"/>
        <v/>
      </c>
      <c r="I28" s="54"/>
      <c r="J28" s="44">
        <f t="shared" si="6"/>
        <v>37785</v>
      </c>
      <c r="K28" s="45">
        <v>20</v>
      </c>
      <c r="L28" s="90">
        <f t="shared" si="3"/>
        <v>3.5758163964330005E-3</v>
      </c>
      <c r="M28" s="46">
        <f t="shared" si="7"/>
        <v>2.6052956766402371E-4</v>
      </c>
      <c r="N28" s="75">
        <v>2.6052956766402371E-4</v>
      </c>
      <c r="O28" s="89">
        <f t="shared" si="4"/>
        <v>2.6052956766402371E-4</v>
      </c>
      <c r="P28" s="48"/>
      <c r="Q28" s="1">
        <v>3.4058703908046778E-3</v>
      </c>
      <c r="R28" s="49">
        <v>37794</v>
      </c>
      <c r="S28" s="92"/>
      <c r="U28" s="40"/>
      <c r="V28" s="92"/>
      <c r="Y28" s="4" t="s">
        <v>47</v>
      </c>
      <c r="AA28" s="4" t="s">
        <v>8</v>
      </c>
    </row>
    <row r="29" spans="1:27" x14ac:dyDescent="0.25">
      <c r="B29" s="49"/>
      <c r="C29" s="79"/>
      <c r="D29" s="86" t="str">
        <f t="shared" si="5"/>
        <v/>
      </c>
      <c r="E29" s="81"/>
      <c r="F29" s="50" t="str">
        <f t="shared" si="0"/>
        <v/>
      </c>
      <c r="G29" s="16" t="str">
        <f t="shared" si="1"/>
        <v/>
      </c>
      <c r="H29" s="51" t="str">
        <f t="shared" si="2"/>
        <v/>
      </c>
      <c r="I29" s="54"/>
      <c r="J29" s="44">
        <f t="shared" si="6"/>
        <v>37786</v>
      </c>
      <c r="K29" s="45">
        <v>21</v>
      </c>
      <c r="L29" s="90">
        <f t="shared" si="3"/>
        <v>4.350934509456012E-3</v>
      </c>
      <c r="M29" s="46">
        <f t="shared" si="7"/>
        <v>3.7123266109304417E-4</v>
      </c>
      <c r="N29" s="75">
        <v>3.7123266109304417E-4</v>
      </c>
      <c r="O29" s="89">
        <f t="shared" si="4"/>
        <v>3.7123266109304417E-4</v>
      </c>
      <c r="P29" s="48"/>
      <c r="Q29" s="1">
        <v>4.156253215078223E-3</v>
      </c>
      <c r="R29" s="49">
        <v>37795</v>
      </c>
      <c r="S29" s="92"/>
      <c r="U29" s="49"/>
      <c r="V29" s="92"/>
      <c r="Y29" s="4">
        <f t="array" ref="Y29:Z30">2* 1.01923862417078^2*MINVERSE($Y$25:$Z$26)</f>
        <v>1.0743825177568374E-3</v>
      </c>
      <c r="Z29" s="4">
        <v>-2.4619352991502369E-3</v>
      </c>
      <c r="AA29" s="4">
        <v>3.2777774752976101E-2</v>
      </c>
    </row>
    <row r="30" spans="1:27" x14ac:dyDescent="0.25">
      <c r="B30" s="49"/>
      <c r="C30" s="79"/>
      <c r="D30" s="86" t="str">
        <f t="shared" si="5"/>
        <v/>
      </c>
      <c r="E30" s="81"/>
      <c r="F30" s="50" t="str">
        <f t="shared" si="0"/>
        <v/>
      </c>
      <c r="G30" s="16" t="str">
        <f t="shared" si="1"/>
        <v/>
      </c>
      <c r="H30" s="51" t="str">
        <f t="shared" si="2"/>
        <v/>
      </c>
      <c r="I30" s="54"/>
      <c r="J30" s="44">
        <f t="shared" si="6"/>
        <v>37787</v>
      </c>
      <c r="K30" s="45">
        <v>22</v>
      </c>
      <c r="L30" s="90">
        <f t="shared" si="3"/>
        <v>5.2931799089521074E-3</v>
      </c>
      <c r="M30" s="46">
        <f t="shared" si="7"/>
        <v>5.2895034459836269E-4</v>
      </c>
      <c r="N30" s="76">
        <v>5.2895034459836269E-4</v>
      </c>
      <c r="O30" s="89">
        <f t="shared" si="4"/>
        <v>5.2895034459836269E-4</v>
      </c>
      <c r="P30" s="48"/>
      <c r="Q30" s="1">
        <v>5.0711194585093189E-3</v>
      </c>
      <c r="R30" s="49">
        <v>37796</v>
      </c>
      <c r="S30" s="92"/>
      <c r="U30" s="49"/>
      <c r="V30" s="92"/>
      <c r="Y30" s="4">
        <v>-2.4619352991502373E-3</v>
      </c>
      <c r="Z30" s="4">
        <v>0.56133783926509317</v>
      </c>
      <c r="AA30" s="4">
        <v>0.74922482557980763</v>
      </c>
    </row>
    <row r="31" spans="1:27" x14ac:dyDescent="0.25">
      <c r="B31" s="49"/>
      <c r="C31" s="79"/>
      <c r="D31" s="86" t="str">
        <f t="shared" si="5"/>
        <v/>
      </c>
      <c r="E31" s="81"/>
      <c r="F31" s="50" t="str">
        <f t="shared" si="0"/>
        <v/>
      </c>
      <c r="G31" s="16" t="str">
        <f t="shared" si="1"/>
        <v/>
      </c>
      <c r="H31" s="51" t="str">
        <f t="shared" si="2"/>
        <v/>
      </c>
      <c r="I31" s="54"/>
      <c r="J31" s="44">
        <f t="shared" si="6"/>
        <v>37788</v>
      </c>
      <c r="K31" s="45">
        <v>23</v>
      </c>
      <c r="L31" s="90">
        <f t="shared" si="3"/>
        <v>6.4381600184477937E-3</v>
      </c>
      <c r="M31" s="46">
        <f t="shared" si="7"/>
        <v>7.5362365201523903E-4</v>
      </c>
      <c r="N31" s="76">
        <v>7.5362365201523903E-4</v>
      </c>
      <c r="O31" s="89">
        <f t="shared" si="4"/>
        <v>7.5362365201523903E-4</v>
      </c>
      <c r="P31" s="48"/>
      <c r="Q31" s="1">
        <v>6.18611330154804E-3</v>
      </c>
      <c r="R31" s="49">
        <v>37797</v>
      </c>
      <c r="S31" s="92"/>
      <c r="U31" s="49"/>
      <c r="V31" s="92"/>
    </row>
    <row r="32" spans="1:27" x14ac:dyDescent="0.25">
      <c r="B32" s="49"/>
      <c r="C32" s="79"/>
      <c r="D32" s="86" t="str">
        <f t="shared" si="5"/>
        <v/>
      </c>
      <c r="E32" s="81"/>
      <c r="F32" s="50" t="str">
        <f t="shared" si="0"/>
        <v/>
      </c>
      <c r="G32" s="16" t="str">
        <f t="shared" si="1"/>
        <v/>
      </c>
      <c r="H32" s="51" t="str">
        <f t="shared" si="2"/>
        <v/>
      </c>
      <c r="I32" s="54"/>
      <c r="J32" s="44">
        <f t="shared" si="6"/>
        <v>37789</v>
      </c>
      <c r="K32" s="45">
        <v>24</v>
      </c>
      <c r="L32" s="90">
        <f t="shared" si="3"/>
        <v>7.8288641309012582E-3</v>
      </c>
      <c r="M32" s="46">
        <f t="shared" si="7"/>
        <v>1.0736251359755081E-3</v>
      </c>
      <c r="N32" s="76">
        <v>1.0736251359755081E-3</v>
      </c>
      <c r="O32" s="89">
        <f t="shared" si="4"/>
        <v>1.0736251359755081E-3</v>
      </c>
      <c r="P32" s="48"/>
      <c r="Q32" s="1">
        <v>7.5444033609171311E-3</v>
      </c>
      <c r="R32" s="49">
        <v>37798</v>
      </c>
      <c r="S32" s="92"/>
      <c r="U32" s="49"/>
      <c r="V32" s="92"/>
      <c r="Y32" s="4" t="s">
        <v>48</v>
      </c>
    </row>
    <row r="33" spans="2:26" x14ac:dyDescent="0.25">
      <c r="B33" s="49"/>
      <c r="C33" s="79"/>
      <c r="D33" s="86" t="str">
        <f t="shared" si="5"/>
        <v/>
      </c>
      <c r="E33" s="81"/>
      <c r="F33" s="50" t="str">
        <f t="shared" si="0"/>
        <v/>
      </c>
      <c r="G33" s="16" t="str">
        <f t="shared" si="1"/>
        <v/>
      </c>
      <c r="H33" s="51" t="str">
        <f t="shared" si="2"/>
        <v/>
      </c>
      <c r="I33" s="54"/>
      <c r="J33" s="44">
        <f t="shared" si="6"/>
        <v>37790</v>
      </c>
      <c r="K33" s="45">
        <v>25</v>
      </c>
      <c r="L33" s="90">
        <f t="shared" si="3"/>
        <v>9.5170961139080332E-3</v>
      </c>
      <c r="M33" s="46">
        <f t="shared" si="7"/>
        <v>1.5292967649937837E-3</v>
      </c>
      <c r="N33" s="76">
        <v>1.5292967649937837E-3</v>
      </c>
      <c r="O33" s="89">
        <f t="shared" si="4"/>
        <v>1.5292967649937837E-3</v>
      </c>
      <c r="P33" s="48"/>
      <c r="Q33" s="1">
        <v>9.1981739546595914E-3</v>
      </c>
      <c r="R33" s="49">
        <v>37799</v>
      </c>
      <c r="S33" s="92">
        <v>7.5999999999999998E-2</v>
      </c>
      <c r="U33" s="49"/>
      <c r="V33" s="92"/>
      <c r="Y33" s="4">
        <v>1</v>
      </c>
      <c r="Z33" s="4">
        <v>-0.10025014501584587</v>
      </c>
    </row>
    <row r="34" spans="2:26" x14ac:dyDescent="0.25">
      <c r="B34" s="49"/>
      <c r="C34" s="79"/>
      <c r="D34" s="86" t="str">
        <f t="shared" si="5"/>
        <v/>
      </c>
      <c r="E34" s="81"/>
      <c r="F34" s="50" t="str">
        <f t="shared" si="0"/>
        <v/>
      </c>
      <c r="G34" s="16" t="str">
        <f t="shared" si="1"/>
        <v/>
      </c>
      <c r="H34" s="51" t="str">
        <f t="shared" si="2"/>
        <v/>
      </c>
      <c r="I34" s="54"/>
      <c r="J34" s="44">
        <f t="shared" si="6"/>
        <v>37791</v>
      </c>
      <c r="K34" s="45">
        <v>26</v>
      </c>
      <c r="L34" s="90">
        <f t="shared" si="3"/>
        <v>1.1565138278020349E-2</v>
      </c>
      <c r="M34" s="46">
        <f t="shared" si="7"/>
        <v>2.1779444332849758E-3</v>
      </c>
      <c r="N34" s="76">
        <v>2.1779444332849758E-3</v>
      </c>
      <c r="O34" s="89">
        <f t="shared" si="4"/>
        <v>2.1779444332849758E-3</v>
      </c>
      <c r="P34" s="48"/>
      <c r="Q34" s="1">
        <v>1.1210364440860094E-2</v>
      </c>
      <c r="R34" s="49">
        <v>37800</v>
      </c>
      <c r="S34" s="92"/>
      <c r="U34" s="49"/>
      <c r="V34" s="92"/>
      <c r="Y34" s="4">
        <v>-0.10025014501584588</v>
      </c>
      <c r="Z34" s="4">
        <v>1</v>
      </c>
    </row>
    <row r="35" spans="2:26" x14ac:dyDescent="0.25">
      <c r="B35" s="49"/>
      <c r="C35" s="79"/>
      <c r="D35" s="86" t="str">
        <f t="shared" si="5"/>
        <v/>
      </c>
      <c r="E35" s="81"/>
      <c r="F35" s="50" t="str">
        <f t="shared" si="0"/>
        <v/>
      </c>
      <c r="G35" s="16" t="str">
        <f t="shared" si="1"/>
        <v/>
      </c>
      <c r="H35" s="51" t="str">
        <f t="shared" si="2"/>
        <v/>
      </c>
      <c r="I35" s="54"/>
      <c r="J35" s="44">
        <f t="shared" si="6"/>
        <v>37792</v>
      </c>
      <c r="K35" s="45">
        <v>27</v>
      </c>
      <c r="L35" s="90">
        <f t="shared" si="3"/>
        <v>1.404766044652417E-2</v>
      </c>
      <c r="M35" s="46">
        <f t="shared" si="7"/>
        <v>3.1008600796789275E-3</v>
      </c>
      <c r="N35" s="76">
        <v>3.1008600796789275E-3</v>
      </c>
      <c r="O35" s="89">
        <f t="shared" si="4"/>
        <v>3.1008600796789275E-3</v>
      </c>
      <c r="P35" s="48"/>
      <c r="Q35" s="1">
        <v>1.3656673980419356E-2</v>
      </c>
      <c r="R35" s="49">
        <v>37801</v>
      </c>
      <c r="S35" s="92"/>
    </row>
    <row r="36" spans="2:26" x14ac:dyDescent="0.25">
      <c r="B36" s="49"/>
      <c r="C36" s="79"/>
      <c r="D36" s="86" t="str">
        <f t="shared" si="5"/>
        <v/>
      </c>
      <c r="E36" s="81"/>
      <c r="F36" s="50" t="str">
        <f t="shared" si="0"/>
        <v/>
      </c>
      <c r="G36" s="16" t="str">
        <f t="shared" si="1"/>
        <v/>
      </c>
      <c r="H36" s="51" t="str">
        <f t="shared" si="2"/>
        <v/>
      </c>
      <c r="I36" s="54"/>
      <c r="J36" s="44">
        <f t="shared" si="6"/>
        <v>37793</v>
      </c>
      <c r="K36" s="45">
        <v>28</v>
      </c>
      <c r="L36" s="90">
        <f t="shared" si="3"/>
        <v>1.7053875875314754E-2</v>
      </c>
      <c r="M36" s="46">
        <f t="shared" si="7"/>
        <v>4.4131364833405974E-3</v>
      </c>
      <c r="N36" s="76">
        <v>4.4131364833405974E-3</v>
      </c>
      <c r="O36" s="89">
        <f t="shared" si="4"/>
        <v>4.4131364833405974E-3</v>
      </c>
      <c r="P36" s="48"/>
      <c r="Q36" s="1">
        <v>1.6627836578475143E-2</v>
      </c>
      <c r="R36" s="49">
        <v>37802</v>
      </c>
      <c r="S36" s="92"/>
    </row>
    <row r="37" spans="2:26" x14ac:dyDescent="0.25">
      <c r="B37" s="49"/>
      <c r="C37" s="79"/>
      <c r="D37" s="86" t="str">
        <f t="shared" si="5"/>
        <v/>
      </c>
      <c r="E37" s="81"/>
      <c r="F37" s="50" t="str">
        <f t="shared" si="0"/>
        <v/>
      </c>
      <c r="G37" s="16" t="str">
        <f t="shared" si="1"/>
        <v/>
      </c>
      <c r="H37" s="51" t="str">
        <f t="shared" si="2"/>
        <v/>
      </c>
      <c r="I37" s="54"/>
      <c r="J37" s="44">
        <f t="shared" si="6"/>
        <v>37794</v>
      </c>
      <c r="K37" s="45">
        <v>29</v>
      </c>
      <c r="L37" s="90">
        <f t="shared" si="3"/>
        <v>2.0689924681449409E-2</v>
      </c>
      <c r="M37" s="46">
        <f t="shared" si="7"/>
        <v>6.2772681143683619E-3</v>
      </c>
      <c r="N37" s="76">
        <v>6.2772681143683619E-3</v>
      </c>
      <c r="O37" s="89">
        <f t="shared" si="4"/>
        <v>6.2772681143683619E-3</v>
      </c>
      <c r="P37" s="48"/>
      <c r="Q37" s="1">
        <v>2.0232149587218227E-2</v>
      </c>
      <c r="R37" s="49">
        <v>37803</v>
      </c>
      <c r="S37" s="92">
        <v>0.17699999999999999</v>
      </c>
    </row>
    <row r="38" spans="2:26" x14ac:dyDescent="0.25">
      <c r="B38" s="49"/>
      <c r="C38" s="79"/>
      <c r="D38" s="86" t="str">
        <f t="shared" si="5"/>
        <v/>
      </c>
      <c r="E38" s="81"/>
      <c r="F38" s="50" t="str">
        <f t="shared" si="0"/>
        <v/>
      </c>
      <c r="G38" s="16" t="str">
        <f t="shared" si="1"/>
        <v/>
      </c>
      <c r="H38" s="51" t="str">
        <f t="shared" si="2"/>
        <v/>
      </c>
      <c r="I38" s="54"/>
      <c r="J38" s="44">
        <f t="shared" si="6"/>
        <v>37795</v>
      </c>
      <c r="K38" s="45">
        <v>30</v>
      </c>
      <c r="L38" s="90">
        <f t="shared" si="3"/>
        <v>2.5081432246389319E-2</v>
      </c>
      <c r="M38" s="46">
        <f t="shared" si="7"/>
        <v>8.9217622649491162E-3</v>
      </c>
      <c r="N38" s="76">
        <v>8.9217622649491162E-3</v>
      </c>
      <c r="O38" s="89">
        <f t="shared" si="4"/>
        <v>8.9217622649491162E-3</v>
      </c>
      <c r="P38" s="48"/>
      <c r="Q38" s="1">
        <v>2.4598204014952465E-2</v>
      </c>
      <c r="R38" s="49">
        <v>37804</v>
      </c>
      <c r="S38" s="92"/>
    </row>
    <row r="39" spans="2:26" x14ac:dyDescent="0.25">
      <c r="B39" s="49"/>
      <c r="C39" s="79"/>
      <c r="D39" s="86" t="str">
        <f t="shared" si="5"/>
        <v/>
      </c>
      <c r="E39" s="81"/>
      <c r="F39" s="50" t="str">
        <f t="shared" si="0"/>
        <v/>
      </c>
      <c r="G39" s="16" t="str">
        <f t="shared" si="1"/>
        <v/>
      </c>
      <c r="H39" s="51" t="str">
        <f t="shared" si="2"/>
        <v/>
      </c>
      <c r="I39" s="54"/>
      <c r="J39" s="44">
        <f t="shared" si="6"/>
        <v>37796</v>
      </c>
      <c r="K39" s="45">
        <v>31</v>
      </c>
      <c r="L39" s="90">
        <f t="shared" si="3"/>
        <v>3.0376140200346863E-2</v>
      </c>
      <c r="M39" s="46">
        <f t="shared" si="7"/>
        <v>1.2666131545885561E-2</v>
      </c>
      <c r="N39" s="76">
        <v>1.2666131545885561E-2</v>
      </c>
      <c r="O39" s="89">
        <f t="shared" si="4"/>
        <v>1.2666131545885561E-2</v>
      </c>
      <c r="P39" s="48"/>
      <c r="Q39" s="1">
        <v>2.9877711971165448E-2</v>
      </c>
      <c r="R39" s="49">
        <v>37805</v>
      </c>
      <c r="S39" s="92"/>
    </row>
    <row r="40" spans="2:26" x14ac:dyDescent="0.25">
      <c r="B40" s="49"/>
      <c r="C40" s="79"/>
      <c r="D40" s="86" t="str">
        <f t="shared" si="5"/>
        <v/>
      </c>
      <c r="E40" s="81"/>
      <c r="F40" s="50" t="str">
        <f t="shared" si="0"/>
        <v/>
      </c>
      <c r="G40" s="16" t="str">
        <f t="shared" si="1"/>
        <v/>
      </c>
      <c r="H40" s="51" t="str">
        <f t="shared" si="2"/>
        <v/>
      </c>
      <c r="I40" s="54"/>
      <c r="J40" s="44">
        <f t="shared" si="6"/>
        <v>37797</v>
      </c>
      <c r="K40" s="45">
        <v>32</v>
      </c>
      <c r="L40" s="90">
        <f t="shared" si="3"/>
        <v>3.6746435970581054E-2</v>
      </c>
      <c r="M40" s="46">
        <f t="shared" si="7"/>
        <v>1.7953505605503725E-2</v>
      </c>
      <c r="N40" s="76">
        <v>1.7953505605503725E-2</v>
      </c>
      <c r="O40" s="89">
        <f t="shared" si="4"/>
        <v>1.7953505605503725E-2</v>
      </c>
      <c r="P40" s="48"/>
      <c r="Q40" s="1">
        <v>3.624824956962025E-2</v>
      </c>
      <c r="R40" s="49">
        <v>37806</v>
      </c>
      <c r="S40" s="92"/>
    </row>
    <row r="41" spans="2:26" x14ac:dyDescent="0.25">
      <c r="B41" s="49"/>
      <c r="C41" s="79"/>
      <c r="D41" s="86" t="str">
        <f t="shared" si="5"/>
        <v/>
      </c>
      <c r="E41" s="81"/>
      <c r="F41" s="50" t="str">
        <f t="shared" ref="F41:F65" si="11">IF(B41&lt;&gt;0,$G$3/(1+EXP(-$G$4*(D41-$G$5))),"")</f>
        <v/>
      </c>
      <c r="G41" s="16" t="str">
        <f t="shared" ref="G41:G65" si="12">IF(B41&lt;&gt;0,E41-F41,"")</f>
        <v/>
      </c>
      <c r="H41" s="51" t="str">
        <f t="shared" ref="H41:H65" si="13">IF(B41&lt;&gt;0,C41*(G41)^2,"")</f>
        <v/>
      </c>
      <c r="I41" s="54"/>
      <c r="J41" s="44">
        <f t="shared" si="6"/>
        <v>37798</v>
      </c>
      <c r="K41" s="45">
        <v>33</v>
      </c>
      <c r="L41" s="90">
        <f t="shared" ref="L41:L72" si="14">$G$3/(1+EXP(-$G$4*(K41-$G$5)))</f>
        <v>4.4391508453304682E-2</v>
      </c>
      <c r="M41" s="46">
        <f t="shared" si="7"/>
        <v>2.5391289272607597E-2</v>
      </c>
      <c r="N41" s="76">
        <v>2.5391289272607597E-2</v>
      </c>
      <c r="O41" s="89">
        <f t="shared" ref="O41:O72" si="15">IF(N41=M41,N41,M41)</f>
        <v>2.5391289272607597E-2</v>
      </c>
      <c r="P41" s="48"/>
      <c r="Q41" s="1">
        <v>4.3915626721520266E-2</v>
      </c>
      <c r="R41" s="49">
        <v>37807</v>
      </c>
      <c r="S41" s="92">
        <v>0.21199999999999999</v>
      </c>
    </row>
    <row r="42" spans="2:26" x14ac:dyDescent="0.25">
      <c r="B42" s="49"/>
      <c r="C42" s="79"/>
      <c r="D42" s="86" t="str">
        <f t="shared" si="5"/>
        <v/>
      </c>
      <c r="E42" s="81"/>
      <c r="F42" s="50" t="str">
        <f t="shared" si="11"/>
        <v/>
      </c>
      <c r="G42" s="16" t="str">
        <f t="shared" si="12"/>
        <v/>
      </c>
      <c r="H42" s="51" t="str">
        <f t="shared" si="13"/>
        <v/>
      </c>
      <c r="I42" s="54"/>
      <c r="J42" s="44">
        <f t="shared" ref="J42:J73" si="16">J41+1</f>
        <v>37799</v>
      </c>
      <c r="K42" s="45">
        <v>34</v>
      </c>
      <c r="L42" s="90">
        <f t="shared" si="14"/>
        <v>5.3538728659080159E-2</v>
      </c>
      <c r="M42" s="46">
        <f t="shared" si="7"/>
        <v>3.5798078010252969E-2</v>
      </c>
      <c r="N42" s="76">
        <v>3.5798078010252969E-2</v>
      </c>
      <c r="O42" s="89">
        <f t="shared" si="15"/>
        <v>3.5798078010252969E-2</v>
      </c>
      <c r="P42" s="48"/>
      <c r="Q42" s="1">
        <v>5.3115454143665003E-2</v>
      </c>
      <c r="R42" s="49">
        <v>37808</v>
      </c>
      <c r="S42" s="92"/>
    </row>
    <row r="43" spans="2:26" x14ac:dyDescent="0.25">
      <c r="B43" s="49"/>
      <c r="C43" s="79"/>
      <c r="D43" s="86" t="str">
        <f t="shared" si="5"/>
        <v/>
      </c>
      <c r="E43" s="81"/>
      <c r="F43" s="50" t="str">
        <f t="shared" si="11"/>
        <v/>
      </c>
      <c r="G43" s="16" t="str">
        <f t="shared" si="12"/>
        <v/>
      </c>
      <c r="H43" s="51" t="str">
        <f t="shared" si="13"/>
        <v/>
      </c>
      <c r="I43" s="54"/>
      <c r="J43" s="44">
        <f t="shared" si="16"/>
        <v>37800</v>
      </c>
      <c r="K43" s="45">
        <v>35</v>
      </c>
      <c r="L43" s="90">
        <f t="shared" si="14"/>
        <v>6.4443695952991653E-2</v>
      </c>
      <c r="M43" s="46">
        <f t="shared" si="7"/>
        <v>5.0250242425127004E-2</v>
      </c>
      <c r="N43" s="76">
        <v>5.0250242425127004E-2</v>
      </c>
      <c r="O43" s="89">
        <f t="shared" si="15"/>
        <v>5.0250242425127004E-2</v>
      </c>
      <c r="P43" s="48"/>
      <c r="Q43" s="1">
        <v>6.4113302836932173E-2</v>
      </c>
      <c r="R43" s="49">
        <v>37809</v>
      </c>
      <c r="S43" s="92"/>
    </row>
    <row r="44" spans="2:26" x14ac:dyDescent="0.25">
      <c r="B44" s="49"/>
      <c r="C44" s="79"/>
      <c r="D44" s="86" t="str">
        <f t="shared" si="5"/>
        <v/>
      </c>
      <c r="E44" s="81"/>
      <c r="F44" s="50" t="str">
        <f t="shared" si="11"/>
        <v/>
      </c>
      <c r="G44" s="16" t="str">
        <f t="shared" si="12"/>
        <v/>
      </c>
      <c r="H44" s="51" t="str">
        <f t="shared" si="13"/>
        <v/>
      </c>
      <c r="I44" s="54"/>
      <c r="J44" s="44">
        <f t="shared" si="16"/>
        <v>37801</v>
      </c>
      <c r="K44" s="45">
        <v>36</v>
      </c>
      <c r="L44" s="90">
        <f t="shared" si="14"/>
        <v>7.7388212137128543E-2</v>
      </c>
      <c r="M44" s="46">
        <f t="shared" si="7"/>
        <v>7.0112677039206914E-2</v>
      </c>
      <c r="N44" s="76">
        <v>7.0112677039206914E-2</v>
      </c>
      <c r="O44" s="89">
        <f t="shared" si="15"/>
        <v>7.0112677039206914E-2</v>
      </c>
      <c r="P44" s="48"/>
      <c r="Q44" s="1">
        <v>7.72026520734653E-2</v>
      </c>
      <c r="R44" s="49">
        <v>37810</v>
      </c>
      <c r="S44" s="92">
        <v>0.216</v>
      </c>
      <c r="X44" s="49">
        <v>37810</v>
      </c>
      <c r="Y44" s="91">
        <v>0.216</v>
      </c>
    </row>
    <row r="45" spans="2:26" x14ac:dyDescent="0.25">
      <c r="B45" s="49"/>
      <c r="C45" s="79"/>
      <c r="D45" s="86" t="str">
        <f t="shared" si="5"/>
        <v/>
      </c>
      <c r="E45" s="81"/>
      <c r="F45" s="50" t="str">
        <f t="shared" si="11"/>
        <v/>
      </c>
      <c r="G45" s="16" t="str">
        <f t="shared" si="12"/>
        <v/>
      </c>
      <c r="H45" s="51" t="str">
        <f t="shared" si="13"/>
        <v/>
      </c>
      <c r="I45" s="54"/>
      <c r="J45" s="44">
        <f t="shared" si="16"/>
        <v>37802</v>
      </c>
      <c r="K45" s="45">
        <v>37</v>
      </c>
      <c r="L45" s="90">
        <f t="shared" si="14"/>
        <v>9.2675271243984961E-2</v>
      </c>
      <c r="M45" s="46">
        <f t="shared" si="7"/>
        <v>9.7024102357607847E-2</v>
      </c>
      <c r="N45" s="76">
        <v>9.7024102357607847E-2</v>
      </c>
      <c r="O45" s="89">
        <f t="shared" si="15"/>
        <v>9.7024102357607847E-2</v>
      </c>
      <c r="P45" s="48"/>
      <c r="Q45" s="1">
        <v>9.2699625095272714E-2</v>
      </c>
      <c r="R45" s="49">
        <v>37811</v>
      </c>
      <c r="S45" s="92"/>
      <c r="X45" s="49">
        <v>37813</v>
      </c>
      <c r="Y45" s="91">
        <v>0.48099999999999998</v>
      </c>
    </row>
    <row r="46" spans="2:26" x14ac:dyDescent="0.25">
      <c r="B46" s="49"/>
      <c r="C46" s="79"/>
      <c r="D46" s="86" t="str">
        <f t="shared" si="5"/>
        <v/>
      </c>
      <c r="E46" s="81"/>
      <c r="F46" s="50" t="str">
        <f t="shared" si="11"/>
        <v/>
      </c>
      <c r="G46" s="16" t="str">
        <f t="shared" si="12"/>
        <v/>
      </c>
      <c r="H46" s="51" t="str">
        <f t="shared" si="13"/>
        <v/>
      </c>
      <c r="I46" s="54"/>
      <c r="J46" s="44">
        <f t="shared" si="16"/>
        <v>37803</v>
      </c>
      <c r="K46" s="45">
        <v>38</v>
      </c>
      <c r="L46" s="90">
        <f t="shared" si="14"/>
        <v>0.11062002877277062</v>
      </c>
      <c r="M46" s="46">
        <f t="shared" si="7"/>
        <v>0.13278990299316346</v>
      </c>
      <c r="N46" s="76">
        <v>0.13278990299316346</v>
      </c>
      <c r="O46" s="89">
        <f t="shared" si="15"/>
        <v>0.13278990299316346</v>
      </c>
      <c r="Q46" s="4">
        <v>0.11093336918210217</v>
      </c>
      <c r="R46" s="49">
        <v>37812</v>
      </c>
      <c r="S46" s="92"/>
      <c r="X46" s="49">
        <v>37816</v>
      </c>
      <c r="Y46" s="91">
        <v>0.77300000000000002</v>
      </c>
    </row>
    <row r="47" spans="2:26" x14ac:dyDescent="0.25">
      <c r="B47" s="49"/>
      <c r="C47" s="79"/>
      <c r="D47" s="86" t="str">
        <f t="shared" si="5"/>
        <v/>
      </c>
      <c r="E47" s="81"/>
      <c r="F47" s="50" t="str">
        <f t="shared" si="11"/>
        <v/>
      </c>
      <c r="G47" s="16" t="str">
        <f t="shared" si="12"/>
        <v/>
      </c>
      <c r="H47" s="51" t="str">
        <f t="shared" si="13"/>
        <v/>
      </c>
      <c r="I47" s="54"/>
      <c r="J47" s="44">
        <f t="shared" si="16"/>
        <v>37804</v>
      </c>
      <c r="K47" s="45">
        <v>39</v>
      </c>
      <c r="L47" s="90">
        <f t="shared" si="14"/>
        <v>0.13153571480737836</v>
      </c>
      <c r="M47" s="46">
        <f t="shared" si="7"/>
        <v>0.17912459589298799</v>
      </c>
      <c r="N47" s="76">
        <v>0.17912459589298799</v>
      </c>
      <c r="O47" s="89">
        <f t="shared" si="15"/>
        <v>0.17912459589298799</v>
      </c>
      <c r="Q47" s="4">
        <v>0.13223093333791724</v>
      </c>
      <c r="R47" s="49">
        <v>37813</v>
      </c>
      <c r="S47" s="92">
        <v>0.48099999999999998</v>
      </c>
      <c r="X47" s="49">
        <v>37820</v>
      </c>
      <c r="Y47" s="91">
        <v>0.70699999999999996</v>
      </c>
    </row>
    <row r="48" spans="2:26" x14ac:dyDescent="0.25">
      <c r="B48" s="49"/>
      <c r="C48" s="79"/>
      <c r="D48" s="86" t="str">
        <f t="shared" si="5"/>
        <v/>
      </c>
      <c r="E48" s="81"/>
      <c r="F48" s="50" t="str">
        <f t="shared" si="11"/>
        <v/>
      </c>
      <c r="G48" s="16" t="str">
        <f t="shared" si="12"/>
        <v/>
      </c>
      <c r="H48" s="51" t="str">
        <f t="shared" si="13"/>
        <v/>
      </c>
      <c r="I48" s="54"/>
      <c r="J48" s="44">
        <f t="shared" si="16"/>
        <v>37805</v>
      </c>
      <c r="K48" s="45">
        <v>40</v>
      </c>
      <c r="L48" s="90">
        <f t="shared" si="14"/>
        <v>0.15571368418841838</v>
      </c>
      <c r="M48" s="46">
        <f t="shared" si="7"/>
        <v>0.23720467988333704</v>
      </c>
      <c r="N48" s="76">
        <v>0.23720467988333704</v>
      </c>
      <c r="O48" s="89">
        <f t="shared" si="15"/>
        <v>0.23720467988333704</v>
      </c>
      <c r="Q48" s="4">
        <v>0.15689575096130998</v>
      </c>
      <c r="R48" s="49">
        <v>37814</v>
      </c>
      <c r="S48" s="92"/>
      <c r="X48" s="49">
        <v>37825</v>
      </c>
      <c r="Y48" s="91">
        <v>0.89200000000000002</v>
      </c>
    </row>
    <row r="49" spans="2:25" x14ac:dyDescent="0.25">
      <c r="B49" s="49"/>
      <c r="C49" s="79"/>
      <c r="D49" s="86" t="str">
        <f t="shared" si="5"/>
        <v/>
      </c>
      <c r="E49" s="81"/>
      <c r="F49" s="50" t="str">
        <f t="shared" si="11"/>
        <v/>
      </c>
      <c r="G49" s="16" t="str">
        <f t="shared" si="12"/>
        <v/>
      </c>
      <c r="H49" s="51" t="str">
        <f t="shared" si="13"/>
        <v/>
      </c>
      <c r="I49" s="54"/>
      <c r="J49" s="44">
        <f t="shared" si="16"/>
        <v>37806</v>
      </c>
      <c r="K49" s="45">
        <v>41</v>
      </c>
      <c r="L49" s="90">
        <f t="shared" si="14"/>
        <v>0.18339737163916756</v>
      </c>
      <c r="M49" s="46">
        <f t="shared" si="7"/>
        <v>0.30707218568713457</v>
      </c>
      <c r="N49" s="76">
        <v>0.30707218568713457</v>
      </c>
      <c r="O49" s="89">
        <f t="shared" si="15"/>
        <v>0.30707218568713457</v>
      </c>
      <c r="Q49" s="4">
        <v>0.1851794824455581</v>
      </c>
      <c r="R49" s="49">
        <v>37815</v>
      </c>
      <c r="S49" s="92"/>
      <c r="X49" s="49">
        <v>37832</v>
      </c>
      <c r="Y49" s="91">
        <v>0.98699999999999999</v>
      </c>
    </row>
    <row r="50" spans="2:25" x14ac:dyDescent="0.25">
      <c r="B50" s="49"/>
      <c r="C50" s="79"/>
      <c r="D50" s="86" t="str">
        <f t="shared" si="5"/>
        <v/>
      </c>
      <c r="E50" s="81"/>
      <c r="F50" s="50" t="str">
        <f t="shared" si="11"/>
        <v/>
      </c>
      <c r="G50" s="16" t="str">
        <f t="shared" si="12"/>
        <v/>
      </c>
      <c r="H50" s="51" t="str">
        <f t="shared" si="13"/>
        <v/>
      </c>
      <c r="I50" s="54"/>
      <c r="J50" s="44">
        <f t="shared" si="16"/>
        <v>37807</v>
      </c>
      <c r="K50" s="45">
        <v>42</v>
      </c>
      <c r="L50" s="90">
        <f t="shared" si="14"/>
        <v>0.21475093590520525</v>
      </c>
      <c r="M50" s="46">
        <f t="shared" si="7"/>
        <v>0.38707606622199253</v>
      </c>
      <c r="N50" s="76">
        <v>0.38707606622199253</v>
      </c>
      <c r="O50" s="89">
        <f t="shared" si="15"/>
        <v>0.38707606622199253</v>
      </c>
      <c r="Q50" s="4">
        <v>0.21724812306999194</v>
      </c>
      <c r="R50" s="49">
        <v>37816</v>
      </c>
      <c r="S50" s="92">
        <v>0.77300000000000002</v>
      </c>
    </row>
    <row r="51" spans="2:25" x14ac:dyDescent="0.25">
      <c r="B51" s="49"/>
      <c r="C51" s="79"/>
      <c r="D51" s="86" t="str">
        <f t="shared" si="5"/>
        <v/>
      </c>
      <c r="E51" s="81"/>
      <c r="F51" s="50" t="str">
        <f t="shared" si="11"/>
        <v/>
      </c>
      <c r="G51" s="16" t="str">
        <f t="shared" si="12"/>
        <v/>
      </c>
      <c r="H51" s="51" t="str">
        <f t="shared" si="13"/>
        <v/>
      </c>
      <c r="I51" s="54"/>
      <c r="J51" s="44">
        <f t="shared" si="16"/>
        <v>37808</v>
      </c>
      <c r="K51" s="45">
        <v>43</v>
      </c>
      <c r="L51" s="90">
        <f t="shared" si="14"/>
        <v>0.24982484141927366</v>
      </c>
      <c r="M51" s="46">
        <f t="shared" si="7"/>
        <v>0.47367530224191001</v>
      </c>
      <c r="N51" s="76">
        <v>0.47367530224191001</v>
      </c>
      <c r="O51" s="89">
        <f t="shared" si="15"/>
        <v>0.47367530224191001</v>
      </c>
      <c r="Q51" s="4">
        <v>0.25314493902860469</v>
      </c>
      <c r="R51" s="49">
        <v>37817</v>
      </c>
      <c r="S51" s="92"/>
      <c r="X51" s="49"/>
      <c r="Y51" s="91"/>
    </row>
    <row r="52" spans="2:25" x14ac:dyDescent="0.25">
      <c r="B52" s="49"/>
      <c r="C52" s="79"/>
      <c r="D52" s="86" t="str">
        <f t="shared" si="5"/>
        <v/>
      </c>
      <c r="E52" s="81"/>
      <c r="F52" s="50" t="str">
        <f t="shared" si="11"/>
        <v/>
      </c>
      <c r="G52" s="16" t="str">
        <f t="shared" si="12"/>
        <v/>
      </c>
      <c r="H52" s="51" t="str">
        <f t="shared" si="13"/>
        <v/>
      </c>
      <c r="I52" s="54"/>
      <c r="J52" s="44">
        <f t="shared" si="16"/>
        <v>37809</v>
      </c>
      <c r="K52" s="45">
        <v>44</v>
      </c>
      <c r="L52" s="90">
        <f t="shared" si="14"/>
        <v>0.28852237204419506</v>
      </c>
      <c r="M52" s="46">
        <f t="shared" si="7"/>
        <v>0.56188779335925654</v>
      </c>
      <c r="N52" s="76">
        <v>0.56188779335925654</v>
      </c>
      <c r="O52" s="89">
        <f t="shared" si="15"/>
        <v>0.56188779335925654</v>
      </c>
      <c r="Q52" s="4">
        <v>0.29275475741502793</v>
      </c>
      <c r="R52" s="49">
        <v>37818</v>
      </c>
      <c r="S52" s="92"/>
      <c r="X52" s="49"/>
      <c r="Y52" s="91"/>
    </row>
    <row r="53" spans="2:25" x14ac:dyDescent="0.25">
      <c r="B53" s="49"/>
      <c r="C53" s="79"/>
      <c r="D53" s="86" t="str">
        <f t="shared" si="5"/>
        <v/>
      </c>
      <c r="E53" s="81"/>
      <c r="F53" s="50" t="str">
        <f t="shared" si="11"/>
        <v/>
      </c>
      <c r="G53" s="16" t="str">
        <f t="shared" si="12"/>
        <v/>
      </c>
      <c r="H53" s="51" t="str">
        <f t="shared" si="13"/>
        <v/>
      </c>
      <c r="I53" s="54"/>
      <c r="J53" s="44">
        <f t="shared" si="16"/>
        <v>37810</v>
      </c>
      <c r="K53" s="45">
        <v>45</v>
      </c>
      <c r="L53" s="90">
        <f t="shared" si="14"/>
        <v>0.33057269179091786</v>
      </c>
      <c r="M53" s="46">
        <f t="shared" si="7"/>
        <v>0.64635389784882469</v>
      </c>
      <c r="N53" s="75">
        <v>0.64635389784882469</v>
      </c>
      <c r="O53" s="89">
        <f t="shared" si="15"/>
        <v>0.64635389784882469</v>
      </c>
      <c r="Q53" s="4">
        <v>0.33577592018640684</v>
      </c>
      <c r="R53" s="49">
        <v>37819</v>
      </c>
      <c r="S53" s="92"/>
      <c r="X53" s="49"/>
      <c r="Y53" s="91"/>
    </row>
    <row r="54" spans="2:25" x14ac:dyDescent="0.25">
      <c r="B54" s="49"/>
      <c r="C54" s="79"/>
      <c r="D54" s="86" t="str">
        <f t="shared" si="5"/>
        <v/>
      </c>
      <c r="E54" s="81"/>
      <c r="F54" s="50" t="str">
        <f t="shared" si="11"/>
        <v/>
      </c>
      <c r="G54" s="16" t="str">
        <f t="shared" si="12"/>
        <v/>
      </c>
      <c r="H54" s="51" t="str">
        <f t="shared" si="13"/>
        <v/>
      </c>
      <c r="I54" s="54"/>
      <c r="J54" s="44">
        <f t="shared" si="16"/>
        <v>37811</v>
      </c>
      <c r="K54" s="45">
        <v>46</v>
      </c>
      <c r="L54" s="90">
        <f t="shared" si="14"/>
        <v>0.37551693030931088</v>
      </c>
      <c r="M54" s="46">
        <f t="shared" si="7"/>
        <v>0.72257565187378159</v>
      </c>
      <c r="N54" s="75">
        <v>0.72257565187378159</v>
      </c>
      <c r="O54" s="89">
        <f t="shared" si="15"/>
        <v>0.72257565187378159</v>
      </c>
      <c r="Q54" s="4">
        <v>0.3817070776941604</v>
      </c>
      <c r="R54" s="49">
        <v>37820</v>
      </c>
      <c r="S54" s="92">
        <v>0.70699999999999996</v>
      </c>
    </row>
    <row r="55" spans="2:25" x14ac:dyDescent="0.25">
      <c r="B55" s="49"/>
      <c r="C55" s="79"/>
      <c r="D55" s="86" t="str">
        <f t="shared" si="5"/>
        <v/>
      </c>
      <c r="E55" s="81"/>
      <c r="F55" s="50" t="str">
        <f t="shared" si="11"/>
        <v/>
      </c>
      <c r="G55" s="16" t="str">
        <f t="shared" si="12"/>
        <v/>
      </c>
      <c r="H55" s="51" t="str">
        <f t="shared" si="13"/>
        <v/>
      </c>
      <c r="I55" s="54"/>
      <c r="J55" s="44">
        <f t="shared" si="16"/>
        <v>37812</v>
      </c>
      <c r="K55" s="45">
        <v>47</v>
      </c>
      <c r="L55" s="90">
        <f t="shared" si="14"/>
        <v>0.42271318582697831</v>
      </c>
      <c r="M55" s="46">
        <f t="shared" si="7"/>
        <v>0.67992615512835608</v>
      </c>
      <c r="N55" s="76">
        <v>0.67992615512835608</v>
      </c>
      <c r="O55" s="89">
        <f t="shared" si="15"/>
        <v>0.67992615512835608</v>
      </c>
      <c r="Q55" s="4">
        <v>0.42985515834963317</v>
      </c>
      <c r="R55" s="49">
        <v>37821</v>
      </c>
      <c r="S55" s="92"/>
      <c r="X55" s="49"/>
      <c r="Y55" s="91"/>
    </row>
    <row r="56" spans="2:25" x14ac:dyDescent="0.25">
      <c r="B56" s="49"/>
      <c r="C56" s="79"/>
      <c r="D56" s="86" t="str">
        <f t="shared" si="5"/>
        <v/>
      </c>
      <c r="E56" s="81"/>
      <c r="F56" s="50" t="str">
        <f t="shared" si="11"/>
        <v/>
      </c>
      <c r="G56" s="16" t="str">
        <f t="shared" si="12"/>
        <v/>
      </c>
      <c r="H56" s="51" t="str">
        <f t="shared" si="13"/>
        <v/>
      </c>
      <c r="I56" s="54"/>
      <c r="J56" s="44">
        <f t="shared" si="16"/>
        <v>37813</v>
      </c>
      <c r="K56" s="45">
        <v>48</v>
      </c>
      <c r="L56" s="90">
        <f t="shared" si="14"/>
        <v>0.47136387704819582</v>
      </c>
      <c r="M56" s="46">
        <f t="shared" si="7"/>
        <v>0.73462826392623781</v>
      </c>
      <c r="N56" s="76">
        <v>0.73462826392623781</v>
      </c>
      <c r="O56" s="89">
        <f t="shared" si="15"/>
        <v>0.73462826392623781</v>
      </c>
      <c r="Q56" s="4">
        <v>0.47936786629286093</v>
      </c>
      <c r="R56" s="49">
        <v>37822</v>
      </c>
      <c r="S56" s="92"/>
      <c r="X56" s="49"/>
      <c r="Y56" s="91"/>
    </row>
    <row r="57" spans="2:25" x14ac:dyDescent="0.25">
      <c r="B57" s="49"/>
      <c r="C57" s="79"/>
      <c r="D57" s="86" t="str">
        <f t="shared" si="5"/>
        <v/>
      </c>
      <c r="E57" s="81"/>
      <c r="F57" s="50" t="str">
        <f t="shared" si="11"/>
        <v/>
      </c>
      <c r="G57" s="16" t="str">
        <f t="shared" si="12"/>
        <v/>
      </c>
      <c r="H57" s="51" t="str">
        <f t="shared" si="13"/>
        <v/>
      </c>
      <c r="I57" s="54"/>
      <c r="J57" s="44">
        <f t="shared" si="16"/>
        <v>37814</v>
      </c>
      <c r="K57" s="45">
        <v>49</v>
      </c>
      <c r="L57" s="90">
        <f t="shared" si="14"/>
        <v>0.52056473301063311</v>
      </c>
      <c r="M57" s="46">
        <f t="shared" si="7"/>
        <v>0.78296570483334704</v>
      </c>
      <c r="N57" s="76">
        <v>0.78296570483334704</v>
      </c>
      <c r="O57" s="89">
        <f t="shared" si="15"/>
        <v>0.78296570483334704</v>
      </c>
      <c r="Q57" s="4">
        <v>0.52928924873066352</v>
      </c>
      <c r="R57" s="49">
        <v>37823</v>
      </c>
      <c r="S57" s="92"/>
      <c r="X57" s="49"/>
      <c r="Y57" s="91"/>
    </row>
    <row r="58" spans="2:25" x14ac:dyDescent="0.25">
      <c r="B58" s="49"/>
      <c r="C58" s="79"/>
      <c r="D58" s="86" t="str">
        <f t="shared" si="5"/>
        <v/>
      </c>
      <c r="E58" s="81"/>
      <c r="F58" s="50" t="str">
        <f t="shared" si="11"/>
        <v/>
      </c>
      <c r="G58" s="16" t="str">
        <f t="shared" si="12"/>
        <v/>
      </c>
      <c r="H58" s="51" t="str">
        <f t="shared" si="13"/>
        <v/>
      </c>
      <c r="I58" s="54"/>
      <c r="J58" s="44">
        <f t="shared" si="16"/>
        <v>37815</v>
      </c>
      <c r="K58" s="45">
        <v>50</v>
      </c>
      <c r="L58" s="90">
        <f t="shared" si="14"/>
        <v>0.56936987029593977</v>
      </c>
      <c r="M58" s="46">
        <f t="shared" si="7"/>
        <v>0.82460067927314873</v>
      </c>
      <c r="N58" s="75">
        <v>0.82460067927314873</v>
      </c>
      <c r="O58" s="89">
        <f t="shared" si="15"/>
        <v>0.82460067927314873</v>
      </c>
      <c r="Q58" s="4">
        <v>0.57863147408369076</v>
      </c>
      <c r="R58" s="49">
        <v>37824</v>
      </c>
      <c r="S58" s="92"/>
      <c r="X58" s="49"/>
      <c r="Y58" s="91"/>
    </row>
    <row r="59" spans="2:25" x14ac:dyDescent="0.25">
      <c r="B59" s="49"/>
      <c r="C59" s="79"/>
      <c r="D59" s="86" t="str">
        <f t="shared" si="5"/>
        <v/>
      </c>
      <c r="E59" s="81"/>
      <c r="F59" s="50" t="str">
        <f t="shared" si="11"/>
        <v/>
      </c>
      <c r="G59" s="16" t="str">
        <f t="shared" si="12"/>
        <v/>
      </c>
      <c r="H59" s="51" t="str">
        <f t="shared" si="13"/>
        <v/>
      </c>
      <c r="I59" s="54"/>
      <c r="J59" s="44">
        <f t="shared" si="16"/>
        <v>37816</v>
      </c>
      <c r="K59" s="45">
        <v>51</v>
      </c>
      <c r="L59" s="90">
        <f t="shared" si="14"/>
        <v>0.61686340572559062</v>
      </c>
      <c r="M59" s="46">
        <f t="shared" si="7"/>
        <v>0.85967998350172414</v>
      </c>
      <c r="N59" s="75">
        <v>0.85967998350172414</v>
      </c>
      <c r="O59" s="89">
        <f t="shared" si="15"/>
        <v>0.85967998350172414</v>
      </c>
      <c r="Q59" s="4">
        <v>0.62645177427350185</v>
      </c>
      <c r="R59" s="49">
        <v>37825</v>
      </c>
      <c r="S59" s="92">
        <v>0.89200000000000002</v>
      </c>
    </row>
    <row r="60" spans="2:25" x14ac:dyDescent="0.25">
      <c r="B60" s="49"/>
      <c r="C60" s="79"/>
      <c r="D60" s="86" t="str">
        <f t="shared" si="5"/>
        <v/>
      </c>
      <c r="E60" s="81"/>
      <c r="F60" s="50" t="str">
        <f t="shared" si="11"/>
        <v/>
      </c>
      <c r="G60" s="16" t="str">
        <f t="shared" si="12"/>
        <v/>
      </c>
      <c r="H60" s="51" t="str">
        <f t="shared" si="13"/>
        <v/>
      </c>
      <c r="I60" s="54"/>
      <c r="J60" s="44">
        <f t="shared" si="16"/>
        <v>37817</v>
      </c>
      <c r="K60" s="45">
        <v>52</v>
      </c>
      <c r="L60" s="90">
        <f t="shared" si="14"/>
        <v>0.66222634293750759</v>
      </c>
      <c r="M60" s="46">
        <f t="shared" si="7"/>
        <v>0.8886905657803027</v>
      </c>
      <c r="N60" s="76">
        <v>0.8886905657803027</v>
      </c>
      <c r="O60" s="89">
        <f t="shared" si="15"/>
        <v>0.8886905657803027</v>
      </c>
      <c r="Q60" s="4">
        <v>0.6719221112063114</v>
      </c>
      <c r="R60" s="49">
        <v>37826</v>
      </c>
      <c r="S60" s="92"/>
      <c r="X60" s="49"/>
      <c r="Y60" s="91"/>
    </row>
    <row r="61" spans="2:25" x14ac:dyDescent="0.25">
      <c r="B61" s="49"/>
      <c r="C61" s="79"/>
      <c r="D61" s="86" t="str">
        <f t="shared" si="5"/>
        <v/>
      </c>
      <c r="E61" s="81"/>
      <c r="F61" s="50" t="str">
        <f t="shared" si="11"/>
        <v/>
      </c>
      <c r="G61" s="16" t="str">
        <f t="shared" si="12"/>
        <v/>
      </c>
      <c r="H61" s="51" t="str">
        <f t="shared" si="13"/>
        <v/>
      </c>
      <c r="I61" s="54"/>
      <c r="J61" s="44">
        <f t="shared" si="16"/>
        <v>37818</v>
      </c>
      <c r="K61" s="45">
        <v>53</v>
      </c>
      <c r="L61" s="90">
        <f t="shared" si="14"/>
        <v>0.70478871224274076</v>
      </c>
      <c r="M61" s="46">
        <f t="shared" si="7"/>
        <v>0.91231509064301375</v>
      </c>
      <c r="N61" s="75">
        <v>0.91231509064301375</v>
      </c>
      <c r="O61" s="89">
        <f t="shared" si="15"/>
        <v>0.91231509064301375</v>
      </c>
      <c r="Q61" s="4">
        <v>0.71438108258813315</v>
      </c>
      <c r="R61" s="49">
        <v>37827</v>
      </c>
      <c r="S61" s="92"/>
      <c r="X61" s="49"/>
      <c r="Y61" s="91"/>
    </row>
    <row r="62" spans="2:25" x14ac:dyDescent="0.25">
      <c r="B62" s="49"/>
      <c r="C62" s="79"/>
      <c r="D62" s="86" t="str">
        <f t="shared" si="5"/>
        <v/>
      </c>
      <c r="E62" s="81"/>
      <c r="F62" s="50" t="str">
        <f t="shared" si="11"/>
        <v/>
      </c>
      <c r="G62" s="16" t="str">
        <f t="shared" si="12"/>
        <v/>
      </c>
      <c r="H62" s="51" t="str">
        <f t="shared" si="13"/>
        <v/>
      </c>
      <c r="I62" s="54"/>
      <c r="J62" s="44">
        <f t="shared" si="16"/>
        <v>37819</v>
      </c>
      <c r="K62" s="45">
        <v>54</v>
      </c>
      <c r="L62" s="90">
        <f t="shared" si="14"/>
        <v>0.74406065435090551</v>
      </c>
      <c r="M62" s="46">
        <f t="shared" si="7"/>
        <v>0.93131304287865924</v>
      </c>
      <c r="N62" s="75">
        <v>0.93131304287865924</v>
      </c>
      <c r="O62" s="89">
        <f t="shared" si="15"/>
        <v>0.93131304287865924</v>
      </c>
      <c r="Q62" s="4">
        <v>0.75336211213144844</v>
      </c>
      <c r="R62" s="49">
        <v>37828</v>
      </c>
      <c r="S62" s="92"/>
      <c r="X62" s="49"/>
      <c r="Y62" s="91"/>
    </row>
    <row r="63" spans="2:25" x14ac:dyDescent="0.25">
      <c r="B63" s="49"/>
      <c r="C63" s="79"/>
      <c r="D63" s="86" t="str">
        <f t="shared" si="5"/>
        <v/>
      </c>
      <c r="E63" s="81"/>
      <c r="F63" s="50" t="str">
        <f t="shared" si="11"/>
        <v/>
      </c>
      <c r="G63" s="16" t="str">
        <f t="shared" si="12"/>
        <v/>
      </c>
      <c r="H63" s="51" t="str">
        <f t="shared" si="13"/>
        <v/>
      </c>
      <c r="I63" s="54"/>
      <c r="J63" s="44">
        <f t="shared" si="16"/>
        <v>37820</v>
      </c>
      <c r="K63" s="45">
        <v>55</v>
      </c>
      <c r="L63" s="90">
        <f t="shared" si="14"/>
        <v>0.77974095289698142</v>
      </c>
      <c r="M63" s="46">
        <f t="shared" si="7"/>
        <v>0.94643653282667362</v>
      </c>
      <c r="N63" s="75">
        <v>0.94643653282667362</v>
      </c>
      <c r="O63" s="89">
        <f t="shared" si="15"/>
        <v>0.94643653282667362</v>
      </c>
      <c r="Q63" s="4">
        <v>0.78859738904460508</v>
      </c>
      <c r="R63" s="49">
        <v>37829</v>
      </c>
      <c r="S63" s="92"/>
      <c r="X63" s="49"/>
      <c r="Y63" s="91"/>
    </row>
    <row r="64" spans="2:25" ht="16.5" thickBot="1" x14ac:dyDescent="0.3">
      <c r="B64" s="56"/>
      <c r="C64" s="80"/>
      <c r="D64" s="87" t="str">
        <f t="shared" si="5"/>
        <v/>
      </c>
      <c r="E64" s="82"/>
      <c r="F64" s="50" t="str">
        <f t="shared" si="11"/>
        <v/>
      </c>
      <c r="G64" s="16" t="str">
        <f t="shared" si="12"/>
        <v/>
      </c>
      <c r="H64" s="51" t="str">
        <f t="shared" si="13"/>
        <v/>
      </c>
      <c r="I64" s="54"/>
      <c r="J64" s="44">
        <f t="shared" si="16"/>
        <v>37821</v>
      </c>
      <c r="K64" s="45">
        <v>56</v>
      </c>
      <c r="L64" s="90">
        <f t="shared" si="14"/>
        <v>0.81170586540528222</v>
      </c>
      <c r="M64" s="46">
        <f t="shared" si="7"/>
        <v>0.95837894884125729</v>
      </c>
      <c r="N64" s="76">
        <v>0.95837894884125729</v>
      </c>
      <c r="O64" s="89">
        <f t="shared" si="15"/>
        <v>0.95837894884125729</v>
      </c>
      <c r="Q64" s="4">
        <v>0.82000157910537541</v>
      </c>
      <c r="R64" s="49">
        <v>37830</v>
      </c>
      <c r="S64" s="92"/>
      <c r="X64" s="49"/>
      <c r="Y64" s="91"/>
    </row>
    <row r="65" spans="2:25" ht="16.5" thickBot="1" x14ac:dyDescent="0.3">
      <c r="B65" s="57">
        <f>C5</f>
        <v>37833</v>
      </c>
      <c r="C65" s="58">
        <v>100</v>
      </c>
      <c r="D65" s="84">
        <f t="shared" si="5"/>
        <v>68</v>
      </c>
      <c r="E65" s="59">
        <v>1</v>
      </c>
      <c r="F65" s="60">
        <f t="shared" si="11"/>
        <v>0.97864403433681935</v>
      </c>
      <c r="G65" s="61">
        <f t="shared" si="12"/>
        <v>2.1355965663180654E-2</v>
      </c>
      <c r="H65" s="62">
        <f t="shared" si="13"/>
        <v>4.5607726940695113E-2</v>
      </c>
      <c r="I65" s="54"/>
      <c r="J65" s="44">
        <f t="shared" si="16"/>
        <v>37822</v>
      </c>
      <c r="K65" s="45">
        <v>57</v>
      </c>
      <c r="L65" s="90">
        <f t="shared" si="14"/>
        <v>0.83998387387261297</v>
      </c>
      <c r="M65" s="46">
        <f t="shared" si="7"/>
        <v>0.96774943709406713</v>
      </c>
      <c r="N65" s="75">
        <v>0.96774943709406713</v>
      </c>
      <c r="O65" s="89">
        <f t="shared" si="15"/>
        <v>0.96774943709406713</v>
      </c>
      <c r="Q65" s="4">
        <v>0.84764193896050799</v>
      </c>
      <c r="R65" s="49">
        <v>37831</v>
      </c>
      <c r="S65" s="92"/>
      <c r="X65" s="49"/>
      <c r="Y65" s="91"/>
    </row>
    <row r="66" spans="2:25" ht="16.5" thickBot="1" x14ac:dyDescent="0.3">
      <c r="B66" s="57">
        <f>A3</f>
        <v>37766</v>
      </c>
      <c r="C66" s="58">
        <v>100</v>
      </c>
      <c r="D66" s="84">
        <f>IF(B66&lt;&gt;0,B66-$A$3+1,"")</f>
        <v>1</v>
      </c>
      <c r="E66" s="59">
        <v>0</v>
      </c>
      <c r="F66" s="60">
        <f>IF(B66&lt;&gt;0,$G$3/(1+EXP(-$G$4*(D66-$G$5))),"")</f>
        <v>8.5022378766966617E-5</v>
      </c>
      <c r="G66" s="61">
        <f>IF(B66&lt;&gt;0,E66-F66,"")</f>
        <v>-8.5022378766966617E-5</v>
      </c>
      <c r="H66" s="62">
        <f>IF(B66&lt;&gt;0,C66*(G66)^2,"")</f>
        <v>7.2288048911935366E-7</v>
      </c>
      <c r="I66" s="68"/>
      <c r="J66" s="44">
        <f t="shared" si="16"/>
        <v>37823</v>
      </c>
      <c r="K66" s="45">
        <v>58</v>
      </c>
      <c r="L66" s="90">
        <f t="shared" si="14"/>
        <v>0.86472285268482063</v>
      </c>
      <c r="M66" s="46">
        <f t="shared" si="7"/>
        <v>0.97506515897383861</v>
      </c>
      <c r="N66" s="75">
        <v>0.97506515897383861</v>
      </c>
      <c r="O66" s="89">
        <f t="shared" si="15"/>
        <v>0.97506515897383861</v>
      </c>
      <c r="Q66" s="4">
        <v>0.8717019610426997</v>
      </c>
      <c r="R66" s="49">
        <v>37832</v>
      </c>
      <c r="S66" s="92">
        <v>0.98699999999999999</v>
      </c>
    </row>
    <row r="67" spans="2:25" x14ac:dyDescent="0.25">
      <c r="B67" s="63"/>
      <c r="C67" s="64"/>
      <c r="D67" s="65"/>
      <c r="E67" s="64"/>
      <c r="F67" s="66"/>
      <c r="G67" s="67"/>
      <c r="H67" s="67"/>
      <c r="I67" s="68"/>
      <c r="J67" s="44">
        <f t="shared" si="16"/>
        <v>37824</v>
      </c>
      <c r="K67" s="45">
        <v>59</v>
      </c>
      <c r="L67" s="90">
        <f t="shared" si="14"/>
        <v>0.88615548159462798</v>
      </c>
      <c r="M67" s="46">
        <f t="shared" si="7"/>
        <v>0.98075438398529091</v>
      </c>
      <c r="N67" s="76">
        <v>0.98075438398529091</v>
      </c>
      <c r="O67" s="89">
        <f t="shared" si="15"/>
        <v>0.98075438398529091</v>
      </c>
      <c r="Q67" s="4">
        <v>0.89244459206165738</v>
      </c>
    </row>
    <row r="68" spans="2:25" x14ac:dyDescent="0.25">
      <c r="B68" s="63"/>
      <c r="C68" s="64"/>
      <c r="D68" s="65"/>
      <c r="E68" s="64"/>
      <c r="F68" s="69"/>
      <c r="G68" s="67"/>
      <c r="H68" s="67"/>
      <c r="I68" s="68"/>
      <c r="J68" s="44">
        <f t="shared" si="16"/>
        <v>37825</v>
      </c>
      <c r="K68" s="45">
        <v>60</v>
      </c>
      <c r="L68" s="90">
        <f t="shared" si="14"/>
        <v>0.90456718771126388</v>
      </c>
      <c r="M68" s="46">
        <f t="shared" si="7"/>
        <v>0.98516528350488675</v>
      </c>
      <c r="N68" s="76">
        <v>0.98516528350488675</v>
      </c>
      <c r="O68" s="89">
        <f t="shared" si="15"/>
        <v>0.98516528350488675</v>
      </c>
      <c r="Q68" s="4">
        <v>0.91017920532930874</v>
      </c>
    </row>
    <row r="69" spans="2:25" x14ac:dyDescent="0.25">
      <c r="B69" s="63"/>
      <c r="C69" s="64"/>
      <c r="D69" s="65"/>
      <c r="E69" s="64"/>
      <c r="F69" s="64"/>
      <c r="G69" s="64"/>
      <c r="H69" s="64"/>
      <c r="I69" s="53"/>
      <c r="J69" s="44">
        <f t="shared" si="16"/>
        <v>37826</v>
      </c>
      <c r="K69" s="45">
        <v>61</v>
      </c>
      <c r="L69" s="90">
        <f t="shared" si="14"/>
        <v>0.92026914027090656</v>
      </c>
      <c r="M69" s="46">
        <f t="shared" si="7"/>
        <v>0.9885770241743157</v>
      </c>
      <c r="N69" s="76">
        <v>0.9885770241743157</v>
      </c>
      <c r="O69" s="89">
        <f t="shared" si="15"/>
        <v>0.9885770241743157</v>
      </c>
      <c r="Q69" s="4">
        <v>0.92523457092805417</v>
      </c>
    </row>
    <row r="70" spans="2:25" x14ac:dyDescent="0.25">
      <c r="B70" s="63"/>
      <c r="C70" s="64"/>
      <c r="D70" s="65"/>
      <c r="E70" s="64"/>
      <c r="F70" s="64"/>
      <c r="G70" s="64"/>
      <c r="H70" s="64"/>
      <c r="I70" s="53"/>
      <c r="J70" s="44">
        <f t="shared" si="16"/>
        <v>37827</v>
      </c>
      <c r="K70" s="45">
        <v>62</v>
      </c>
      <c r="L70" s="90">
        <f t="shared" si="14"/>
        <v>0.93357729395018618</v>
      </c>
      <c r="M70" s="46">
        <f t="shared" si="7"/>
        <v>0.99121112062050309</v>
      </c>
      <c r="N70" s="76">
        <v>0.99121112062050309</v>
      </c>
      <c r="O70" s="89">
        <f t="shared" si="15"/>
        <v>0.99121112062050309</v>
      </c>
      <c r="Q70" s="4">
        <v>0.93793849093008874</v>
      </c>
    </row>
    <row r="71" spans="2:25" x14ac:dyDescent="0.25">
      <c r="B71" s="63"/>
      <c r="C71" s="64"/>
      <c r="D71" s="65"/>
      <c r="E71" s="64"/>
      <c r="F71" s="64"/>
      <c r="G71" s="64"/>
      <c r="H71" s="64"/>
      <c r="I71" s="53"/>
      <c r="J71" s="44">
        <f t="shared" si="16"/>
        <v>37828</v>
      </c>
      <c r="K71" s="45">
        <v>63</v>
      </c>
      <c r="L71" s="90">
        <f t="shared" si="14"/>
        <v>0.94479738358617293</v>
      </c>
      <c r="M71" s="46">
        <f t="shared" si="7"/>
        <v>0.99324195641616453</v>
      </c>
      <c r="N71" s="76">
        <v>0.99324195641616453</v>
      </c>
      <c r="O71" s="89">
        <f t="shared" si="15"/>
        <v>0.99324195641616453</v>
      </c>
      <c r="Q71" s="4">
        <v>0.94860370829645768</v>
      </c>
    </row>
    <row r="72" spans="2:25" x14ac:dyDescent="0.25">
      <c r="B72" s="63"/>
      <c r="C72" s="64"/>
      <c r="D72" s="65"/>
      <c r="E72" s="64"/>
      <c r="F72" s="64"/>
      <c r="G72" s="64"/>
      <c r="H72" s="64"/>
      <c r="I72" s="53"/>
      <c r="J72" s="44">
        <f t="shared" si="16"/>
        <v>37829</v>
      </c>
      <c r="K72" s="45">
        <v>64</v>
      </c>
      <c r="L72" s="90">
        <f t="shared" si="14"/>
        <v>0.95421513105735634</v>
      </c>
      <c r="M72" s="46">
        <f t="shared" si="7"/>
        <v>0.99480598839313295</v>
      </c>
      <c r="N72" s="76">
        <v>0.99480598839313295</v>
      </c>
      <c r="O72" s="89">
        <f t="shared" si="15"/>
        <v>0.99480598839313295</v>
      </c>
      <c r="Q72" s="4">
        <v>0.95751912825764318</v>
      </c>
    </row>
    <row r="73" spans="2:25" x14ac:dyDescent="0.25">
      <c r="B73" s="63"/>
      <c r="C73" s="64"/>
      <c r="D73" s="65"/>
      <c r="E73" s="64"/>
      <c r="F73" s="64"/>
      <c r="G73" s="64"/>
      <c r="H73" s="64"/>
      <c r="I73" s="53"/>
      <c r="J73" s="44">
        <f t="shared" si="16"/>
        <v>37830</v>
      </c>
      <c r="K73" s="45">
        <v>65</v>
      </c>
      <c r="L73" s="90">
        <f t="shared" ref="L73:L104" si="17">$G$3/(1+EXP(-$G$4*(K73-$G$5)))</f>
        <v>0.96209064760100416</v>
      </c>
      <c r="M73" s="46">
        <f t="shared" si="7"/>
        <v>0.99600950655454856</v>
      </c>
      <c r="N73" s="77">
        <v>0.99600950655454856</v>
      </c>
      <c r="O73" s="89">
        <f t="shared" ref="O73:O104" si="18">IF(N73=M73,N73,M73)</f>
        <v>0.99600950655454856</v>
      </c>
      <c r="Q73" s="4">
        <v>0.96494519123476252</v>
      </c>
    </row>
    <row r="74" spans="2:25" x14ac:dyDescent="0.25">
      <c r="B74" s="63"/>
      <c r="C74" s="64"/>
      <c r="D74" s="65"/>
      <c r="E74" s="64"/>
      <c r="F74" s="64"/>
      <c r="G74" s="64"/>
      <c r="H74" s="64"/>
      <c r="I74" s="53"/>
      <c r="J74" s="44">
        <f t="shared" ref="J74:J107" si="19">J73+1</f>
        <v>37831</v>
      </c>
      <c r="K74" s="45">
        <v>66</v>
      </c>
      <c r="L74" s="90">
        <f t="shared" si="17"/>
        <v>0.96865598441679479</v>
      </c>
      <c r="M74" s="46">
        <f t="shared" ref="M74:M107" si="20">IF(J75&gt;MAX($B$9:$B$64),L74,N74)</f>
        <v>0.99693501353750869</v>
      </c>
      <c r="N74" s="77">
        <v>0.99693501353750869</v>
      </c>
      <c r="O74" s="89">
        <f t="shared" si="18"/>
        <v>0.99693501353750869</v>
      </c>
      <c r="Q74" s="4">
        <v>0.97111227157250635</v>
      </c>
    </row>
    <row r="75" spans="2:25" x14ac:dyDescent="0.25">
      <c r="B75" s="63"/>
      <c r="C75" s="64"/>
      <c r="D75" s="65"/>
      <c r="E75" s="64"/>
      <c r="F75" s="64"/>
      <c r="G75" s="64"/>
      <c r="H75" s="64"/>
      <c r="I75" s="53"/>
      <c r="J75" s="44">
        <f t="shared" si="19"/>
        <v>37832</v>
      </c>
      <c r="K75" s="45">
        <v>67</v>
      </c>
      <c r="L75" s="90">
        <f t="shared" si="17"/>
        <v>0.97411489396191853</v>
      </c>
      <c r="M75" s="46">
        <f t="shared" si="20"/>
        <v>0.97411489396191853</v>
      </c>
      <c r="N75" s="77">
        <v>0.99764637681040835</v>
      </c>
      <c r="O75" s="89">
        <f t="shared" si="18"/>
        <v>0.97411489396191853</v>
      </c>
      <c r="Q75" s="4">
        <v>0.97622113342645345</v>
      </c>
    </row>
    <row r="76" spans="2:25" x14ac:dyDescent="0.25">
      <c r="B76" s="63"/>
      <c r="C76" s="64"/>
      <c r="D76" s="65"/>
      <c r="E76" s="64"/>
      <c r="F76" s="64"/>
      <c r="G76" s="64"/>
      <c r="H76" s="64"/>
      <c r="I76" s="53"/>
      <c r="J76" s="44">
        <f t="shared" si="19"/>
        <v>37833</v>
      </c>
      <c r="K76" s="45">
        <v>68</v>
      </c>
      <c r="L76" s="90">
        <f t="shared" si="17"/>
        <v>0.97864403433681935</v>
      </c>
      <c r="M76" s="46">
        <f t="shared" si="20"/>
        <v>0.97864403433681935</v>
      </c>
      <c r="N76" s="77">
        <v>0.9981929365976735</v>
      </c>
      <c r="O76" s="89">
        <f t="shared" si="18"/>
        <v>0.97864403433681935</v>
      </c>
      <c r="Q76" s="4">
        <v>0.98044467529540402</v>
      </c>
    </row>
    <row r="77" spans="2:25" x14ac:dyDescent="0.25">
      <c r="B77" s="63"/>
      <c r="C77" s="64"/>
      <c r="D77" s="65"/>
      <c r="E77" s="64"/>
      <c r="F77" s="64"/>
      <c r="G77" s="64"/>
      <c r="H77" s="64"/>
      <c r="I77" s="53"/>
      <c r="J77" s="44">
        <f t="shared" si="19"/>
        <v>37834</v>
      </c>
      <c r="K77" s="45">
        <v>69</v>
      </c>
      <c r="L77" s="90">
        <f t="shared" si="17"/>
        <v>0.98239502903239084</v>
      </c>
      <c r="M77" s="46">
        <f t="shared" si="20"/>
        <v>0.98239502903239084</v>
      </c>
      <c r="N77" s="77">
        <v>0.99861275043215647</v>
      </c>
      <c r="O77" s="89">
        <f t="shared" si="18"/>
        <v>0.98239502903239084</v>
      </c>
      <c r="Q77" s="4">
        <v>0.98393039104005531</v>
      </c>
    </row>
    <row r="78" spans="2:25" x14ac:dyDescent="0.25">
      <c r="B78" s="63"/>
      <c r="C78" s="64"/>
      <c r="D78" s="65"/>
      <c r="E78" s="64"/>
      <c r="F78" s="64"/>
      <c r="G78" s="64"/>
      <c r="H78" s="64"/>
      <c r="I78" s="53"/>
      <c r="J78" s="44">
        <f t="shared" si="19"/>
        <v>37835</v>
      </c>
      <c r="K78" s="45">
        <v>70</v>
      </c>
      <c r="L78" s="90">
        <f t="shared" si="17"/>
        <v>0.98549695680056892</v>
      </c>
      <c r="M78" s="46">
        <f t="shared" si="20"/>
        <v>0.98549695680056892</v>
      </c>
      <c r="N78" s="77">
        <v>0.99893513788942956</v>
      </c>
      <c r="O78" s="89">
        <f t="shared" si="18"/>
        <v>0.98549695680056892</v>
      </c>
      <c r="Q78" s="4">
        <v>0.98680314475603537</v>
      </c>
    </row>
    <row r="79" spans="2:25" x14ac:dyDescent="0.25">
      <c r="B79" s="63"/>
      <c r="C79" s="64"/>
      <c r="D79" s="65"/>
      <c r="E79" s="64"/>
      <c r="F79" s="64"/>
      <c r="G79" s="64"/>
      <c r="H79" s="64"/>
      <c r="I79" s="53"/>
      <c r="J79" s="44">
        <f t="shared" si="19"/>
        <v>37836</v>
      </c>
      <c r="K79" s="45">
        <v>71</v>
      </c>
      <c r="L79" s="90">
        <f t="shared" si="17"/>
        <v>0.98805898018934513</v>
      </c>
      <c r="M79" s="46">
        <f t="shared" si="20"/>
        <v>0.98805898018934513</v>
      </c>
      <c r="N79" s="77">
        <v>0.99918266599299976</v>
      </c>
      <c r="O79" s="89">
        <f t="shared" si="18"/>
        <v>0.98805898018934513</v>
      </c>
      <c r="Q79" s="4">
        <v>0.98916799187083293</v>
      </c>
    </row>
    <row r="80" spans="2:25" x14ac:dyDescent="0.25">
      <c r="B80" s="63"/>
      <c r="C80" s="64"/>
      <c r="D80" s="65"/>
      <c r="E80" s="64"/>
      <c r="F80" s="64"/>
      <c r="G80" s="64"/>
      <c r="H80" s="64"/>
      <c r="I80" s="53"/>
      <c r="J80" s="44">
        <f t="shared" si="19"/>
        <v>37837</v>
      </c>
      <c r="K80" s="45">
        <v>72</v>
      </c>
      <c r="L80" s="90">
        <f t="shared" si="17"/>
        <v>0.99017292451587846</v>
      </c>
      <c r="M80" s="46">
        <f t="shared" si="20"/>
        <v>0.99017292451587846</v>
      </c>
      <c r="N80" s="77">
        <v>0.99937269211089375</v>
      </c>
      <c r="O80" s="89">
        <f t="shared" si="18"/>
        <v>0.99017292451587846</v>
      </c>
      <c r="Q80" s="4">
        <v>0.99111288014938492</v>
      </c>
    </row>
    <row r="81" spans="2:17" x14ac:dyDescent="0.25">
      <c r="B81" s="63"/>
      <c r="C81" s="64"/>
      <c r="D81" s="65"/>
      <c r="E81" s="64"/>
      <c r="F81" s="71"/>
      <c r="G81" s="64"/>
      <c r="H81" s="64"/>
      <c r="I81" s="53"/>
      <c r="J81" s="44">
        <f t="shared" si="19"/>
        <v>37838</v>
      </c>
      <c r="K81" s="45">
        <v>73</v>
      </c>
      <c r="L81" s="90">
        <f t="shared" si="17"/>
        <v>0.99191569475038088</v>
      </c>
      <c r="M81" s="46">
        <f t="shared" si="20"/>
        <v>0.99191569475038088</v>
      </c>
      <c r="N81" s="77">
        <v>0.99951855938287282</v>
      </c>
      <c r="O81" s="89">
        <f t="shared" si="18"/>
        <v>0.99191569475038088</v>
      </c>
      <c r="Q81" s="4">
        <v>0.99271113669820843</v>
      </c>
    </row>
    <row r="82" spans="2:17" x14ac:dyDescent="0.25">
      <c r="B82" s="63"/>
      <c r="C82" s="64"/>
      <c r="D82" s="65"/>
      <c r="E82" s="64"/>
      <c r="F82" s="71"/>
      <c r="G82" s="64"/>
      <c r="H82" s="64"/>
      <c r="I82" s="53"/>
      <c r="J82" s="44">
        <f t="shared" si="19"/>
        <v>37839</v>
      </c>
      <c r="K82" s="45">
        <v>74</v>
      </c>
      <c r="L82" s="90">
        <f t="shared" si="17"/>
        <v>0.99335147085902742</v>
      </c>
      <c r="M82" s="46">
        <f t="shared" si="20"/>
        <v>0.99335147085902742</v>
      </c>
      <c r="N82" s="77">
        <v>0.99963052082493253</v>
      </c>
      <c r="O82" s="89">
        <f t="shared" si="18"/>
        <v>0.99335147085902742</v>
      </c>
      <c r="Q82" s="4">
        <v>0.99402369651534783</v>
      </c>
    </row>
    <row r="83" spans="2:17" x14ac:dyDescent="0.25">
      <c r="B83" s="63"/>
      <c r="C83" s="64"/>
      <c r="D83" s="65"/>
      <c r="E83" s="64"/>
      <c r="F83" s="71"/>
      <c r="G83" s="64"/>
      <c r="H83" s="64"/>
      <c r="I83" s="53"/>
      <c r="J83" s="44">
        <f t="shared" si="19"/>
        <v>37840</v>
      </c>
      <c r="K83" s="45">
        <v>75</v>
      </c>
      <c r="L83" s="90">
        <f t="shared" si="17"/>
        <v>0.99453365775725711</v>
      </c>
      <c r="M83" s="46">
        <f t="shared" si="20"/>
        <v>0.99453365775725711</v>
      </c>
      <c r="N83" s="77">
        <v>0.99971645245567509</v>
      </c>
      <c r="O83" s="89">
        <f t="shared" si="18"/>
        <v>0.99453365775725711</v>
      </c>
      <c r="Q83" s="4">
        <v>0.99510106035268198</v>
      </c>
    </row>
    <row r="84" spans="2:17" x14ac:dyDescent="0.25">
      <c r="B84" s="63"/>
      <c r="C84" s="64"/>
      <c r="D84" s="65"/>
      <c r="E84" s="64"/>
      <c r="F84" s="71"/>
      <c r="G84" s="64"/>
      <c r="H84" s="64"/>
      <c r="I84" s="53"/>
      <c r="J84" s="44">
        <f t="shared" si="19"/>
        <v>37841</v>
      </c>
      <c r="K84" s="45">
        <v>76</v>
      </c>
      <c r="L84" s="90">
        <f t="shared" si="17"/>
        <v>0.99550658874887288</v>
      </c>
      <c r="M84" s="46">
        <f t="shared" si="20"/>
        <v>0.99550658874887288</v>
      </c>
      <c r="N84" s="77">
        <v>0.99978240288510523</v>
      </c>
      <c r="O84" s="89">
        <f t="shared" si="18"/>
        <v>0.99550658874887288</v>
      </c>
      <c r="Q84" s="4">
        <v>0.99598498947773206</v>
      </c>
    </row>
    <row r="85" spans="2:17" x14ac:dyDescent="0.25">
      <c r="B85" s="63"/>
      <c r="C85" s="64"/>
      <c r="D85" s="65"/>
      <c r="E85" s="64"/>
      <c r="F85" s="71"/>
      <c r="G85" s="64"/>
      <c r="H85" s="64"/>
      <c r="I85" s="53"/>
      <c r="J85" s="44">
        <f t="shared" si="19"/>
        <v>37842</v>
      </c>
      <c r="K85" s="45">
        <v>77</v>
      </c>
      <c r="L85" s="90">
        <f t="shared" si="17"/>
        <v>0.99630699491871177</v>
      </c>
      <c r="M85" s="46">
        <f t="shared" si="20"/>
        <v>0.99630699491871177</v>
      </c>
      <c r="N85" s="77">
        <v>0.99983301644163747</v>
      </c>
      <c r="O85" s="89">
        <f t="shared" si="18"/>
        <v>0.99630699491871177</v>
      </c>
      <c r="Q85" s="4">
        <v>0.9967099561564875</v>
      </c>
    </row>
    <row r="86" spans="2:17" x14ac:dyDescent="0.25">
      <c r="B86" s="63"/>
      <c r="C86" s="64"/>
      <c r="D86" s="65"/>
      <c r="E86" s="64"/>
      <c r="F86" s="71"/>
      <c r="G86" s="64"/>
      <c r="H86" s="64"/>
      <c r="I86" s="53"/>
      <c r="J86" s="44">
        <f t="shared" si="19"/>
        <v>37843</v>
      </c>
      <c r="K86" s="45">
        <v>78</v>
      </c>
      <c r="L86" s="90">
        <f t="shared" si="17"/>
        <v>0.99696526029186727</v>
      </c>
      <c r="M86" s="46">
        <f t="shared" si="20"/>
        <v>0.99696526029186727</v>
      </c>
      <c r="N86" s="77">
        <v>0.99987185868506689</v>
      </c>
      <c r="O86" s="89">
        <f t="shared" si="18"/>
        <v>0.99696526029186727</v>
      </c>
      <c r="Q86" s="4">
        <v>0.99730437418211093</v>
      </c>
    </row>
    <row r="87" spans="2:17" x14ac:dyDescent="0.25">
      <c r="B87" s="63"/>
      <c r="C87" s="64"/>
      <c r="D87" s="65"/>
      <c r="E87" s="64"/>
      <c r="F87" s="71"/>
      <c r="G87" s="64"/>
      <c r="H87" s="64"/>
      <c r="I87" s="53"/>
      <c r="J87" s="44">
        <f t="shared" si="19"/>
        <v>37844</v>
      </c>
      <c r="K87" s="45">
        <v>79</v>
      </c>
      <c r="L87" s="90">
        <f t="shared" si="17"/>
        <v>0.9975064857979965</v>
      </c>
      <c r="M87" s="46">
        <f t="shared" si="20"/>
        <v>0.9975064857979965</v>
      </c>
      <c r="N87" s="77">
        <v>0.9999016666768179</v>
      </c>
      <c r="O87" s="89">
        <f t="shared" si="18"/>
        <v>0.9975064857979965</v>
      </c>
      <c r="Q87" s="4">
        <v>0.99779163560352191</v>
      </c>
    </row>
    <row r="88" spans="2:17" x14ac:dyDescent="0.25">
      <c r="B88" s="63"/>
      <c r="C88" s="64"/>
      <c r="D88" s="65"/>
      <c r="E88" s="64"/>
      <c r="F88" s="71"/>
      <c r="G88" s="64"/>
      <c r="H88" s="64"/>
      <c r="I88" s="53"/>
      <c r="J88" s="44">
        <f t="shared" si="19"/>
        <v>37845</v>
      </c>
      <c r="K88" s="45">
        <v>80</v>
      </c>
      <c r="L88" s="90">
        <f t="shared" si="17"/>
        <v>0.99795138570143982</v>
      </c>
      <c r="M88" s="46">
        <f t="shared" si="20"/>
        <v>0.99795138570143982</v>
      </c>
      <c r="N88" s="77">
        <v>0.99992454131286057</v>
      </c>
      <c r="O88" s="89">
        <f t="shared" si="18"/>
        <v>0.99795138570143982</v>
      </c>
      <c r="Q88" s="4">
        <v>0.9981909793970638</v>
      </c>
    </row>
    <row r="89" spans="2:17" x14ac:dyDescent="0.25">
      <c r="B89" s="63"/>
      <c r="C89" s="64"/>
      <c r="D89" s="65"/>
      <c r="E89" s="64"/>
      <c r="F89" s="71"/>
      <c r="G89" s="64"/>
      <c r="H89" s="64"/>
      <c r="I89" s="53"/>
      <c r="J89" s="44">
        <f t="shared" si="19"/>
        <v>37846</v>
      </c>
      <c r="K89" s="45">
        <v>81</v>
      </c>
      <c r="L89" s="90">
        <f t="shared" si="17"/>
        <v>0.99831703922528869</v>
      </c>
      <c r="M89" s="46">
        <f t="shared" si="20"/>
        <v>0.99831703922528869</v>
      </c>
      <c r="N89" s="77">
        <v>0.99994209508049881</v>
      </c>
      <c r="O89" s="89">
        <f t="shared" si="18"/>
        <v>0.99831703922528869</v>
      </c>
      <c r="Q89" s="4">
        <v>0.99851821614408998</v>
      </c>
    </row>
    <row r="90" spans="2:17" x14ac:dyDescent="0.25">
      <c r="B90" s="63"/>
      <c r="C90" s="64"/>
      <c r="D90" s="65"/>
      <c r="E90" s="64"/>
      <c r="F90" s="71"/>
      <c r="G90" s="64"/>
      <c r="H90" s="64"/>
      <c r="I90" s="53"/>
      <c r="J90" s="44">
        <f t="shared" si="19"/>
        <v>37847</v>
      </c>
      <c r="K90" s="45">
        <v>82</v>
      </c>
      <c r="L90" s="90">
        <f t="shared" si="17"/>
        <v>0.99861751831445067</v>
      </c>
      <c r="M90" s="46">
        <f t="shared" si="20"/>
        <v>0.99861751831445067</v>
      </c>
      <c r="N90" s="77">
        <v>0.99995556554007625</v>
      </c>
      <c r="O90" s="89">
        <f t="shared" si="18"/>
        <v>0.99861751831445067</v>
      </c>
      <c r="Q90" s="4">
        <v>0.99878633046407328</v>
      </c>
    </row>
    <row r="91" spans="2:17" x14ac:dyDescent="0.25">
      <c r="B91" s="63"/>
      <c r="C91" s="64"/>
      <c r="D91" s="65"/>
      <c r="E91" s="64"/>
      <c r="F91" s="71"/>
      <c r="G91" s="64"/>
      <c r="H91" s="64"/>
      <c r="I91" s="53"/>
      <c r="J91" s="44">
        <f t="shared" si="19"/>
        <v>37848</v>
      </c>
      <c r="K91" s="45">
        <v>83</v>
      </c>
      <c r="L91" s="90">
        <f t="shared" si="17"/>
        <v>0.99886441030772055</v>
      </c>
      <c r="M91" s="46">
        <f t="shared" si="20"/>
        <v>0.99886441030772055</v>
      </c>
      <c r="N91" s="77">
        <v>0.99996590246462225</v>
      </c>
      <c r="O91" s="89">
        <f t="shared" si="18"/>
        <v>0.99886441030772055</v>
      </c>
      <c r="Q91" s="4">
        <v>0.99900598040993738</v>
      </c>
    </row>
    <row r="92" spans="2:17" x14ac:dyDescent="0.25">
      <c r="B92" s="63"/>
      <c r="C92" s="64"/>
      <c r="D92" s="65"/>
      <c r="E92" s="64"/>
      <c r="F92" s="71"/>
      <c r="G92" s="64"/>
      <c r="H92" s="64"/>
      <c r="I92" s="53"/>
      <c r="J92" s="44">
        <f t="shared" si="19"/>
        <v>37849</v>
      </c>
      <c r="K92" s="45">
        <v>84</v>
      </c>
      <c r="L92" s="90">
        <f t="shared" si="17"/>
        <v>0.99906725200940261</v>
      </c>
      <c r="M92" s="46">
        <f t="shared" si="20"/>
        <v>0.99906725200940261</v>
      </c>
      <c r="N92" s="77">
        <v>0.99997383474166435</v>
      </c>
      <c r="O92" s="89">
        <f t="shared" si="18"/>
        <v>0.99906725200940261</v>
      </c>
      <c r="Q92" s="4">
        <v>0.99918591050379724</v>
      </c>
    </row>
    <row r="93" spans="2:17" x14ac:dyDescent="0.25">
      <c r="B93" s="63"/>
      <c r="C93" s="64"/>
      <c r="D93" s="65"/>
      <c r="E93" s="64"/>
      <c r="F93" s="71"/>
      <c r="G93" s="64"/>
      <c r="H93" s="64"/>
      <c r="I93" s="53"/>
      <c r="J93" s="44">
        <f t="shared" si="19"/>
        <v>37850</v>
      </c>
      <c r="K93" s="45">
        <v>85</v>
      </c>
      <c r="L93" s="90">
        <f t="shared" si="17"/>
        <v>0.99923388943857971</v>
      </c>
      <c r="M93" s="46">
        <f t="shared" si="20"/>
        <v>0.99923388943857971</v>
      </c>
      <c r="N93" s="77">
        <v>0.99997992173121009</v>
      </c>
      <c r="O93" s="89">
        <f t="shared" si="18"/>
        <v>0.99923388943857971</v>
      </c>
      <c r="Q93" s="4">
        <v>0.99933329271531912</v>
      </c>
    </row>
    <row r="94" spans="2:17" x14ac:dyDescent="0.25">
      <c r="B94" s="63"/>
      <c r="C94" s="64"/>
      <c r="D94" s="65"/>
      <c r="E94" s="64"/>
      <c r="F94" s="71"/>
      <c r="G94" s="64"/>
      <c r="H94" s="64"/>
      <c r="I94" s="53"/>
      <c r="J94" s="44">
        <f t="shared" si="19"/>
        <v>37851</v>
      </c>
      <c r="K94" s="45">
        <v>86</v>
      </c>
      <c r="L94" s="90">
        <f t="shared" si="17"/>
        <v>0.99937077548319975</v>
      </c>
      <c r="M94" s="46">
        <f t="shared" si="20"/>
        <v>0.99937077548319975</v>
      </c>
      <c r="N94" s="77">
        <v>0.99998459268769502</v>
      </c>
      <c r="O94" s="89">
        <f t="shared" si="18"/>
        <v>0.99937077548319975</v>
      </c>
      <c r="Q94" s="4">
        <v>0.99945400753102387</v>
      </c>
    </row>
    <row r="95" spans="2:17" x14ac:dyDescent="0.25">
      <c r="B95" s="63"/>
      <c r="C95" s="64"/>
      <c r="D95" s="65"/>
      <c r="E95" s="64"/>
      <c r="F95" s="71"/>
      <c r="G95" s="64"/>
      <c r="H95" s="64"/>
      <c r="I95" s="53"/>
      <c r="J95" s="44">
        <f t="shared" si="19"/>
        <v>37852</v>
      </c>
      <c r="K95" s="45">
        <v>87</v>
      </c>
      <c r="L95" s="90">
        <f t="shared" si="17"/>
        <v>0.99948321584159894</v>
      </c>
      <c r="M95" s="46">
        <f t="shared" si="20"/>
        <v>0.99948321584159894</v>
      </c>
      <c r="N95" s="77">
        <v>0.99998817701780018</v>
      </c>
      <c r="O95" s="89">
        <f t="shared" si="18"/>
        <v>0.99948321584159894</v>
      </c>
      <c r="Q95" s="4">
        <v>0.99955287535751991</v>
      </c>
    </row>
    <row r="96" spans="2:17" x14ac:dyDescent="0.25">
      <c r="B96" s="63"/>
      <c r="C96" s="64"/>
      <c r="D96" s="65"/>
      <c r="E96" s="64"/>
      <c r="F96" s="71"/>
      <c r="G96" s="64"/>
      <c r="H96" s="64"/>
      <c r="I96" s="53"/>
      <c r="J96" s="44">
        <f t="shared" si="19"/>
        <v>37853</v>
      </c>
      <c r="K96" s="45">
        <v>88</v>
      </c>
      <c r="L96" s="90">
        <f t="shared" si="17"/>
        <v>0.99957557200984293</v>
      </c>
      <c r="M96" s="46">
        <f t="shared" si="20"/>
        <v>0.99957557200984293</v>
      </c>
      <c r="N96" s="77">
        <v>0.99999092750320295</v>
      </c>
      <c r="O96" s="89">
        <f t="shared" si="18"/>
        <v>0.99957557200984293</v>
      </c>
      <c r="Q96" s="4">
        <v>0.99963384684546752</v>
      </c>
    </row>
    <row r="97" spans="2:17" x14ac:dyDescent="0.25">
      <c r="B97" s="63"/>
      <c r="C97" s="64"/>
      <c r="D97" s="65"/>
      <c r="E97" s="64"/>
      <c r="F97" s="71"/>
      <c r="G97" s="64"/>
      <c r="H97" s="64"/>
      <c r="I97" s="53"/>
      <c r="J97" s="44">
        <f t="shared" si="19"/>
        <v>37854</v>
      </c>
      <c r="K97" s="45">
        <v>89</v>
      </c>
      <c r="L97" s="90">
        <f t="shared" si="17"/>
        <v>0.99965142866481593</v>
      </c>
      <c r="M97" s="46">
        <f t="shared" si="20"/>
        <v>0.99965142866481593</v>
      </c>
      <c r="N97" s="77">
        <v>0.99999303812320184</v>
      </c>
      <c r="O97" s="89">
        <f t="shared" si="18"/>
        <v>0.99965142866481593</v>
      </c>
      <c r="Q97" s="4">
        <v>0.99970015929991929</v>
      </c>
    </row>
    <row r="98" spans="2:17" x14ac:dyDescent="0.25">
      <c r="B98" s="63"/>
      <c r="C98" s="64"/>
      <c r="D98" s="65"/>
      <c r="E98" s="64"/>
      <c r="F98" s="71"/>
      <c r="G98" s="64"/>
      <c r="H98" s="64"/>
      <c r="I98" s="53"/>
      <c r="J98" s="44">
        <f t="shared" si="19"/>
        <v>37855</v>
      </c>
      <c r="K98" s="45">
        <v>90</v>
      </c>
      <c r="L98" s="90">
        <f t="shared" si="17"/>
        <v>0.99971373158562737</v>
      </c>
      <c r="M98" s="46">
        <f t="shared" si="20"/>
        <v>0.99971373158562737</v>
      </c>
      <c r="N98" s="77">
        <v>0.99999465773250285</v>
      </c>
      <c r="O98" s="89">
        <f t="shared" si="18"/>
        <v>0.99971373158562737</v>
      </c>
      <c r="Q98" s="4">
        <v>0.9997544651351058</v>
      </c>
    </row>
    <row r="99" spans="2:17" x14ac:dyDescent="0.25">
      <c r="B99" s="63"/>
      <c r="C99" s="64"/>
      <c r="D99" s="65"/>
      <c r="E99" s="64"/>
      <c r="F99" s="71"/>
      <c r="G99" s="64"/>
      <c r="H99" s="64"/>
      <c r="I99" s="53"/>
      <c r="J99" s="44">
        <f t="shared" si="19"/>
        <v>37856</v>
      </c>
      <c r="K99" s="45">
        <v>91</v>
      </c>
      <c r="L99" s="90">
        <f t="shared" si="17"/>
        <v>0.99976490122994788</v>
      </c>
      <c r="M99" s="46">
        <f t="shared" si="20"/>
        <v>0.99976490122994788</v>
      </c>
      <c r="N99" s="77">
        <v>0.99999590055784027</v>
      </c>
      <c r="O99" s="89">
        <f t="shared" si="18"/>
        <v>0.99976490122994788</v>
      </c>
      <c r="Q99" s="4">
        <v>0.99979893731329395</v>
      </c>
    </row>
    <row r="100" spans="2:17" x14ac:dyDescent="0.25">
      <c r="B100" s="63"/>
      <c r="C100" s="64"/>
      <c r="D100" s="65"/>
      <c r="E100" s="64"/>
      <c r="F100" s="71"/>
      <c r="G100" s="64"/>
      <c r="H100" s="64"/>
      <c r="I100" s="53"/>
      <c r="J100" s="44">
        <f t="shared" si="19"/>
        <v>37857</v>
      </c>
      <c r="K100" s="45">
        <v>92</v>
      </c>
      <c r="L100" s="90">
        <f t="shared" si="17"/>
        <v>0.99980692621599554</v>
      </c>
      <c r="M100" s="46">
        <f t="shared" si="20"/>
        <v>0.99980692621599554</v>
      </c>
      <c r="N100" s="77">
        <v>0.99999685425314822</v>
      </c>
      <c r="O100" s="89">
        <f t="shared" si="18"/>
        <v>0.99980692621599554</v>
      </c>
      <c r="Q100" s="4">
        <v>0.99983535585345951</v>
      </c>
    </row>
    <row r="101" spans="2:17" x14ac:dyDescent="0.25">
      <c r="B101" s="63"/>
      <c r="C101" s="64"/>
      <c r="D101" s="65"/>
      <c r="E101" s="64"/>
      <c r="F101" s="71"/>
      <c r="G101" s="64"/>
      <c r="H101" s="64"/>
      <c r="I101" s="53"/>
      <c r="J101" s="44">
        <f t="shared" si="19"/>
        <v>37858</v>
      </c>
      <c r="K101" s="45">
        <v>93</v>
      </c>
      <c r="L101" s="90">
        <f t="shared" si="17"/>
        <v>0.99984144023397747</v>
      </c>
      <c r="M101" s="46">
        <f t="shared" si="20"/>
        <v>0.99984144023397747</v>
      </c>
      <c r="N101" s="77">
        <v>0.99999758608106293</v>
      </c>
      <c r="O101" s="89">
        <f t="shared" si="18"/>
        <v>0.99984144023397747</v>
      </c>
      <c r="Q101" s="4">
        <v>0.99986517878287884</v>
      </c>
    </row>
    <row r="102" spans="2:17" x14ac:dyDescent="0.25">
      <c r="B102" s="63"/>
      <c r="C102" s="64"/>
      <c r="D102" s="65"/>
      <c r="E102" s="64"/>
      <c r="F102" s="71"/>
      <c r="G102" s="64"/>
      <c r="H102" s="64"/>
      <c r="I102" s="53"/>
      <c r="J102" s="44">
        <f t="shared" si="19"/>
        <v>37859</v>
      </c>
      <c r="K102" s="45">
        <v>94</v>
      </c>
      <c r="L102" s="90">
        <f t="shared" si="17"/>
        <v>0.99986978530313297</v>
      </c>
      <c r="M102" s="46">
        <f t="shared" si="20"/>
        <v>0.99986978530313297</v>
      </c>
      <c r="N102" s="77">
        <v>0.99999814765652884</v>
      </c>
      <c r="O102" s="89">
        <f t="shared" si="18"/>
        <v>0.99986978530313297</v>
      </c>
      <c r="Q102" s="4">
        <v>0.99988960031217933</v>
      </c>
    </row>
    <row r="103" spans="2:17" x14ac:dyDescent="0.25">
      <c r="B103" s="63"/>
      <c r="C103" s="64"/>
      <c r="D103" s="65"/>
      <c r="E103" s="64"/>
      <c r="F103" s="71"/>
      <c r="G103" s="64"/>
      <c r="H103" s="64"/>
      <c r="I103" s="53"/>
      <c r="J103" s="44">
        <f t="shared" si="19"/>
        <v>37860</v>
      </c>
      <c r="K103" s="45">
        <v>95</v>
      </c>
      <c r="L103" s="90">
        <f t="shared" si="17"/>
        <v>0.99989306378424514</v>
      </c>
      <c r="M103" s="46">
        <f t="shared" si="20"/>
        <v>0.99989306378424514</v>
      </c>
      <c r="N103" s="77">
        <v>0.99999857858694674</v>
      </c>
      <c r="O103" s="89">
        <f t="shared" si="18"/>
        <v>0.99989306378424514</v>
      </c>
      <c r="Q103" s="4">
        <v>0.99990959852308525</v>
      </c>
    </row>
    <row r="104" spans="2:17" x14ac:dyDescent="0.25">
      <c r="B104" s="63"/>
      <c r="C104" s="64"/>
      <c r="D104" s="65"/>
      <c r="E104" s="64"/>
      <c r="F104" s="71"/>
      <c r="G104" s="64"/>
      <c r="H104" s="64"/>
      <c r="I104" s="53"/>
      <c r="J104" s="44">
        <f t="shared" si="19"/>
        <v>37861</v>
      </c>
      <c r="K104" s="45">
        <v>96</v>
      </c>
      <c r="L104" s="90">
        <f t="shared" si="17"/>
        <v>0.99991218113683822</v>
      </c>
      <c r="M104" s="46">
        <f t="shared" si="20"/>
        <v>0.99991218113683822</v>
      </c>
      <c r="N104" s="77">
        <v>0.99999890926553481</v>
      </c>
      <c r="O104" s="89">
        <f t="shared" si="18"/>
        <v>0.99991218113683822</v>
      </c>
      <c r="Q104" s="4">
        <v>0.99992597445172626</v>
      </c>
    </row>
    <row r="105" spans="2:17" x14ac:dyDescent="0.25">
      <c r="B105" s="63"/>
      <c r="C105" s="64"/>
      <c r="D105" s="65"/>
      <c r="E105" s="64"/>
      <c r="F105" s="71"/>
      <c r="G105" s="64"/>
      <c r="H105" s="64"/>
      <c r="I105" s="53"/>
      <c r="J105" s="44">
        <f t="shared" si="19"/>
        <v>37862</v>
      </c>
      <c r="K105" s="45">
        <v>97</v>
      </c>
      <c r="L105" s="90">
        <f>$G$3/(1+EXP(-$G$4*(K105-$G$5)))</f>
        <v>0.99992788106150743</v>
      </c>
      <c r="M105" s="46">
        <f t="shared" si="20"/>
        <v>0.99992788106150743</v>
      </c>
      <c r="N105" s="77">
        <v>0.99999916301487501</v>
      </c>
      <c r="O105" s="89">
        <f>IF(N105=M105,N105,M105)</f>
        <v>0.99992788106150743</v>
      </c>
      <c r="Q105" s="4">
        <v>0.99993938411486893</v>
      </c>
    </row>
    <row r="106" spans="2:17" x14ac:dyDescent="0.25">
      <c r="B106" s="63"/>
      <c r="C106" s="64"/>
      <c r="D106" s="65"/>
      <c r="E106" s="64"/>
      <c r="F106" s="71"/>
      <c r="G106" s="64"/>
      <c r="H106" s="64"/>
      <c r="I106" s="53"/>
      <c r="J106" s="44">
        <f t="shared" si="19"/>
        <v>37863</v>
      </c>
      <c r="K106" s="45">
        <v>98</v>
      </c>
      <c r="L106" s="90">
        <f>$G$3/(1+EXP(-$G$4*(K106-$G$5)))</f>
        <v>0.99994077437918938</v>
      </c>
      <c r="M106" s="46">
        <f t="shared" si="20"/>
        <v>0.99994077437918938</v>
      </c>
      <c r="N106" s="77">
        <v>0.99999935773180315</v>
      </c>
      <c r="O106" s="89">
        <f>IF(N106=M106,N106,M106)</f>
        <v>0.99994077437918938</v>
      </c>
      <c r="Q106" s="4">
        <v>0.99995036474987509</v>
      </c>
    </row>
    <row r="107" spans="2:17" x14ac:dyDescent="0.25">
      <c r="B107" s="63"/>
      <c r="C107" s="64"/>
      <c r="D107" s="65"/>
      <c r="E107" s="64"/>
      <c r="F107" s="71"/>
      <c r="G107" s="64"/>
      <c r="H107" s="64"/>
      <c r="I107" s="53"/>
      <c r="J107" s="44">
        <f t="shared" si="19"/>
        <v>37864</v>
      </c>
      <c r="K107" s="45">
        <v>99</v>
      </c>
      <c r="L107" s="90">
        <f>$G$3/(1+EXP(-$G$4*(K107-$G$5)))</f>
        <v>0.99995136276063135</v>
      </c>
      <c r="M107" s="46">
        <f t="shared" si="20"/>
        <v>0.99999999730296318</v>
      </c>
      <c r="N107" s="77">
        <v>0.99999999730296318</v>
      </c>
      <c r="O107" s="89">
        <f>IF(N107=M107,N107,M107)</f>
        <v>0.99999999730296318</v>
      </c>
      <c r="Q107" s="4">
        <v>0.99995935631148924</v>
      </c>
    </row>
    <row r="108" spans="2:17" x14ac:dyDescent="0.25">
      <c r="B108" s="63"/>
      <c r="C108" s="64"/>
      <c r="D108" s="65"/>
      <c r="E108" s="64"/>
      <c r="F108" s="71"/>
      <c r="G108" s="64"/>
      <c r="H108" s="64"/>
      <c r="I108" s="53"/>
      <c r="J108" s="44"/>
      <c r="K108" s="45"/>
      <c r="L108" s="46"/>
      <c r="M108" s="46"/>
      <c r="N108" s="70"/>
      <c r="O108" s="47"/>
    </row>
    <row r="109" spans="2:17" x14ac:dyDescent="0.25">
      <c r="B109" s="63"/>
      <c r="C109" s="64"/>
      <c r="D109" s="65"/>
      <c r="E109" s="64"/>
      <c r="F109" s="71"/>
      <c r="G109" s="64"/>
      <c r="H109" s="64"/>
      <c r="I109" s="53"/>
      <c r="J109" s="44"/>
      <c r="K109" s="45"/>
      <c r="L109" s="46"/>
      <c r="M109" s="46"/>
      <c r="N109" s="70"/>
      <c r="O109" s="47"/>
    </row>
    <row r="110" spans="2:17" x14ac:dyDescent="0.25">
      <c r="B110" s="63"/>
      <c r="C110" s="64"/>
      <c r="D110" s="65"/>
      <c r="E110" s="64"/>
      <c r="F110" s="71"/>
      <c r="G110" s="64"/>
      <c r="H110" s="64"/>
      <c r="I110" s="53"/>
      <c r="J110" s="44"/>
      <c r="K110" s="45"/>
      <c r="L110" s="46"/>
      <c r="M110" s="46"/>
      <c r="N110" s="70"/>
      <c r="O110" s="47"/>
    </row>
    <row r="111" spans="2:17" x14ac:dyDescent="0.25">
      <c r="B111" s="63"/>
      <c r="C111" s="64"/>
      <c r="D111" s="65"/>
      <c r="E111" s="64"/>
      <c r="F111" s="71"/>
      <c r="G111" s="64"/>
      <c r="H111" s="64"/>
      <c r="I111" s="53"/>
      <c r="J111" s="44"/>
      <c r="K111" s="45"/>
      <c r="L111" s="46"/>
      <c r="M111" s="46"/>
      <c r="N111" s="70"/>
      <c r="O111" s="47"/>
    </row>
    <row r="112" spans="2:17" x14ac:dyDescent="0.25">
      <c r="B112" s="63"/>
      <c r="C112" s="64"/>
      <c r="D112" s="65"/>
      <c r="E112" s="64"/>
      <c r="F112" s="71"/>
      <c r="G112" s="64"/>
      <c r="H112" s="64"/>
      <c r="I112" s="53"/>
      <c r="J112" s="44"/>
      <c r="K112" s="45"/>
      <c r="L112" s="46"/>
      <c r="M112" s="46"/>
      <c r="N112" s="70"/>
      <c r="O112" s="47"/>
    </row>
    <row r="113" spans="2:15" x14ac:dyDescent="0.25">
      <c r="B113" s="63"/>
      <c r="C113" s="64"/>
      <c r="D113" s="65"/>
      <c r="E113" s="64"/>
      <c r="F113" s="71"/>
      <c r="G113" s="64"/>
      <c r="H113" s="64"/>
      <c r="I113" s="53"/>
      <c r="J113" s="44"/>
      <c r="K113" s="45"/>
      <c r="L113" s="46"/>
      <c r="M113" s="46"/>
      <c r="N113" s="70"/>
      <c r="O113" s="47"/>
    </row>
    <row r="114" spans="2:15" x14ac:dyDescent="0.25">
      <c r="B114" s="63"/>
      <c r="C114" s="64"/>
      <c r="D114" s="65"/>
      <c r="E114" s="64"/>
      <c r="F114" s="71"/>
      <c r="G114" s="64"/>
      <c r="H114" s="64"/>
      <c r="I114" s="53"/>
      <c r="J114" s="44"/>
      <c r="K114" s="45"/>
      <c r="L114" s="46"/>
      <c r="M114" s="46"/>
      <c r="N114" s="70"/>
      <c r="O114" s="47"/>
    </row>
    <row r="115" spans="2:15" x14ac:dyDescent="0.25">
      <c r="B115" s="63"/>
      <c r="C115" s="64"/>
      <c r="D115" s="65"/>
      <c r="E115" s="64"/>
      <c r="F115" s="71"/>
      <c r="G115" s="64"/>
      <c r="H115" s="64"/>
      <c r="I115" s="53"/>
      <c r="J115" s="44"/>
      <c r="K115" s="45"/>
      <c r="L115" s="46"/>
      <c r="M115" s="46"/>
      <c r="N115" s="70"/>
      <c r="O115" s="47"/>
    </row>
    <row r="116" spans="2:15" x14ac:dyDescent="0.25">
      <c r="B116" s="63"/>
      <c r="C116" s="64"/>
      <c r="D116" s="65"/>
      <c r="E116" s="64"/>
      <c r="F116" s="71"/>
      <c r="G116" s="64"/>
      <c r="H116" s="64"/>
      <c r="I116" s="53"/>
      <c r="J116" s="44"/>
      <c r="K116" s="45"/>
      <c r="L116" s="46"/>
      <c r="M116" s="46"/>
      <c r="N116" s="70"/>
      <c r="O116" s="47"/>
    </row>
    <row r="117" spans="2:15" x14ac:dyDescent="0.25">
      <c r="B117" s="63"/>
      <c r="C117" s="64"/>
      <c r="D117" s="65"/>
      <c r="E117" s="64"/>
      <c r="F117" s="71"/>
      <c r="G117" s="64"/>
      <c r="H117" s="64"/>
      <c r="I117" s="53"/>
      <c r="J117" s="44"/>
      <c r="K117" s="45"/>
      <c r="L117" s="46"/>
      <c r="M117" s="46"/>
      <c r="N117" s="70"/>
      <c r="O117" s="47"/>
    </row>
    <row r="118" spans="2:15" x14ac:dyDescent="0.25">
      <c r="B118" s="63"/>
      <c r="C118" s="64"/>
      <c r="D118" s="65"/>
      <c r="E118" s="64"/>
      <c r="F118" s="71"/>
      <c r="G118" s="64"/>
      <c r="H118" s="64"/>
      <c r="I118" s="53"/>
      <c r="J118" s="44"/>
      <c r="K118" s="45"/>
      <c r="L118" s="46"/>
      <c r="M118" s="46"/>
      <c r="N118" s="70"/>
      <c r="O118" s="47"/>
    </row>
    <row r="119" spans="2:15" x14ac:dyDescent="0.25">
      <c r="B119" s="63"/>
      <c r="C119" s="64"/>
      <c r="D119" s="65"/>
      <c r="E119" s="64"/>
      <c r="F119" s="71"/>
      <c r="G119" s="64"/>
      <c r="H119" s="64"/>
      <c r="I119" s="53"/>
      <c r="J119" s="44"/>
      <c r="K119" s="45"/>
      <c r="L119" s="46"/>
      <c r="M119" s="46"/>
      <c r="N119" s="70"/>
      <c r="O119" s="47"/>
    </row>
    <row r="120" spans="2:15" x14ac:dyDescent="0.25">
      <c r="B120" s="63"/>
      <c r="C120" s="64"/>
      <c r="D120" s="65"/>
      <c r="E120" s="64"/>
      <c r="F120" s="71"/>
      <c r="G120" s="64"/>
      <c r="H120" s="64"/>
      <c r="I120" s="53"/>
      <c r="J120" s="44"/>
      <c r="K120" s="45"/>
      <c r="L120" s="46"/>
      <c r="M120" s="46"/>
      <c r="N120" s="70"/>
      <c r="O120" s="47"/>
    </row>
    <row r="121" spans="2:15" x14ac:dyDescent="0.25">
      <c r="B121" s="63"/>
      <c r="C121" s="64"/>
      <c r="D121" s="65"/>
      <c r="E121" s="64"/>
      <c r="F121" s="71"/>
      <c r="G121" s="64"/>
      <c r="H121" s="64"/>
      <c r="I121" s="53"/>
      <c r="J121" s="44"/>
      <c r="K121" s="45"/>
      <c r="L121" s="46"/>
      <c r="M121" s="46"/>
      <c r="N121" s="70"/>
      <c r="O121" s="47"/>
    </row>
    <row r="122" spans="2:15" x14ac:dyDescent="0.25">
      <c r="B122" s="63"/>
      <c r="C122" s="64"/>
      <c r="D122" s="65"/>
      <c r="E122" s="64"/>
      <c r="F122" s="71"/>
      <c r="G122" s="64"/>
      <c r="H122" s="64"/>
      <c r="I122" s="53"/>
      <c r="J122" s="44"/>
      <c r="K122" s="45"/>
      <c r="L122" s="46"/>
      <c r="M122" s="46"/>
      <c r="N122" s="70"/>
      <c r="O122" s="47"/>
    </row>
    <row r="123" spans="2:15" x14ac:dyDescent="0.25">
      <c r="B123" s="63"/>
      <c r="C123" s="64"/>
      <c r="D123" s="65"/>
      <c r="E123" s="64"/>
      <c r="F123" s="71"/>
      <c r="G123" s="64"/>
      <c r="H123" s="64"/>
      <c r="I123" s="53"/>
      <c r="J123" s="44"/>
      <c r="K123" s="45"/>
      <c r="L123" s="46"/>
      <c r="M123" s="46"/>
      <c r="N123" s="70"/>
      <c r="O123" s="47"/>
    </row>
    <row r="124" spans="2:15" x14ac:dyDescent="0.25">
      <c r="B124" s="63"/>
      <c r="C124" s="64"/>
      <c r="D124" s="65"/>
      <c r="E124" s="64"/>
      <c r="F124" s="71"/>
      <c r="G124" s="64"/>
      <c r="H124" s="64"/>
      <c r="I124" s="53"/>
      <c r="J124" s="44"/>
      <c r="K124" s="45"/>
      <c r="L124" s="46"/>
      <c r="M124" s="46"/>
      <c r="N124" s="70"/>
      <c r="O124" s="47"/>
    </row>
    <row r="125" spans="2:15" x14ac:dyDescent="0.25">
      <c r="B125" s="63"/>
      <c r="C125" s="64"/>
      <c r="D125" s="65"/>
      <c r="E125" s="64"/>
      <c r="F125" s="71"/>
      <c r="G125" s="64"/>
      <c r="H125" s="64"/>
      <c r="I125" s="53"/>
      <c r="J125" s="44"/>
      <c r="K125" s="45"/>
      <c r="L125" s="46"/>
      <c r="M125" s="46"/>
      <c r="N125" s="70"/>
      <c r="O125" s="47"/>
    </row>
    <row r="126" spans="2:15" x14ac:dyDescent="0.25">
      <c r="B126" s="63"/>
      <c r="C126" s="64"/>
      <c r="D126" s="65"/>
      <c r="E126" s="64"/>
      <c r="F126" s="71"/>
      <c r="G126" s="64"/>
      <c r="H126" s="64"/>
      <c r="I126" s="53"/>
      <c r="J126" s="44"/>
      <c r="K126" s="45"/>
      <c r="L126" s="46"/>
      <c r="M126" s="46"/>
      <c r="N126" s="70"/>
      <c r="O126" s="47"/>
    </row>
    <row r="127" spans="2:15" x14ac:dyDescent="0.25">
      <c r="B127" s="63"/>
      <c r="C127" s="64"/>
      <c r="D127" s="65"/>
      <c r="E127" s="64"/>
      <c r="F127" s="71"/>
      <c r="G127" s="64"/>
      <c r="H127" s="64"/>
      <c r="I127" s="53"/>
      <c r="J127" s="44"/>
      <c r="K127" s="45"/>
      <c r="L127" s="46"/>
      <c r="M127" s="46"/>
      <c r="N127" s="70"/>
      <c r="O127" s="47"/>
    </row>
    <row r="128" spans="2:15" x14ac:dyDescent="0.25">
      <c r="B128" s="63"/>
      <c r="C128" s="64"/>
      <c r="D128" s="65"/>
      <c r="E128" s="64"/>
      <c r="F128" s="71"/>
      <c r="G128" s="64"/>
      <c r="H128" s="64"/>
      <c r="I128" s="53"/>
      <c r="J128" s="44"/>
      <c r="K128" s="45"/>
      <c r="L128" s="46"/>
      <c r="M128" s="46"/>
      <c r="N128" s="70"/>
      <c r="O128" s="47"/>
    </row>
    <row r="129" spans="2:15" x14ac:dyDescent="0.25">
      <c r="B129" s="63"/>
      <c r="C129" s="64"/>
      <c r="D129" s="65"/>
      <c r="E129" s="64"/>
      <c r="F129" s="71"/>
      <c r="G129" s="64"/>
      <c r="H129" s="64"/>
      <c r="I129" s="53"/>
      <c r="J129" s="44"/>
      <c r="K129" s="45"/>
      <c r="L129" s="46"/>
      <c r="M129" s="46"/>
      <c r="N129" s="70"/>
      <c r="O129" s="47"/>
    </row>
    <row r="130" spans="2:15" x14ac:dyDescent="0.25">
      <c r="B130" s="63"/>
      <c r="C130" s="64"/>
      <c r="D130" s="65"/>
      <c r="E130" s="64"/>
      <c r="F130" s="71"/>
      <c r="G130" s="64"/>
      <c r="H130" s="64"/>
      <c r="I130" s="53"/>
      <c r="J130" s="44"/>
      <c r="K130" s="45"/>
      <c r="L130" s="46"/>
      <c r="M130" s="46"/>
      <c r="N130" s="70"/>
      <c r="O130" s="47"/>
    </row>
    <row r="131" spans="2:15" x14ac:dyDescent="0.25">
      <c r="B131" s="63"/>
      <c r="C131" s="64"/>
      <c r="D131" s="65"/>
      <c r="E131" s="64"/>
      <c r="F131" s="71"/>
      <c r="G131" s="64"/>
      <c r="H131" s="64"/>
      <c r="I131" s="53"/>
      <c r="J131" s="44"/>
      <c r="K131" s="45"/>
      <c r="L131" s="46"/>
      <c r="M131" s="46"/>
      <c r="N131" s="70"/>
      <c r="O131" s="47"/>
    </row>
    <row r="132" spans="2:15" x14ac:dyDescent="0.25">
      <c r="B132" s="63"/>
      <c r="C132" s="64"/>
      <c r="D132" s="65"/>
      <c r="E132" s="64"/>
      <c r="F132" s="71"/>
      <c r="G132" s="64"/>
      <c r="H132" s="64"/>
      <c r="I132" s="53"/>
      <c r="J132" s="44"/>
      <c r="K132" s="45"/>
      <c r="L132" s="46"/>
      <c r="M132" s="46"/>
      <c r="N132" s="70"/>
      <c r="O132" s="47"/>
    </row>
    <row r="133" spans="2:15" x14ac:dyDescent="0.25">
      <c r="B133" s="63"/>
      <c r="C133" s="64"/>
      <c r="D133" s="65"/>
      <c r="E133" s="64"/>
      <c r="F133" s="71"/>
      <c r="G133" s="64"/>
      <c r="H133" s="64"/>
      <c r="I133" s="53"/>
      <c r="J133" s="44"/>
      <c r="K133" s="45"/>
      <c r="L133" s="46"/>
      <c r="M133" s="46"/>
      <c r="N133" s="70"/>
      <c r="O133" s="47"/>
    </row>
    <row r="134" spans="2:15" x14ac:dyDescent="0.25">
      <c r="B134" s="63"/>
      <c r="C134" s="64"/>
      <c r="D134" s="65"/>
      <c r="E134" s="64"/>
      <c r="F134" s="71"/>
      <c r="G134" s="64"/>
      <c r="H134" s="64"/>
      <c r="I134" s="53"/>
      <c r="J134" s="44"/>
      <c r="K134" s="45"/>
      <c r="L134" s="46"/>
      <c r="M134" s="46"/>
      <c r="N134" s="70"/>
      <c r="O134" s="47"/>
    </row>
    <row r="135" spans="2:15" x14ac:dyDescent="0.25">
      <c r="B135" s="63"/>
      <c r="C135" s="64"/>
      <c r="D135" s="65"/>
      <c r="E135" s="64"/>
      <c r="F135" s="71"/>
      <c r="G135" s="64"/>
      <c r="H135" s="64"/>
      <c r="I135" s="53"/>
      <c r="J135" s="44"/>
      <c r="K135" s="45"/>
      <c r="L135" s="46"/>
      <c r="M135" s="46"/>
      <c r="N135" s="70"/>
      <c r="O135" s="47"/>
    </row>
    <row r="136" spans="2:15" x14ac:dyDescent="0.25">
      <c r="B136" s="63"/>
      <c r="C136" s="64"/>
      <c r="D136" s="65"/>
      <c r="E136" s="64"/>
      <c r="F136" s="71"/>
      <c r="G136" s="64"/>
      <c r="H136" s="64"/>
      <c r="I136" s="53"/>
      <c r="J136" s="44"/>
      <c r="K136" s="45"/>
      <c r="L136" s="46"/>
      <c r="M136" s="46"/>
      <c r="N136" s="70"/>
      <c r="O136" s="47"/>
    </row>
    <row r="137" spans="2:15" x14ac:dyDescent="0.25">
      <c r="B137" s="63"/>
      <c r="C137" s="64"/>
      <c r="D137" s="65"/>
      <c r="E137" s="64"/>
      <c r="F137" s="71"/>
      <c r="G137" s="64"/>
      <c r="H137" s="64"/>
      <c r="I137" s="53"/>
      <c r="J137" s="44"/>
      <c r="K137" s="45"/>
      <c r="L137" s="46"/>
      <c r="M137" s="46"/>
      <c r="N137" s="70"/>
      <c r="O137" s="47"/>
    </row>
    <row r="138" spans="2:15" x14ac:dyDescent="0.25">
      <c r="B138" s="63"/>
      <c r="C138" s="64"/>
      <c r="D138" s="65"/>
      <c r="E138" s="64"/>
      <c r="F138" s="71"/>
      <c r="G138" s="64"/>
      <c r="H138" s="64"/>
      <c r="I138" s="53"/>
      <c r="J138" s="44"/>
      <c r="K138" s="45"/>
      <c r="L138" s="46"/>
      <c r="M138" s="46"/>
      <c r="N138" s="70"/>
      <c r="O138" s="47"/>
    </row>
    <row r="139" spans="2:15" x14ac:dyDescent="0.25">
      <c r="B139" s="63"/>
      <c r="C139" s="64"/>
      <c r="D139" s="65"/>
      <c r="E139" s="64"/>
      <c r="F139" s="71"/>
      <c r="G139" s="64"/>
      <c r="H139" s="64"/>
      <c r="I139" s="53"/>
      <c r="J139" s="44"/>
      <c r="K139" s="45"/>
      <c r="L139" s="46"/>
      <c r="M139" s="46"/>
      <c r="N139" s="70"/>
      <c r="O139" s="47"/>
    </row>
    <row r="140" spans="2:15" x14ac:dyDescent="0.25">
      <c r="B140" s="63"/>
      <c r="C140" s="64"/>
      <c r="D140" s="65"/>
      <c r="E140" s="64"/>
      <c r="F140" s="71"/>
      <c r="G140" s="64"/>
      <c r="H140" s="64"/>
      <c r="I140" s="53"/>
      <c r="J140" s="44"/>
      <c r="K140" s="45"/>
      <c r="L140" s="46"/>
      <c r="M140" s="46"/>
      <c r="N140" s="70"/>
      <c r="O140" s="47"/>
    </row>
    <row r="141" spans="2:15" x14ac:dyDescent="0.25">
      <c r="B141" s="63"/>
      <c r="C141" s="64"/>
      <c r="D141" s="65"/>
      <c r="E141" s="64"/>
      <c r="F141" s="71"/>
      <c r="G141" s="64"/>
      <c r="H141" s="64"/>
      <c r="I141" s="53"/>
      <c r="J141" s="44"/>
      <c r="K141" s="45"/>
      <c r="L141" s="46"/>
      <c r="M141" s="46"/>
      <c r="N141" s="70"/>
      <c r="O141" s="47"/>
    </row>
    <row r="142" spans="2:15" x14ac:dyDescent="0.25">
      <c r="B142" s="63"/>
      <c r="C142" s="64"/>
      <c r="D142" s="65"/>
      <c r="E142" s="64"/>
      <c r="F142" s="71"/>
      <c r="G142" s="64"/>
      <c r="H142" s="64"/>
      <c r="I142" s="53"/>
      <c r="J142" s="44"/>
      <c r="K142" s="45"/>
      <c r="L142" s="46"/>
      <c r="M142" s="46"/>
      <c r="N142" s="70"/>
      <c r="O142" s="47"/>
    </row>
    <row r="143" spans="2:15" x14ac:dyDescent="0.25">
      <c r="B143" s="63"/>
      <c r="C143" s="64"/>
      <c r="D143" s="65"/>
      <c r="E143" s="64"/>
      <c r="F143" s="71"/>
      <c r="G143" s="64"/>
      <c r="H143" s="64"/>
      <c r="I143" s="53"/>
      <c r="J143" s="44"/>
      <c r="K143" s="45"/>
      <c r="L143" s="46"/>
      <c r="M143" s="46"/>
      <c r="N143" s="70"/>
      <c r="O143" s="47"/>
    </row>
    <row r="144" spans="2:15" x14ac:dyDescent="0.25">
      <c r="B144" s="63"/>
      <c r="C144" s="64"/>
      <c r="D144" s="65"/>
      <c r="E144" s="64"/>
      <c r="F144" s="71"/>
      <c r="G144" s="64"/>
      <c r="H144" s="64"/>
      <c r="I144" s="53"/>
      <c r="J144" s="44"/>
      <c r="K144" s="45"/>
      <c r="L144" s="46"/>
      <c r="M144" s="46"/>
      <c r="N144" s="70"/>
      <c r="O144" s="47"/>
    </row>
    <row r="145" spans="2:15" x14ac:dyDescent="0.25">
      <c r="B145" s="63"/>
      <c r="C145" s="64"/>
      <c r="D145" s="65"/>
      <c r="E145" s="64"/>
      <c r="F145" s="71"/>
      <c r="G145" s="64"/>
      <c r="H145" s="64"/>
      <c r="I145" s="53"/>
      <c r="J145" s="44"/>
      <c r="K145" s="45"/>
      <c r="L145" s="46"/>
      <c r="M145" s="46"/>
      <c r="N145" s="70"/>
      <c r="O145" s="47"/>
    </row>
    <row r="146" spans="2:15" x14ac:dyDescent="0.25">
      <c r="B146" s="63"/>
      <c r="C146" s="64"/>
      <c r="D146" s="65"/>
      <c r="E146" s="64"/>
      <c r="F146" s="71"/>
      <c r="G146" s="64"/>
      <c r="H146" s="64"/>
      <c r="I146" s="53"/>
      <c r="J146" s="44"/>
      <c r="K146" s="45"/>
      <c r="L146" s="46"/>
      <c r="M146" s="46"/>
      <c r="N146" s="70"/>
      <c r="O146" s="47"/>
    </row>
    <row r="147" spans="2:15" x14ac:dyDescent="0.25">
      <c r="B147" s="63"/>
      <c r="C147" s="64"/>
      <c r="D147" s="65"/>
      <c r="E147" s="64"/>
      <c r="F147" s="71"/>
      <c r="G147" s="64"/>
      <c r="H147" s="64"/>
      <c r="I147" s="53"/>
      <c r="J147" s="44"/>
      <c r="K147" s="45"/>
      <c r="L147" s="46"/>
      <c r="M147" s="46"/>
      <c r="N147" s="70"/>
      <c r="O147" s="47"/>
    </row>
    <row r="148" spans="2:15" x14ac:dyDescent="0.25">
      <c r="B148" s="63"/>
      <c r="C148" s="64"/>
      <c r="D148" s="65"/>
      <c r="E148" s="64"/>
      <c r="F148" s="71"/>
      <c r="G148" s="64"/>
      <c r="H148" s="64"/>
      <c r="I148" s="53"/>
      <c r="J148" s="44"/>
      <c r="K148" s="45"/>
      <c r="L148" s="46"/>
      <c r="M148" s="46"/>
      <c r="N148" s="70"/>
      <c r="O148" s="47"/>
    </row>
    <row r="149" spans="2:15" x14ac:dyDescent="0.25">
      <c r="B149" s="63"/>
      <c r="C149" s="64"/>
      <c r="D149" s="65"/>
      <c r="E149" s="64"/>
      <c r="F149" s="71"/>
      <c r="G149" s="64"/>
      <c r="H149" s="64"/>
      <c r="I149" s="53"/>
      <c r="J149" s="44"/>
      <c r="K149" s="45"/>
      <c r="L149" s="46"/>
      <c r="M149" s="46"/>
      <c r="N149" s="70"/>
      <c r="O149" s="47"/>
    </row>
    <row r="150" spans="2:15" x14ac:dyDescent="0.25">
      <c r="B150" s="63"/>
      <c r="C150" s="64"/>
      <c r="D150" s="65"/>
      <c r="E150" s="64"/>
      <c r="F150" s="71"/>
      <c r="G150" s="64"/>
      <c r="H150" s="64"/>
      <c r="I150" s="53"/>
      <c r="J150" s="44"/>
      <c r="K150" s="45"/>
      <c r="L150" s="46"/>
      <c r="M150" s="46"/>
      <c r="N150" s="70"/>
      <c r="O150" s="47"/>
    </row>
    <row r="151" spans="2:15" x14ac:dyDescent="0.25">
      <c r="B151" s="63"/>
      <c r="C151" s="64"/>
      <c r="D151" s="65"/>
      <c r="E151" s="64"/>
      <c r="F151" s="71"/>
      <c r="G151" s="64"/>
      <c r="H151" s="64"/>
      <c r="I151" s="53"/>
      <c r="J151" s="44"/>
      <c r="K151" s="45"/>
      <c r="L151" s="46"/>
      <c r="M151" s="46"/>
      <c r="N151" s="70"/>
      <c r="O151" s="47"/>
    </row>
    <row r="152" spans="2:15" x14ac:dyDescent="0.25">
      <c r="B152" s="63"/>
      <c r="C152" s="64"/>
      <c r="D152" s="65"/>
      <c r="E152" s="64"/>
      <c r="F152" s="71"/>
      <c r="G152" s="64"/>
      <c r="H152" s="64"/>
      <c r="I152" s="53"/>
      <c r="J152" s="44"/>
      <c r="K152" s="45"/>
      <c r="L152" s="46"/>
      <c r="M152" s="46"/>
      <c r="N152" s="70"/>
      <c r="O152" s="47"/>
    </row>
    <row r="153" spans="2:15" x14ac:dyDescent="0.25">
      <c r="B153" s="63"/>
      <c r="C153" s="64"/>
      <c r="D153" s="65"/>
      <c r="E153" s="64"/>
      <c r="F153" s="71"/>
      <c r="G153" s="64"/>
      <c r="H153" s="64"/>
      <c r="I153" s="53"/>
      <c r="J153" s="44"/>
      <c r="K153" s="45"/>
      <c r="L153" s="46"/>
      <c r="M153" s="46"/>
      <c r="N153" s="70"/>
      <c r="O153" s="47"/>
    </row>
    <row r="154" spans="2:15" x14ac:dyDescent="0.25">
      <c r="B154" s="63"/>
      <c r="C154" s="64"/>
      <c r="D154" s="65"/>
      <c r="E154" s="64"/>
      <c r="F154" s="71"/>
      <c r="G154" s="64"/>
      <c r="H154" s="64"/>
      <c r="I154" s="53"/>
      <c r="J154" s="44"/>
      <c r="K154" s="45"/>
      <c r="L154" s="46"/>
      <c r="M154" s="46"/>
      <c r="N154" s="70"/>
      <c r="O154" s="47"/>
    </row>
    <row r="155" spans="2:15" x14ac:dyDescent="0.25">
      <c r="B155" s="63"/>
      <c r="C155" s="64"/>
      <c r="D155" s="65"/>
      <c r="E155" s="64"/>
      <c r="F155" s="71"/>
      <c r="G155" s="64"/>
      <c r="H155" s="64"/>
      <c r="I155" s="53"/>
      <c r="J155" s="44"/>
      <c r="K155" s="45"/>
      <c r="L155" s="46"/>
      <c r="M155" s="46"/>
      <c r="N155" s="70"/>
      <c r="O155" s="47"/>
    </row>
    <row r="156" spans="2:15" x14ac:dyDescent="0.25">
      <c r="B156" s="63"/>
      <c r="C156" s="64"/>
      <c r="D156" s="65"/>
      <c r="E156" s="64"/>
      <c r="F156" s="71"/>
      <c r="G156" s="64"/>
      <c r="H156" s="64"/>
      <c r="I156" s="53"/>
      <c r="J156" s="44"/>
      <c r="K156" s="45"/>
      <c r="L156" s="46"/>
      <c r="M156" s="46"/>
      <c r="N156" s="70"/>
      <c r="O156" s="47"/>
    </row>
    <row r="157" spans="2:15" x14ac:dyDescent="0.25">
      <c r="B157" s="63"/>
      <c r="C157" s="64"/>
      <c r="D157" s="65"/>
      <c r="E157" s="64"/>
      <c r="F157" s="71"/>
      <c r="G157" s="64"/>
      <c r="H157" s="64"/>
      <c r="I157" s="53"/>
      <c r="J157" s="44"/>
      <c r="K157" s="45"/>
      <c r="L157" s="46"/>
      <c r="M157" s="46"/>
      <c r="N157" s="70"/>
      <c r="O157" s="47"/>
    </row>
    <row r="158" spans="2:15" x14ac:dyDescent="0.25">
      <c r="B158" s="63"/>
      <c r="C158" s="64"/>
      <c r="D158" s="65"/>
      <c r="E158" s="64"/>
      <c r="F158" s="71"/>
      <c r="G158" s="64"/>
      <c r="H158" s="64"/>
      <c r="I158" s="53"/>
      <c r="J158" s="44"/>
      <c r="K158" s="45"/>
      <c r="L158" s="46"/>
      <c r="M158" s="46"/>
      <c r="N158" s="70"/>
      <c r="O158" s="47"/>
    </row>
    <row r="159" spans="2:15" x14ac:dyDescent="0.25">
      <c r="B159" s="63"/>
      <c r="C159" s="64"/>
      <c r="D159" s="65"/>
      <c r="E159" s="64"/>
      <c r="F159" s="71"/>
      <c r="G159" s="64"/>
      <c r="H159" s="64"/>
      <c r="I159" s="53"/>
      <c r="J159" s="44"/>
      <c r="K159" s="45"/>
      <c r="L159" s="46"/>
      <c r="M159" s="46"/>
      <c r="N159" s="70"/>
      <c r="O159" s="47"/>
    </row>
    <row r="160" spans="2:15" x14ac:dyDescent="0.25">
      <c r="B160" s="63"/>
      <c r="C160" s="64"/>
      <c r="D160" s="65"/>
      <c r="E160" s="64"/>
      <c r="F160" s="71"/>
      <c r="G160" s="64"/>
      <c r="H160" s="64"/>
      <c r="I160" s="53"/>
      <c r="J160" s="44"/>
      <c r="K160" s="45"/>
      <c r="L160" s="46"/>
      <c r="M160" s="46"/>
      <c r="N160" s="70"/>
      <c r="O160" s="47"/>
    </row>
    <row r="161" spans="2:9" x14ac:dyDescent="0.25">
      <c r="B161" s="63"/>
      <c r="C161" s="64"/>
      <c r="D161" s="65"/>
      <c r="E161" s="64"/>
      <c r="F161" s="71"/>
      <c r="G161" s="64"/>
      <c r="H161" s="64"/>
      <c r="I161" s="53"/>
    </row>
    <row r="162" spans="2:9" x14ac:dyDescent="0.25">
      <c r="B162" s="63"/>
      <c r="C162" s="64"/>
      <c r="D162" s="65"/>
      <c r="E162" s="64"/>
      <c r="F162" s="71"/>
      <c r="G162" s="64"/>
      <c r="H162" s="64"/>
      <c r="I162" s="53"/>
    </row>
    <row r="163" spans="2:9" x14ac:dyDescent="0.25">
      <c r="B163" s="63"/>
      <c r="C163" s="64"/>
      <c r="D163" s="65"/>
      <c r="E163" s="64"/>
      <c r="F163" s="71"/>
      <c r="G163" s="64"/>
      <c r="H163" s="64"/>
      <c r="I163" s="53"/>
    </row>
    <row r="164" spans="2:9" x14ac:dyDescent="0.25">
      <c r="B164" s="63"/>
      <c r="C164" s="64"/>
      <c r="D164" s="65"/>
      <c r="E164" s="64"/>
      <c r="F164" s="71"/>
      <c r="G164" s="64"/>
      <c r="H164" s="64"/>
      <c r="I164" s="53"/>
    </row>
    <row r="165" spans="2:9" x14ac:dyDescent="0.25">
      <c r="B165" s="63"/>
      <c r="C165" s="64"/>
      <c r="D165" s="65"/>
      <c r="E165" s="64"/>
      <c r="F165" s="71"/>
      <c r="G165" s="64"/>
      <c r="H165" s="64"/>
      <c r="I165" s="53"/>
    </row>
    <row r="166" spans="2:9" x14ac:dyDescent="0.25">
      <c r="B166" s="63"/>
      <c r="C166" s="64"/>
      <c r="D166" s="65"/>
      <c r="E166" s="64"/>
      <c r="F166" s="71"/>
      <c r="G166" s="64"/>
      <c r="H166" s="64"/>
      <c r="I166" s="53"/>
    </row>
    <row r="167" spans="2:9" x14ac:dyDescent="0.25">
      <c r="B167" s="63"/>
      <c r="C167" s="64"/>
      <c r="D167" s="65"/>
      <c r="E167" s="64"/>
      <c r="F167" s="71"/>
      <c r="G167" s="64"/>
      <c r="H167" s="64"/>
      <c r="I167" s="53"/>
    </row>
    <row r="168" spans="2:9" x14ac:dyDescent="0.25">
      <c r="B168" s="63"/>
      <c r="C168" s="64"/>
      <c r="D168" s="65"/>
      <c r="E168" s="64"/>
      <c r="F168" s="71"/>
      <c r="G168" s="64"/>
      <c r="H168" s="64"/>
      <c r="I168" s="53"/>
    </row>
    <row r="169" spans="2:9" x14ac:dyDescent="0.25">
      <c r="B169" s="63"/>
      <c r="C169" s="64"/>
      <c r="D169" s="65"/>
      <c r="E169" s="64"/>
      <c r="F169" s="71"/>
      <c r="G169" s="64"/>
      <c r="H169" s="64"/>
      <c r="I169" s="53"/>
    </row>
    <row r="170" spans="2:9" x14ac:dyDescent="0.25">
      <c r="B170" s="63"/>
      <c r="C170" s="64"/>
      <c r="D170" s="65"/>
      <c r="E170" s="64"/>
      <c r="F170" s="71"/>
      <c r="G170" s="64"/>
      <c r="H170" s="64"/>
      <c r="I170" s="53"/>
    </row>
    <row r="171" spans="2:9" x14ac:dyDescent="0.25">
      <c r="B171" s="63"/>
      <c r="C171" s="64"/>
      <c r="D171" s="65"/>
      <c r="E171" s="64"/>
      <c r="F171" s="71"/>
      <c r="G171" s="64"/>
      <c r="H171" s="64"/>
      <c r="I171" s="53"/>
    </row>
    <row r="172" spans="2:9" x14ac:dyDescent="0.25">
      <c r="B172" s="63"/>
      <c r="C172" s="64"/>
      <c r="D172" s="65"/>
      <c r="E172" s="64"/>
      <c r="F172" s="71"/>
      <c r="G172" s="64"/>
      <c r="H172" s="64"/>
      <c r="I172" s="53"/>
    </row>
    <row r="173" spans="2:9" x14ac:dyDescent="0.25">
      <c r="B173" s="63"/>
      <c r="C173" s="64"/>
      <c r="D173" s="65"/>
      <c r="E173" s="64"/>
      <c r="F173" s="71"/>
      <c r="G173" s="64"/>
      <c r="H173" s="64"/>
      <c r="I173" s="53"/>
    </row>
    <row r="174" spans="2:9" x14ac:dyDescent="0.25">
      <c r="B174" s="63"/>
      <c r="C174" s="64"/>
      <c r="D174" s="65"/>
      <c r="E174" s="64"/>
      <c r="F174" s="71"/>
      <c r="G174" s="64"/>
      <c r="H174" s="64"/>
      <c r="I174" s="53"/>
    </row>
    <row r="175" spans="2:9" x14ac:dyDescent="0.25">
      <c r="B175" s="63"/>
      <c r="C175" s="64"/>
      <c r="D175" s="65"/>
      <c r="E175" s="64"/>
      <c r="F175" s="71"/>
      <c r="G175" s="64"/>
      <c r="H175" s="64"/>
      <c r="I175" s="53"/>
    </row>
    <row r="176" spans="2:9" x14ac:dyDescent="0.25">
      <c r="B176" s="63"/>
      <c r="C176" s="64"/>
      <c r="D176" s="65"/>
      <c r="E176" s="64"/>
      <c r="F176" s="71"/>
      <c r="G176" s="64"/>
      <c r="H176" s="64"/>
      <c r="I176" s="53"/>
    </row>
    <row r="177" spans="2:9" x14ac:dyDescent="0.25">
      <c r="B177" s="63"/>
      <c r="C177" s="64"/>
      <c r="D177" s="65"/>
      <c r="E177" s="64"/>
      <c r="F177" s="71"/>
      <c r="G177" s="64"/>
      <c r="H177" s="64"/>
      <c r="I177" s="53"/>
    </row>
    <row r="178" spans="2:9" x14ac:dyDescent="0.25">
      <c r="B178" s="63"/>
      <c r="C178" s="64"/>
      <c r="D178" s="65"/>
      <c r="E178" s="64"/>
      <c r="F178" s="71"/>
      <c r="G178" s="64"/>
      <c r="H178" s="64"/>
      <c r="I178" s="53"/>
    </row>
    <row r="179" spans="2:9" x14ac:dyDescent="0.25">
      <c r="B179" s="63"/>
      <c r="C179" s="64"/>
      <c r="D179" s="65"/>
      <c r="E179" s="64"/>
      <c r="F179" s="71"/>
      <c r="G179" s="64"/>
      <c r="H179" s="64"/>
      <c r="I179" s="53"/>
    </row>
    <row r="180" spans="2:9" x14ac:dyDescent="0.25">
      <c r="B180" s="63"/>
      <c r="C180" s="64"/>
      <c r="D180" s="65"/>
      <c r="E180" s="64"/>
      <c r="F180" s="71"/>
      <c r="G180" s="64"/>
      <c r="H180" s="64"/>
      <c r="I180" s="53"/>
    </row>
    <row r="181" spans="2:9" x14ac:dyDescent="0.25">
      <c r="B181" s="63"/>
      <c r="C181" s="64"/>
      <c r="D181" s="65"/>
      <c r="E181" s="64"/>
      <c r="F181" s="71"/>
      <c r="G181" s="64"/>
      <c r="H181" s="64"/>
      <c r="I181" s="53"/>
    </row>
    <row r="182" spans="2:9" x14ac:dyDescent="0.25">
      <c r="B182" s="63"/>
      <c r="C182" s="64"/>
      <c r="D182" s="65"/>
      <c r="E182" s="64"/>
      <c r="F182" s="71"/>
      <c r="G182" s="64"/>
      <c r="H182" s="64"/>
      <c r="I182" s="53"/>
    </row>
    <row r="183" spans="2:9" x14ac:dyDescent="0.25">
      <c r="B183" s="63"/>
      <c r="C183" s="64"/>
      <c r="D183" s="65"/>
      <c r="E183" s="64"/>
      <c r="F183" s="71"/>
      <c r="G183" s="64"/>
      <c r="H183" s="64"/>
      <c r="I183" s="53"/>
    </row>
    <row r="184" spans="2:9" x14ac:dyDescent="0.25">
      <c r="B184" s="63"/>
      <c r="C184" s="64"/>
      <c r="D184" s="65"/>
      <c r="E184" s="64"/>
      <c r="F184" s="71"/>
      <c r="G184" s="64"/>
      <c r="H184" s="64"/>
      <c r="I184" s="53"/>
    </row>
    <row r="185" spans="2:9" x14ac:dyDescent="0.25">
      <c r="B185" s="63"/>
      <c r="C185" s="64"/>
      <c r="D185" s="65"/>
      <c r="E185" s="64"/>
      <c r="F185" s="71"/>
      <c r="G185" s="64"/>
      <c r="H185" s="64"/>
      <c r="I185" s="53"/>
    </row>
    <row r="186" spans="2:9" x14ac:dyDescent="0.25">
      <c r="B186" s="63"/>
      <c r="C186" s="64"/>
      <c r="D186" s="65"/>
      <c r="E186" s="64"/>
      <c r="F186" s="71"/>
      <c r="G186" s="64"/>
      <c r="H186" s="64"/>
      <c r="I186" s="53"/>
    </row>
    <row r="187" spans="2:9" x14ac:dyDescent="0.25">
      <c r="B187" s="63"/>
      <c r="C187" s="64"/>
      <c r="D187" s="65"/>
      <c r="E187" s="64"/>
      <c r="F187" s="71"/>
      <c r="G187" s="64"/>
      <c r="H187" s="64"/>
      <c r="I187" s="53"/>
    </row>
    <row r="188" spans="2:9" x14ac:dyDescent="0.25">
      <c r="B188" s="63"/>
      <c r="C188" s="64"/>
      <c r="D188" s="65"/>
      <c r="E188" s="64"/>
      <c r="F188" s="71"/>
      <c r="G188" s="64"/>
      <c r="H188" s="64"/>
      <c r="I188" s="53"/>
    </row>
    <row r="189" spans="2:9" x14ac:dyDescent="0.25">
      <c r="B189" s="63"/>
      <c r="C189" s="64"/>
      <c r="D189" s="65"/>
      <c r="E189" s="64"/>
      <c r="F189" s="71"/>
      <c r="G189" s="64"/>
      <c r="H189" s="64"/>
      <c r="I189" s="53"/>
    </row>
    <row r="190" spans="2:9" x14ac:dyDescent="0.25">
      <c r="B190" s="63"/>
      <c r="C190" s="64"/>
      <c r="D190" s="65"/>
      <c r="E190" s="64"/>
      <c r="F190" s="71"/>
      <c r="G190" s="64"/>
      <c r="H190" s="64"/>
      <c r="I190" s="53"/>
    </row>
    <row r="191" spans="2:9" x14ac:dyDescent="0.25">
      <c r="B191" s="63"/>
      <c r="C191" s="64"/>
      <c r="D191" s="65"/>
      <c r="E191" s="64"/>
      <c r="F191" s="71"/>
      <c r="G191" s="64"/>
      <c r="H191" s="64"/>
      <c r="I191" s="53"/>
    </row>
    <row r="192" spans="2:9" x14ac:dyDescent="0.25">
      <c r="B192" s="63"/>
      <c r="C192" s="64"/>
      <c r="D192" s="65"/>
      <c r="E192" s="64"/>
      <c r="F192" s="72"/>
      <c r="G192" s="64"/>
      <c r="H192" s="64"/>
      <c r="I192" s="53"/>
    </row>
    <row r="193" spans="2:9" x14ac:dyDescent="0.25">
      <c r="B193" s="72"/>
      <c r="C193" s="64"/>
      <c r="D193" s="64"/>
      <c r="E193" s="64"/>
      <c r="F193" s="72"/>
      <c r="G193" s="64"/>
      <c r="H193" s="64"/>
      <c r="I193" s="53"/>
    </row>
    <row r="194" spans="2:9" x14ac:dyDescent="0.25">
      <c r="C194" s="9"/>
      <c r="D194" s="9"/>
      <c r="E194" s="9"/>
      <c r="G194" s="53"/>
      <c r="H194" s="53"/>
      <c r="I194" s="53"/>
    </row>
    <row r="195" spans="2:9" x14ac:dyDescent="0.25">
      <c r="C195" s="9"/>
      <c r="D195" s="9"/>
      <c r="E195" s="9"/>
      <c r="G195" s="53"/>
      <c r="H195" s="53"/>
      <c r="I195" s="53"/>
    </row>
    <row r="196" spans="2:9" x14ac:dyDescent="0.25">
      <c r="C196" s="9"/>
      <c r="D196" s="9"/>
      <c r="E196" s="9"/>
      <c r="G196" s="53"/>
      <c r="H196" s="53"/>
      <c r="I196" s="53"/>
    </row>
    <row r="197" spans="2:9" x14ac:dyDescent="0.25">
      <c r="C197" s="9"/>
      <c r="D197" s="9"/>
      <c r="E197" s="9"/>
      <c r="G197" s="53"/>
      <c r="H197" s="53"/>
      <c r="I197" s="53"/>
    </row>
    <row r="198" spans="2:9" x14ac:dyDescent="0.25">
      <c r="C198" s="9"/>
      <c r="D198" s="9"/>
      <c r="E198" s="9"/>
      <c r="G198" s="53"/>
      <c r="H198" s="53"/>
      <c r="I198" s="53"/>
    </row>
    <row r="199" spans="2:9" x14ac:dyDescent="0.25">
      <c r="C199" s="9"/>
      <c r="D199" s="9"/>
      <c r="E199" s="9"/>
      <c r="G199" s="53"/>
      <c r="H199" s="53"/>
      <c r="I199" s="53"/>
    </row>
    <row r="200" spans="2:9" x14ac:dyDescent="0.25">
      <c r="C200" s="9"/>
      <c r="D200" s="9"/>
      <c r="E200" s="9"/>
      <c r="G200" s="53"/>
      <c r="H200" s="53"/>
      <c r="I200" s="53"/>
    </row>
    <row r="201" spans="2:9" x14ac:dyDescent="0.25">
      <c r="C201" s="9"/>
      <c r="D201" s="9"/>
      <c r="E201" s="9"/>
      <c r="G201" s="53"/>
      <c r="H201" s="53"/>
      <c r="I201" s="53"/>
    </row>
    <row r="202" spans="2:9" x14ac:dyDescent="0.25">
      <c r="C202" s="9"/>
      <c r="D202" s="9"/>
      <c r="E202" s="9"/>
      <c r="G202" s="53"/>
      <c r="H202" s="53"/>
      <c r="I202" s="53"/>
    </row>
    <row r="203" spans="2:9" x14ac:dyDescent="0.25">
      <c r="C203" s="9"/>
      <c r="D203" s="9"/>
      <c r="E203" s="9"/>
      <c r="G203" s="53"/>
      <c r="H203" s="53"/>
      <c r="I203" s="53"/>
    </row>
    <row r="204" spans="2:9" x14ac:dyDescent="0.25">
      <c r="C204" s="9"/>
      <c r="D204" s="9"/>
      <c r="E204" s="9"/>
      <c r="G204" s="53"/>
      <c r="H204" s="53"/>
      <c r="I204" s="53"/>
    </row>
    <row r="205" spans="2:9" x14ac:dyDescent="0.25">
      <c r="C205" s="9"/>
      <c r="D205" s="9"/>
      <c r="E205" s="9"/>
      <c r="G205" s="53"/>
      <c r="H205" s="53"/>
      <c r="I205" s="53"/>
    </row>
    <row r="206" spans="2:9" x14ac:dyDescent="0.25">
      <c r="C206" s="9"/>
      <c r="D206" s="9"/>
      <c r="E206" s="9"/>
      <c r="G206" s="53"/>
      <c r="H206" s="53"/>
      <c r="I206" s="53"/>
    </row>
    <row r="207" spans="2:9" x14ac:dyDescent="0.25">
      <c r="C207" s="9"/>
      <c r="D207" s="9"/>
      <c r="E207" s="9"/>
      <c r="G207" s="53"/>
      <c r="H207" s="53"/>
      <c r="I207" s="53"/>
    </row>
    <row r="208" spans="2:9" x14ac:dyDescent="0.25">
      <c r="C208" s="9"/>
      <c r="D208" s="9"/>
      <c r="E208" s="9"/>
      <c r="G208" s="53"/>
      <c r="H208" s="53"/>
      <c r="I208" s="53"/>
    </row>
    <row r="209" spans="3:9" x14ac:dyDescent="0.25">
      <c r="C209" s="9"/>
      <c r="D209" s="9"/>
      <c r="E209" s="9"/>
      <c r="G209" s="53"/>
      <c r="H209" s="53"/>
      <c r="I209" s="53"/>
    </row>
    <row r="210" spans="3:9" x14ac:dyDescent="0.25">
      <c r="C210" s="9"/>
      <c r="D210" s="9"/>
      <c r="E210" s="9"/>
      <c r="G210" s="53"/>
      <c r="H210" s="53"/>
      <c r="I210" s="53"/>
    </row>
    <row r="211" spans="3:9" x14ac:dyDescent="0.25">
      <c r="C211" s="9"/>
      <c r="D211" s="9"/>
      <c r="E211" s="9"/>
      <c r="G211" s="53"/>
      <c r="H211" s="53"/>
      <c r="I211" s="53"/>
    </row>
    <row r="212" spans="3:9" x14ac:dyDescent="0.25">
      <c r="C212" s="9"/>
      <c r="D212" s="9"/>
      <c r="E212" s="9"/>
      <c r="G212" s="53"/>
      <c r="H212" s="53"/>
      <c r="I212" s="53"/>
    </row>
    <row r="213" spans="3:9" x14ac:dyDescent="0.25">
      <c r="C213" s="9"/>
      <c r="D213" s="9"/>
      <c r="E213" s="9"/>
      <c r="G213" s="53"/>
      <c r="H213" s="53"/>
      <c r="I213" s="53"/>
    </row>
    <row r="214" spans="3:9" x14ac:dyDescent="0.25">
      <c r="C214" s="9"/>
      <c r="D214" s="9"/>
      <c r="E214" s="9"/>
      <c r="G214" s="53"/>
      <c r="H214" s="53"/>
      <c r="I214" s="53"/>
    </row>
    <row r="215" spans="3:9" x14ac:dyDescent="0.25">
      <c r="C215" s="9"/>
      <c r="D215" s="9"/>
      <c r="E215" s="9"/>
      <c r="G215" s="53"/>
      <c r="H215" s="53"/>
      <c r="I215" s="53"/>
    </row>
    <row r="216" spans="3:9" x14ac:dyDescent="0.25">
      <c r="C216" s="9"/>
      <c r="D216" s="9"/>
      <c r="E216" s="9"/>
      <c r="G216" s="53"/>
      <c r="H216" s="53"/>
      <c r="I216" s="53"/>
    </row>
    <row r="217" spans="3:9" x14ac:dyDescent="0.25">
      <c r="C217" s="9"/>
      <c r="D217" s="9"/>
      <c r="E217" s="9"/>
      <c r="G217" s="53"/>
      <c r="H217" s="53"/>
      <c r="I217" s="53"/>
    </row>
    <row r="218" spans="3:9" x14ac:dyDescent="0.25">
      <c r="C218" s="9"/>
      <c r="D218" s="9"/>
      <c r="E218" s="9"/>
      <c r="G218" s="53"/>
      <c r="H218" s="53"/>
      <c r="I218" s="53"/>
    </row>
    <row r="219" spans="3:9" x14ac:dyDescent="0.25">
      <c r="C219" s="9"/>
      <c r="D219" s="9"/>
      <c r="E219" s="9"/>
      <c r="G219" s="53"/>
      <c r="H219" s="53"/>
      <c r="I219" s="53"/>
    </row>
    <row r="220" spans="3:9" x14ac:dyDescent="0.25">
      <c r="C220" s="9"/>
      <c r="D220" s="9"/>
      <c r="E220" s="9"/>
      <c r="G220" s="53"/>
      <c r="H220" s="53"/>
      <c r="I220" s="53"/>
    </row>
    <row r="221" spans="3:9" x14ac:dyDescent="0.25">
      <c r="C221" s="9"/>
      <c r="D221" s="9"/>
      <c r="E221" s="9"/>
      <c r="G221" s="53"/>
      <c r="H221" s="53"/>
      <c r="I221" s="53"/>
    </row>
    <row r="222" spans="3:9" x14ac:dyDescent="0.25">
      <c r="C222" s="9"/>
      <c r="D222" s="9"/>
      <c r="E222" s="9"/>
      <c r="G222" s="53"/>
      <c r="H222" s="53"/>
      <c r="I222" s="53"/>
    </row>
    <row r="223" spans="3:9" x14ac:dyDescent="0.25">
      <c r="C223" s="9"/>
      <c r="D223" s="9"/>
      <c r="E223" s="9"/>
      <c r="G223" s="53"/>
      <c r="H223" s="53"/>
      <c r="I223" s="53"/>
    </row>
    <row r="224" spans="3:9" x14ac:dyDescent="0.25">
      <c r="C224" s="9"/>
      <c r="D224" s="9"/>
      <c r="E224" s="9"/>
      <c r="G224" s="53"/>
      <c r="H224" s="53"/>
      <c r="I224" s="53"/>
    </row>
    <row r="225" spans="3:9" x14ac:dyDescent="0.25">
      <c r="C225" s="9"/>
      <c r="D225" s="9"/>
      <c r="E225" s="9"/>
      <c r="G225" s="53"/>
      <c r="H225" s="53"/>
      <c r="I225" s="53"/>
    </row>
    <row r="226" spans="3:9" x14ac:dyDescent="0.25">
      <c r="C226" s="9"/>
      <c r="D226" s="9"/>
      <c r="E226" s="9"/>
      <c r="G226" s="53"/>
      <c r="H226" s="53"/>
      <c r="I226" s="53"/>
    </row>
    <row r="227" spans="3:9" x14ac:dyDescent="0.25">
      <c r="C227" s="9"/>
      <c r="D227" s="9"/>
      <c r="E227" s="9"/>
      <c r="G227" s="53"/>
      <c r="H227" s="53"/>
      <c r="I227" s="53"/>
    </row>
    <row r="228" spans="3:9" x14ac:dyDescent="0.25">
      <c r="C228" s="9"/>
      <c r="D228" s="9"/>
      <c r="E228" s="9"/>
      <c r="G228" s="53"/>
      <c r="H228" s="53"/>
      <c r="I228" s="53"/>
    </row>
    <row r="229" spans="3:9" x14ac:dyDescent="0.25">
      <c r="C229" s="9"/>
      <c r="D229" s="9"/>
      <c r="E229" s="9"/>
      <c r="G229" s="53"/>
      <c r="H229" s="53"/>
      <c r="I229" s="53"/>
    </row>
    <row r="230" spans="3:9" x14ac:dyDescent="0.25">
      <c r="C230" s="9"/>
      <c r="D230" s="9"/>
      <c r="E230" s="9"/>
      <c r="G230" s="53"/>
      <c r="H230" s="53"/>
      <c r="I230" s="53"/>
    </row>
    <row r="231" spans="3:9" x14ac:dyDescent="0.25">
      <c r="C231" s="9"/>
      <c r="D231" s="9"/>
      <c r="E231" s="9"/>
      <c r="G231" s="53"/>
      <c r="H231" s="53"/>
      <c r="I231" s="53"/>
    </row>
    <row r="232" spans="3:9" x14ac:dyDescent="0.25">
      <c r="C232" s="9"/>
      <c r="D232" s="9"/>
      <c r="E232" s="9"/>
      <c r="G232" s="53"/>
      <c r="H232" s="53"/>
      <c r="I232" s="53"/>
    </row>
    <row r="233" spans="3:9" x14ac:dyDescent="0.25">
      <c r="C233" s="9"/>
      <c r="D233" s="9"/>
      <c r="E233" s="9"/>
      <c r="G233" s="53"/>
      <c r="H233" s="53"/>
      <c r="I233" s="53"/>
    </row>
    <row r="234" spans="3:9" x14ac:dyDescent="0.25">
      <c r="C234" s="9"/>
      <c r="D234" s="9"/>
      <c r="E234" s="9"/>
      <c r="G234" s="53"/>
      <c r="H234" s="53"/>
      <c r="I234" s="53"/>
    </row>
    <row r="235" spans="3:9" x14ac:dyDescent="0.25">
      <c r="C235" s="9"/>
      <c r="D235" s="9"/>
      <c r="E235" s="9"/>
      <c r="G235" s="53"/>
      <c r="H235" s="53"/>
      <c r="I235" s="53"/>
    </row>
    <row r="236" spans="3:9" x14ac:dyDescent="0.25">
      <c r="C236" s="9"/>
      <c r="D236" s="9"/>
      <c r="E236" s="9"/>
      <c r="G236" s="53"/>
      <c r="H236" s="53"/>
      <c r="I236" s="53"/>
    </row>
    <row r="237" spans="3:9" x14ac:dyDescent="0.25">
      <c r="C237" s="9"/>
      <c r="D237" s="9"/>
      <c r="E237" s="9"/>
      <c r="G237" s="53"/>
      <c r="H237" s="53"/>
      <c r="I237" s="53"/>
    </row>
    <row r="238" spans="3:9" x14ac:dyDescent="0.25">
      <c r="C238" s="9"/>
      <c r="D238" s="9"/>
      <c r="E238" s="9"/>
      <c r="G238" s="53"/>
      <c r="H238" s="53"/>
      <c r="I238" s="53"/>
    </row>
    <row r="239" spans="3:9" x14ac:dyDescent="0.25">
      <c r="C239" s="9"/>
      <c r="D239" s="9"/>
      <c r="E239" s="9"/>
      <c r="G239" s="53"/>
      <c r="H239" s="53"/>
      <c r="I239" s="53"/>
    </row>
    <row r="240" spans="3:9" x14ac:dyDescent="0.25">
      <c r="C240" s="9"/>
      <c r="D240" s="9"/>
      <c r="E240" s="9"/>
      <c r="G240" s="53"/>
      <c r="H240" s="53"/>
      <c r="I240" s="53"/>
    </row>
    <row r="241" spans="3:9" x14ac:dyDescent="0.25">
      <c r="C241" s="9"/>
      <c r="D241" s="9"/>
      <c r="E241" s="9"/>
      <c r="G241" s="53"/>
      <c r="H241" s="53"/>
      <c r="I241" s="53"/>
    </row>
    <row r="242" spans="3:9" x14ac:dyDescent="0.25">
      <c r="C242" s="9"/>
      <c r="D242" s="9"/>
      <c r="E242" s="9"/>
      <c r="G242" s="53"/>
      <c r="H242" s="53"/>
      <c r="I242" s="53"/>
    </row>
    <row r="243" spans="3:9" x14ac:dyDescent="0.25">
      <c r="C243" s="9"/>
      <c r="D243" s="9"/>
      <c r="E243" s="9"/>
      <c r="G243" s="53"/>
      <c r="H243" s="53"/>
      <c r="I243" s="53"/>
    </row>
    <row r="244" spans="3:9" x14ac:dyDescent="0.25">
      <c r="C244" s="9"/>
      <c r="D244" s="9"/>
      <c r="E244" s="9"/>
      <c r="G244" s="53"/>
      <c r="H244" s="53"/>
      <c r="I244" s="53"/>
    </row>
    <row r="245" spans="3:9" x14ac:dyDescent="0.25">
      <c r="C245" s="9"/>
      <c r="D245" s="9"/>
      <c r="E245" s="9"/>
      <c r="G245" s="53"/>
      <c r="H245" s="53"/>
      <c r="I245" s="53"/>
    </row>
    <row r="246" spans="3:9" x14ac:dyDescent="0.25">
      <c r="C246" s="9"/>
      <c r="D246" s="9"/>
      <c r="E246" s="9"/>
      <c r="G246" s="53"/>
      <c r="H246" s="53"/>
      <c r="I246" s="53"/>
    </row>
    <row r="247" spans="3:9" x14ac:dyDescent="0.25">
      <c r="C247" s="9"/>
      <c r="D247" s="9"/>
      <c r="E247" s="9"/>
      <c r="G247" s="53"/>
      <c r="H247" s="53"/>
      <c r="I247" s="53"/>
    </row>
    <row r="248" spans="3:9" x14ac:dyDescent="0.25">
      <c r="C248" s="9"/>
      <c r="D248" s="9"/>
      <c r="E248" s="9"/>
      <c r="G248" s="53"/>
      <c r="H248" s="53"/>
      <c r="I248" s="53"/>
    </row>
    <row r="249" spans="3:9" x14ac:dyDescent="0.25">
      <c r="C249" s="9"/>
      <c r="D249" s="9"/>
      <c r="E249" s="9"/>
      <c r="G249" s="53"/>
      <c r="H249" s="53"/>
      <c r="I249" s="53"/>
    </row>
    <row r="250" spans="3:9" x14ac:dyDescent="0.25">
      <c r="C250" s="9"/>
      <c r="D250" s="9"/>
      <c r="E250" s="9"/>
      <c r="G250" s="53"/>
      <c r="H250" s="53"/>
      <c r="I250" s="53"/>
    </row>
    <row r="251" spans="3:9" x14ac:dyDescent="0.25">
      <c r="C251" s="9"/>
      <c r="D251" s="9"/>
      <c r="E251" s="9"/>
      <c r="G251" s="53"/>
      <c r="H251" s="53"/>
      <c r="I251" s="53"/>
    </row>
    <row r="252" spans="3:9" x14ac:dyDescent="0.25">
      <c r="C252" s="9"/>
      <c r="D252" s="9"/>
      <c r="E252" s="9"/>
      <c r="G252" s="53"/>
      <c r="H252" s="53"/>
      <c r="I252" s="53"/>
    </row>
    <row r="253" spans="3:9" x14ac:dyDescent="0.25">
      <c r="C253" s="9"/>
      <c r="D253" s="9"/>
      <c r="E253" s="9"/>
      <c r="G253" s="53"/>
      <c r="H253" s="53"/>
      <c r="I253" s="53"/>
    </row>
    <row r="254" spans="3:9" x14ac:dyDescent="0.25">
      <c r="C254" s="9"/>
      <c r="D254" s="9"/>
      <c r="E254" s="9"/>
      <c r="G254" s="53"/>
      <c r="H254" s="53"/>
      <c r="I254" s="53"/>
    </row>
    <row r="255" spans="3:9" x14ac:dyDescent="0.25">
      <c r="C255" s="9"/>
      <c r="D255" s="9"/>
      <c r="E255" s="9"/>
      <c r="G255" s="53"/>
      <c r="H255" s="53"/>
      <c r="I255" s="53"/>
    </row>
    <row r="256" spans="3:9" x14ac:dyDescent="0.25">
      <c r="C256" s="9"/>
      <c r="D256" s="9"/>
      <c r="E256" s="9"/>
      <c r="G256" s="53"/>
      <c r="H256" s="53"/>
      <c r="I256" s="53"/>
    </row>
    <row r="257" spans="3:9" x14ac:dyDescent="0.25">
      <c r="C257" s="9"/>
      <c r="D257" s="9"/>
      <c r="E257" s="9"/>
      <c r="G257" s="53"/>
      <c r="H257" s="53"/>
      <c r="I257" s="53"/>
    </row>
    <row r="258" spans="3:9" x14ac:dyDescent="0.25">
      <c r="C258" s="9"/>
      <c r="D258" s="9"/>
      <c r="E258" s="9"/>
      <c r="G258" s="53"/>
      <c r="H258" s="53"/>
      <c r="I258" s="53"/>
    </row>
    <row r="259" spans="3:9" x14ac:dyDescent="0.25">
      <c r="C259" s="9"/>
      <c r="D259" s="9"/>
      <c r="E259" s="9"/>
      <c r="G259" s="53"/>
      <c r="H259" s="53"/>
      <c r="I259" s="53"/>
    </row>
    <row r="260" spans="3:9" x14ac:dyDescent="0.25">
      <c r="C260" s="9"/>
      <c r="D260" s="9"/>
      <c r="E260" s="9"/>
      <c r="G260" s="53"/>
      <c r="H260" s="53"/>
      <c r="I260" s="53"/>
    </row>
    <row r="261" spans="3:9" x14ac:dyDescent="0.25">
      <c r="C261" s="9"/>
      <c r="D261" s="9"/>
      <c r="E261" s="9"/>
      <c r="G261" s="53"/>
      <c r="H261" s="53"/>
      <c r="I261" s="53"/>
    </row>
    <row r="262" spans="3:9" x14ac:dyDescent="0.25">
      <c r="C262" s="9"/>
      <c r="D262" s="9"/>
      <c r="E262" s="9"/>
      <c r="G262" s="53"/>
      <c r="H262" s="53"/>
      <c r="I262" s="53"/>
    </row>
    <row r="263" spans="3:9" x14ac:dyDescent="0.25">
      <c r="C263" s="9"/>
      <c r="D263" s="9"/>
      <c r="E263" s="9"/>
      <c r="G263" s="53"/>
      <c r="H263" s="53"/>
      <c r="I263" s="53"/>
    </row>
    <row r="264" spans="3:9" x14ac:dyDescent="0.25">
      <c r="C264" s="9"/>
      <c r="D264" s="9"/>
      <c r="E264" s="9"/>
      <c r="G264" s="53"/>
      <c r="H264" s="53"/>
      <c r="I264" s="53"/>
    </row>
    <row r="265" spans="3:9" x14ac:dyDescent="0.25">
      <c r="C265" s="9"/>
      <c r="D265" s="9"/>
      <c r="E265" s="9"/>
      <c r="G265" s="53"/>
      <c r="H265" s="53"/>
      <c r="I265" s="53"/>
    </row>
    <row r="266" spans="3:9" x14ac:dyDescent="0.25">
      <c r="C266" s="9"/>
      <c r="D266" s="9"/>
      <c r="E266" s="9"/>
      <c r="G266" s="53"/>
      <c r="H266" s="53"/>
      <c r="I266" s="53"/>
    </row>
    <row r="267" spans="3:9" x14ac:dyDescent="0.25">
      <c r="C267" s="9"/>
      <c r="D267" s="9"/>
      <c r="E267" s="9"/>
      <c r="G267" s="53"/>
      <c r="H267" s="53"/>
      <c r="I267" s="53"/>
    </row>
    <row r="268" spans="3:9" x14ac:dyDescent="0.25">
      <c r="C268" s="9"/>
      <c r="D268" s="9"/>
      <c r="E268" s="9"/>
      <c r="G268" s="53"/>
      <c r="H268" s="53"/>
      <c r="I268" s="53"/>
    </row>
    <row r="269" spans="3:9" x14ac:dyDescent="0.25">
      <c r="C269" s="9"/>
      <c r="D269" s="9"/>
      <c r="E269" s="9"/>
      <c r="G269" s="53"/>
      <c r="H269" s="53"/>
      <c r="I269" s="53"/>
    </row>
    <row r="270" spans="3:9" x14ac:dyDescent="0.25">
      <c r="C270" s="9"/>
      <c r="D270" s="9"/>
      <c r="E270" s="9"/>
      <c r="G270" s="53"/>
      <c r="H270" s="53"/>
      <c r="I270" s="53"/>
    </row>
    <row r="271" spans="3:9" x14ac:dyDescent="0.25">
      <c r="C271" s="9"/>
      <c r="D271" s="9"/>
      <c r="E271" s="9"/>
      <c r="G271" s="53"/>
      <c r="H271" s="53"/>
      <c r="I271" s="53"/>
    </row>
    <row r="272" spans="3:9" x14ac:dyDescent="0.25">
      <c r="C272" s="9"/>
      <c r="D272" s="9"/>
      <c r="E272" s="9"/>
      <c r="G272" s="53"/>
      <c r="H272" s="53"/>
      <c r="I272" s="53"/>
    </row>
    <row r="273" spans="3:5" x14ac:dyDescent="0.25">
      <c r="C273" s="9"/>
      <c r="D273" s="9"/>
      <c r="E273" s="9"/>
    </row>
    <row r="274" spans="3:5" x14ac:dyDescent="0.25">
      <c r="C274" s="9"/>
      <c r="D274" s="9"/>
      <c r="E274" s="9"/>
    </row>
    <row r="275" spans="3:5" x14ac:dyDescent="0.25">
      <c r="C275" s="9"/>
      <c r="D275" s="9"/>
      <c r="E275" s="9"/>
    </row>
    <row r="276" spans="3:5" x14ac:dyDescent="0.25">
      <c r="C276" s="9"/>
      <c r="D276" s="9"/>
      <c r="E276" s="9"/>
    </row>
    <row r="277" spans="3:5" x14ac:dyDescent="0.25">
      <c r="C277" s="9"/>
      <c r="D277" s="9"/>
      <c r="E277" s="9"/>
    </row>
    <row r="278" spans="3:5" x14ac:dyDescent="0.25">
      <c r="C278" s="9"/>
      <c r="D278" s="9"/>
      <c r="E278" s="9"/>
    </row>
    <row r="279" spans="3:5" x14ac:dyDescent="0.25">
      <c r="C279" s="9"/>
      <c r="D279" s="9"/>
      <c r="E279" s="9"/>
    </row>
    <row r="280" spans="3:5" x14ac:dyDescent="0.25">
      <c r="C280" s="9"/>
      <c r="D280" s="9"/>
      <c r="E280" s="9"/>
    </row>
    <row r="281" spans="3:5" x14ac:dyDescent="0.25">
      <c r="C281" s="9"/>
      <c r="D281" s="9"/>
      <c r="E281" s="9"/>
    </row>
    <row r="282" spans="3:5" x14ac:dyDescent="0.25">
      <c r="C282" s="9"/>
      <c r="D282" s="9"/>
      <c r="E282" s="9"/>
    </row>
    <row r="283" spans="3:5" x14ac:dyDescent="0.25">
      <c r="C283" s="9"/>
      <c r="D283" s="9"/>
      <c r="E283" s="9"/>
    </row>
    <row r="284" spans="3:5" x14ac:dyDescent="0.25">
      <c r="C284" s="9"/>
      <c r="D284" s="9"/>
      <c r="E284" s="9"/>
    </row>
    <row r="285" spans="3:5" x14ac:dyDescent="0.25">
      <c r="C285" s="9"/>
      <c r="D285" s="9"/>
      <c r="E285" s="9"/>
    </row>
    <row r="286" spans="3:5" x14ac:dyDescent="0.25">
      <c r="C286" s="9"/>
      <c r="D286" s="9"/>
      <c r="E286" s="9"/>
    </row>
    <row r="287" spans="3:5" x14ac:dyDescent="0.25">
      <c r="C287" s="9"/>
      <c r="D287" s="9"/>
      <c r="E287" s="9"/>
    </row>
    <row r="288" spans="3:5" x14ac:dyDescent="0.25">
      <c r="C288" s="9"/>
      <c r="D288" s="9"/>
      <c r="E288" s="9"/>
    </row>
    <row r="289" spans="3:5" x14ac:dyDescent="0.25">
      <c r="C289" s="9"/>
      <c r="D289" s="9"/>
      <c r="E289" s="9"/>
    </row>
    <row r="290" spans="3:5" x14ac:dyDescent="0.25">
      <c r="C290" s="9"/>
      <c r="D290" s="9"/>
      <c r="E290" s="9"/>
    </row>
    <row r="291" spans="3:5" x14ac:dyDescent="0.25">
      <c r="C291" s="9"/>
      <c r="D291" s="9"/>
      <c r="E291" s="9"/>
    </row>
    <row r="292" spans="3:5" x14ac:dyDescent="0.25">
      <c r="C292" s="9"/>
      <c r="D292" s="9"/>
      <c r="E292" s="9"/>
    </row>
    <row r="293" spans="3:5" x14ac:dyDescent="0.25">
      <c r="C293" s="9"/>
      <c r="D293" s="9"/>
      <c r="E293" s="9"/>
    </row>
    <row r="294" spans="3:5" x14ac:dyDescent="0.25">
      <c r="C294" s="9"/>
      <c r="D294" s="9"/>
      <c r="E294" s="9"/>
    </row>
    <row r="295" spans="3:5" x14ac:dyDescent="0.25">
      <c r="C295" s="9"/>
      <c r="D295" s="9"/>
      <c r="E295" s="9"/>
    </row>
    <row r="296" spans="3:5" x14ac:dyDescent="0.25">
      <c r="C296" s="9"/>
      <c r="D296" s="9"/>
      <c r="E296" s="9"/>
    </row>
    <row r="297" spans="3:5" x14ac:dyDescent="0.25">
      <c r="C297" s="9"/>
      <c r="D297" s="9"/>
      <c r="E297" s="9"/>
    </row>
    <row r="298" spans="3:5" x14ac:dyDescent="0.25">
      <c r="C298" s="9"/>
      <c r="D298" s="9"/>
      <c r="E298" s="9"/>
    </row>
    <row r="299" spans="3:5" x14ac:dyDescent="0.25">
      <c r="C299" s="9"/>
      <c r="D299" s="9"/>
      <c r="E299" s="9"/>
    </row>
    <row r="300" spans="3:5" x14ac:dyDescent="0.25">
      <c r="C300" s="9"/>
      <c r="D300" s="9"/>
      <c r="E300" s="9"/>
    </row>
    <row r="301" spans="3:5" x14ac:dyDescent="0.25">
      <c r="C301" s="9"/>
      <c r="D301" s="9"/>
      <c r="E301" s="9"/>
    </row>
    <row r="302" spans="3:5" x14ac:dyDescent="0.25">
      <c r="C302" s="9"/>
      <c r="D302" s="9"/>
      <c r="E302" s="9"/>
    </row>
    <row r="303" spans="3:5" x14ac:dyDescent="0.25">
      <c r="C303" s="9"/>
      <c r="D303" s="9"/>
      <c r="E303" s="9"/>
    </row>
    <row r="304" spans="3:5" x14ac:dyDescent="0.25">
      <c r="C304" s="9"/>
      <c r="D304" s="9"/>
      <c r="E304" s="9"/>
    </row>
    <row r="305" spans="3:5" x14ac:dyDescent="0.25">
      <c r="C305" s="9"/>
      <c r="D305" s="9"/>
      <c r="E305" s="9"/>
    </row>
    <row r="306" spans="3:5" x14ac:dyDescent="0.25">
      <c r="C306" s="9"/>
      <c r="D306" s="9"/>
      <c r="E306" s="9"/>
    </row>
    <row r="307" spans="3:5" x14ac:dyDescent="0.25">
      <c r="C307" s="9"/>
      <c r="D307" s="9"/>
      <c r="E307" s="9"/>
    </row>
    <row r="308" spans="3:5" x14ac:dyDescent="0.25">
      <c r="C308" s="9"/>
      <c r="D308" s="9"/>
      <c r="E308" s="9"/>
    </row>
    <row r="309" spans="3:5" x14ac:dyDescent="0.25">
      <c r="C309" s="9"/>
      <c r="D309" s="9"/>
      <c r="E309" s="9"/>
    </row>
    <row r="310" spans="3:5" x14ac:dyDescent="0.25">
      <c r="C310" s="9"/>
      <c r="D310" s="9"/>
      <c r="E310" s="9"/>
    </row>
    <row r="311" spans="3:5" x14ac:dyDescent="0.25">
      <c r="C311" s="9"/>
      <c r="D311" s="9"/>
      <c r="E311" s="9"/>
    </row>
    <row r="312" spans="3:5" x14ac:dyDescent="0.25">
      <c r="C312" s="9"/>
      <c r="D312" s="9"/>
      <c r="E312" s="9"/>
    </row>
    <row r="313" spans="3:5" x14ac:dyDescent="0.25">
      <c r="C313" s="9"/>
      <c r="D313" s="9"/>
      <c r="E313" s="9"/>
    </row>
    <row r="314" spans="3:5" x14ac:dyDescent="0.25">
      <c r="C314" s="9"/>
      <c r="D314" s="9"/>
      <c r="E314" s="9"/>
    </row>
    <row r="315" spans="3:5" x14ac:dyDescent="0.25">
      <c r="C315" s="9"/>
      <c r="D315" s="9"/>
      <c r="E315" s="9"/>
    </row>
    <row r="316" spans="3:5" x14ac:dyDescent="0.25">
      <c r="C316" s="9"/>
      <c r="D316" s="9"/>
      <c r="E316" s="9"/>
    </row>
    <row r="317" spans="3:5" x14ac:dyDescent="0.25">
      <c r="C317" s="9"/>
      <c r="D317" s="9"/>
      <c r="E317" s="9"/>
    </row>
    <row r="318" spans="3:5" x14ac:dyDescent="0.25">
      <c r="C318" s="9"/>
      <c r="D318" s="9"/>
      <c r="E318" s="9"/>
    </row>
    <row r="319" spans="3:5" x14ac:dyDescent="0.25">
      <c r="C319" s="9"/>
      <c r="D319" s="9"/>
      <c r="E319" s="9"/>
    </row>
    <row r="320" spans="3:5" x14ac:dyDescent="0.25">
      <c r="C320" s="9"/>
      <c r="D320" s="9"/>
      <c r="E320" s="9"/>
    </row>
    <row r="321" spans="3:5" x14ac:dyDescent="0.25">
      <c r="C321" s="9"/>
      <c r="D321" s="9"/>
      <c r="E321" s="9"/>
    </row>
    <row r="322" spans="3:5" x14ac:dyDescent="0.25">
      <c r="C322" s="9"/>
      <c r="D322" s="9"/>
      <c r="E322" s="9"/>
    </row>
    <row r="323" spans="3:5" x14ac:dyDescent="0.25">
      <c r="C323" s="9"/>
      <c r="D323" s="9"/>
      <c r="E323" s="9"/>
    </row>
    <row r="324" spans="3:5" x14ac:dyDescent="0.25">
      <c r="C324" s="9"/>
      <c r="D324" s="9"/>
      <c r="E324" s="9"/>
    </row>
    <row r="325" spans="3:5" x14ac:dyDescent="0.25">
      <c r="C325" s="9"/>
      <c r="D325" s="9"/>
      <c r="E325" s="9"/>
    </row>
    <row r="326" spans="3:5" x14ac:dyDescent="0.25">
      <c r="C326" s="9"/>
      <c r="D326" s="9"/>
      <c r="E326" s="9"/>
    </row>
    <row r="327" spans="3:5" x14ac:dyDescent="0.25">
      <c r="C327" s="9"/>
      <c r="D327" s="9"/>
      <c r="E327" s="9"/>
    </row>
    <row r="328" spans="3:5" x14ac:dyDescent="0.25">
      <c r="C328" s="9"/>
      <c r="D328" s="9"/>
      <c r="E328" s="9"/>
    </row>
    <row r="329" spans="3:5" x14ac:dyDescent="0.25">
      <c r="C329" s="9"/>
      <c r="D329" s="9"/>
      <c r="E329" s="9"/>
    </row>
    <row r="330" spans="3:5" x14ac:dyDescent="0.25">
      <c r="C330" s="9"/>
      <c r="D330" s="9"/>
      <c r="E330" s="9"/>
    </row>
    <row r="331" spans="3:5" x14ac:dyDescent="0.25">
      <c r="C331" s="9"/>
      <c r="D331" s="9"/>
      <c r="E331" s="9"/>
    </row>
    <row r="332" spans="3:5" x14ac:dyDescent="0.25">
      <c r="C332" s="9"/>
      <c r="D332" s="9"/>
      <c r="E332" s="9"/>
    </row>
    <row r="333" spans="3:5" x14ac:dyDescent="0.25">
      <c r="C333" s="9"/>
      <c r="D333" s="9"/>
      <c r="E333" s="9"/>
    </row>
    <row r="334" spans="3:5" x14ac:dyDescent="0.25">
      <c r="C334" s="9"/>
      <c r="D334" s="9"/>
      <c r="E334" s="9"/>
    </row>
    <row r="335" spans="3:5" x14ac:dyDescent="0.25">
      <c r="C335" s="9"/>
      <c r="D335" s="9"/>
      <c r="E335" s="9"/>
    </row>
    <row r="336" spans="3:5" x14ac:dyDescent="0.25">
      <c r="C336" s="9"/>
      <c r="D336" s="9"/>
      <c r="E336" s="9"/>
    </row>
    <row r="337" spans="3:5" x14ac:dyDescent="0.25">
      <c r="C337" s="9"/>
      <c r="D337" s="9"/>
      <c r="E337" s="9"/>
    </row>
    <row r="338" spans="3:5" x14ac:dyDescent="0.25">
      <c r="C338" s="9"/>
      <c r="D338" s="9"/>
      <c r="E338" s="9"/>
    </row>
    <row r="339" spans="3:5" x14ac:dyDescent="0.25">
      <c r="C339" s="9"/>
      <c r="D339" s="9"/>
      <c r="E339" s="9"/>
    </row>
    <row r="340" spans="3:5" x14ac:dyDescent="0.25">
      <c r="C340" s="9"/>
      <c r="D340" s="9"/>
      <c r="E340" s="9"/>
    </row>
    <row r="341" spans="3:5" x14ac:dyDescent="0.25">
      <c r="C341" s="9"/>
      <c r="D341" s="9"/>
      <c r="E341" s="9"/>
    </row>
    <row r="342" spans="3:5" x14ac:dyDescent="0.25">
      <c r="C342" s="9"/>
      <c r="D342" s="9"/>
      <c r="E342" s="9"/>
    </row>
    <row r="343" spans="3:5" x14ac:dyDescent="0.25">
      <c r="C343" s="9"/>
      <c r="D343" s="9"/>
      <c r="E343" s="9"/>
    </row>
    <row r="344" spans="3:5" x14ac:dyDescent="0.25">
      <c r="C344" s="9"/>
      <c r="D344" s="9"/>
      <c r="E344" s="9"/>
    </row>
    <row r="345" spans="3:5" x14ac:dyDescent="0.25">
      <c r="C345" s="9"/>
      <c r="D345" s="9"/>
      <c r="E345" s="9"/>
    </row>
    <row r="346" spans="3:5" x14ac:dyDescent="0.25">
      <c r="C346" s="9"/>
      <c r="D346" s="9"/>
      <c r="E346" s="9"/>
    </row>
    <row r="347" spans="3:5" x14ac:dyDescent="0.25">
      <c r="C347" s="9"/>
      <c r="D347" s="9"/>
      <c r="E347" s="9"/>
    </row>
    <row r="348" spans="3:5" x14ac:dyDescent="0.25">
      <c r="C348" s="9"/>
      <c r="D348" s="9"/>
      <c r="E348" s="9"/>
    </row>
    <row r="349" spans="3:5" x14ac:dyDescent="0.25">
      <c r="C349" s="9"/>
      <c r="D349" s="9"/>
      <c r="E349" s="9"/>
    </row>
    <row r="350" spans="3:5" x14ac:dyDescent="0.25">
      <c r="C350" s="9"/>
      <c r="D350" s="9"/>
      <c r="E350" s="9"/>
    </row>
    <row r="351" spans="3:5" x14ac:dyDescent="0.25">
      <c r="C351" s="9"/>
      <c r="D351" s="9"/>
      <c r="E351" s="9"/>
    </row>
    <row r="352" spans="3:5" x14ac:dyDescent="0.25">
      <c r="C352" s="9"/>
      <c r="D352" s="9"/>
      <c r="E352" s="9"/>
    </row>
    <row r="353" spans="3:5" x14ac:dyDescent="0.25">
      <c r="C353" s="9"/>
      <c r="D353" s="9"/>
      <c r="E353" s="9"/>
    </row>
    <row r="354" spans="3:5" x14ac:dyDescent="0.25">
      <c r="C354" s="9"/>
      <c r="D354" s="9"/>
      <c r="E354" s="9"/>
    </row>
    <row r="355" spans="3:5" x14ac:dyDescent="0.25">
      <c r="C355" s="9"/>
      <c r="D355" s="9"/>
      <c r="E355" s="9"/>
    </row>
    <row r="356" spans="3:5" x14ac:dyDescent="0.25">
      <c r="C356" s="9"/>
      <c r="D356" s="9"/>
      <c r="E356" s="9"/>
    </row>
    <row r="357" spans="3:5" x14ac:dyDescent="0.25">
      <c r="C357" s="9"/>
      <c r="D357" s="9"/>
      <c r="E357" s="9"/>
    </row>
    <row r="358" spans="3:5" x14ac:dyDescent="0.25">
      <c r="C358" s="9"/>
      <c r="D358" s="9"/>
      <c r="E358" s="9"/>
    </row>
    <row r="359" spans="3:5" x14ac:dyDescent="0.25">
      <c r="C359" s="9"/>
      <c r="D359" s="9"/>
      <c r="E359" s="9"/>
    </row>
    <row r="360" spans="3:5" x14ac:dyDescent="0.25">
      <c r="C360" s="9"/>
      <c r="D360" s="9"/>
      <c r="E360" s="9"/>
    </row>
    <row r="361" spans="3:5" x14ac:dyDescent="0.25">
      <c r="C361" s="9"/>
      <c r="D361" s="9"/>
      <c r="E361" s="9"/>
    </row>
    <row r="362" spans="3:5" x14ac:dyDescent="0.25">
      <c r="C362" s="9"/>
      <c r="D362" s="9"/>
      <c r="E362" s="9"/>
    </row>
    <row r="363" spans="3:5" x14ac:dyDescent="0.25">
      <c r="C363" s="9"/>
      <c r="D363" s="9"/>
      <c r="E363" s="9"/>
    </row>
    <row r="364" spans="3:5" x14ac:dyDescent="0.25">
      <c r="C364" s="9"/>
      <c r="D364" s="9"/>
      <c r="E364" s="9"/>
    </row>
    <row r="365" spans="3:5" x14ac:dyDescent="0.25">
      <c r="C365" s="9"/>
      <c r="D365" s="9"/>
      <c r="E365" s="9"/>
    </row>
    <row r="366" spans="3:5" x14ac:dyDescent="0.25">
      <c r="C366" s="9"/>
      <c r="D366" s="9"/>
      <c r="E366" s="9"/>
    </row>
    <row r="367" spans="3:5" x14ac:dyDescent="0.25">
      <c r="C367" s="9"/>
      <c r="D367" s="9"/>
      <c r="E367" s="9"/>
    </row>
    <row r="368" spans="3:5" x14ac:dyDescent="0.25">
      <c r="C368" s="9"/>
      <c r="D368" s="9"/>
      <c r="E368" s="9"/>
    </row>
    <row r="369" spans="3:5" x14ac:dyDescent="0.25">
      <c r="C369" s="9"/>
      <c r="D369" s="9"/>
      <c r="E369" s="9"/>
    </row>
    <row r="370" spans="3:5" x14ac:dyDescent="0.25">
      <c r="C370" s="9"/>
      <c r="D370" s="9"/>
      <c r="E370" s="9"/>
    </row>
    <row r="371" spans="3:5" x14ac:dyDescent="0.25">
      <c r="C371" s="9"/>
      <c r="D371" s="9"/>
      <c r="E371" s="9"/>
    </row>
    <row r="372" spans="3:5" x14ac:dyDescent="0.25">
      <c r="C372" s="9"/>
      <c r="D372" s="9"/>
      <c r="E372" s="9"/>
    </row>
    <row r="373" spans="3:5" x14ac:dyDescent="0.25">
      <c r="C373" s="9"/>
      <c r="D373" s="9"/>
      <c r="E373" s="9"/>
    </row>
    <row r="374" spans="3:5" x14ac:dyDescent="0.25">
      <c r="C374" s="9"/>
      <c r="D374" s="9"/>
      <c r="E374" s="9"/>
    </row>
    <row r="375" spans="3:5" x14ac:dyDescent="0.25">
      <c r="C375" s="9"/>
      <c r="D375" s="9"/>
      <c r="E375" s="9"/>
    </row>
    <row r="376" spans="3:5" x14ac:dyDescent="0.25">
      <c r="C376" s="9"/>
      <c r="D376" s="9"/>
      <c r="E376" s="9"/>
    </row>
    <row r="377" spans="3:5" x14ac:dyDescent="0.25">
      <c r="C377" s="9"/>
      <c r="D377" s="9"/>
      <c r="E377" s="9"/>
    </row>
    <row r="378" spans="3:5" x14ac:dyDescent="0.25">
      <c r="C378" s="9"/>
      <c r="D378" s="9"/>
      <c r="E378" s="9"/>
    </row>
    <row r="379" spans="3:5" x14ac:dyDescent="0.25">
      <c r="C379" s="9"/>
      <c r="D379" s="9"/>
      <c r="E379" s="9"/>
    </row>
    <row r="380" spans="3:5" x14ac:dyDescent="0.25">
      <c r="C380" s="9"/>
      <c r="D380" s="9"/>
      <c r="E380" s="9"/>
    </row>
    <row r="381" spans="3:5" x14ac:dyDescent="0.25">
      <c r="C381" s="9"/>
      <c r="D381" s="9"/>
      <c r="E381" s="9"/>
    </row>
    <row r="382" spans="3:5" x14ac:dyDescent="0.25">
      <c r="C382" s="9"/>
      <c r="D382" s="9"/>
      <c r="E382" s="9"/>
    </row>
    <row r="383" spans="3:5" x14ac:dyDescent="0.25">
      <c r="C383" s="9"/>
      <c r="D383" s="9"/>
      <c r="E383" s="9"/>
    </row>
    <row r="384" spans="3:5" x14ac:dyDescent="0.25">
      <c r="C384" s="9"/>
      <c r="D384" s="9"/>
      <c r="E384" s="9"/>
    </row>
    <row r="385" spans="3:5" x14ac:dyDescent="0.25">
      <c r="C385" s="9"/>
      <c r="D385" s="9"/>
      <c r="E385" s="9"/>
    </row>
    <row r="386" spans="3:5" x14ac:dyDescent="0.25">
      <c r="C386" s="9"/>
      <c r="D386" s="9"/>
      <c r="E386" s="9"/>
    </row>
    <row r="387" spans="3:5" x14ac:dyDescent="0.25">
      <c r="C387" s="9"/>
      <c r="D387" s="9"/>
      <c r="E387" s="9"/>
    </row>
    <row r="388" spans="3:5" x14ac:dyDescent="0.25">
      <c r="C388" s="9"/>
      <c r="D388" s="9"/>
      <c r="E388" s="9"/>
    </row>
    <row r="389" spans="3:5" x14ac:dyDescent="0.25">
      <c r="C389" s="9"/>
      <c r="D389" s="9"/>
      <c r="E389" s="9"/>
    </row>
    <row r="390" spans="3:5" x14ac:dyDescent="0.25">
      <c r="C390" s="9"/>
      <c r="D390" s="9"/>
      <c r="E390" s="9"/>
    </row>
    <row r="391" spans="3:5" x14ac:dyDescent="0.25">
      <c r="C391" s="9"/>
      <c r="D391" s="9"/>
      <c r="E391" s="9"/>
    </row>
    <row r="392" spans="3:5" x14ac:dyDescent="0.25">
      <c r="C392" s="9"/>
      <c r="D392" s="9"/>
      <c r="E392" s="9"/>
    </row>
    <row r="393" spans="3:5" x14ac:dyDescent="0.25">
      <c r="C393" s="9"/>
      <c r="D393" s="9"/>
      <c r="E393" s="9"/>
    </row>
    <row r="394" spans="3:5" x14ac:dyDescent="0.25">
      <c r="C394" s="9"/>
      <c r="D394" s="9"/>
      <c r="E394" s="9"/>
    </row>
    <row r="395" spans="3:5" x14ac:dyDescent="0.25">
      <c r="C395" s="9"/>
      <c r="D395" s="9"/>
      <c r="E395" s="9"/>
    </row>
    <row r="396" spans="3:5" x14ac:dyDescent="0.25">
      <c r="C396" s="9"/>
      <c r="D396" s="9"/>
      <c r="E396" s="9"/>
    </row>
    <row r="397" spans="3:5" x14ac:dyDescent="0.25">
      <c r="C397" s="9"/>
      <c r="D397" s="9"/>
      <c r="E397" s="9"/>
    </row>
    <row r="398" spans="3:5" x14ac:dyDescent="0.25">
      <c r="C398" s="9"/>
      <c r="D398" s="9"/>
      <c r="E398" s="9"/>
    </row>
    <row r="399" spans="3:5" x14ac:dyDescent="0.25">
      <c r="C399" s="9"/>
      <c r="D399" s="9"/>
      <c r="E399" s="9"/>
    </row>
    <row r="400" spans="3:5" x14ac:dyDescent="0.25">
      <c r="C400" s="9"/>
      <c r="D400" s="9"/>
      <c r="E400" s="9"/>
    </row>
    <row r="401" spans="3:5" x14ac:dyDescent="0.25">
      <c r="C401" s="9"/>
      <c r="D401" s="9"/>
      <c r="E401" s="9"/>
    </row>
    <row r="402" spans="3:5" x14ac:dyDescent="0.25">
      <c r="C402" s="9"/>
      <c r="D402" s="9"/>
      <c r="E402" s="9"/>
    </row>
    <row r="403" spans="3:5" x14ac:dyDescent="0.25">
      <c r="C403" s="9"/>
      <c r="D403" s="9"/>
      <c r="E403" s="9"/>
    </row>
    <row r="404" spans="3:5" x14ac:dyDescent="0.25">
      <c r="C404" s="9"/>
      <c r="D404" s="9"/>
      <c r="E404" s="9"/>
    </row>
    <row r="405" spans="3:5" x14ac:dyDescent="0.25">
      <c r="C405" s="9"/>
      <c r="D405" s="9"/>
      <c r="E405" s="9"/>
    </row>
    <row r="406" spans="3:5" x14ac:dyDescent="0.25">
      <c r="C406" s="9"/>
      <c r="D406" s="9"/>
      <c r="E406" s="9"/>
    </row>
    <row r="407" spans="3:5" x14ac:dyDescent="0.25">
      <c r="C407" s="9"/>
      <c r="D407" s="9"/>
      <c r="E407" s="9"/>
    </row>
    <row r="408" spans="3:5" x14ac:dyDescent="0.25">
      <c r="C408" s="9"/>
      <c r="D408" s="9"/>
      <c r="E408" s="9"/>
    </row>
    <row r="409" spans="3:5" x14ac:dyDescent="0.25">
      <c r="C409" s="9"/>
      <c r="D409" s="9"/>
      <c r="E409" s="9"/>
    </row>
    <row r="410" spans="3:5" x14ac:dyDescent="0.25">
      <c r="C410" s="9"/>
      <c r="D410" s="9"/>
      <c r="E410" s="9"/>
    </row>
    <row r="411" spans="3:5" x14ac:dyDescent="0.25">
      <c r="C411" s="9"/>
      <c r="D411" s="9"/>
      <c r="E411" s="9"/>
    </row>
    <row r="412" spans="3:5" x14ac:dyDescent="0.25">
      <c r="C412" s="9"/>
      <c r="D412" s="9"/>
      <c r="E412" s="9"/>
    </row>
    <row r="413" spans="3:5" x14ac:dyDescent="0.25">
      <c r="C413" s="9"/>
      <c r="D413" s="9"/>
      <c r="E413" s="9"/>
    </row>
    <row r="414" spans="3:5" x14ac:dyDescent="0.25">
      <c r="C414" s="9"/>
      <c r="D414" s="9"/>
      <c r="E414" s="9"/>
    </row>
    <row r="415" spans="3:5" x14ac:dyDescent="0.25">
      <c r="C415" s="9"/>
      <c r="D415" s="9"/>
      <c r="E415" s="9"/>
    </row>
    <row r="416" spans="3:5" x14ac:dyDescent="0.25">
      <c r="C416" s="9"/>
      <c r="D416" s="9"/>
      <c r="E416" s="9"/>
    </row>
    <row r="417" spans="3:5" x14ac:dyDescent="0.25">
      <c r="C417" s="9"/>
      <c r="D417" s="9"/>
      <c r="E417" s="9"/>
    </row>
    <row r="418" spans="3:5" x14ac:dyDescent="0.25">
      <c r="C418" s="9"/>
      <c r="D418" s="9"/>
      <c r="E418" s="9"/>
    </row>
    <row r="419" spans="3:5" x14ac:dyDescent="0.25">
      <c r="C419" s="9"/>
      <c r="D419" s="9"/>
      <c r="E419" s="9"/>
    </row>
    <row r="420" spans="3:5" x14ac:dyDescent="0.25">
      <c r="C420" s="9"/>
      <c r="D420" s="9"/>
      <c r="E420" s="9"/>
    </row>
    <row r="421" spans="3:5" x14ac:dyDescent="0.25">
      <c r="C421" s="9"/>
      <c r="D421" s="9"/>
      <c r="E421" s="9"/>
    </row>
    <row r="422" spans="3:5" x14ac:dyDescent="0.25">
      <c r="C422" s="9"/>
      <c r="D422" s="9"/>
      <c r="E422" s="9"/>
    </row>
    <row r="423" spans="3:5" x14ac:dyDescent="0.25">
      <c r="C423" s="9"/>
      <c r="D423" s="9"/>
      <c r="E423" s="9"/>
    </row>
    <row r="424" spans="3:5" x14ac:dyDescent="0.25">
      <c r="C424" s="9"/>
      <c r="D424" s="9"/>
      <c r="E424" s="9"/>
    </row>
    <row r="425" spans="3:5" x14ac:dyDescent="0.25">
      <c r="C425" s="9"/>
      <c r="D425" s="9"/>
      <c r="E425" s="9"/>
    </row>
    <row r="426" spans="3:5" x14ac:dyDescent="0.25">
      <c r="C426" s="9"/>
      <c r="D426" s="9"/>
      <c r="E426" s="9"/>
    </row>
    <row r="427" spans="3:5" x14ac:dyDescent="0.25">
      <c r="C427" s="9"/>
      <c r="D427" s="9"/>
      <c r="E427" s="9"/>
    </row>
    <row r="428" spans="3:5" x14ac:dyDescent="0.25">
      <c r="C428" s="9"/>
      <c r="D428" s="9"/>
      <c r="E428" s="9"/>
    </row>
    <row r="429" spans="3:5" x14ac:dyDescent="0.25">
      <c r="C429" s="9"/>
      <c r="D429" s="9"/>
      <c r="E429" s="9"/>
    </row>
    <row r="430" spans="3:5" x14ac:dyDescent="0.25">
      <c r="C430" s="9"/>
      <c r="D430" s="9"/>
      <c r="E430" s="9"/>
    </row>
    <row r="431" spans="3:5" x14ac:dyDescent="0.25">
      <c r="C431" s="9"/>
      <c r="D431" s="9"/>
      <c r="E431" s="9"/>
    </row>
    <row r="432" spans="3:5" x14ac:dyDescent="0.25">
      <c r="C432" s="9"/>
      <c r="D432" s="9"/>
      <c r="E432" s="9"/>
    </row>
    <row r="433" spans="3:5" x14ac:dyDescent="0.25">
      <c r="C433" s="9"/>
      <c r="D433" s="9"/>
      <c r="E433" s="9"/>
    </row>
    <row r="434" spans="3:5" x14ac:dyDescent="0.25">
      <c r="C434" s="9"/>
      <c r="D434" s="9"/>
      <c r="E434" s="9"/>
    </row>
    <row r="435" spans="3:5" x14ac:dyDescent="0.25">
      <c r="C435" s="9"/>
      <c r="D435" s="9"/>
      <c r="E435" s="9"/>
    </row>
    <row r="436" spans="3:5" x14ac:dyDescent="0.25">
      <c r="C436" s="9"/>
      <c r="D436" s="9"/>
      <c r="E436" s="9"/>
    </row>
    <row r="437" spans="3:5" x14ac:dyDescent="0.25">
      <c r="C437" s="9"/>
      <c r="D437" s="9"/>
      <c r="E437" s="9"/>
    </row>
    <row r="438" spans="3:5" x14ac:dyDescent="0.25">
      <c r="C438" s="9"/>
      <c r="D438" s="9"/>
      <c r="E438" s="9"/>
    </row>
    <row r="439" spans="3:5" x14ac:dyDescent="0.25">
      <c r="C439" s="9"/>
      <c r="D439" s="9"/>
      <c r="E439" s="9"/>
    </row>
    <row r="440" spans="3:5" x14ac:dyDescent="0.25">
      <c r="C440" s="9"/>
      <c r="D440" s="9"/>
      <c r="E440" s="9"/>
    </row>
    <row r="441" spans="3:5" x14ac:dyDescent="0.25">
      <c r="C441" s="9"/>
      <c r="D441" s="9"/>
      <c r="E441" s="9"/>
    </row>
    <row r="442" spans="3:5" x14ac:dyDescent="0.25">
      <c r="C442" s="9"/>
      <c r="D442" s="9"/>
      <c r="E442" s="9"/>
    </row>
    <row r="443" spans="3:5" x14ac:dyDescent="0.25">
      <c r="C443" s="9"/>
      <c r="D443" s="9"/>
      <c r="E443" s="9"/>
    </row>
    <row r="444" spans="3:5" x14ac:dyDescent="0.25">
      <c r="C444" s="9"/>
      <c r="D444" s="9"/>
      <c r="E444" s="9"/>
    </row>
    <row r="445" spans="3:5" x14ac:dyDescent="0.25">
      <c r="C445" s="9"/>
      <c r="D445" s="9"/>
      <c r="E445" s="9"/>
    </row>
    <row r="446" spans="3:5" x14ac:dyDescent="0.25">
      <c r="C446" s="9"/>
      <c r="D446" s="9"/>
      <c r="E446" s="9"/>
    </row>
    <row r="447" spans="3:5" x14ac:dyDescent="0.25">
      <c r="C447" s="9"/>
      <c r="D447" s="9"/>
      <c r="E447" s="9"/>
    </row>
    <row r="448" spans="3:5" x14ac:dyDescent="0.25">
      <c r="C448" s="9"/>
      <c r="D448" s="9"/>
      <c r="E448" s="9"/>
    </row>
    <row r="449" spans="3:5" x14ac:dyDescent="0.25">
      <c r="C449" s="9"/>
      <c r="D449" s="9"/>
      <c r="E449" s="9"/>
    </row>
    <row r="450" spans="3:5" x14ac:dyDescent="0.25">
      <c r="C450" s="9"/>
      <c r="D450" s="9"/>
      <c r="E450" s="9"/>
    </row>
    <row r="451" spans="3:5" x14ac:dyDescent="0.25">
      <c r="C451" s="9"/>
      <c r="D451" s="9"/>
      <c r="E451" s="9"/>
    </row>
    <row r="452" spans="3:5" x14ac:dyDescent="0.25">
      <c r="C452" s="9"/>
      <c r="D452" s="9"/>
      <c r="E452" s="9"/>
    </row>
    <row r="453" spans="3:5" x14ac:dyDescent="0.25">
      <c r="C453" s="9"/>
      <c r="D453" s="9"/>
      <c r="E453" s="9"/>
    </row>
    <row r="454" spans="3:5" x14ac:dyDescent="0.25">
      <c r="C454" s="9"/>
      <c r="D454" s="9"/>
      <c r="E454" s="9"/>
    </row>
    <row r="455" spans="3:5" x14ac:dyDescent="0.25">
      <c r="C455" s="9"/>
      <c r="D455" s="9"/>
      <c r="E455" s="9"/>
    </row>
    <row r="456" spans="3:5" x14ac:dyDescent="0.25">
      <c r="C456" s="9"/>
      <c r="D456" s="9"/>
      <c r="E456" s="9"/>
    </row>
    <row r="457" spans="3:5" x14ac:dyDescent="0.25">
      <c r="C457" s="9"/>
      <c r="D457" s="9"/>
      <c r="E457" s="9"/>
    </row>
    <row r="458" spans="3:5" x14ac:dyDescent="0.25">
      <c r="C458" s="9"/>
      <c r="D458" s="9"/>
      <c r="E458" s="9"/>
    </row>
    <row r="459" spans="3:5" x14ac:dyDescent="0.25">
      <c r="C459" s="9"/>
      <c r="D459" s="9"/>
      <c r="E459" s="9"/>
    </row>
    <row r="460" spans="3:5" x14ac:dyDescent="0.25">
      <c r="C460" s="9"/>
      <c r="D460" s="9"/>
      <c r="E460" s="9"/>
    </row>
    <row r="461" spans="3:5" x14ac:dyDescent="0.25">
      <c r="C461" s="9"/>
      <c r="D461" s="9"/>
      <c r="E461" s="9"/>
    </row>
    <row r="462" spans="3:5" x14ac:dyDescent="0.25">
      <c r="C462" s="9"/>
      <c r="D462" s="9"/>
      <c r="E462" s="9"/>
    </row>
    <row r="463" spans="3:5" x14ac:dyDescent="0.25">
      <c r="C463" s="9"/>
      <c r="D463" s="9"/>
      <c r="E463" s="9"/>
    </row>
    <row r="464" spans="3:5" x14ac:dyDescent="0.25">
      <c r="C464" s="9"/>
      <c r="D464" s="9"/>
      <c r="E464" s="9"/>
    </row>
    <row r="465" spans="3:5" x14ac:dyDescent="0.25">
      <c r="C465" s="9"/>
      <c r="D465" s="9"/>
      <c r="E465" s="9"/>
    </row>
    <row r="466" spans="3:5" x14ac:dyDescent="0.25">
      <c r="C466" s="9"/>
      <c r="D466" s="9"/>
      <c r="E466" s="9"/>
    </row>
    <row r="467" spans="3:5" x14ac:dyDescent="0.25">
      <c r="C467" s="9"/>
      <c r="D467" s="9"/>
      <c r="E467" s="9"/>
    </row>
    <row r="468" spans="3:5" x14ac:dyDescent="0.25">
      <c r="C468" s="9"/>
      <c r="D468" s="9"/>
      <c r="E468" s="9"/>
    </row>
    <row r="469" spans="3:5" x14ac:dyDescent="0.25">
      <c r="C469" s="9"/>
      <c r="D469" s="9"/>
      <c r="E469" s="9"/>
    </row>
    <row r="470" spans="3:5" x14ac:dyDescent="0.25">
      <c r="C470" s="9"/>
      <c r="D470" s="9"/>
      <c r="E470" s="9"/>
    </row>
    <row r="471" spans="3:5" x14ac:dyDescent="0.25">
      <c r="C471" s="9"/>
      <c r="D471" s="9"/>
      <c r="E471" s="9"/>
    </row>
    <row r="472" spans="3:5" x14ac:dyDescent="0.25">
      <c r="C472" s="9"/>
      <c r="D472" s="9"/>
      <c r="E472" s="9"/>
    </row>
    <row r="473" spans="3:5" x14ac:dyDescent="0.25">
      <c r="C473" s="9"/>
      <c r="D473" s="9"/>
      <c r="E473" s="9"/>
    </row>
    <row r="474" spans="3:5" x14ac:dyDescent="0.25">
      <c r="C474" s="9"/>
      <c r="D474" s="9"/>
      <c r="E474" s="9"/>
    </row>
    <row r="475" spans="3:5" x14ac:dyDescent="0.25">
      <c r="C475" s="9"/>
      <c r="D475" s="9"/>
      <c r="E475" s="9"/>
    </row>
    <row r="476" spans="3:5" x14ac:dyDescent="0.25">
      <c r="C476" s="9"/>
      <c r="D476" s="9"/>
      <c r="E476" s="9"/>
    </row>
    <row r="477" spans="3:5" x14ac:dyDescent="0.25">
      <c r="C477" s="9"/>
      <c r="D477" s="9"/>
      <c r="E477" s="9"/>
    </row>
    <row r="478" spans="3:5" x14ac:dyDescent="0.25">
      <c r="C478" s="9"/>
      <c r="D478" s="9"/>
      <c r="E478" s="9"/>
    </row>
    <row r="479" spans="3:5" x14ac:dyDescent="0.25">
      <c r="C479" s="9"/>
      <c r="D479" s="9"/>
      <c r="E479" s="9"/>
    </row>
    <row r="480" spans="3:5" x14ac:dyDescent="0.25">
      <c r="C480" s="9"/>
      <c r="D480" s="9"/>
      <c r="E480" s="9"/>
    </row>
    <row r="481" spans="3:5" x14ac:dyDescent="0.25">
      <c r="C481" s="9"/>
      <c r="D481" s="9"/>
      <c r="E481" s="9"/>
    </row>
    <row r="482" spans="3:5" x14ac:dyDescent="0.25">
      <c r="C482" s="9"/>
      <c r="D482" s="9"/>
      <c r="E482" s="9"/>
    </row>
    <row r="483" spans="3:5" x14ac:dyDescent="0.25">
      <c r="C483" s="9"/>
      <c r="D483" s="9"/>
      <c r="E483" s="9"/>
    </row>
    <row r="484" spans="3:5" x14ac:dyDescent="0.25">
      <c r="C484" s="9"/>
      <c r="D484" s="9"/>
      <c r="E484" s="9"/>
    </row>
    <row r="485" spans="3:5" x14ac:dyDescent="0.25">
      <c r="C485" s="9"/>
      <c r="D485" s="9"/>
      <c r="E485" s="9"/>
    </row>
    <row r="486" spans="3:5" x14ac:dyDescent="0.25">
      <c r="C486" s="9"/>
      <c r="D486" s="9"/>
      <c r="E486" s="9"/>
    </row>
    <row r="487" spans="3:5" x14ac:dyDescent="0.25">
      <c r="C487" s="9"/>
      <c r="D487" s="9"/>
      <c r="E487" s="9"/>
    </row>
    <row r="488" spans="3:5" x14ac:dyDescent="0.25">
      <c r="C488" s="9"/>
      <c r="D488" s="9"/>
      <c r="E488" s="9"/>
    </row>
    <row r="489" spans="3:5" x14ac:dyDescent="0.25">
      <c r="C489" s="9"/>
      <c r="D489" s="9"/>
      <c r="E489" s="9"/>
    </row>
    <row r="490" spans="3:5" x14ac:dyDescent="0.25">
      <c r="C490" s="9"/>
      <c r="D490" s="9"/>
      <c r="E490" s="9"/>
    </row>
    <row r="491" spans="3:5" x14ac:dyDescent="0.25">
      <c r="C491" s="9"/>
      <c r="D491" s="9"/>
      <c r="E491" s="9"/>
    </row>
    <row r="492" spans="3:5" x14ac:dyDescent="0.25">
      <c r="C492" s="9"/>
      <c r="D492" s="9"/>
      <c r="E492" s="9"/>
    </row>
    <row r="493" spans="3:5" x14ac:dyDescent="0.25">
      <c r="C493" s="9"/>
      <c r="D493" s="9"/>
      <c r="E493" s="9"/>
    </row>
    <row r="494" spans="3:5" x14ac:dyDescent="0.25">
      <c r="C494" s="9"/>
      <c r="D494" s="9"/>
      <c r="E494" s="9"/>
    </row>
    <row r="495" spans="3:5" x14ac:dyDescent="0.25">
      <c r="C495" s="9"/>
      <c r="D495" s="9"/>
      <c r="E495" s="9"/>
    </row>
    <row r="496" spans="3:5" x14ac:dyDescent="0.25">
      <c r="C496" s="9"/>
      <c r="D496" s="9"/>
      <c r="E496" s="9"/>
    </row>
    <row r="497" spans="3:5" x14ac:dyDescent="0.25">
      <c r="C497" s="9"/>
      <c r="D497" s="9"/>
      <c r="E497" s="9"/>
    </row>
    <row r="498" spans="3:5" x14ac:dyDescent="0.25">
      <c r="C498" s="9"/>
      <c r="D498" s="9"/>
      <c r="E498" s="9"/>
    </row>
    <row r="499" spans="3:5" x14ac:dyDescent="0.25">
      <c r="C499" s="9"/>
      <c r="D499" s="9"/>
      <c r="E499" s="9"/>
    </row>
    <row r="500" spans="3:5" x14ac:dyDescent="0.25">
      <c r="C500" s="9"/>
      <c r="D500" s="9"/>
      <c r="E500" s="9"/>
    </row>
    <row r="501" spans="3:5" x14ac:dyDescent="0.25">
      <c r="C501" s="9"/>
      <c r="D501" s="9"/>
      <c r="E501" s="9"/>
    </row>
    <row r="502" spans="3:5" x14ac:dyDescent="0.25">
      <c r="C502" s="9"/>
      <c r="D502" s="9"/>
      <c r="E502" s="9"/>
    </row>
    <row r="503" spans="3:5" x14ac:dyDescent="0.25">
      <c r="C503" s="9"/>
      <c r="D503" s="9"/>
      <c r="E503" s="9"/>
    </row>
    <row r="504" spans="3:5" x14ac:dyDescent="0.25">
      <c r="C504" s="9"/>
      <c r="D504" s="9"/>
      <c r="E504" s="9"/>
    </row>
    <row r="505" spans="3:5" x14ac:dyDescent="0.25">
      <c r="C505" s="9"/>
      <c r="D505" s="9"/>
      <c r="E505" s="9"/>
    </row>
    <row r="506" spans="3:5" x14ac:dyDescent="0.25">
      <c r="C506" s="9"/>
      <c r="D506" s="9"/>
      <c r="E506" s="9"/>
    </row>
    <row r="507" spans="3:5" x14ac:dyDescent="0.25">
      <c r="C507" s="9"/>
      <c r="D507" s="9"/>
      <c r="E507" s="9"/>
    </row>
    <row r="508" spans="3:5" x14ac:dyDescent="0.25">
      <c r="C508" s="9"/>
      <c r="D508" s="9"/>
      <c r="E508" s="9"/>
    </row>
    <row r="509" spans="3:5" x14ac:dyDescent="0.25">
      <c r="C509" s="9"/>
      <c r="D509" s="9"/>
      <c r="E509" s="9"/>
    </row>
    <row r="510" spans="3:5" x14ac:dyDescent="0.25">
      <c r="C510" s="9"/>
      <c r="D510" s="9"/>
      <c r="E510" s="9"/>
    </row>
    <row r="511" spans="3:5" x14ac:dyDescent="0.25">
      <c r="C511" s="9"/>
      <c r="D511" s="9"/>
      <c r="E511" s="9"/>
    </row>
    <row r="512" spans="3:5" x14ac:dyDescent="0.25">
      <c r="C512" s="9"/>
      <c r="D512" s="9"/>
      <c r="E512" s="9"/>
    </row>
    <row r="513" spans="3:5" x14ac:dyDescent="0.25">
      <c r="C513" s="9"/>
      <c r="D513" s="9"/>
      <c r="E513" s="9"/>
    </row>
    <row r="514" spans="3:5" x14ac:dyDescent="0.25">
      <c r="C514" s="9"/>
      <c r="D514" s="9"/>
      <c r="E514" s="9"/>
    </row>
    <row r="515" spans="3:5" x14ac:dyDescent="0.25">
      <c r="C515" s="9"/>
      <c r="D515" s="9"/>
      <c r="E515" s="9"/>
    </row>
    <row r="516" spans="3:5" x14ac:dyDescent="0.25">
      <c r="C516" s="9"/>
      <c r="D516" s="9"/>
      <c r="E516" s="9"/>
    </row>
    <row r="517" spans="3:5" x14ac:dyDescent="0.25">
      <c r="C517" s="9"/>
      <c r="D517" s="9"/>
      <c r="E517" s="9"/>
    </row>
    <row r="518" spans="3:5" x14ac:dyDescent="0.25">
      <c r="C518" s="9"/>
      <c r="D518" s="9"/>
      <c r="E518" s="9"/>
    </row>
    <row r="519" spans="3:5" x14ac:dyDescent="0.25">
      <c r="C519" s="9"/>
      <c r="D519" s="9"/>
      <c r="E519" s="9"/>
    </row>
    <row r="520" spans="3:5" x14ac:dyDescent="0.25">
      <c r="C520" s="9"/>
      <c r="D520" s="9"/>
      <c r="E520" s="9"/>
    </row>
    <row r="521" spans="3:5" x14ac:dyDescent="0.25">
      <c r="C521" s="9"/>
      <c r="D521" s="9"/>
      <c r="E521" s="9"/>
    </row>
    <row r="522" spans="3:5" x14ac:dyDescent="0.25">
      <c r="C522" s="9"/>
      <c r="D522" s="9"/>
      <c r="E522" s="9"/>
    </row>
    <row r="523" spans="3:5" x14ac:dyDescent="0.25">
      <c r="C523" s="9"/>
      <c r="D523" s="9"/>
      <c r="E523" s="9"/>
    </row>
    <row r="524" spans="3:5" x14ac:dyDescent="0.25">
      <c r="C524" s="9"/>
      <c r="D524" s="9"/>
      <c r="E524" s="9"/>
    </row>
    <row r="525" spans="3:5" x14ac:dyDescent="0.25">
      <c r="C525" s="9"/>
      <c r="D525" s="9"/>
      <c r="E525" s="9"/>
    </row>
    <row r="526" spans="3:5" x14ac:dyDescent="0.25">
      <c r="C526" s="9"/>
      <c r="D526" s="9"/>
      <c r="E526" s="9"/>
    </row>
    <row r="527" spans="3:5" x14ac:dyDescent="0.25">
      <c r="C527" s="9"/>
      <c r="D527" s="9"/>
      <c r="E527" s="9"/>
    </row>
    <row r="528" spans="3:5" x14ac:dyDescent="0.25">
      <c r="C528" s="9"/>
      <c r="D528" s="9"/>
      <c r="E528" s="9"/>
    </row>
    <row r="529" spans="3:5" x14ac:dyDescent="0.25">
      <c r="C529" s="9"/>
      <c r="D529" s="9"/>
      <c r="E529" s="9"/>
    </row>
    <row r="530" spans="3:5" x14ac:dyDescent="0.25">
      <c r="C530" s="9"/>
      <c r="D530" s="9"/>
      <c r="E530" s="9"/>
    </row>
    <row r="531" spans="3:5" x14ac:dyDescent="0.25">
      <c r="C531" s="9"/>
      <c r="D531" s="9"/>
      <c r="E531" s="9"/>
    </row>
    <row r="532" spans="3:5" x14ac:dyDescent="0.25">
      <c r="C532" s="9"/>
      <c r="D532" s="9"/>
      <c r="E532" s="9"/>
    </row>
    <row r="533" spans="3:5" x14ac:dyDescent="0.25">
      <c r="C533" s="9"/>
      <c r="D533" s="9"/>
      <c r="E533" s="9"/>
    </row>
    <row r="534" spans="3:5" x14ac:dyDescent="0.25">
      <c r="C534" s="9"/>
      <c r="D534" s="9"/>
      <c r="E534" s="9"/>
    </row>
    <row r="535" spans="3:5" x14ac:dyDescent="0.25">
      <c r="C535" s="9"/>
      <c r="D535" s="9"/>
      <c r="E535" s="9"/>
    </row>
    <row r="536" spans="3:5" x14ac:dyDescent="0.25">
      <c r="C536" s="9"/>
      <c r="D536" s="9"/>
      <c r="E536" s="9"/>
    </row>
    <row r="537" spans="3:5" x14ac:dyDescent="0.25">
      <c r="C537" s="9"/>
      <c r="D537" s="9"/>
      <c r="E537" s="9"/>
    </row>
    <row r="538" spans="3:5" x14ac:dyDescent="0.25">
      <c r="C538" s="9"/>
      <c r="D538" s="9"/>
      <c r="E538" s="9"/>
    </row>
    <row r="539" spans="3:5" x14ac:dyDescent="0.25">
      <c r="C539" s="9"/>
      <c r="D539" s="9"/>
      <c r="E539" s="9"/>
    </row>
    <row r="540" spans="3:5" x14ac:dyDescent="0.25">
      <c r="C540" s="9"/>
      <c r="D540" s="9"/>
      <c r="E540" s="9"/>
    </row>
    <row r="541" spans="3:5" x14ac:dyDescent="0.25">
      <c r="C541" s="9"/>
      <c r="D541" s="9"/>
      <c r="E541" s="9"/>
    </row>
    <row r="542" spans="3:5" x14ac:dyDescent="0.25">
      <c r="C542" s="9"/>
      <c r="D542" s="9"/>
      <c r="E542" s="9"/>
    </row>
    <row r="543" spans="3:5" x14ac:dyDescent="0.25">
      <c r="C543" s="9"/>
      <c r="D543" s="9"/>
      <c r="E543" s="9"/>
    </row>
    <row r="544" spans="3:5" x14ac:dyDescent="0.25">
      <c r="C544" s="9"/>
      <c r="D544" s="9"/>
      <c r="E544" s="9"/>
    </row>
    <row r="545" spans="3:5" x14ac:dyDescent="0.25">
      <c r="C545" s="9"/>
      <c r="D545" s="9"/>
      <c r="E545" s="9"/>
    </row>
    <row r="546" spans="3:5" x14ac:dyDescent="0.25">
      <c r="C546" s="9"/>
      <c r="D546" s="9"/>
      <c r="E546" s="9"/>
    </row>
    <row r="547" spans="3:5" x14ac:dyDescent="0.25">
      <c r="C547" s="9"/>
      <c r="D547" s="9"/>
      <c r="E547" s="9"/>
    </row>
    <row r="548" spans="3:5" x14ac:dyDescent="0.25">
      <c r="C548" s="9"/>
      <c r="D548" s="9"/>
      <c r="E548" s="9"/>
    </row>
    <row r="549" spans="3:5" x14ac:dyDescent="0.25">
      <c r="C549" s="9"/>
      <c r="D549" s="9"/>
      <c r="E549" s="9"/>
    </row>
    <row r="550" spans="3:5" x14ac:dyDescent="0.25">
      <c r="C550" s="9"/>
      <c r="D550" s="9"/>
      <c r="E550" s="9"/>
    </row>
    <row r="551" spans="3:5" x14ac:dyDescent="0.25">
      <c r="C551" s="9"/>
      <c r="D551" s="9"/>
      <c r="E551" s="9"/>
    </row>
    <row r="552" spans="3:5" x14ac:dyDescent="0.25">
      <c r="C552" s="9"/>
      <c r="D552" s="9"/>
      <c r="E552" s="9"/>
    </row>
    <row r="553" spans="3:5" x14ac:dyDescent="0.25">
      <c r="C553" s="9"/>
      <c r="D553" s="9"/>
      <c r="E553" s="9"/>
    </row>
    <row r="554" spans="3:5" x14ac:dyDescent="0.25">
      <c r="C554" s="9"/>
      <c r="D554" s="9"/>
      <c r="E554" s="9"/>
    </row>
    <row r="555" spans="3:5" x14ac:dyDescent="0.25">
      <c r="C555" s="9"/>
      <c r="D555" s="9"/>
      <c r="E555" s="9"/>
    </row>
    <row r="556" spans="3:5" x14ac:dyDescent="0.25">
      <c r="C556" s="9"/>
      <c r="D556" s="9"/>
      <c r="E556" s="9"/>
    </row>
    <row r="557" spans="3:5" x14ac:dyDescent="0.25">
      <c r="C557" s="9"/>
      <c r="D557" s="9"/>
      <c r="E557" s="9"/>
    </row>
    <row r="558" spans="3:5" x14ac:dyDescent="0.25">
      <c r="C558" s="9"/>
      <c r="D558" s="9"/>
      <c r="E558" s="9"/>
    </row>
    <row r="559" spans="3:5" x14ac:dyDescent="0.25">
      <c r="C559" s="9"/>
      <c r="D559" s="9"/>
      <c r="E559" s="9"/>
    </row>
    <row r="560" spans="3:5" x14ac:dyDescent="0.25">
      <c r="C560" s="9"/>
      <c r="D560" s="9"/>
      <c r="E560" s="9"/>
    </row>
    <row r="561" spans="3:5" x14ac:dyDescent="0.25">
      <c r="C561" s="9"/>
      <c r="D561" s="9"/>
      <c r="E561" s="9"/>
    </row>
    <row r="562" spans="3:5" x14ac:dyDescent="0.25">
      <c r="C562" s="9"/>
      <c r="D562" s="9"/>
      <c r="E562" s="9"/>
    </row>
    <row r="563" spans="3:5" x14ac:dyDescent="0.25">
      <c r="C563" s="9"/>
      <c r="D563" s="9"/>
      <c r="E563" s="9"/>
    </row>
    <row r="564" spans="3:5" x14ac:dyDescent="0.25">
      <c r="C564" s="9"/>
      <c r="D564" s="9"/>
      <c r="E564" s="9"/>
    </row>
    <row r="565" spans="3:5" x14ac:dyDescent="0.25">
      <c r="C565" s="9"/>
      <c r="D565" s="9"/>
      <c r="E565" s="9"/>
    </row>
    <row r="566" spans="3:5" x14ac:dyDescent="0.25">
      <c r="C566" s="9"/>
      <c r="D566" s="9"/>
      <c r="E566" s="9"/>
    </row>
    <row r="567" spans="3:5" x14ac:dyDescent="0.25">
      <c r="C567" s="9"/>
      <c r="D567" s="9"/>
      <c r="E567" s="9"/>
    </row>
    <row r="568" spans="3:5" x14ac:dyDescent="0.25">
      <c r="C568" s="9"/>
      <c r="D568" s="9"/>
      <c r="E568" s="9"/>
    </row>
    <row r="569" spans="3:5" x14ac:dyDescent="0.25">
      <c r="C569" s="9"/>
      <c r="D569" s="9"/>
      <c r="E569" s="9"/>
    </row>
    <row r="570" spans="3:5" x14ac:dyDescent="0.25">
      <c r="C570" s="9"/>
      <c r="D570" s="9"/>
      <c r="E570" s="9"/>
    </row>
    <row r="571" spans="3:5" x14ac:dyDescent="0.25">
      <c r="C571" s="9"/>
      <c r="D571" s="9"/>
      <c r="E571" s="9"/>
    </row>
    <row r="572" spans="3:5" x14ac:dyDescent="0.25">
      <c r="C572" s="9"/>
      <c r="D572" s="9"/>
      <c r="E572" s="9"/>
    </row>
    <row r="573" spans="3:5" x14ac:dyDescent="0.25">
      <c r="C573" s="9"/>
      <c r="D573" s="9"/>
      <c r="E573" s="9"/>
    </row>
    <row r="574" spans="3:5" x14ac:dyDescent="0.25">
      <c r="C574" s="9"/>
      <c r="D574" s="9"/>
      <c r="E574" s="9"/>
    </row>
    <row r="575" spans="3:5" x14ac:dyDescent="0.25">
      <c r="C575" s="9"/>
      <c r="D575" s="9"/>
      <c r="E575" s="9"/>
    </row>
    <row r="576" spans="3:5" x14ac:dyDescent="0.25">
      <c r="C576" s="9"/>
      <c r="D576" s="9"/>
      <c r="E576" s="9"/>
    </row>
    <row r="577" spans="3:5" x14ac:dyDescent="0.25">
      <c r="C577" s="9"/>
      <c r="D577" s="9"/>
      <c r="E577" s="9"/>
    </row>
    <row r="578" spans="3:5" x14ac:dyDescent="0.25">
      <c r="C578" s="9"/>
      <c r="D578" s="9"/>
      <c r="E578" s="9"/>
    </row>
    <row r="579" spans="3:5" x14ac:dyDescent="0.25">
      <c r="C579" s="9"/>
      <c r="D579" s="9"/>
      <c r="E579" s="9"/>
    </row>
    <row r="580" spans="3:5" x14ac:dyDescent="0.25">
      <c r="C580" s="9"/>
      <c r="D580" s="9"/>
      <c r="E580" s="9"/>
    </row>
    <row r="581" spans="3:5" x14ac:dyDescent="0.25">
      <c r="C581" s="9"/>
      <c r="D581" s="9"/>
      <c r="E581" s="9"/>
    </row>
    <row r="582" spans="3:5" x14ac:dyDescent="0.25">
      <c r="C582" s="9"/>
      <c r="D582" s="9"/>
      <c r="E582" s="9"/>
    </row>
    <row r="583" spans="3:5" x14ac:dyDescent="0.25">
      <c r="C583" s="9"/>
      <c r="D583" s="9"/>
      <c r="E583" s="9"/>
    </row>
    <row r="584" spans="3:5" x14ac:dyDescent="0.25">
      <c r="C584" s="9"/>
      <c r="D584" s="9"/>
      <c r="E584" s="9"/>
    </row>
    <row r="585" spans="3:5" x14ac:dyDescent="0.25">
      <c r="C585" s="9"/>
      <c r="D585" s="9"/>
      <c r="E585" s="9"/>
    </row>
    <row r="586" spans="3:5" x14ac:dyDescent="0.25">
      <c r="C586" s="9"/>
      <c r="D586" s="9"/>
      <c r="E586" s="9"/>
    </row>
    <row r="587" spans="3:5" x14ac:dyDescent="0.25">
      <c r="C587" s="9"/>
      <c r="D587" s="9"/>
      <c r="E587" s="9"/>
    </row>
    <row r="588" spans="3:5" x14ac:dyDescent="0.25">
      <c r="C588" s="9"/>
      <c r="D588" s="9"/>
      <c r="E588" s="9"/>
    </row>
    <row r="589" spans="3:5" x14ac:dyDescent="0.25">
      <c r="C589" s="9"/>
      <c r="D589" s="9"/>
      <c r="E589" s="9"/>
    </row>
    <row r="590" spans="3:5" x14ac:dyDescent="0.25">
      <c r="C590" s="9"/>
      <c r="D590" s="9"/>
      <c r="E590" s="9"/>
    </row>
    <row r="591" spans="3:5" x14ac:dyDescent="0.25">
      <c r="C591" s="9"/>
      <c r="D591" s="9"/>
      <c r="E591" s="9"/>
    </row>
    <row r="592" spans="3:5" x14ac:dyDescent="0.25">
      <c r="C592" s="9"/>
      <c r="D592" s="9"/>
      <c r="E592" s="9"/>
    </row>
    <row r="593" spans="3:5" x14ac:dyDescent="0.25">
      <c r="C593" s="9"/>
      <c r="D593" s="9"/>
      <c r="E593" s="9"/>
    </row>
    <row r="594" spans="3:5" x14ac:dyDescent="0.25">
      <c r="C594" s="9"/>
      <c r="D594" s="9"/>
      <c r="E594" s="9"/>
    </row>
    <row r="595" spans="3:5" x14ac:dyDescent="0.25">
      <c r="C595" s="9"/>
      <c r="D595" s="9"/>
      <c r="E595" s="9"/>
    </row>
    <row r="596" spans="3:5" x14ac:dyDescent="0.25">
      <c r="C596" s="9"/>
      <c r="D596" s="9"/>
      <c r="E596" s="9"/>
    </row>
    <row r="597" spans="3:5" x14ac:dyDescent="0.25">
      <c r="C597" s="9"/>
      <c r="D597" s="9"/>
      <c r="E597" s="9"/>
    </row>
    <row r="598" spans="3:5" x14ac:dyDescent="0.25">
      <c r="C598" s="9"/>
      <c r="D598" s="9"/>
      <c r="E598" s="9"/>
    </row>
    <row r="599" spans="3:5" x14ac:dyDescent="0.25">
      <c r="C599" s="9"/>
      <c r="D599" s="9"/>
      <c r="E599" s="9"/>
    </row>
    <row r="600" spans="3:5" x14ac:dyDescent="0.25">
      <c r="C600" s="9"/>
      <c r="D600" s="9"/>
      <c r="E600" s="9"/>
    </row>
    <row r="601" spans="3:5" x14ac:dyDescent="0.25">
      <c r="C601" s="9"/>
      <c r="D601" s="9"/>
      <c r="E601" s="9"/>
    </row>
    <row r="602" spans="3:5" x14ac:dyDescent="0.25">
      <c r="C602" s="9"/>
      <c r="D602" s="9"/>
      <c r="E602" s="9"/>
    </row>
    <row r="603" spans="3:5" x14ac:dyDescent="0.25">
      <c r="C603" s="9"/>
      <c r="D603" s="9"/>
      <c r="E603" s="9"/>
    </row>
    <row r="604" spans="3:5" x14ac:dyDescent="0.25">
      <c r="C604" s="9"/>
      <c r="D604" s="9"/>
      <c r="E604" s="9"/>
    </row>
    <row r="605" spans="3:5" x14ac:dyDescent="0.25">
      <c r="C605" s="9"/>
      <c r="D605" s="9"/>
      <c r="E605" s="9"/>
    </row>
    <row r="606" spans="3:5" x14ac:dyDescent="0.25">
      <c r="C606" s="9"/>
      <c r="D606" s="9"/>
      <c r="E606" s="9"/>
    </row>
    <row r="607" spans="3:5" x14ac:dyDescent="0.25">
      <c r="C607" s="9"/>
      <c r="D607" s="9"/>
      <c r="E607" s="9"/>
    </row>
    <row r="608" spans="3:5" x14ac:dyDescent="0.25">
      <c r="C608" s="9"/>
      <c r="D608" s="9"/>
      <c r="E608" s="9"/>
    </row>
    <row r="609" spans="3:5" x14ac:dyDescent="0.25">
      <c r="C609" s="9"/>
      <c r="D609" s="9"/>
      <c r="E609" s="9"/>
    </row>
    <row r="610" spans="3:5" x14ac:dyDescent="0.25">
      <c r="C610" s="9"/>
      <c r="D610" s="9"/>
      <c r="E610" s="9"/>
    </row>
    <row r="611" spans="3:5" x14ac:dyDescent="0.25">
      <c r="C611" s="9"/>
      <c r="D611" s="9"/>
      <c r="E611" s="9"/>
    </row>
    <row r="612" spans="3:5" x14ac:dyDescent="0.25">
      <c r="C612" s="9"/>
      <c r="D612" s="9"/>
      <c r="E612" s="9"/>
    </row>
    <row r="613" spans="3:5" x14ac:dyDescent="0.25">
      <c r="C613" s="9"/>
      <c r="D613" s="9"/>
      <c r="E613" s="9"/>
    </row>
    <row r="614" spans="3:5" x14ac:dyDescent="0.25">
      <c r="C614" s="9"/>
      <c r="D614" s="9"/>
      <c r="E614" s="9"/>
    </row>
    <row r="615" spans="3:5" x14ac:dyDescent="0.25">
      <c r="C615" s="9"/>
      <c r="D615" s="9"/>
      <c r="E615" s="9"/>
    </row>
    <row r="616" spans="3:5" x14ac:dyDescent="0.25">
      <c r="C616" s="9"/>
      <c r="D616" s="9"/>
      <c r="E616" s="9"/>
    </row>
    <row r="617" spans="3:5" x14ac:dyDescent="0.25">
      <c r="C617" s="9"/>
      <c r="D617" s="9"/>
      <c r="E617" s="9"/>
    </row>
    <row r="618" spans="3:5" x14ac:dyDescent="0.25">
      <c r="C618" s="9"/>
      <c r="D618" s="9"/>
      <c r="E618" s="9"/>
    </row>
    <row r="619" spans="3:5" x14ac:dyDescent="0.25">
      <c r="C619" s="9"/>
      <c r="D619" s="9"/>
      <c r="E619" s="9"/>
    </row>
    <row r="620" spans="3:5" x14ac:dyDescent="0.25">
      <c r="C620" s="9"/>
      <c r="D620" s="9"/>
      <c r="E620" s="9"/>
    </row>
    <row r="621" spans="3:5" x14ac:dyDescent="0.25">
      <c r="C621" s="9"/>
      <c r="D621" s="9"/>
      <c r="E621" s="9"/>
    </row>
    <row r="622" spans="3:5" x14ac:dyDescent="0.25">
      <c r="C622" s="9"/>
      <c r="D622" s="9"/>
      <c r="E622" s="9"/>
    </row>
    <row r="623" spans="3:5" x14ac:dyDescent="0.25">
      <c r="C623" s="9"/>
      <c r="D623" s="9"/>
      <c r="E623" s="9"/>
    </row>
    <row r="624" spans="3:5" x14ac:dyDescent="0.25">
      <c r="C624" s="9"/>
      <c r="D624" s="9"/>
      <c r="E624" s="9"/>
    </row>
    <row r="625" spans="3:5" x14ac:dyDescent="0.25">
      <c r="C625" s="9"/>
      <c r="D625" s="9"/>
      <c r="E625" s="9"/>
    </row>
    <row r="626" spans="3:5" x14ac:dyDescent="0.25">
      <c r="C626" s="9"/>
      <c r="D626" s="9"/>
      <c r="E626" s="9"/>
    </row>
    <row r="627" spans="3:5" x14ac:dyDescent="0.25">
      <c r="C627" s="9"/>
      <c r="D627" s="9"/>
      <c r="E627" s="9"/>
    </row>
    <row r="628" spans="3:5" x14ac:dyDescent="0.25">
      <c r="C628" s="9"/>
      <c r="D628" s="9"/>
      <c r="E628" s="9"/>
    </row>
    <row r="629" spans="3:5" x14ac:dyDescent="0.25">
      <c r="C629" s="9"/>
      <c r="D629" s="9"/>
      <c r="E629" s="9"/>
    </row>
    <row r="630" spans="3:5" x14ac:dyDescent="0.25">
      <c r="C630" s="9"/>
      <c r="D630" s="9"/>
      <c r="E630" s="9"/>
    </row>
    <row r="631" spans="3:5" x14ac:dyDescent="0.25">
      <c r="C631" s="9"/>
      <c r="D631" s="9"/>
      <c r="E631" s="9"/>
    </row>
    <row r="632" spans="3:5" x14ac:dyDescent="0.25">
      <c r="C632" s="9"/>
      <c r="D632" s="9"/>
      <c r="E632" s="9"/>
    </row>
    <row r="633" spans="3:5" x14ac:dyDescent="0.25">
      <c r="C633" s="9"/>
      <c r="D633" s="9"/>
      <c r="E633" s="9"/>
    </row>
    <row r="634" spans="3:5" x14ac:dyDescent="0.25">
      <c r="C634" s="9"/>
      <c r="D634" s="9"/>
      <c r="E634" s="9"/>
    </row>
    <row r="635" spans="3:5" x14ac:dyDescent="0.25">
      <c r="C635" s="9"/>
      <c r="D635" s="9"/>
      <c r="E635" s="9"/>
    </row>
    <row r="636" spans="3:5" x14ac:dyDescent="0.25">
      <c r="C636" s="9"/>
      <c r="D636" s="9"/>
      <c r="E636" s="9"/>
    </row>
    <row r="637" spans="3:5" x14ac:dyDescent="0.25">
      <c r="C637" s="9"/>
      <c r="D637" s="9"/>
      <c r="E637" s="9"/>
    </row>
    <row r="638" spans="3:5" x14ac:dyDescent="0.25">
      <c r="C638" s="9"/>
      <c r="D638" s="9"/>
      <c r="E638" s="9"/>
    </row>
    <row r="639" spans="3:5" x14ac:dyDescent="0.25">
      <c r="C639" s="9"/>
      <c r="D639" s="9"/>
      <c r="E639" s="9"/>
    </row>
    <row r="640" spans="3:5" x14ac:dyDescent="0.25">
      <c r="C640" s="9"/>
      <c r="D640" s="9"/>
      <c r="E640" s="9"/>
    </row>
    <row r="641" spans="3:5" x14ac:dyDescent="0.25">
      <c r="C641" s="9"/>
      <c r="D641" s="9"/>
      <c r="E641" s="9"/>
    </row>
    <row r="642" spans="3:5" x14ac:dyDescent="0.25">
      <c r="C642" s="9"/>
      <c r="D642" s="9"/>
      <c r="E642" s="9"/>
    </row>
    <row r="643" spans="3:5" x14ac:dyDescent="0.25">
      <c r="C643" s="9"/>
      <c r="D643" s="9"/>
      <c r="E643" s="9"/>
    </row>
    <row r="644" spans="3:5" x14ac:dyDescent="0.25">
      <c r="C644" s="9"/>
      <c r="D644" s="9"/>
      <c r="E644" s="9"/>
    </row>
    <row r="645" spans="3:5" x14ac:dyDescent="0.25">
      <c r="C645" s="9"/>
      <c r="D645" s="9"/>
      <c r="E645" s="9"/>
    </row>
    <row r="646" spans="3:5" x14ac:dyDescent="0.25">
      <c r="C646" s="9"/>
      <c r="D646" s="9"/>
      <c r="E646" s="9"/>
    </row>
    <row r="647" spans="3:5" x14ac:dyDescent="0.25">
      <c r="C647" s="9"/>
      <c r="D647" s="9"/>
      <c r="E647" s="9"/>
    </row>
    <row r="648" spans="3:5" x14ac:dyDescent="0.25">
      <c r="C648" s="9"/>
      <c r="D648" s="9"/>
      <c r="E648" s="9"/>
    </row>
    <row r="649" spans="3:5" x14ac:dyDescent="0.25">
      <c r="C649" s="9"/>
      <c r="D649" s="9"/>
      <c r="E649" s="9"/>
    </row>
    <row r="650" spans="3:5" x14ac:dyDescent="0.25">
      <c r="C650" s="9"/>
      <c r="D650" s="9"/>
      <c r="E650" s="9"/>
    </row>
    <row r="651" spans="3:5" x14ac:dyDescent="0.25">
      <c r="C651" s="9"/>
      <c r="D651" s="9"/>
      <c r="E651" s="9"/>
    </row>
    <row r="652" spans="3:5" x14ac:dyDescent="0.25">
      <c r="C652" s="9"/>
      <c r="D652" s="9"/>
      <c r="E652" s="9"/>
    </row>
    <row r="653" spans="3:5" x14ac:dyDescent="0.25">
      <c r="C653" s="9"/>
      <c r="D653" s="9"/>
      <c r="E653" s="9"/>
    </row>
    <row r="654" spans="3:5" x14ac:dyDescent="0.25">
      <c r="C654" s="9"/>
      <c r="D654" s="9"/>
      <c r="E654" s="9"/>
    </row>
    <row r="655" spans="3:5" x14ac:dyDescent="0.25">
      <c r="C655" s="9"/>
      <c r="D655" s="9"/>
      <c r="E655" s="9"/>
    </row>
    <row r="656" spans="3:5" x14ac:dyDescent="0.25">
      <c r="C656" s="9"/>
      <c r="D656" s="9"/>
      <c r="E656" s="9"/>
    </row>
    <row r="657" spans="3:5" x14ac:dyDescent="0.25">
      <c r="C657" s="9"/>
      <c r="D657" s="9"/>
      <c r="E657" s="9"/>
    </row>
    <row r="658" spans="3:5" x14ac:dyDescent="0.25">
      <c r="C658" s="9"/>
      <c r="D658" s="9"/>
      <c r="E658" s="9"/>
    </row>
    <row r="659" spans="3:5" x14ac:dyDescent="0.25">
      <c r="C659" s="9"/>
      <c r="D659" s="9"/>
      <c r="E659" s="9"/>
    </row>
    <row r="660" spans="3:5" x14ac:dyDescent="0.25">
      <c r="C660" s="9"/>
      <c r="D660" s="9"/>
      <c r="E660" s="9"/>
    </row>
    <row r="661" spans="3:5" x14ac:dyDescent="0.25">
      <c r="C661" s="9"/>
      <c r="D661" s="9"/>
      <c r="E661" s="9"/>
    </row>
    <row r="662" spans="3:5" x14ac:dyDescent="0.25">
      <c r="C662" s="9"/>
      <c r="D662" s="9"/>
      <c r="E662" s="9"/>
    </row>
    <row r="663" spans="3:5" x14ac:dyDescent="0.25">
      <c r="C663" s="9"/>
      <c r="D663" s="9"/>
      <c r="E663" s="9"/>
    </row>
    <row r="664" spans="3:5" x14ac:dyDescent="0.25">
      <c r="C664" s="9"/>
      <c r="D664" s="9"/>
      <c r="E664" s="9"/>
    </row>
    <row r="665" spans="3:5" x14ac:dyDescent="0.25">
      <c r="C665" s="9"/>
      <c r="D665" s="9"/>
      <c r="E665" s="9"/>
    </row>
    <row r="666" spans="3:5" x14ac:dyDescent="0.25">
      <c r="C666" s="9"/>
      <c r="D666" s="9"/>
      <c r="E666" s="9"/>
    </row>
    <row r="667" spans="3:5" x14ac:dyDescent="0.25">
      <c r="C667" s="9"/>
      <c r="D667" s="9"/>
      <c r="E667" s="9"/>
    </row>
    <row r="668" spans="3:5" x14ac:dyDescent="0.25">
      <c r="C668" s="9"/>
      <c r="D668" s="9"/>
      <c r="E668" s="9"/>
    </row>
    <row r="669" spans="3:5" x14ac:dyDescent="0.25">
      <c r="C669" s="9"/>
      <c r="D669" s="9"/>
      <c r="E669" s="9"/>
    </row>
    <row r="670" spans="3:5" x14ac:dyDescent="0.25">
      <c r="C670" s="9"/>
      <c r="D670" s="9"/>
      <c r="E670" s="9"/>
    </row>
    <row r="671" spans="3:5" x14ac:dyDescent="0.25">
      <c r="C671" s="9"/>
      <c r="D671" s="9"/>
      <c r="E671" s="9"/>
    </row>
    <row r="672" spans="3:5" x14ac:dyDescent="0.25">
      <c r="C672" s="9"/>
      <c r="D672" s="9"/>
      <c r="E672" s="9"/>
    </row>
    <row r="673" spans="3:5" x14ac:dyDescent="0.25">
      <c r="C673" s="9"/>
      <c r="D673" s="9"/>
      <c r="E673" s="9"/>
    </row>
    <row r="674" spans="3:5" x14ac:dyDescent="0.25">
      <c r="C674" s="9"/>
      <c r="D674" s="9"/>
      <c r="E674" s="9"/>
    </row>
    <row r="675" spans="3:5" x14ac:dyDescent="0.25">
      <c r="C675" s="9"/>
      <c r="D675" s="9"/>
      <c r="E675" s="9"/>
    </row>
    <row r="676" spans="3:5" x14ac:dyDescent="0.25">
      <c r="C676" s="9"/>
      <c r="D676" s="9"/>
      <c r="E676" s="9"/>
    </row>
    <row r="677" spans="3:5" x14ac:dyDescent="0.25">
      <c r="C677" s="9"/>
      <c r="D677" s="9"/>
      <c r="E677" s="9"/>
    </row>
    <row r="678" spans="3:5" x14ac:dyDescent="0.25">
      <c r="C678" s="9"/>
      <c r="D678" s="9"/>
      <c r="E678" s="9"/>
    </row>
    <row r="679" spans="3:5" x14ac:dyDescent="0.25">
      <c r="C679" s="9"/>
      <c r="D679" s="9"/>
      <c r="E679" s="9"/>
    </row>
    <row r="680" spans="3:5" x14ac:dyDescent="0.25">
      <c r="C680" s="9"/>
      <c r="D680" s="9"/>
      <c r="E680" s="9"/>
    </row>
    <row r="681" spans="3:5" x14ac:dyDescent="0.25">
      <c r="C681" s="9"/>
      <c r="D681" s="9"/>
      <c r="E681" s="9"/>
    </row>
    <row r="682" spans="3:5" x14ac:dyDescent="0.25">
      <c r="C682" s="9"/>
      <c r="D682" s="9"/>
      <c r="E682" s="9"/>
    </row>
    <row r="683" spans="3:5" x14ac:dyDescent="0.25">
      <c r="C683" s="9"/>
      <c r="D683" s="9"/>
      <c r="E683" s="9"/>
    </row>
    <row r="684" spans="3:5" x14ac:dyDescent="0.25">
      <c r="C684" s="9"/>
      <c r="D684" s="9"/>
      <c r="E684" s="9"/>
    </row>
    <row r="685" spans="3:5" x14ac:dyDescent="0.25">
      <c r="C685" s="9"/>
      <c r="D685" s="9"/>
      <c r="E685" s="9"/>
    </row>
    <row r="686" spans="3:5" x14ac:dyDescent="0.25">
      <c r="C686" s="9"/>
      <c r="D686" s="9"/>
      <c r="E686" s="9"/>
    </row>
    <row r="687" spans="3:5" x14ac:dyDescent="0.25">
      <c r="C687" s="9"/>
      <c r="D687" s="9"/>
      <c r="E687" s="9"/>
    </row>
    <row r="688" spans="3:5" x14ac:dyDescent="0.25">
      <c r="C688" s="9"/>
      <c r="D688" s="9"/>
      <c r="E688" s="9"/>
    </row>
    <row r="689" spans="3:5" x14ac:dyDescent="0.25">
      <c r="C689" s="9"/>
      <c r="D689" s="9"/>
      <c r="E689" s="9"/>
    </row>
    <row r="690" spans="3:5" x14ac:dyDescent="0.25">
      <c r="C690" s="9"/>
      <c r="D690" s="9"/>
      <c r="E690" s="9"/>
    </row>
    <row r="691" spans="3:5" x14ac:dyDescent="0.25">
      <c r="C691" s="9"/>
      <c r="D691" s="9"/>
      <c r="E691" s="9"/>
    </row>
    <row r="692" spans="3:5" x14ac:dyDescent="0.25">
      <c r="C692" s="9"/>
      <c r="D692" s="9"/>
      <c r="E692" s="9"/>
    </row>
    <row r="693" spans="3:5" x14ac:dyDescent="0.25">
      <c r="C693" s="9"/>
      <c r="D693" s="9"/>
      <c r="E693" s="9"/>
    </row>
    <row r="694" spans="3:5" x14ac:dyDescent="0.25">
      <c r="C694" s="9"/>
      <c r="D694" s="9"/>
      <c r="E694" s="9"/>
    </row>
    <row r="695" spans="3:5" x14ac:dyDescent="0.25">
      <c r="C695" s="9"/>
      <c r="D695" s="9"/>
      <c r="E695" s="9"/>
    </row>
    <row r="696" spans="3:5" x14ac:dyDescent="0.25">
      <c r="C696" s="9"/>
      <c r="D696" s="9"/>
      <c r="E696" s="9"/>
    </row>
    <row r="697" spans="3:5" x14ac:dyDescent="0.25">
      <c r="C697" s="9"/>
      <c r="D697" s="9"/>
      <c r="E697" s="9"/>
    </row>
    <row r="698" spans="3:5" x14ac:dyDescent="0.25">
      <c r="C698" s="9"/>
      <c r="D698" s="9"/>
      <c r="E698" s="9"/>
    </row>
    <row r="699" spans="3:5" x14ac:dyDescent="0.25">
      <c r="C699" s="9"/>
      <c r="D699" s="9"/>
      <c r="E699" s="9"/>
    </row>
    <row r="700" spans="3:5" x14ac:dyDescent="0.25">
      <c r="C700" s="9"/>
      <c r="D700" s="9"/>
      <c r="E700" s="9"/>
    </row>
    <row r="701" spans="3:5" x14ac:dyDescent="0.25">
      <c r="C701" s="9"/>
      <c r="D701" s="9"/>
      <c r="E701" s="9"/>
    </row>
    <row r="702" spans="3:5" x14ac:dyDescent="0.25">
      <c r="C702" s="9"/>
      <c r="D702" s="9"/>
      <c r="E702" s="9"/>
    </row>
    <row r="703" spans="3:5" x14ac:dyDescent="0.25">
      <c r="C703" s="9"/>
      <c r="D703" s="9"/>
      <c r="E703" s="9"/>
    </row>
    <row r="704" spans="3:5" x14ac:dyDescent="0.25">
      <c r="C704" s="9"/>
      <c r="D704" s="9"/>
      <c r="E704" s="9"/>
    </row>
    <row r="705" spans="3:5" x14ac:dyDescent="0.25">
      <c r="C705" s="9"/>
      <c r="D705" s="9"/>
      <c r="E705" s="9"/>
    </row>
    <row r="706" spans="3:5" x14ac:dyDescent="0.25">
      <c r="C706" s="9"/>
      <c r="D706" s="9"/>
      <c r="E706" s="9"/>
    </row>
    <row r="707" spans="3:5" x14ac:dyDescent="0.25">
      <c r="C707" s="9"/>
      <c r="D707" s="9"/>
      <c r="E707" s="9"/>
    </row>
    <row r="708" spans="3:5" x14ac:dyDescent="0.25">
      <c r="C708" s="9"/>
      <c r="D708" s="9"/>
      <c r="E708" s="9"/>
    </row>
    <row r="709" spans="3:5" x14ac:dyDescent="0.25">
      <c r="C709" s="9"/>
      <c r="D709" s="9"/>
      <c r="E709" s="9"/>
    </row>
    <row r="710" spans="3:5" x14ac:dyDescent="0.25">
      <c r="C710" s="9"/>
      <c r="D710" s="9"/>
      <c r="E710" s="9"/>
    </row>
    <row r="711" spans="3:5" x14ac:dyDescent="0.25">
      <c r="C711" s="9"/>
      <c r="D711" s="9"/>
      <c r="E711" s="9"/>
    </row>
    <row r="712" spans="3:5" x14ac:dyDescent="0.25">
      <c r="C712" s="9"/>
      <c r="D712" s="9"/>
      <c r="E712" s="9"/>
    </row>
    <row r="713" spans="3:5" x14ac:dyDescent="0.25">
      <c r="C713" s="9"/>
      <c r="D713" s="9"/>
      <c r="E713" s="9"/>
    </row>
    <row r="714" spans="3:5" x14ac:dyDescent="0.25">
      <c r="C714" s="9"/>
      <c r="D714" s="9"/>
      <c r="E714" s="9"/>
    </row>
    <row r="715" spans="3:5" x14ac:dyDescent="0.25">
      <c r="C715" s="9"/>
      <c r="D715" s="9"/>
      <c r="E715" s="9"/>
    </row>
    <row r="716" spans="3:5" x14ac:dyDescent="0.25">
      <c r="C716" s="9"/>
      <c r="D716" s="9"/>
      <c r="E716" s="9"/>
    </row>
    <row r="717" spans="3:5" x14ac:dyDescent="0.25">
      <c r="C717" s="9"/>
      <c r="D717" s="9"/>
      <c r="E717" s="9"/>
    </row>
    <row r="718" spans="3:5" x14ac:dyDescent="0.25">
      <c r="C718" s="9"/>
      <c r="D718" s="9"/>
      <c r="E718" s="9"/>
    </row>
    <row r="719" spans="3:5" x14ac:dyDescent="0.25">
      <c r="C719" s="9"/>
      <c r="D719" s="9"/>
      <c r="E719" s="9"/>
    </row>
    <row r="720" spans="3:5" x14ac:dyDescent="0.25">
      <c r="C720" s="9"/>
      <c r="D720" s="9"/>
      <c r="E720" s="9"/>
    </row>
    <row r="721" spans="3:5" x14ac:dyDescent="0.25">
      <c r="C721" s="9"/>
      <c r="D721" s="9"/>
      <c r="E721" s="9"/>
    </row>
    <row r="722" spans="3:5" x14ac:dyDescent="0.25">
      <c r="C722" s="9"/>
      <c r="D722" s="9"/>
      <c r="E722" s="9"/>
    </row>
    <row r="723" spans="3:5" x14ac:dyDescent="0.25">
      <c r="C723" s="9"/>
      <c r="D723" s="9"/>
      <c r="E723" s="9"/>
    </row>
    <row r="724" spans="3:5" x14ac:dyDescent="0.25">
      <c r="C724" s="9"/>
      <c r="D724" s="9"/>
      <c r="E724" s="9"/>
    </row>
    <row r="725" spans="3:5" x14ac:dyDescent="0.25">
      <c r="C725" s="9"/>
      <c r="D725" s="9"/>
      <c r="E725" s="9"/>
    </row>
    <row r="726" spans="3:5" x14ac:dyDescent="0.25">
      <c r="C726" s="9"/>
      <c r="D726" s="9"/>
      <c r="E726" s="9"/>
    </row>
    <row r="727" spans="3:5" x14ac:dyDescent="0.25">
      <c r="C727" s="9"/>
      <c r="D727" s="9"/>
      <c r="E727" s="9"/>
    </row>
    <row r="728" spans="3:5" x14ac:dyDescent="0.25">
      <c r="C728" s="9"/>
      <c r="D728" s="9"/>
      <c r="E728" s="9"/>
    </row>
    <row r="729" spans="3:5" x14ac:dyDescent="0.25">
      <c r="C729" s="9"/>
      <c r="D729" s="9"/>
      <c r="E729" s="9"/>
    </row>
    <row r="730" spans="3:5" x14ac:dyDescent="0.25">
      <c r="C730" s="9"/>
      <c r="D730" s="9"/>
      <c r="E730" s="9"/>
    </row>
    <row r="731" spans="3:5" x14ac:dyDescent="0.25">
      <c r="C731" s="9"/>
      <c r="D731" s="9"/>
      <c r="E731" s="9"/>
    </row>
    <row r="732" spans="3:5" x14ac:dyDescent="0.25">
      <c r="C732" s="9"/>
      <c r="D732" s="9"/>
      <c r="E732" s="9"/>
    </row>
    <row r="733" spans="3:5" x14ac:dyDescent="0.25">
      <c r="C733" s="9"/>
      <c r="D733" s="9"/>
      <c r="E733" s="9"/>
    </row>
    <row r="734" spans="3:5" x14ac:dyDescent="0.25">
      <c r="C734" s="9"/>
      <c r="D734" s="9"/>
      <c r="E734" s="9"/>
    </row>
    <row r="735" spans="3:5" x14ac:dyDescent="0.25">
      <c r="C735" s="9"/>
      <c r="D735" s="9"/>
      <c r="E735" s="9"/>
    </row>
    <row r="736" spans="3:5" x14ac:dyDescent="0.25">
      <c r="C736" s="9"/>
      <c r="D736" s="9"/>
      <c r="E736" s="9"/>
    </row>
    <row r="737" spans="3:5" x14ac:dyDescent="0.25">
      <c r="C737" s="9"/>
      <c r="D737" s="9"/>
      <c r="E737" s="9"/>
    </row>
    <row r="738" spans="3:5" x14ac:dyDescent="0.25">
      <c r="C738" s="9"/>
      <c r="D738" s="9"/>
      <c r="E738" s="9"/>
    </row>
    <row r="739" spans="3:5" x14ac:dyDescent="0.25">
      <c r="C739" s="9"/>
      <c r="D739" s="9"/>
      <c r="E739" s="9"/>
    </row>
    <row r="740" spans="3:5" x14ac:dyDescent="0.25">
      <c r="C740" s="9"/>
      <c r="D740" s="9"/>
      <c r="E740" s="9"/>
    </row>
    <row r="741" spans="3:5" x14ac:dyDescent="0.25">
      <c r="C741" s="9"/>
      <c r="D741" s="9"/>
      <c r="E741" s="9"/>
    </row>
    <row r="742" spans="3:5" x14ac:dyDescent="0.25">
      <c r="C742" s="9"/>
      <c r="D742" s="9"/>
      <c r="E742" s="9"/>
    </row>
    <row r="743" spans="3:5" x14ac:dyDescent="0.25">
      <c r="C743" s="9"/>
      <c r="D743" s="9"/>
      <c r="E743" s="9"/>
    </row>
    <row r="744" spans="3:5" x14ac:dyDescent="0.25">
      <c r="C744" s="9"/>
      <c r="D744" s="9"/>
      <c r="E744" s="9"/>
    </row>
    <row r="745" spans="3:5" x14ac:dyDescent="0.25">
      <c r="C745" s="9"/>
      <c r="D745" s="9"/>
      <c r="E745" s="9"/>
    </row>
    <row r="746" spans="3:5" x14ac:dyDescent="0.25">
      <c r="C746" s="9"/>
      <c r="D746" s="9"/>
      <c r="E746" s="9"/>
    </row>
    <row r="747" spans="3:5" x14ac:dyDescent="0.25">
      <c r="C747" s="9"/>
      <c r="D747" s="9"/>
      <c r="E747" s="9"/>
    </row>
    <row r="748" spans="3:5" x14ac:dyDescent="0.25">
      <c r="C748" s="9"/>
      <c r="D748" s="9"/>
      <c r="E748" s="9"/>
    </row>
    <row r="749" spans="3:5" x14ac:dyDescent="0.25">
      <c r="C749" s="9"/>
      <c r="D749" s="9"/>
      <c r="E749" s="9"/>
    </row>
    <row r="750" spans="3:5" x14ac:dyDescent="0.25">
      <c r="C750" s="9"/>
      <c r="D750" s="9"/>
      <c r="E750" s="9"/>
    </row>
    <row r="751" spans="3:5" x14ac:dyDescent="0.25">
      <c r="C751" s="9"/>
      <c r="D751" s="9"/>
      <c r="E751" s="9"/>
    </row>
    <row r="752" spans="3:5" x14ac:dyDescent="0.25">
      <c r="C752" s="9"/>
      <c r="D752" s="9"/>
      <c r="E752" s="9"/>
    </row>
    <row r="753" spans="3:5" x14ac:dyDescent="0.25">
      <c r="C753" s="9"/>
      <c r="D753" s="9"/>
      <c r="E753" s="9"/>
    </row>
    <row r="754" spans="3:5" x14ac:dyDescent="0.25">
      <c r="C754" s="9"/>
      <c r="D754" s="9"/>
      <c r="E754" s="9"/>
    </row>
    <row r="755" spans="3:5" x14ac:dyDescent="0.25">
      <c r="C755" s="9"/>
      <c r="D755" s="9"/>
      <c r="E755" s="9"/>
    </row>
    <row r="756" spans="3:5" x14ac:dyDescent="0.25">
      <c r="C756" s="9"/>
      <c r="D756" s="9"/>
      <c r="E756" s="9"/>
    </row>
    <row r="757" spans="3:5" x14ac:dyDescent="0.25">
      <c r="C757" s="9"/>
      <c r="D757" s="9"/>
      <c r="E757" s="9"/>
    </row>
    <row r="758" spans="3:5" x14ac:dyDescent="0.25">
      <c r="C758" s="9"/>
      <c r="D758" s="9"/>
      <c r="E758" s="9"/>
    </row>
    <row r="759" spans="3:5" x14ac:dyDescent="0.25">
      <c r="C759" s="9"/>
      <c r="D759" s="9"/>
      <c r="E759" s="9"/>
    </row>
    <row r="760" spans="3:5" x14ac:dyDescent="0.25">
      <c r="C760" s="9"/>
      <c r="D760" s="9"/>
      <c r="E760" s="9"/>
    </row>
    <row r="761" spans="3:5" x14ac:dyDescent="0.25">
      <c r="C761" s="9"/>
      <c r="D761" s="9"/>
      <c r="E761" s="9"/>
    </row>
    <row r="762" spans="3:5" x14ac:dyDescent="0.25">
      <c r="C762" s="9"/>
      <c r="D762" s="9"/>
      <c r="E762" s="9"/>
    </row>
    <row r="763" spans="3:5" x14ac:dyDescent="0.25">
      <c r="C763" s="9"/>
      <c r="D763" s="9"/>
      <c r="E763" s="9"/>
    </row>
    <row r="764" spans="3:5" x14ac:dyDescent="0.25">
      <c r="C764" s="9"/>
      <c r="D764" s="9"/>
      <c r="E764" s="9"/>
    </row>
    <row r="765" spans="3:5" x14ac:dyDescent="0.25">
      <c r="C765" s="9"/>
      <c r="D765" s="9"/>
      <c r="E765" s="9"/>
    </row>
    <row r="766" spans="3:5" x14ac:dyDescent="0.25">
      <c r="C766" s="9"/>
      <c r="D766" s="9"/>
      <c r="E766" s="9"/>
    </row>
    <row r="767" spans="3:5" x14ac:dyDescent="0.25">
      <c r="C767" s="9"/>
      <c r="D767" s="9"/>
      <c r="E767" s="9"/>
    </row>
    <row r="768" spans="3:5" x14ac:dyDescent="0.25">
      <c r="C768" s="9"/>
      <c r="D768" s="9"/>
      <c r="E768" s="9"/>
    </row>
    <row r="769" spans="3:5" x14ac:dyDescent="0.25">
      <c r="C769" s="9"/>
      <c r="D769" s="9"/>
      <c r="E769" s="9"/>
    </row>
    <row r="770" spans="3:5" x14ac:dyDescent="0.25">
      <c r="C770" s="9"/>
      <c r="D770" s="9"/>
      <c r="E770" s="9"/>
    </row>
    <row r="771" spans="3:5" x14ac:dyDescent="0.25">
      <c r="C771" s="9"/>
      <c r="D771" s="9"/>
      <c r="E771" s="9"/>
    </row>
    <row r="772" spans="3:5" x14ac:dyDescent="0.25">
      <c r="C772" s="9"/>
      <c r="D772" s="9"/>
      <c r="E772" s="9"/>
    </row>
    <row r="773" spans="3:5" x14ac:dyDescent="0.25">
      <c r="C773" s="9"/>
      <c r="D773" s="9"/>
      <c r="E773" s="9"/>
    </row>
    <row r="774" spans="3:5" x14ac:dyDescent="0.25">
      <c r="C774" s="9"/>
      <c r="D774" s="9"/>
      <c r="E774" s="9"/>
    </row>
    <row r="775" spans="3:5" x14ac:dyDescent="0.25">
      <c r="C775" s="9"/>
      <c r="D775" s="9"/>
      <c r="E775" s="9"/>
    </row>
    <row r="776" spans="3:5" x14ac:dyDescent="0.25">
      <c r="C776" s="9"/>
      <c r="D776" s="9"/>
      <c r="E776" s="9"/>
    </row>
    <row r="777" spans="3:5" x14ac:dyDescent="0.25">
      <c r="C777" s="9"/>
      <c r="D777" s="9"/>
      <c r="E777" s="9"/>
    </row>
    <row r="778" spans="3:5" x14ac:dyDescent="0.25">
      <c r="C778" s="9"/>
      <c r="D778" s="9"/>
      <c r="E778" s="9"/>
    </row>
    <row r="779" spans="3:5" x14ac:dyDescent="0.25">
      <c r="C779" s="9"/>
      <c r="D779" s="9"/>
      <c r="E779" s="9"/>
    </row>
    <row r="780" spans="3:5" x14ac:dyDescent="0.25">
      <c r="C780" s="9"/>
      <c r="D780" s="9"/>
      <c r="E780" s="9"/>
    </row>
    <row r="781" spans="3:5" x14ac:dyDescent="0.25">
      <c r="C781" s="9"/>
      <c r="D781" s="9"/>
      <c r="E781" s="9"/>
    </row>
    <row r="782" spans="3:5" x14ac:dyDescent="0.25">
      <c r="C782" s="9"/>
      <c r="D782" s="9"/>
      <c r="E782" s="9"/>
    </row>
    <row r="783" spans="3:5" x14ac:dyDescent="0.25">
      <c r="C783" s="9"/>
      <c r="D783" s="9"/>
      <c r="E783" s="9"/>
    </row>
    <row r="784" spans="3:5" x14ac:dyDescent="0.25">
      <c r="C784" s="9"/>
      <c r="D784" s="9"/>
      <c r="E784" s="9"/>
    </row>
    <row r="785" spans="3:5" x14ac:dyDescent="0.25">
      <c r="C785" s="9"/>
      <c r="D785" s="9"/>
      <c r="E785" s="9"/>
    </row>
    <row r="786" spans="3:5" x14ac:dyDescent="0.25">
      <c r="C786" s="9"/>
      <c r="D786" s="9"/>
      <c r="E786" s="9"/>
    </row>
    <row r="787" spans="3:5" x14ac:dyDescent="0.25">
      <c r="C787" s="9"/>
      <c r="D787" s="9"/>
      <c r="E787" s="9"/>
    </row>
    <row r="788" spans="3:5" x14ac:dyDescent="0.25">
      <c r="C788" s="9"/>
      <c r="D788" s="9"/>
      <c r="E788" s="9"/>
    </row>
    <row r="789" spans="3:5" x14ac:dyDescent="0.25">
      <c r="C789" s="9"/>
      <c r="D789" s="9"/>
      <c r="E789" s="9"/>
    </row>
    <row r="790" spans="3:5" x14ac:dyDescent="0.25">
      <c r="C790" s="9"/>
      <c r="D790" s="9"/>
      <c r="E790" s="9"/>
    </row>
    <row r="791" spans="3:5" x14ac:dyDescent="0.25">
      <c r="C791" s="9"/>
      <c r="D791" s="9"/>
      <c r="E791" s="9"/>
    </row>
    <row r="792" spans="3:5" x14ac:dyDescent="0.25">
      <c r="C792" s="9"/>
      <c r="D792" s="9"/>
      <c r="E792" s="9"/>
    </row>
    <row r="793" spans="3:5" x14ac:dyDescent="0.25">
      <c r="C793" s="9"/>
      <c r="D793" s="9"/>
      <c r="E793" s="9"/>
    </row>
    <row r="794" spans="3:5" x14ac:dyDescent="0.25">
      <c r="C794" s="9"/>
      <c r="D794" s="9"/>
      <c r="E794" s="9"/>
    </row>
    <row r="795" spans="3:5" x14ac:dyDescent="0.25">
      <c r="C795" s="9"/>
      <c r="D795" s="9"/>
      <c r="E795" s="9"/>
    </row>
    <row r="796" spans="3:5" x14ac:dyDescent="0.25">
      <c r="C796" s="9"/>
      <c r="D796" s="9"/>
      <c r="E796" s="9"/>
    </row>
    <row r="797" spans="3:5" x14ac:dyDescent="0.25">
      <c r="C797" s="9"/>
      <c r="D797" s="9"/>
      <c r="E797" s="9"/>
    </row>
    <row r="798" spans="3:5" x14ac:dyDescent="0.25">
      <c r="C798" s="9"/>
      <c r="D798" s="9"/>
      <c r="E798" s="9"/>
    </row>
    <row r="799" spans="3:5" x14ac:dyDescent="0.25">
      <c r="C799" s="9"/>
      <c r="D799" s="9"/>
      <c r="E799" s="9"/>
    </row>
    <row r="800" spans="3:5" x14ac:dyDescent="0.25">
      <c r="C800" s="9"/>
      <c r="D800" s="9"/>
      <c r="E800" s="9"/>
    </row>
    <row r="801" spans="3:5" x14ac:dyDescent="0.25">
      <c r="C801" s="9"/>
      <c r="D801" s="9"/>
      <c r="E801" s="9"/>
    </row>
    <row r="802" spans="3:5" x14ac:dyDescent="0.25">
      <c r="C802" s="9"/>
      <c r="D802" s="9"/>
      <c r="E802" s="9"/>
    </row>
    <row r="803" spans="3:5" x14ac:dyDescent="0.25">
      <c r="C803" s="9"/>
      <c r="D803" s="9"/>
      <c r="E803" s="9"/>
    </row>
    <row r="804" spans="3:5" x14ac:dyDescent="0.25">
      <c r="C804" s="9"/>
      <c r="D804" s="9"/>
      <c r="E804" s="9"/>
    </row>
    <row r="805" spans="3:5" x14ac:dyDescent="0.25">
      <c r="C805" s="9"/>
      <c r="D805" s="9"/>
      <c r="E805" s="9"/>
    </row>
    <row r="806" spans="3:5" x14ac:dyDescent="0.25">
      <c r="C806" s="9"/>
      <c r="D806" s="9"/>
      <c r="E806" s="9"/>
    </row>
    <row r="807" spans="3:5" x14ac:dyDescent="0.25">
      <c r="C807" s="9"/>
      <c r="D807" s="9"/>
      <c r="E807" s="9"/>
    </row>
    <row r="808" spans="3:5" x14ac:dyDescent="0.25">
      <c r="C808" s="9"/>
      <c r="D808" s="9"/>
      <c r="E808" s="9"/>
    </row>
    <row r="809" spans="3:5" x14ac:dyDescent="0.25">
      <c r="C809" s="9"/>
      <c r="D809" s="9"/>
      <c r="E809" s="9"/>
    </row>
    <row r="810" spans="3:5" x14ac:dyDescent="0.25">
      <c r="C810" s="9"/>
      <c r="D810" s="9"/>
      <c r="E810" s="9"/>
    </row>
    <row r="811" spans="3:5" x14ac:dyDescent="0.25">
      <c r="C811" s="9"/>
      <c r="D811" s="9"/>
      <c r="E811" s="9"/>
    </row>
    <row r="812" spans="3:5" x14ac:dyDescent="0.25">
      <c r="C812" s="9"/>
      <c r="D812" s="9"/>
      <c r="E812" s="9"/>
    </row>
    <row r="813" spans="3:5" x14ac:dyDescent="0.25">
      <c r="C813" s="9"/>
      <c r="D813" s="9"/>
      <c r="E813" s="9"/>
    </row>
    <row r="814" spans="3:5" x14ac:dyDescent="0.25">
      <c r="C814" s="9"/>
      <c r="D814" s="9"/>
      <c r="E814" s="9"/>
    </row>
    <row r="815" spans="3:5" x14ac:dyDescent="0.25">
      <c r="C815" s="9"/>
      <c r="D815" s="9"/>
      <c r="E815" s="9"/>
    </row>
    <row r="816" spans="3:5" x14ac:dyDescent="0.25">
      <c r="C816" s="9"/>
      <c r="D816" s="9"/>
      <c r="E816" s="9"/>
    </row>
    <row r="817" spans="3:5" x14ac:dyDescent="0.25">
      <c r="C817" s="9"/>
      <c r="D817" s="9"/>
      <c r="E817" s="9"/>
    </row>
    <row r="818" spans="3:5" x14ac:dyDescent="0.25">
      <c r="C818" s="9"/>
      <c r="D818" s="9"/>
      <c r="E818" s="9"/>
    </row>
    <row r="819" spans="3:5" x14ac:dyDescent="0.25">
      <c r="C819" s="9"/>
      <c r="D819" s="9"/>
      <c r="E819" s="9"/>
    </row>
    <row r="820" spans="3:5" x14ac:dyDescent="0.25">
      <c r="C820" s="9"/>
      <c r="D820" s="9"/>
      <c r="E820" s="9"/>
    </row>
    <row r="821" spans="3:5" x14ac:dyDescent="0.25">
      <c r="C821" s="9"/>
      <c r="D821" s="9"/>
      <c r="E821" s="9"/>
    </row>
    <row r="822" spans="3:5" x14ac:dyDescent="0.25">
      <c r="C822" s="9"/>
      <c r="D822" s="9"/>
      <c r="E822" s="9"/>
    </row>
    <row r="823" spans="3:5" x14ac:dyDescent="0.25">
      <c r="C823" s="9"/>
      <c r="D823" s="9"/>
      <c r="E823" s="9"/>
    </row>
    <row r="824" spans="3:5" x14ac:dyDescent="0.25">
      <c r="C824" s="9"/>
      <c r="D824" s="9"/>
      <c r="E824" s="9"/>
    </row>
    <row r="825" spans="3:5" x14ac:dyDescent="0.25">
      <c r="C825" s="9"/>
      <c r="D825" s="9"/>
      <c r="E825" s="9"/>
    </row>
    <row r="826" spans="3:5" x14ac:dyDescent="0.25">
      <c r="C826" s="9"/>
      <c r="D826" s="9"/>
      <c r="E826" s="9"/>
    </row>
    <row r="827" spans="3:5" x14ac:dyDescent="0.25">
      <c r="C827" s="9"/>
      <c r="D827" s="9"/>
      <c r="E827" s="9"/>
    </row>
    <row r="828" spans="3:5" x14ac:dyDescent="0.25">
      <c r="C828" s="9"/>
      <c r="D828" s="9"/>
      <c r="E828" s="9"/>
    </row>
    <row r="829" spans="3:5" x14ac:dyDescent="0.25">
      <c r="C829" s="9"/>
      <c r="D829" s="9"/>
      <c r="E829" s="9"/>
    </row>
    <row r="830" spans="3:5" x14ac:dyDescent="0.25">
      <c r="C830" s="9"/>
      <c r="D830" s="9"/>
      <c r="E830" s="9"/>
    </row>
    <row r="831" spans="3:5" x14ac:dyDescent="0.25">
      <c r="C831" s="9"/>
      <c r="D831" s="9"/>
      <c r="E831" s="9"/>
    </row>
    <row r="832" spans="3:5" x14ac:dyDescent="0.25">
      <c r="C832" s="9"/>
      <c r="D832" s="9"/>
      <c r="E832" s="9"/>
    </row>
    <row r="833" spans="3:5" x14ac:dyDescent="0.25">
      <c r="C833" s="9"/>
      <c r="D833" s="9"/>
      <c r="E833" s="9"/>
    </row>
    <row r="834" spans="3:5" x14ac:dyDescent="0.25">
      <c r="C834" s="9"/>
      <c r="D834" s="9"/>
      <c r="E834" s="9"/>
    </row>
    <row r="835" spans="3:5" x14ac:dyDescent="0.25">
      <c r="C835" s="9"/>
      <c r="D835" s="9"/>
      <c r="E835" s="9"/>
    </row>
    <row r="836" spans="3:5" x14ac:dyDescent="0.25">
      <c r="C836" s="9"/>
      <c r="D836" s="9"/>
      <c r="E836" s="9"/>
    </row>
    <row r="837" spans="3:5" x14ac:dyDescent="0.25">
      <c r="C837" s="9"/>
      <c r="D837" s="9"/>
      <c r="E837" s="9"/>
    </row>
    <row r="838" spans="3:5" x14ac:dyDescent="0.25">
      <c r="C838" s="9"/>
      <c r="D838" s="9"/>
      <c r="E838" s="9"/>
    </row>
    <row r="839" spans="3:5" x14ac:dyDescent="0.25">
      <c r="C839" s="9"/>
      <c r="D839" s="9"/>
      <c r="E839" s="9"/>
    </row>
    <row r="840" spans="3:5" x14ac:dyDescent="0.25">
      <c r="C840" s="9"/>
      <c r="D840" s="9"/>
      <c r="E840" s="9"/>
    </row>
    <row r="841" spans="3:5" x14ac:dyDescent="0.25">
      <c r="C841" s="9"/>
      <c r="D841" s="9"/>
      <c r="E841" s="9"/>
    </row>
    <row r="842" spans="3:5" x14ac:dyDescent="0.25">
      <c r="C842" s="9"/>
      <c r="D842" s="9"/>
      <c r="E842" s="9"/>
    </row>
    <row r="843" spans="3:5" x14ac:dyDescent="0.25">
      <c r="C843" s="9"/>
      <c r="D843" s="9"/>
      <c r="E843" s="9"/>
    </row>
    <row r="844" spans="3:5" x14ac:dyDescent="0.25">
      <c r="C844" s="9"/>
      <c r="D844" s="9"/>
      <c r="E844" s="9"/>
    </row>
    <row r="845" spans="3:5" x14ac:dyDescent="0.25">
      <c r="C845" s="9"/>
      <c r="D845" s="9"/>
      <c r="E845" s="9"/>
    </row>
    <row r="846" spans="3:5" x14ac:dyDescent="0.25">
      <c r="C846" s="9"/>
      <c r="D846" s="9"/>
      <c r="E846" s="9"/>
    </row>
    <row r="847" spans="3:5" x14ac:dyDescent="0.25">
      <c r="C847" s="9"/>
      <c r="D847" s="9"/>
      <c r="E847" s="9"/>
    </row>
    <row r="848" spans="3:5" x14ac:dyDescent="0.25">
      <c r="C848" s="9"/>
      <c r="D848" s="9"/>
      <c r="E848" s="9"/>
    </row>
    <row r="849" spans="3:5" x14ac:dyDescent="0.25">
      <c r="C849" s="9"/>
      <c r="D849" s="9"/>
      <c r="E849" s="9"/>
    </row>
    <row r="850" spans="3:5" x14ac:dyDescent="0.25">
      <c r="C850" s="9"/>
      <c r="D850" s="9"/>
      <c r="E850" s="9"/>
    </row>
    <row r="851" spans="3:5" x14ac:dyDescent="0.25">
      <c r="C851" s="9"/>
      <c r="D851" s="9"/>
      <c r="E851" s="9"/>
    </row>
    <row r="852" spans="3:5" x14ac:dyDescent="0.25">
      <c r="C852" s="9"/>
      <c r="D852" s="9"/>
      <c r="E852" s="9"/>
    </row>
    <row r="853" spans="3:5" x14ac:dyDescent="0.25">
      <c r="C853" s="9"/>
      <c r="D853" s="9"/>
      <c r="E853" s="9"/>
    </row>
    <row r="854" spans="3:5" x14ac:dyDescent="0.25">
      <c r="C854" s="9"/>
      <c r="D854" s="9"/>
      <c r="E854" s="9"/>
    </row>
    <row r="855" spans="3:5" x14ac:dyDescent="0.25">
      <c r="C855" s="9"/>
      <c r="D855" s="9"/>
      <c r="E855" s="9"/>
    </row>
    <row r="856" spans="3:5" x14ac:dyDescent="0.25">
      <c r="C856" s="9"/>
      <c r="D856" s="9"/>
      <c r="E856" s="9"/>
    </row>
    <row r="857" spans="3:5" x14ac:dyDescent="0.25">
      <c r="C857" s="9"/>
      <c r="D857" s="9"/>
      <c r="E857" s="9"/>
    </row>
    <row r="858" spans="3:5" x14ac:dyDescent="0.25">
      <c r="C858" s="9"/>
      <c r="D858" s="9"/>
      <c r="E858" s="9"/>
    </row>
    <row r="859" spans="3:5" x14ac:dyDescent="0.25">
      <c r="C859" s="9"/>
      <c r="D859" s="9"/>
      <c r="E859" s="9"/>
    </row>
    <row r="860" spans="3:5" x14ac:dyDescent="0.25">
      <c r="C860" s="9"/>
      <c r="D860" s="9"/>
      <c r="E860" s="9"/>
    </row>
    <row r="861" spans="3:5" x14ac:dyDescent="0.25">
      <c r="C861" s="9"/>
      <c r="D861" s="9"/>
      <c r="E861" s="9"/>
    </row>
    <row r="862" spans="3:5" x14ac:dyDescent="0.25">
      <c r="C862" s="9"/>
      <c r="D862" s="9"/>
      <c r="E862" s="9"/>
    </row>
    <row r="863" spans="3:5" x14ac:dyDescent="0.25">
      <c r="C863" s="9"/>
      <c r="D863" s="9"/>
      <c r="E863" s="9"/>
    </row>
    <row r="864" spans="3:5" x14ac:dyDescent="0.25">
      <c r="C864" s="9"/>
      <c r="D864" s="9"/>
      <c r="E864" s="9"/>
    </row>
    <row r="865" spans="3:5" x14ac:dyDescent="0.25">
      <c r="C865" s="9"/>
      <c r="D865" s="9"/>
      <c r="E865" s="9"/>
    </row>
    <row r="866" spans="3:5" x14ac:dyDescent="0.25">
      <c r="C866" s="9"/>
      <c r="D866" s="9"/>
      <c r="E866" s="9"/>
    </row>
    <row r="867" spans="3:5" x14ac:dyDescent="0.25">
      <c r="C867" s="9"/>
      <c r="D867" s="9"/>
      <c r="E867" s="9"/>
    </row>
    <row r="868" spans="3:5" x14ac:dyDescent="0.25">
      <c r="C868" s="9"/>
      <c r="D868" s="9"/>
      <c r="E868" s="9"/>
    </row>
    <row r="869" spans="3:5" x14ac:dyDescent="0.25">
      <c r="C869" s="9"/>
      <c r="D869" s="9"/>
      <c r="E869" s="9"/>
    </row>
    <row r="870" spans="3:5" x14ac:dyDescent="0.25">
      <c r="C870" s="9"/>
      <c r="D870" s="9"/>
      <c r="E870" s="9"/>
    </row>
    <row r="871" spans="3:5" x14ac:dyDescent="0.25">
      <c r="C871" s="9"/>
      <c r="D871" s="9"/>
      <c r="E871" s="9"/>
    </row>
    <row r="872" spans="3:5" x14ac:dyDescent="0.25">
      <c r="C872" s="9"/>
      <c r="D872" s="9"/>
      <c r="E872" s="9"/>
    </row>
    <row r="873" spans="3:5" x14ac:dyDescent="0.25">
      <c r="C873" s="9"/>
      <c r="D873" s="9"/>
      <c r="E873" s="9"/>
    </row>
    <row r="874" spans="3:5" x14ac:dyDescent="0.25">
      <c r="C874" s="9"/>
      <c r="D874" s="9"/>
      <c r="E874" s="9"/>
    </row>
    <row r="875" spans="3:5" x14ac:dyDescent="0.25">
      <c r="C875" s="9"/>
      <c r="D875" s="9"/>
      <c r="E875" s="9"/>
    </row>
    <row r="876" spans="3:5" x14ac:dyDescent="0.25">
      <c r="C876" s="9"/>
      <c r="D876" s="9"/>
      <c r="E876" s="9"/>
    </row>
    <row r="877" spans="3:5" x14ac:dyDescent="0.25">
      <c r="C877" s="9"/>
      <c r="D877" s="9"/>
      <c r="E877" s="9"/>
    </row>
    <row r="878" spans="3:5" x14ac:dyDescent="0.25">
      <c r="C878" s="9"/>
      <c r="D878" s="9"/>
      <c r="E878" s="9"/>
    </row>
    <row r="879" spans="3:5" x14ac:dyDescent="0.25">
      <c r="C879" s="9"/>
      <c r="D879" s="9"/>
      <c r="E879" s="9"/>
    </row>
    <row r="880" spans="3:5" x14ac:dyDescent="0.25">
      <c r="C880" s="9"/>
      <c r="D880" s="9"/>
      <c r="E880" s="9"/>
    </row>
    <row r="881" spans="3:5" x14ac:dyDescent="0.25">
      <c r="C881" s="9"/>
      <c r="D881" s="9"/>
      <c r="E881" s="9"/>
    </row>
    <row r="882" spans="3:5" x14ac:dyDescent="0.25">
      <c r="C882" s="9"/>
      <c r="D882" s="9"/>
      <c r="E882" s="9"/>
    </row>
    <row r="883" spans="3:5" x14ac:dyDescent="0.25">
      <c r="C883" s="9"/>
      <c r="D883" s="9"/>
      <c r="E883" s="9"/>
    </row>
    <row r="884" spans="3:5" x14ac:dyDescent="0.25">
      <c r="C884" s="9"/>
      <c r="D884" s="9"/>
      <c r="E884" s="9"/>
    </row>
    <row r="885" spans="3:5" x14ac:dyDescent="0.25">
      <c r="C885" s="9"/>
      <c r="D885" s="9"/>
      <c r="E885" s="9"/>
    </row>
    <row r="886" spans="3:5" x14ac:dyDescent="0.25">
      <c r="C886" s="9"/>
      <c r="D886" s="9"/>
      <c r="E886" s="9"/>
    </row>
    <row r="887" spans="3:5" x14ac:dyDescent="0.25">
      <c r="C887" s="9"/>
      <c r="D887" s="9"/>
      <c r="E887" s="9"/>
    </row>
    <row r="888" spans="3:5" x14ac:dyDescent="0.25">
      <c r="C888" s="9"/>
      <c r="D888" s="9"/>
      <c r="E888" s="9"/>
    </row>
    <row r="889" spans="3:5" x14ac:dyDescent="0.25">
      <c r="C889" s="9"/>
      <c r="D889" s="9"/>
      <c r="E889" s="9"/>
    </row>
    <row r="890" spans="3:5" x14ac:dyDescent="0.25">
      <c r="C890" s="9"/>
      <c r="D890" s="9"/>
      <c r="E890" s="9"/>
    </row>
    <row r="891" spans="3:5" x14ac:dyDescent="0.25">
      <c r="C891" s="9"/>
      <c r="D891" s="9"/>
      <c r="E891" s="9"/>
    </row>
    <row r="892" spans="3:5" x14ac:dyDescent="0.25">
      <c r="C892" s="9"/>
      <c r="D892" s="9"/>
      <c r="E892" s="9"/>
    </row>
    <row r="893" spans="3:5" x14ac:dyDescent="0.25">
      <c r="C893" s="9"/>
      <c r="D893" s="9"/>
      <c r="E893" s="9"/>
    </row>
    <row r="894" spans="3:5" x14ac:dyDescent="0.25">
      <c r="C894" s="9"/>
      <c r="D894" s="9"/>
      <c r="E894" s="9"/>
    </row>
    <row r="895" spans="3:5" x14ac:dyDescent="0.25">
      <c r="C895" s="9"/>
      <c r="D895" s="9"/>
      <c r="E895" s="9"/>
    </row>
    <row r="896" spans="3:5" x14ac:dyDescent="0.25">
      <c r="C896" s="9"/>
      <c r="D896" s="9"/>
      <c r="E896" s="9"/>
    </row>
    <row r="897" spans="3:5" x14ac:dyDescent="0.25">
      <c r="C897" s="9"/>
      <c r="D897" s="9"/>
      <c r="E897" s="9"/>
    </row>
    <row r="898" spans="3:5" x14ac:dyDescent="0.25">
      <c r="C898" s="9"/>
      <c r="D898" s="9"/>
      <c r="E898" s="9"/>
    </row>
    <row r="899" spans="3:5" x14ac:dyDescent="0.25">
      <c r="C899" s="9"/>
      <c r="D899" s="9"/>
      <c r="E899" s="9"/>
    </row>
    <row r="900" spans="3:5" x14ac:dyDescent="0.25">
      <c r="C900" s="9"/>
      <c r="D900" s="9"/>
      <c r="E900" s="9"/>
    </row>
    <row r="901" spans="3:5" x14ac:dyDescent="0.25">
      <c r="C901" s="9"/>
      <c r="D901" s="9"/>
      <c r="E901" s="9"/>
    </row>
    <row r="902" spans="3:5" x14ac:dyDescent="0.25">
      <c r="C902" s="9"/>
      <c r="D902" s="9"/>
      <c r="E902" s="9"/>
    </row>
    <row r="903" spans="3:5" x14ac:dyDescent="0.25">
      <c r="C903" s="9"/>
      <c r="D903" s="9"/>
      <c r="E903" s="9"/>
    </row>
    <row r="904" spans="3:5" x14ac:dyDescent="0.25">
      <c r="C904" s="9"/>
      <c r="D904" s="9"/>
      <c r="E904" s="9"/>
    </row>
    <row r="905" spans="3:5" x14ac:dyDescent="0.25">
      <c r="C905" s="9"/>
      <c r="D905" s="9"/>
      <c r="E905" s="9"/>
    </row>
    <row r="906" spans="3:5" x14ac:dyDescent="0.25">
      <c r="C906" s="9"/>
      <c r="D906" s="9"/>
      <c r="E906" s="9"/>
    </row>
    <row r="907" spans="3:5" x14ac:dyDescent="0.25">
      <c r="C907" s="9"/>
      <c r="D907" s="9"/>
      <c r="E907" s="9"/>
    </row>
    <row r="908" spans="3:5" x14ac:dyDescent="0.25">
      <c r="C908" s="9"/>
      <c r="D908" s="9"/>
      <c r="E908" s="9"/>
    </row>
    <row r="909" spans="3:5" x14ac:dyDescent="0.25">
      <c r="C909" s="9"/>
      <c r="D909" s="9"/>
      <c r="E909" s="9"/>
    </row>
    <row r="910" spans="3:5" x14ac:dyDescent="0.25">
      <c r="C910" s="9"/>
      <c r="D910" s="9"/>
      <c r="E910" s="9"/>
    </row>
    <row r="911" spans="3:5" x14ac:dyDescent="0.25">
      <c r="C911" s="9"/>
      <c r="D911" s="9"/>
      <c r="E911" s="9"/>
    </row>
    <row r="912" spans="3:5" x14ac:dyDescent="0.25">
      <c r="C912" s="9"/>
      <c r="D912" s="9"/>
      <c r="E912" s="9"/>
    </row>
    <row r="913" spans="3:5" x14ac:dyDescent="0.25">
      <c r="C913" s="9"/>
      <c r="D913" s="9"/>
      <c r="E913" s="9"/>
    </row>
    <row r="914" spans="3:5" x14ac:dyDescent="0.25">
      <c r="C914" s="9"/>
      <c r="D914" s="9"/>
      <c r="E914" s="9"/>
    </row>
    <row r="915" spans="3:5" x14ac:dyDescent="0.25">
      <c r="C915" s="9"/>
      <c r="D915" s="9"/>
      <c r="E915" s="9"/>
    </row>
    <row r="916" spans="3:5" x14ac:dyDescent="0.25">
      <c r="C916" s="9"/>
      <c r="D916" s="9"/>
      <c r="E916" s="9"/>
    </row>
    <row r="917" spans="3:5" x14ac:dyDescent="0.25">
      <c r="C917" s="9"/>
      <c r="D917" s="9"/>
      <c r="E917" s="9"/>
    </row>
    <row r="918" spans="3:5" x14ac:dyDescent="0.25">
      <c r="C918" s="9"/>
      <c r="D918" s="9"/>
      <c r="E918" s="9"/>
    </row>
    <row r="919" spans="3:5" x14ac:dyDescent="0.25">
      <c r="C919" s="9"/>
      <c r="D919" s="9"/>
      <c r="E919" s="9"/>
    </row>
    <row r="920" spans="3:5" x14ac:dyDescent="0.25">
      <c r="C920" s="9"/>
      <c r="D920" s="9"/>
      <c r="E920" s="9"/>
    </row>
    <row r="921" spans="3:5" x14ac:dyDescent="0.25">
      <c r="C921" s="9"/>
      <c r="D921" s="9"/>
      <c r="E921" s="9"/>
    </row>
    <row r="922" spans="3:5" x14ac:dyDescent="0.25">
      <c r="C922" s="9"/>
      <c r="D922" s="9"/>
      <c r="E922" s="9"/>
    </row>
    <row r="923" spans="3:5" x14ac:dyDescent="0.25">
      <c r="C923" s="9"/>
      <c r="D923" s="9"/>
      <c r="E923" s="9"/>
    </row>
    <row r="924" spans="3:5" x14ac:dyDescent="0.25">
      <c r="C924" s="9"/>
      <c r="D924" s="9"/>
      <c r="E924" s="9"/>
    </row>
    <row r="925" spans="3:5" x14ac:dyDescent="0.25">
      <c r="C925" s="9"/>
      <c r="D925" s="9"/>
      <c r="E925" s="9"/>
    </row>
    <row r="926" spans="3:5" x14ac:dyDescent="0.25">
      <c r="C926" s="9"/>
      <c r="D926" s="9"/>
      <c r="E926" s="9"/>
    </row>
    <row r="927" spans="3:5" x14ac:dyDescent="0.25">
      <c r="C927" s="9"/>
      <c r="D927" s="9"/>
      <c r="E927" s="9"/>
    </row>
    <row r="928" spans="3:5" x14ac:dyDescent="0.25">
      <c r="C928" s="9"/>
      <c r="D928" s="9"/>
      <c r="E928" s="9"/>
    </row>
    <row r="929" spans="3:5" x14ac:dyDescent="0.25">
      <c r="C929" s="9"/>
      <c r="D929" s="9"/>
      <c r="E929" s="9"/>
    </row>
    <row r="930" spans="3:5" x14ac:dyDescent="0.25">
      <c r="C930" s="9"/>
      <c r="D930" s="9"/>
      <c r="E930" s="9"/>
    </row>
    <row r="931" spans="3:5" x14ac:dyDescent="0.25">
      <c r="C931" s="9"/>
      <c r="D931" s="9"/>
      <c r="E931" s="9"/>
    </row>
    <row r="932" spans="3:5" x14ac:dyDescent="0.25">
      <c r="C932" s="9"/>
      <c r="D932" s="9"/>
      <c r="E932" s="9"/>
    </row>
    <row r="933" spans="3:5" x14ac:dyDescent="0.25">
      <c r="C933" s="9"/>
      <c r="D933" s="9"/>
      <c r="E933" s="9"/>
    </row>
    <row r="934" spans="3:5" x14ac:dyDescent="0.25">
      <c r="C934" s="9"/>
      <c r="D934" s="9"/>
      <c r="E934" s="9"/>
    </row>
    <row r="935" spans="3:5" x14ac:dyDescent="0.25">
      <c r="C935" s="9"/>
      <c r="D935" s="9"/>
      <c r="E935" s="9"/>
    </row>
    <row r="936" spans="3:5" x14ac:dyDescent="0.25">
      <c r="C936" s="9"/>
      <c r="D936" s="9"/>
      <c r="E936" s="9"/>
    </row>
    <row r="937" spans="3:5" x14ac:dyDescent="0.25">
      <c r="C937" s="9"/>
      <c r="D937" s="9"/>
      <c r="E937" s="9"/>
    </row>
    <row r="938" spans="3:5" x14ac:dyDescent="0.25">
      <c r="C938" s="9"/>
      <c r="D938" s="9"/>
      <c r="E938" s="9"/>
    </row>
    <row r="939" spans="3:5" x14ac:dyDescent="0.25">
      <c r="C939" s="9"/>
      <c r="D939" s="9"/>
      <c r="E939" s="9"/>
    </row>
    <row r="940" spans="3:5" x14ac:dyDescent="0.25">
      <c r="C940" s="9"/>
      <c r="D940" s="9"/>
      <c r="E940" s="9"/>
    </row>
    <row r="941" spans="3:5" x14ac:dyDescent="0.25">
      <c r="C941" s="9"/>
      <c r="D941" s="9"/>
      <c r="E941" s="9"/>
    </row>
    <row r="942" spans="3:5" x14ac:dyDescent="0.25">
      <c r="C942" s="9"/>
      <c r="D942" s="9"/>
      <c r="E942" s="9"/>
    </row>
    <row r="943" spans="3:5" x14ac:dyDescent="0.25">
      <c r="C943" s="9"/>
      <c r="D943" s="9"/>
      <c r="E943" s="9"/>
    </row>
    <row r="944" spans="3:5" x14ac:dyDescent="0.25">
      <c r="C944" s="9"/>
      <c r="D944" s="9"/>
      <c r="E944" s="9"/>
    </row>
    <row r="945" spans="3:5" x14ac:dyDescent="0.25">
      <c r="C945" s="9"/>
      <c r="D945" s="9"/>
      <c r="E945" s="9"/>
    </row>
    <row r="946" spans="3:5" x14ac:dyDescent="0.25">
      <c r="C946" s="9"/>
      <c r="D946" s="9"/>
      <c r="E946" s="9"/>
    </row>
    <row r="947" spans="3:5" x14ac:dyDescent="0.25">
      <c r="C947" s="9"/>
      <c r="D947" s="9"/>
      <c r="E947" s="9"/>
    </row>
    <row r="948" spans="3:5" x14ac:dyDescent="0.25">
      <c r="C948" s="9"/>
      <c r="D948" s="9"/>
      <c r="E948" s="9"/>
    </row>
    <row r="949" spans="3:5" x14ac:dyDescent="0.25">
      <c r="C949" s="9"/>
      <c r="D949" s="9"/>
      <c r="E949" s="9"/>
    </row>
    <row r="950" spans="3:5" x14ac:dyDescent="0.25">
      <c r="C950" s="9"/>
      <c r="D950" s="9"/>
      <c r="E950" s="9"/>
    </row>
    <row r="951" spans="3:5" x14ac:dyDescent="0.25">
      <c r="C951" s="9"/>
      <c r="D951" s="9"/>
      <c r="E951" s="9"/>
    </row>
    <row r="952" spans="3:5" x14ac:dyDescent="0.25">
      <c r="C952" s="9"/>
      <c r="D952" s="9"/>
      <c r="E952" s="9"/>
    </row>
    <row r="953" spans="3:5" x14ac:dyDescent="0.25">
      <c r="C953" s="9"/>
      <c r="D953" s="9"/>
      <c r="E953" s="9"/>
    </row>
    <row r="954" spans="3:5" x14ac:dyDescent="0.25">
      <c r="C954" s="9"/>
      <c r="D954" s="9"/>
      <c r="E954" s="9"/>
    </row>
    <row r="955" spans="3:5" x14ac:dyDescent="0.25">
      <c r="C955" s="9"/>
      <c r="D955" s="9"/>
      <c r="E955" s="9"/>
    </row>
    <row r="956" spans="3:5" x14ac:dyDescent="0.25">
      <c r="C956" s="9"/>
      <c r="D956" s="9"/>
      <c r="E956" s="9"/>
    </row>
    <row r="957" spans="3:5" x14ac:dyDescent="0.25">
      <c r="C957" s="9"/>
      <c r="D957" s="9"/>
      <c r="E957" s="9"/>
    </row>
    <row r="958" spans="3:5" x14ac:dyDescent="0.25">
      <c r="C958" s="9"/>
      <c r="D958" s="9"/>
      <c r="E958" s="9"/>
    </row>
    <row r="959" spans="3:5" x14ac:dyDescent="0.25">
      <c r="C959" s="9"/>
      <c r="D959" s="9"/>
      <c r="E959" s="9"/>
    </row>
    <row r="960" spans="3:5" x14ac:dyDescent="0.25">
      <c r="C960" s="9"/>
      <c r="D960" s="9"/>
      <c r="E960" s="9"/>
    </row>
    <row r="961" spans="3:5" x14ac:dyDescent="0.25">
      <c r="C961" s="9"/>
      <c r="D961" s="9"/>
      <c r="E961" s="9"/>
    </row>
    <row r="962" spans="3:5" x14ac:dyDescent="0.25">
      <c r="C962" s="9"/>
      <c r="D962" s="9"/>
      <c r="E962" s="9"/>
    </row>
    <row r="963" spans="3:5" x14ac:dyDescent="0.25">
      <c r="C963" s="9"/>
      <c r="D963" s="9"/>
      <c r="E963" s="9"/>
    </row>
    <row r="964" spans="3:5" x14ac:dyDescent="0.25">
      <c r="C964" s="9"/>
      <c r="D964" s="9"/>
      <c r="E964" s="9"/>
    </row>
    <row r="965" spans="3:5" x14ac:dyDescent="0.25">
      <c r="C965" s="9"/>
      <c r="D965" s="9"/>
      <c r="E965" s="9"/>
    </row>
    <row r="966" spans="3:5" x14ac:dyDescent="0.25">
      <c r="C966" s="9"/>
      <c r="D966" s="9"/>
      <c r="E966" s="9"/>
    </row>
    <row r="967" spans="3:5" x14ac:dyDescent="0.25">
      <c r="C967" s="9"/>
      <c r="D967" s="9"/>
      <c r="E967" s="9"/>
    </row>
    <row r="968" spans="3:5" x14ac:dyDescent="0.25">
      <c r="C968" s="9"/>
      <c r="D968" s="9"/>
      <c r="E968" s="9"/>
    </row>
    <row r="969" spans="3:5" x14ac:dyDescent="0.25">
      <c r="C969" s="9"/>
      <c r="D969" s="9"/>
      <c r="E969" s="9"/>
    </row>
    <row r="970" spans="3:5" x14ac:dyDescent="0.25">
      <c r="C970" s="9"/>
      <c r="D970" s="9"/>
      <c r="E970" s="9"/>
    </row>
    <row r="971" spans="3:5" x14ac:dyDescent="0.25">
      <c r="C971" s="9"/>
      <c r="D971" s="9"/>
      <c r="E971" s="9"/>
    </row>
    <row r="972" spans="3:5" x14ac:dyDescent="0.25">
      <c r="C972" s="9"/>
      <c r="D972" s="9"/>
      <c r="E972" s="9"/>
    </row>
    <row r="973" spans="3:5" x14ac:dyDescent="0.25">
      <c r="C973" s="9"/>
      <c r="D973" s="9"/>
      <c r="E973" s="9"/>
    </row>
    <row r="974" spans="3:5" x14ac:dyDescent="0.25">
      <c r="C974" s="9"/>
      <c r="D974" s="9"/>
      <c r="E974" s="9"/>
    </row>
    <row r="975" spans="3:5" x14ac:dyDescent="0.25">
      <c r="C975" s="9"/>
      <c r="D975" s="9"/>
      <c r="E975" s="9"/>
    </row>
    <row r="976" spans="3:5" x14ac:dyDescent="0.25">
      <c r="C976" s="9"/>
      <c r="D976" s="9"/>
      <c r="E976" s="9"/>
    </row>
    <row r="977" spans="3:5" x14ac:dyDescent="0.25">
      <c r="C977" s="9"/>
      <c r="D977" s="9"/>
      <c r="E977" s="9"/>
    </row>
    <row r="978" spans="3:5" x14ac:dyDescent="0.25">
      <c r="C978" s="9"/>
      <c r="D978" s="9"/>
      <c r="E978" s="9"/>
    </row>
    <row r="979" spans="3:5" x14ac:dyDescent="0.25">
      <c r="C979" s="9"/>
      <c r="D979" s="9"/>
      <c r="E979" s="9"/>
    </row>
    <row r="980" spans="3:5" x14ac:dyDescent="0.25">
      <c r="C980" s="9"/>
      <c r="D980" s="9"/>
      <c r="E980" s="9"/>
    </row>
    <row r="981" spans="3:5" x14ac:dyDescent="0.25">
      <c r="C981" s="9"/>
      <c r="D981" s="9"/>
      <c r="E981" s="9"/>
    </row>
    <row r="982" spans="3:5" x14ac:dyDescent="0.25">
      <c r="C982" s="9"/>
      <c r="D982" s="9"/>
      <c r="E982" s="9"/>
    </row>
    <row r="983" spans="3:5" x14ac:dyDescent="0.25">
      <c r="C983" s="9"/>
      <c r="D983" s="9"/>
      <c r="E983" s="9"/>
    </row>
    <row r="984" spans="3:5" x14ac:dyDescent="0.25">
      <c r="C984" s="9"/>
      <c r="D984" s="9"/>
      <c r="E984" s="9"/>
    </row>
    <row r="985" spans="3:5" x14ac:dyDescent="0.25">
      <c r="C985" s="9"/>
      <c r="D985" s="9"/>
      <c r="E985" s="9"/>
    </row>
    <row r="986" spans="3:5" x14ac:dyDescent="0.25">
      <c r="C986" s="9"/>
      <c r="D986" s="9"/>
      <c r="E986" s="9"/>
    </row>
    <row r="987" spans="3:5" x14ac:dyDescent="0.25">
      <c r="C987" s="9"/>
      <c r="D987" s="9"/>
      <c r="E987" s="9"/>
    </row>
    <row r="988" spans="3:5" x14ac:dyDescent="0.25">
      <c r="C988" s="9"/>
      <c r="D988" s="9"/>
      <c r="E988" s="9"/>
    </row>
    <row r="989" spans="3:5" x14ac:dyDescent="0.25">
      <c r="C989" s="9"/>
      <c r="D989" s="9"/>
      <c r="E989" s="9"/>
    </row>
    <row r="990" spans="3:5" x14ac:dyDescent="0.25">
      <c r="C990" s="9"/>
      <c r="D990" s="9"/>
      <c r="E990" s="9"/>
    </row>
    <row r="991" spans="3:5" x14ac:dyDescent="0.25">
      <c r="C991" s="9"/>
      <c r="D991" s="9"/>
      <c r="E991" s="9"/>
    </row>
    <row r="992" spans="3:5" x14ac:dyDescent="0.25">
      <c r="C992" s="9"/>
      <c r="D992" s="9"/>
      <c r="E992" s="9"/>
    </row>
    <row r="993" spans="3:5" x14ac:dyDescent="0.25">
      <c r="C993" s="9"/>
      <c r="D993" s="9"/>
      <c r="E993" s="9"/>
    </row>
    <row r="994" spans="3:5" x14ac:dyDescent="0.25">
      <c r="C994" s="9"/>
      <c r="D994" s="9"/>
      <c r="E994" s="9"/>
    </row>
    <row r="995" spans="3:5" x14ac:dyDescent="0.25">
      <c r="C995" s="9"/>
      <c r="D995" s="9"/>
      <c r="E995" s="9"/>
    </row>
    <row r="996" spans="3:5" x14ac:dyDescent="0.25">
      <c r="C996" s="9"/>
      <c r="D996" s="9"/>
      <c r="E996" s="9"/>
    </row>
    <row r="997" spans="3:5" x14ac:dyDescent="0.25">
      <c r="C997" s="9"/>
      <c r="D997" s="9"/>
      <c r="E997" s="9"/>
    </row>
    <row r="998" spans="3:5" x14ac:dyDescent="0.25">
      <c r="C998" s="9"/>
      <c r="D998" s="9"/>
      <c r="E998" s="9"/>
    </row>
    <row r="999" spans="3:5" x14ac:dyDescent="0.25">
      <c r="C999" s="9"/>
      <c r="D999" s="9"/>
      <c r="E999" s="9"/>
    </row>
    <row r="1000" spans="3:5" x14ac:dyDescent="0.25">
      <c r="C1000" s="9"/>
      <c r="D1000" s="9"/>
      <c r="E1000" s="9"/>
    </row>
    <row r="1001" spans="3:5" x14ac:dyDescent="0.25">
      <c r="C1001" s="9"/>
      <c r="D1001" s="9"/>
      <c r="E1001" s="9"/>
    </row>
    <row r="1002" spans="3:5" x14ac:dyDescent="0.25">
      <c r="C1002" s="9"/>
      <c r="D1002" s="9"/>
      <c r="E1002" s="9"/>
    </row>
    <row r="1003" spans="3:5" x14ac:dyDescent="0.25">
      <c r="C1003" s="9"/>
      <c r="D1003" s="9"/>
      <c r="E1003" s="9"/>
    </row>
    <row r="1004" spans="3:5" x14ac:dyDescent="0.25">
      <c r="C1004" s="9"/>
      <c r="D1004" s="9"/>
      <c r="E1004" s="9"/>
    </row>
    <row r="1005" spans="3:5" x14ac:dyDescent="0.25">
      <c r="C1005" s="9"/>
      <c r="D1005" s="9"/>
      <c r="E1005" s="9"/>
    </row>
    <row r="1006" spans="3:5" x14ac:dyDescent="0.25">
      <c r="C1006" s="9"/>
      <c r="D1006" s="9"/>
      <c r="E1006" s="9"/>
    </row>
    <row r="1007" spans="3:5" x14ac:dyDescent="0.25">
      <c r="C1007" s="9"/>
      <c r="D1007" s="9"/>
      <c r="E1007" s="9"/>
    </row>
    <row r="1008" spans="3:5" x14ac:dyDescent="0.25">
      <c r="C1008" s="9"/>
      <c r="D1008" s="9"/>
      <c r="E1008" s="9"/>
    </row>
    <row r="1009" spans="3:5" x14ac:dyDescent="0.25">
      <c r="C1009" s="9"/>
      <c r="D1009" s="9"/>
      <c r="E1009" s="9"/>
    </row>
    <row r="1010" spans="3:5" x14ac:dyDescent="0.25">
      <c r="C1010" s="9"/>
      <c r="D1010" s="9"/>
      <c r="E1010" s="9"/>
    </row>
    <row r="1011" spans="3:5" x14ac:dyDescent="0.25">
      <c r="C1011" s="9"/>
      <c r="D1011" s="9"/>
      <c r="E1011" s="9"/>
    </row>
    <row r="1012" spans="3:5" x14ac:dyDescent="0.25">
      <c r="C1012" s="9"/>
      <c r="D1012" s="9"/>
      <c r="E1012" s="9"/>
    </row>
    <row r="1013" spans="3:5" x14ac:dyDescent="0.25">
      <c r="C1013" s="9"/>
      <c r="D1013" s="9"/>
      <c r="E1013" s="9"/>
    </row>
    <row r="1014" spans="3:5" x14ac:dyDescent="0.25">
      <c r="C1014" s="9"/>
      <c r="D1014" s="9"/>
      <c r="E1014" s="9"/>
    </row>
    <row r="1015" spans="3:5" x14ac:dyDescent="0.25">
      <c r="C1015" s="9"/>
      <c r="D1015" s="9"/>
      <c r="E1015" s="9"/>
    </row>
    <row r="1016" spans="3:5" x14ac:dyDescent="0.25">
      <c r="C1016" s="9"/>
      <c r="D1016" s="9"/>
      <c r="E1016" s="9"/>
    </row>
    <row r="1017" spans="3:5" x14ac:dyDescent="0.25">
      <c r="C1017" s="9"/>
      <c r="D1017" s="9"/>
      <c r="E1017" s="9"/>
    </row>
    <row r="1018" spans="3:5" x14ac:dyDescent="0.25">
      <c r="C1018" s="9"/>
      <c r="D1018" s="9"/>
      <c r="E1018" s="9"/>
    </row>
    <row r="1019" spans="3:5" x14ac:dyDescent="0.25">
      <c r="C1019" s="9"/>
      <c r="D1019" s="9"/>
      <c r="E1019" s="9"/>
    </row>
    <row r="1020" spans="3:5" x14ac:dyDescent="0.25">
      <c r="C1020" s="9"/>
      <c r="D1020" s="9"/>
      <c r="E1020" s="9"/>
    </row>
    <row r="1021" spans="3:5" x14ac:dyDescent="0.25">
      <c r="C1021" s="9"/>
      <c r="D1021" s="9"/>
      <c r="E1021" s="9"/>
    </row>
    <row r="1022" spans="3:5" x14ac:dyDescent="0.25">
      <c r="C1022" s="9"/>
      <c r="D1022" s="9"/>
      <c r="E1022" s="9"/>
    </row>
  </sheetData>
  <printOptions gridLines="1" gridLinesSet="0"/>
  <pageMargins left="0.75" right="0.75" top="1" bottom="1" header="0.5" footer="0.5"/>
  <pageSetup scale="95" orientation="landscape" horizontalDpi="4294967292" verticalDpi="180" r:id="rId1"/>
  <headerFooter alignWithMargins="0">
    <oddHeader>&amp;A</oddHeader>
    <oddFooter>Page &amp;P</oddFooter>
  </headerFooter>
  <drawing r:id="rId2"/>
  <legacyDrawing r:id="rId3"/>
  <controls>
    <mc:AlternateContent xmlns:mc="http://schemas.openxmlformats.org/markup-compatibility/2006">
      <mc:Choice Requires="x14">
        <control shapeId="4109" r:id="rId4" name="CommandButton1">
          <controlPr defaultSize="0" autoLine="0" r:id="rId5">
            <anchor moveWithCells="1">
              <from>
                <xdr:col>4</xdr:col>
                <xdr:colOff>114300</xdr:colOff>
                <xdr:row>4</xdr:row>
                <xdr:rowOff>0</xdr:rowOff>
              </from>
              <to>
                <xdr:col>4</xdr:col>
                <xdr:colOff>1790700</xdr:colOff>
                <xdr:row>5</xdr:row>
                <xdr:rowOff>152400</xdr:rowOff>
              </to>
            </anchor>
          </controlPr>
        </control>
      </mc:Choice>
      <mc:Fallback>
        <control shapeId="4109" r:id="rId4" name="CommandButton1"/>
      </mc:Fallback>
    </mc:AlternateContent>
  </contro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Charts</vt:lpstr>
      </vt:variant>
      <vt:variant>
        <vt:i4>3</vt:i4>
      </vt:variant>
    </vt:vector>
  </HeadingPairs>
  <TitlesOfParts>
    <vt:vector size="18" baseType="lpstr">
      <vt:lpstr>Logistic 2018</vt:lpstr>
      <vt:lpstr>Logistic 2008</vt:lpstr>
      <vt:lpstr>Logistic 2007</vt:lpstr>
      <vt:lpstr>Logistic 2006</vt:lpstr>
      <vt:lpstr>gsi all</vt:lpstr>
      <vt:lpstr>TOE1960s</vt:lpstr>
      <vt:lpstr>Logistic 2017</vt:lpstr>
      <vt:lpstr>Logistic 2016</vt:lpstr>
      <vt:lpstr>Logistic 2015</vt:lpstr>
      <vt:lpstr>model average</vt:lpstr>
      <vt:lpstr>Logistic2014</vt:lpstr>
      <vt:lpstr>Logistic2013</vt:lpstr>
      <vt:lpstr>Logistic2012</vt:lpstr>
      <vt:lpstr>Logistic2011</vt:lpstr>
      <vt:lpstr>Logistic2010</vt:lpstr>
      <vt:lpstr>Chart2012</vt:lpstr>
      <vt:lpstr>Chart2011</vt:lpstr>
      <vt:lpstr>Chart2010</vt:lpstr>
    </vt:vector>
  </TitlesOfParts>
  <Company>ADF&amp;G, Region IV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Fisheries Biologist</dc:creator>
  <cp:lastModifiedBy>Power, Sarah J (DFG)</cp:lastModifiedBy>
  <dcterms:created xsi:type="dcterms:W3CDTF">2001-01-23T06:06:20Z</dcterms:created>
  <dcterms:modified xsi:type="dcterms:W3CDTF">2018-12-11T20:55:55Z</dcterms:modified>
</cp:coreProperties>
</file>