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M:\SAFE REPORTS FOR DSR STOCK ASSESSMENT\Biomass Estimates\"/>
    </mc:Choice>
  </mc:AlternateContent>
  <xr:revisionPtr revIDLastSave="0" documentId="13_ncr:1_{AF5CECE8-5844-47E7-A877-EF45D70423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omass calcs 2020" sheetId="6" r:id="rId1"/>
  </sheets>
  <definedNames>
    <definedName name="ADFG_NO">#REF!</definedName>
    <definedName name="AGE">#REF!</definedName>
    <definedName name="AGE_READABILITY">#REF!</definedName>
    <definedName name="AGE_READABILITY_CODE">#REF!</definedName>
    <definedName name="ChartDataLowerRightX">#REF!</definedName>
    <definedName name="ChartDataLowerRightY">#REF!</definedName>
    <definedName name="ChartDataUpperLeftX">#REF!</definedName>
    <definedName name="ChartDataUpperLeftY">#REF!</definedName>
    <definedName name="DatabaseName">#REF!</definedName>
    <definedName name="DataLowerRight">#REF!</definedName>
    <definedName name="DataUpperLeft">#REF!</definedName>
    <definedName name="G_MANAGEMENT_AREA_CODE">#REF!</definedName>
    <definedName name="G_STAT_AREA">#REF!</definedName>
    <definedName name="G_STAT_AREA_GROUP">#REF!</definedName>
    <definedName name="GroupByClause">#REF!</definedName>
    <definedName name="Header">#REF!</definedName>
    <definedName name="LENGTH_MILLIMETERS">#REF!</definedName>
    <definedName name="LENGTH_TYPE">#REF!</definedName>
    <definedName name="LENGTH_TYPE_CODE">#REF!</definedName>
    <definedName name="MATURITY">#REF!</definedName>
    <definedName name="MATURITY_CODE">#REF!</definedName>
    <definedName name="OrderByClause">#REF!</definedName>
    <definedName name="PivotData">"AlexPivot!R8C1:B48"</definedName>
    <definedName name="PivotLowerRight">#REF!</definedName>
    <definedName name="PivotUpperLeft">#REF!</definedName>
    <definedName name="PROJECT_CODE">#REF!</definedName>
    <definedName name="ReplicateLowerRightX">#REF!</definedName>
    <definedName name="ReplicateLowerRightY">#REF!</definedName>
    <definedName name="ReplicateUpperLeftX">#REF!</definedName>
    <definedName name="ReplicateUpperLeftY">#REF!</definedName>
    <definedName name="ResultSet">"AlexData!$A$14:$X$1325"</definedName>
    <definedName name="SAMPLE_TYPE">#REF!</definedName>
    <definedName name="SAMPLE_TYPE_CODE">#REF!</definedName>
    <definedName name="SelectClause">#REF!</definedName>
    <definedName name="SELL_DATE">#REF!</definedName>
    <definedName name="SEX_CODE">#REF!</definedName>
    <definedName name="SPECIES">#REF!</definedName>
    <definedName name="SPECIES_CODE">#REF!</definedName>
    <definedName name="SPECIMEN_NO">#REF!</definedName>
    <definedName name="TableName">#REF!</definedName>
    <definedName name="TRIP_NO">#REF!</definedName>
    <definedName name="UserName">#REF!</definedName>
    <definedName name="VESSEL_NAME">#REF!</definedName>
    <definedName name="ViewName">#REF!</definedName>
    <definedName name="WEIGHT_KILOGRAMS">#REF!</definedName>
    <definedName name="WhereClause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6" l="1"/>
  <c r="P20" i="6"/>
  <c r="L27" i="6" l="1"/>
  <c r="L31" i="6" s="1"/>
  <c r="L26" i="6"/>
  <c r="L30" i="6" s="1"/>
  <c r="L25" i="6"/>
  <c r="L29" i="6" s="1"/>
  <c r="L42" i="6"/>
  <c r="L41" i="6"/>
  <c r="L40" i="6"/>
  <c r="L36" i="6"/>
  <c r="L37" i="6"/>
  <c r="L38" i="6"/>
  <c r="F16" i="6" l="1"/>
  <c r="F17" i="6"/>
  <c r="F18" i="6"/>
  <c r="F15" i="6"/>
  <c r="J15" i="6" l="1"/>
  <c r="J16" i="6"/>
  <c r="J17" i="6"/>
  <c r="J18" i="6"/>
  <c r="L15" i="6" l="1"/>
  <c r="M15" i="6" s="1"/>
  <c r="K15" i="6" l="1"/>
  <c r="O15" i="6" l="1"/>
  <c r="Q15" i="6" s="1"/>
  <c r="K17" i="6" l="1"/>
  <c r="L16" i="6"/>
  <c r="M16" i="6" s="1"/>
  <c r="L17" i="6"/>
  <c r="L18" i="6"/>
  <c r="M18" i="6" s="1"/>
  <c r="M17" i="6" l="1"/>
  <c r="N17" i="6" s="1"/>
  <c r="P17" i="6" s="1"/>
  <c r="N16" i="6"/>
  <c r="P16" i="6" s="1"/>
  <c r="K18" i="6"/>
  <c r="N18" i="6"/>
  <c r="P18" i="6" s="1"/>
  <c r="K16" i="6"/>
  <c r="K20" i="6" l="1"/>
  <c r="O17" i="6"/>
  <c r="Q17" i="6" s="1"/>
  <c r="N15" i="6"/>
  <c r="P15" i="6" s="1"/>
  <c r="O18" i="6"/>
  <c r="Q18" i="6" s="1"/>
  <c r="O16" i="6"/>
  <c r="Q16" i="6" s="1"/>
  <c r="K24" i="6" l="1"/>
  <c r="K27" i="6" l="1"/>
  <c r="K26" i="6"/>
  <c r="K25" i="6"/>
</calcChain>
</file>

<file path=xl/sharedStrings.xml><?xml version="1.0" encoding="utf-8"?>
<sst xmlns="http://schemas.openxmlformats.org/spreadsheetml/2006/main" count="84" uniqueCount="50">
  <si>
    <t>SSEO</t>
  </si>
  <si>
    <t>CSEO</t>
  </si>
  <si>
    <t>NSEO</t>
  </si>
  <si>
    <t>EYKT</t>
  </si>
  <si>
    <t xml:space="preserve"> =bk^2*(CV(d)^2 +CV(wt)^2)</t>
  </si>
  <si>
    <t>Var(biomass) for Area [Var(bk)]</t>
  </si>
  <si>
    <t>CV(bk)</t>
  </si>
  <si>
    <t xml:space="preserve"> =sqrt[Var(bk)]/bk</t>
  </si>
  <si>
    <t>Lower 90% CL (kg) [l90]</t>
  </si>
  <si>
    <t xml:space="preserve"> =bk/(exp(1.645*(ln(1+CV(bk)))^0.5))</t>
  </si>
  <si>
    <t>se (ye weight)</t>
  </si>
  <si>
    <t>stdev (ye wt)</t>
  </si>
  <si>
    <t>n (# weight samples)</t>
  </si>
  <si>
    <t>cv (ye weight)</t>
  </si>
  <si>
    <t>habitat area km2</t>
  </si>
  <si>
    <t>biomass (mt)</t>
  </si>
  <si>
    <t>CV density (values from last stock assessment)</t>
  </si>
  <si>
    <t>density YE (#/km2) (values from last stock assessment)</t>
  </si>
  <si>
    <t>these formulas I copied from your spreadsheet "2007_SAFE_updates - 8 Sept 08"</t>
  </si>
  <si>
    <t>biomass [bk] (kg) for area</t>
  </si>
  <si>
    <t>point biomass lower 90 (mt)</t>
  </si>
  <si>
    <t>Upper 90% CL (kg) [u90]</t>
  </si>
  <si>
    <t xml:space="preserve"> =bk*(exp(1.645*(ln(1+CV(bk)))^0.5))</t>
  </si>
  <si>
    <t>point biomass upper 90 (mt)</t>
  </si>
  <si>
    <t xml:space="preserve"> </t>
  </si>
  <si>
    <t>ABC</t>
  </si>
  <si>
    <t>recommended</t>
  </si>
  <si>
    <t>max allowable</t>
  </si>
  <si>
    <t>OFL</t>
  </si>
  <si>
    <t xml:space="preserve">% contribution </t>
  </si>
  <si>
    <t>total biomass (lower 90)</t>
  </si>
  <si>
    <t xml:space="preserve">area </t>
  </si>
  <si>
    <t>JUST YE biomass, still have to add in tier 6 calcs for other DSR</t>
  </si>
  <si>
    <t>ABC Tier 4+6</t>
  </si>
  <si>
    <t>OFL Tier 4+6</t>
  </si>
  <si>
    <t>EYKT - 2019</t>
  </si>
  <si>
    <t>CSEO - 2018</t>
  </si>
  <si>
    <t>NSEO - 2018</t>
  </si>
  <si>
    <t>Densities from:</t>
  </si>
  <si>
    <t>YE + Other DSR</t>
  </si>
  <si>
    <t>Using Lower 90 CI Biomass Estimate</t>
  </si>
  <si>
    <t>The above YE ABCs and OFL + Other DSR</t>
  </si>
  <si>
    <t>Using BIOMASS POINT ESTIMATE</t>
  </si>
  <si>
    <t>The SSC requested in 2018 that we start presenting this along with the lower 90 CI biomass estimate.</t>
  </si>
  <si>
    <t>Overfishing Level</t>
  </si>
  <si>
    <t>SSEO - 2020</t>
  </si>
  <si>
    <t xml:space="preserve">2021 avg wt (kg) yelloweye </t>
  </si>
  <si>
    <t>PORT SAMPLING DATA</t>
  </si>
  <si>
    <t>FIXED</t>
  </si>
  <si>
    <t>FROM DENSITY ESTIMATE USING DISTANCE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</si>
</sst>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NumberFormat="1"/>
    <xf numFmtId="0" fontId="6" fillId="0" borderId="0" xfId="0" applyFont="1"/>
    <xf numFmtId="1" fontId="0" fillId="3" borderId="0" xfId="0" applyNumberFormat="1" applyFill="1"/>
    <xf numFmtId="0" fontId="0" fillId="3" borderId="0" xfId="0" applyFill="1"/>
    <xf numFmtId="0" fontId="6" fillId="3" borderId="0" xfId="0" applyFont="1" applyFill="1"/>
    <xf numFmtId="0" fontId="0" fillId="0" borderId="0" xfId="0" applyBorder="1"/>
    <xf numFmtId="0" fontId="0" fillId="0" borderId="0" xfId="0" applyNumberFormat="1" applyBorder="1"/>
    <xf numFmtId="1" fontId="1" fillId="4" borderId="0" xfId="0" applyNumberFormat="1" applyFont="1" applyFill="1"/>
    <xf numFmtId="0" fontId="1" fillId="4" borderId="0" xfId="0" applyFont="1" applyFill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1" fillId="0" borderId="0" xfId="0" applyNumberFormat="1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2" fontId="3" fillId="2" borderId="0" xfId="1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5" fillId="2" borderId="0" xfId="1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3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NumberForma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3" xfId="0" applyNumberForma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3" fontId="1" fillId="0" borderId="3" xfId="0" applyNumberFormat="1" applyFont="1" applyFill="1" applyBorder="1" applyAlignment="1">
      <alignment horizontal="center" wrapText="1"/>
    </xf>
    <xf numFmtId="164" fontId="6" fillId="0" borderId="3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0" borderId="3" xfId="0" applyNumberForma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9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Normal" xfId="0" builtinId="0"/>
    <cellStyle name="Normal_97DSRDEN" xfId="1" xr:uid="{00000000-0005-0000-0000-000001000000}"/>
  </cellStyles>
  <dxfs count="0"/>
  <tableStyles count="0" defaultTableStyle="TableStyleMedium9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0400D6-BB99-4E7C-9655-A41BF1610DFF}"/>
            </a:ext>
          </a:extLst>
        </xdr:cNvPr>
        <xdr:cNvSpPr txBox="1"/>
      </xdr:nvSpPr>
      <xdr:spPr>
        <a:xfrm>
          <a:off x="2926773" y="6580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935182</xdr:colOff>
      <xdr:row>25</xdr:row>
      <xdr:rowOff>43295</xdr:rowOff>
    </xdr:from>
    <xdr:to>
      <xdr:col>14</xdr:col>
      <xdr:colOff>1541318</xdr:colOff>
      <xdr:row>28</xdr:row>
      <xdr:rowOff>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AC48B6F-D03A-4006-9BDD-7FD82096B0C2}"/>
            </a:ext>
          </a:extLst>
        </xdr:cNvPr>
        <xdr:cNvSpPr/>
      </xdr:nvSpPr>
      <xdr:spPr>
        <a:xfrm>
          <a:off x="16642773" y="4978977"/>
          <a:ext cx="606136" cy="467591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E42"/>
  <sheetViews>
    <sheetView tabSelected="1" topLeftCell="A4" zoomScale="110" zoomScaleNormal="110" workbookViewId="0">
      <selection activeCell="G15" sqref="G15:G18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7.5703125" customWidth="1"/>
    <col min="11" max="11" width="16.28515625" bestFit="1" customWidth="1"/>
    <col min="12" max="12" width="26.5703125" customWidth="1"/>
    <col min="13" max="13" width="17" customWidth="1"/>
    <col min="14" max="14" width="26" bestFit="1" customWidth="1"/>
    <col min="15" max="15" width="37.5703125" customWidth="1"/>
    <col min="16" max="16" width="22" customWidth="1"/>
    <col min="17" max="17" width="21.140625" customWidth="1"/>
    <col min="18" max="18" width="8.28515625" bestFit="1" customWidth="1"/>
  </cols>
  <sheetData>
    <row r="2" spans="1:83" x14ac:dyDescent="0.2">
      <c r="A2" s="9"/>
      <c r="B2" s="9"/>
      <c r="C2" s="9"/>
      <c r="D2" s="9"/>
    </row>
    <row r="3" spans="1:83" x14ac:dyDescent="0.2">
      <c r="A3" s="9"/>
      <c r="B3" s="9"/>
      <c r="C3" s="10"/>
      <c r="D3" s="9"/>
    </row>
    <row r="4" spans="1:83" x14ac:dyDescent="0.2">
      <c r="A4" s="9"/>
      <c r="B4" s="9"/>
      <c r="C4" s="10"/>
      <c r="D4" s="9"/>
    </row>
    <row r="5" spans="1:83" x14ac:dyDescent="0.2">
      <c r="A5" s="9"/>
      <c r="B5" s="9"/>
      <c r="C5" s="10"/>
      <c r="D5" s="9"/>
    </row>
    <row r="6" spans="1:83" x14ac:dyDescent="0.2">
      <c r="A6" s="9"/>
      <c r="B6" s="9"/>
      <c r="C6" s="10"/>
      <c r="D6" s="9"/>
    </row>
    <row r="7" spans="1:83" x14ac:dyDescent="0.2">
      <c r="A7" s="9"/>
      <c r="B7" s="9"/>
      <c r="C7" s="9"/>
      <c r="D7" s="9"/>
    </row>
    <row r="8" spans="1:83" s="14" customFormat="1" x14ac:dyDescent="0.2"/>
    <row r="9" spans="1:83" s="14" customFormat="1" x14ac:dyDescent="0.2"/>
    <row r="10" spans="1:83" s="14" customFormat="1" x14ac:dyDescent="0.2"/>
    <row r="11" spans="1:8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</row>
    <row r="12" spans="1:83" s="21" customFormat="1" ht="21.7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2" t="s">
        <v>18</v>
      </c>
      <c r="M12" s="33"/>
      <c r="N12" s="3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spans="1:8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40" t="s">
        <v>19</v>
      </c>
      <c r="K13" s="40" t="s">
        <v>15</v>
      </c>
      <c r="L13" s="41" t="s">
        <v>5</v>
      </c>
      <c r="M13" s="41" t="s">
        <v>6</v>
      </c>
      <c r="N13" s="41" t="s">
        <v>8</v>
      </c>
      <c r="O13" s="41" t="s">
        <v>21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</row>
    <row r="14" spans="1:8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9" t="s">
        <v>4</v>
      </c>
      <c r="M14" s="29" t="s">
        <v>7</v>
      </c>
      <c r="N14" s="29" t="s">
        <v>9</v>
      </c>
      <c r="O14" s="29" t="s">
        <v>22</v>
      </c>
      <c r="P14" s="30" t="s">
        <v>20</v>
      </c>
      <c r="Q14" s="30" t="s">
        <v>23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</row>
    <row r="15" spans="1:83" s="21" customFormat="1" x14ac:dyDescent="0.2">
      <c r="A15" s="42" t="s">
        <v>3</v>
      </c>
      <c r="B15" s="60">
        <v>4.0809889999999998</v>
      </c>
      <c r="C15" s="60">
        <v>1.6708540000000001</v>
      </c>
      <c r="D15" s="60">
        <v>182</v>
      </c>
      <c r="E15" s="44">
        <v>0.123852</v>
      </c>
      <c r="F15" s="45">
        <f>E15/B15</f>
        <v>3.0348525810777734E-2</v>
      </c>
      <c r="G15" s="46">
        <v>739</v>
      </c>
      <c r="H15" s="47">
        <v>1562</v>
      </c>
      <c r="I15" s="47">
        <v>0.25</v>
      </c>
      <c r="J15" s="48">
        <f>H15*G15*B15</f>
        <v>4710759.0605020002</v>
      </c>
      <c r="K15" s="49">
        <f>J15/1000</f>
        <v>4710.7590605020005</v>
      </c>
      <c r="L15" s="50">
        <f>J15^2*(I15^2+F15^2)</f>
        <v>1407392057714.7119</v>
      </c>
      <c r="M15" s="50">
        <f>SQRT(L15)/J15</f>
        <v>0.2518353291714398</v>
      </c>
      <c r="N15" s="50">
        <f>J15/(EXP(1.645*(LN(1+(M15^2)))^0.5))</f>
        <v>3132814.6098052035</v>
      </c>
      <c r="O15" s="50">
        <f>J15*(EXP(1.645*(LN(1+(M15^2)))^0.5))</f>
        <v>7083486.7970312247</v>
      </c>
      <c r="P15" s="51">
        <f>N15/1000</f>
        <v>3132.8146098052034</v>
      </c>
      <c r="Q15" s="52">
        <f>O15/1000</f>
        <v>7083.4867970312243</v>
      </c>
      <c r="R15" s="27" t="s">
        <v>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</row>
    <row r="16" spans="1:83" s="21" customFormat="1" x14ac:dyDescent="0.2">
      <c r="A16" s="42" t="s">
        <v>1</v>
      </c>
      <c r="B16" s="43">
        <v>3.4656400000000001</v>
      </c>
      <c r="C16" s="43">
        <v>1.1930529999999999</v>
      </c>
      <c r="D16" s="43">
        <v>383</v>
      </c>
      <c r="E16" s="44">
        <v>6.0962000000000002E-2</v>
      </c>
      <c r="F16" s="45">
        <f t="shared" ref="F16:F18" si="0">E16/B16</f>
        <v>1.7590401772832723E-2</v>
      </c>
      <c r="G16" s="46">
        <v>1661</v>
      </c>
      <c r="H16" s="53">
        <v>898</v>
      </c>
      <c r="I16" s="47">
        <v>0.14000000000000001</v>
      </c>
      <c r="J16" s="48">
        <f>H16*G16*B16</f>
        <v>5169272.3799200002</v>
      </c>
      <c r="K16" s="49">
        <f t="shared" ref="K16:K18" si="1">J16/1000</f>
        <v>5169.2723799200003</v>
      </c>
      <c r="L16" s="50">
        <f>J16^2*(I16^2+F16^2)</f>
        <v>532007176142.75922</v>
      </c>
      <c r="M16" s="50">
        <f>SQRT(L16)/J16</f>
        <v>0.14110075206932698</v>
      </c>
      <c r="N16" s="50">
        <f t="shared" ref="N16:N18" si="2">J16/(EXP(1.645*(LN(1+(M16^2)))^0.5))</f>
        <v>4103187.8898981879</v>
      </c>
      <c r="O16" s="50">
        <f t="shared" ref="O16:O18" si="3">J16*(EXP(1.645*(LN(1+(M16^2)))^0.5))</f>
        <v>6512345.4384309994</v>
      </c>
      <c r="P16" s="51">
        <f>N16/1000</f>
        <v>4103.1878898981877</v>
      </c>
      <c r="Q16" s="52">
        <f t="shared" ref="Q16:Q17" si="4">O16/1000</f>
        <v>6512.3454384309998</v>
      </c>
      <c r="R16" s="27" t="s">
        <v>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</row>
    <row r="17" spans="1:83" s="21" customFormat="1" x14ac:dyDescent="0.2">
      <c r="A17" s="42" t="s">
        <v>2</v>
      </c>
      <c r="B17" s="43">
        <v>3.3679999999999999</v>
      </c>
      <c r="C17" s="43">
        <v>1.2020090000000001</v>
      </c>
      <c r="D17" s="43">
        <v>40</v>
      </c>
      <c r="E17" s="44">
        <v>0.190054</v>
      </c>
      <c r="F17" s="45">
        <f t="shared" si="0"/>
        <v>5.642933491686461E-2</v>
      </c>
      <c r="G17" s="46">
        <v>442</v>
      </c>
      <c r="H17" s="53">
        <v>553</v>
      </c>
      <c r="I17" s="47">
        <v>0.16</v>
      </c>
      <c r="J17" s="48">
        <f>H17*G17*B17</f>
        <v>823226.76799999992</v>
      </c>
      <c r="K17" s="49">
        <f t="shared" si="1"/>
        <v>823.22676799999988</v>
      </c>
      <c r="L17" s="50">
        <f>J17^2*(I17^2+F17^2)</f>
        <v>19507166206.327133</v>
      </c>
      <c r="M17" s="50">
        <f t="shared" ref="M17" si="5">SQRT(L17)/J17</f>
        <v>0.16965927572390402</v>
      </c>
      <c r="N17" s="50">
        <f t="shared" si="2"/>
        <v>623980.93821990793</v>
      </c>
      <c r="O17" s="50">
        <f t="shared" si="3"/>
        <v>1086094.574435357</v>
      </c>
      <c r="P17" s="54">
        <f>N17/1000</f>
        <v>623.9809382199079</v>
      </c>
      <c r="Q17" s="52">
        <f t="shared" si="4"/>
        <v>1086.0945744353571</v>
      </c>
      <c r="R17" s="27" t="s">
        <v>2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</row>
    <row r="18" spans="1:83" s="21" customFormat="1" x14ac:dyDescent="0.2">
      <c r="A18" s="42" t="s">
        <v>0</v>
      </c>
      <c r="B18" s="55">
        <v>3.4927670000000002</v>
      </c>
      <c r="C18" s="56">
        <v>1.249849</v>
      </c>
      <c r="D18" s="57">
        <v>553</v>
      </c>
      <c r="E18" s="44">
        <v>5.3149000000000002E-2</v>
      </c>
      <c r="F18" s="45">
        <f t="shared" si="0"/>
        <v>1.5216875331220204E-2</v>
      </c>
      <c r="G18" s="54">
        <v>1056</v>
      </c>
      <c r="H18" s="47">
        <v>1624</v>
      </c>
      <c r="I18" s="47">
        <v>0.25</v>
      </c>
      <c r="J18" s="48">
        <f>H18*G18*B18</f>
        <v>5989899.810048</v>
      </c>
      <c r="K18" s="48">
        <f t="shared" si="1"/>
        <v>5989.8998100480003</v>
      </c>
      <c r="L18" s="50">
        <f>J18^2*(I18^2+F18^2)</f>
        <v>2250739110849.7651</v>
      </c>
      <c r="M18" s="50">
        <f>SQRT(L18)/J18</f>
        <v>0.25046267844700115</v>
      </c>
      <c r="N18" s="50">
        <f t="shared" si="2"/>
        <v>3992087.9942500135</v>
      </c>
      <c r="O18" s="50">
        <f t="shared" si="3"/>
        <v>8987502.2259256523</v>
      </c>
      <c r="P18" s="51">
        <f>N18/1000</f>
        <v>3992.0879942500137</v>
      </c>
      <c r="Q18" s="52">
        <f>O18/1000</f>
        <v>8987.502225925653</v>
      </c>
      <c r="R18" s="27" t="s">
        <v>0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</row>
    <row r="19" spans="1:83" s="14" customFormat="1" x14ac:dyDescent="0.2">
      <c r="A19" s="13"/>
      <c r="B19" s="13"/>
      <c r="C19" s="18"/>
      <c r="D19" s="13"/>
      <c r="E19" s="13"/>
      <c r="F19" s="13"/>
      <c r="G19" s="13" t="s">
        <v>24</v>
      </c>
      <c r="H19" s="13"/>
      <c r="I19" s="13"/>
      <c r="J19" s="13"/>
      <c r="K19" s="13" t="s">
        <v>24</v>
      </c>
      <c r="L19" s="13"/>
      <c r="M19" s="13"/>
      <c r="N19" s="13"/>
      <c r="O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</row>
    <row r="20" spans="1:83" s="14" customFormat="1" x14ac:dyDescent="0.2">
      <c r="A20" s="19"/>
      <c r="B20" s="13"/>
      <c r="C20" s="13"/>
      <c r="D20" s="13"/>
      <c r="E20" s="13"/>
      <c r="F20" s="13"/>
      <c r="G20" s="13"/>
      <c r="H20" s="58" t="s">
        <v>38</v>
      </c>
      <c r="I20" s="13"/>
      <c r="J20" s="13"/>
      <c r="K20" s="16">
        <f>SUM(K15:K18)</f>
        <v>16693.15801847</v>
      </c>
      <c r="L20" s="13"/>
      <c r="M20" s="13"/>
      <c r="N20" s="13"/>
      <c r="O20" s="18" t="s">
        <v>30</v>
      </c>
      <c r="P20" s="61">
        <f>SUM(P15:P18)</f>
        <v>11852.071432173312</v>
      </c>
      <c r="Q20" s="17">
        <f>SUM(Q15:Q18)</f>
        <v>23669.429035823236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</row>
    <row r="21" spans="1:8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</row>
    <row r="22" spans="1:83" s="14" customFormat="1" x14ac:dyDescent="0.2">
      <c r="B22" s="20"/>
      <c r="C22" s="20"/>
      <c r="D22" s="21"/>
      <c r="H22" s="59" t="s">
        <v>36</v>
      </c>
    </row>
    <row r="23" spans="1:83" s="14" customFormat="1" x14ac:dyDescent="0.2">
      <c r="B23" s="20"/>
      <c r="C23" s="20"/>
      <c r="D23" s="21"/>
      <c r="H23" s="59" t="s">
        <v>37</v>
      </c>
      <c r="J23" s="22" t="s">
        <v>31</v>
      </c>
      <c r="K23" s="22" t="s">
        <v>29</v>
      </c>
      <c r="P23" s="23" t="s">
        <v>24</v>
      </c>
    </row>
    <row r="24" spans="1:83" s="14" customFormat="1" x14ac:dyDescent="0.2">
      <c r="B24" s="20"/>
      <c r="D24" s="21"/>
      <c r="H24" s="59" t="s">
        <v>45</v>
      </c>
      <c r="J24" s="24" t="s">
        <v>3</v>
      </c>
      <c r="K24" s="25">
        <f>P15/P20</f>
        <v>0.26432633550460638</v>
      </c>
      <c r="L24" s="63" t="s">
        <v>40</v>
      </c>
      <c r="M24" s="64"/>
      <c r="N24" s="64"/>
    </row>
    <row r="25" spans="1:83" x14ac:dyDescent="0.2">
      <c r="A25" s="9"/>
      <c r="B25" s="34"/>
      <c r="C25" s="9"/>
      <c r="D25" s="35"/>
      <c r="E25" s="9"/>
      <c r="J25" s="3" t="s">
        <v>1</v>
      </c>
      <c r="K25" s="2">
        <f>P16/P20</f>
        <v>0.34620006413054388</v>
      </c>
      <c r="L25" s="6">
        <f>(P20)*0.02</f>
        <v>237.04142864346625</v>
      </c>
      <c r="M25" s="7" t="s">
        <v>25</v>
      </c>
      <c r="N25" s="7" t="s">
        <v>26</v>
      </c>
      <c r="O25" t="s">
        <v>32</v>
      </c>
    </row>
    <row r="26" spans="1:83" x14ac:dyDescent="0.2">
      <c r="A26" s="9"/>
      <c r="B26" s="34"/>
      <c r="C26" s="9"/>
      <c r="D26" s="9"/>
      <c r="E26" s="9"/>
      <c r="J26" s="3" t="s">
        <v>2</v>
      </c>
      <c r="K26" s="2">
        <f>P17/P20</f>
        <v>5.2647416258905268E-2</v>
      </c>
      <c r="L26" s="6">
        <f>(P20*0.026)</f>
        <v>308.1538572365061</v>
      </c>
      <c r="M26" s="8" t="s">
        <v>25</v>
      </c>
      <c r="N26" s="7" t="s">
        <v>27</v>
      </c>
      <c r="O26" s="66"/>
    </row>
    <row r="27" spans="1:83" x14ac:dyDescent="0.2">
      <c r="A27" s="36"/>
      <c r="B27" s="34"/>
      <c r="C27" s="9"/>
      <c r="D27" s="9"/>
      <c r="E27" s="9"/>
      <c r="J27" s="3" t="s">
        <v>0</v>
      </c>
      <c r="K27" s="2">
        <f>P18/P20</f>
        <v>0.3368261841059445</v>
      </c>
      <c r="L27" s="6">
        <f>(P20)*0.032</f>
        <v>379.26628582954601</v>
      </c>
      <c r="M27" s="8" t="s">
        <v>28</v>
      </c>
      <c r="N27" s="8" t="s">
        <v>28</v>
      </c>
      <c r="O27" s="66"/>
    </row>
    <row r="28" spans="1:83" ht="14.25" x14ac:dyDescent="0.2">
      <c r="A28" s="36"/>
      <c r="B28" s="37"/>
      <c r="C28" s="38"/>
      <c r="D28" s="37"/>
      <c r="E28" s="9"/>
      <c r="L28" s="65" t="s">
        <v>41</v>
      </c>
      <c r="M28" s="65"/>
      <c r="N28" s="65"/>
      <c r="O28" s="66"/>
    </row>
    <row r="29" spans="1:83" ht="14.25" x14ac:dyDescent="0.2">
      <c r="A29" s="36"/>
      <c r="B29" s="37"/>
      <c r="C29" s="38"/>
      <c r="D29" s="37"/>
      <c r="E29" s="9"/>
      <c r="L29" s="11">
        <f>L25+20</f>
        <v>257.04142864346625</v>
      </c>
      <c r="M29" s="12" t="s">
        <v>33</v>
      </c>
      <c r="N29" s="12" t="s">
        <v>26</v>
      </c>
      <c r="O29" s="62" t="s">
        <v>39</v>
      </c>
    </row>
    <row r="30" spans="1:83" x14ac:dyDescent="0.2">
      <c r="A30" s="36"/>
      <c r="B30" s="10"/>
      <c r="C30" s="9"/>
      <c r="D30" s="9"/>
      <c r="E30" s="9"/>
      <c r="L30" s="11">
        <f>L26+20</f>
        <v>328.1538572365061</v>
      </c>
      <c r="M30" s="12" t="s">
        <v>33</v>
      </c>
      <c r="N30" s="12" t="s">
        <v>27</v>
      </c>
      <c r="O30" s="62"/>
    </row>
    <row r="31" spans="1:83" x14ac:dyDescent="0.2">
      <c r="A31" s="36"/>
      <c r="B31" s="10"/>
      <c r="C31" s="9"/>
      <c r="D31" s="9"/>
      <c r="E31" s="9"/>
      <c r="L31" s="11">
        <f>L27+26</f>
        <v>405.26628582954601</v>
      </c>
      <c r="M31" s="12" t="s">
        <v>34</v>
      </c>
      <c r="N31" s="12" t="s">
        <v>44</v>
      </c>
      <c r="O31" s="62"/>
    </row>
    <row r="32" spans="1:83" x14ac:dyDescent="0.2">
      <c r="A32" s="1"/>
      <c r="B32" s="4"/>
      <c r="O32" s="5" t="s">
        <v>24</v>
      </c>
    </row>
    <row r="33" spans="1:16" x14ac:dyDescent="0.2">
      <c r="A33" s="1"/>
      <c r="B33" s="4"/>
    </row>
    <row r="34" spans="1:16" x14ac:dyDescent="0.2">
      <c r="A34" s="1"/>
      <c r="B34" s="4"/>
      <c r="L34" s="67" t="s">
        <v>42</v>
      </c>
      <c r="M34" s="67"/>
      <c r="N34" s="67"/>
      <c r="O34" s="68" t="s">
        <v>43</v>
      </c>
    </row>
    <row r="35" spans="1:16" ht="12.75" customHeight="1" x14ac:dyDescent="0.2">
      <c r="A35" s="1"/>
      <c r="B35" s="4"/>
      <c r="L35" s="67"/>
      <c r="M35" s="67"/>
      <c r="N35" s="67"/>
      <c r="O35" s="68"/>
    </row>
    <row r="36" spans="1:16" x14ac:dyDescent="0.2">
      <c r="A36" s="1"/>
      <c r="B36" s="4"/>
      <c r="L36" s="6">
        <f>(K20)*0.02</f>
        <v>333.86316036940002</v>
      </c>
      <c r="M36" s="7" t="s">
        <v>25</v>
      </c>
      <c r="N36" s="7" t="s">
        <v>26</v>
      </c>
      <c r="O36" s="68"/>
      <c r="P36" s="5"/>
    </row>
    <row r="37" spans="1:16" ht="12.75" customHeight="1" x14ac:dyDescent="0.2">
      <c r="A37" s="1"/>
      <c r="B37" s="4"/>
      <c r="L37" s="6">
        <f>(K20*0.026)</f>
        <v>434.02210848021997</v>
      </c>
      <c r="M37" s="8" t="s">
        <v>25</v>
      </c>
      <c r="N37" s="7" t="s">
        <v>27</v>
      </c>
      <c r="O37" s="68"/>
    </row>
    <row r="38" spans="1:16" x14ac:dyDescent="0.2">
      <c r="A38" s="1"/>
      <c r="B38" s="4"/>
      <c r="L38" s="6">
        <f>(K20)*0.032</f>
        <v>534.18105659104003</v>
      </c>
      <c r="M38" s="8" t="s">
        <v>28</v>
      </c>
      <c r="N38" s="8" t="s">
        <v>28</v>
      </c>
      <c r="O38" s="68"/>
    </row>
    <row r="39" spans="1:16" x14ac:dyDescent="0.2">
      <c r="L39" s="65" t="s">
        <v>41</v>
      </c>
      <c r="M39" s="65"/>
      <c r="N39" s="65"/>
      <c r="O39" s="68"/>
    </row>
    <row r="40" spans="1:16" x14ac:dyDescent="0.2">
      <c r="L40" s="11">
        <f>L36+20</f>
        <v>353.86316036940002</v>
      </c>
      <c r="M40" s="12" t="s">
        <v>33</v>
      </c>
      <c r="N40" s="12" t="s">
        <v>26</v>
      </c>
      <c r="O40" s="68"/>
    </row>
    <row r="41" spans="1:16" x14ac:dyDescent="0.2">
      <c r="L41" s="11">
        <f>L37+20</f>
        <v>454.02210848021997</v>
      </c>
      <c r="M41" s="12" t="s">
        <v>33</v>
      </c>
      <c r="N41" s="12" t="s">
        <v>27</v>
      </c>
      <c r="O41" s="68"/>
    </row>
    <row r="42" spans="1:16" x14ac:dyDescent="0.2">
      <c r="L42" s="11">
        <f>L38+26</f>
        <v>560.18105659104003</v>
      </c>
      <c r="M42" s="12" t="s">
        <v>34</v>
      </c>
      <c r="N42" s="12" t="s">
        <v>44</v>
      </c>
      <c r="O42" s="68"/>
    </row>
  </sheetData>
  <mergeCells count="7">
    <mergeCell ref="O29:O31"/>
    <mergeCell ref="L24:N24"/>
    <mergeCell ref="L28:N28"/>
    <mergeCell ref="O26:O28"/>
    <mergeCell ref="L39:N39"/>
    <mergeCell ref="L34:N35"/>
    <mergeCell ref="O34:O42"/>
  </mergeCells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 calcs 2020</vt:lpstr>
    </vt:vector>
  </TitlesOfParts>
  <Company>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Talley</dc:creator>
  <cp:lastModifiedBy>Wood, Kellii L (DFG)</cp:lastModifiedBy>
  <cp:lastPrinted>2019-10-03T15:43:37Z</cp:lastPrinted>
  <dcterms:created xsi:type="dcterms:W3CDTF">1997-12-30T20:47:23Z</dcterms:created>
  <dcterms:modified xsi:type="dcterms:W3CDTF">2021-07-06T23:12:20Z</dcterms:modified>
</cp:coreProperties>
</file>