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roundfish Biometrics\Yelloweye\YE Code\Data\"/>
    </mc:Choice>
  </mc:AlternateContent>
  <xr:revisionPtr revIDLastSave="0" documentId="13_ncr:1_{CBA41603-ADF6-41D8-9D3B-7147AEB73E30}" xr6:coauthVersionLast="47" xr6:coauthVersionMax="47" xr10:uidLastSave="{00000000-0000-0000-0000-000000000000}"/>
  <bookViews>
    <workbookView xWindow="29250" yWindow="285" windowWidth="28155" windowHeight="17100" activeTab="1" xr2:uid="{00000000-000D-0000-FFFF-FFFF00000000}"/>
  </bookViews>
  <sheets>
    <sheet name="biomass calcs 2020" sheetId="6" r:id="rId1"/>
    <sheet name="biomass calcs 2021 Best Mod GIS" sheetId="12" r:id="rId2"/>
    <sheet name="biomass calcs 2021 Best pgt GIS" sheetId="13" r:id="rId3"/>
    <sheet name="biomass calcs 2021 Model Av GIS" sheetId="15" r:id="rId4"/>
    <sheet name="biomass calcs 2021 Model Av pgt" sheetId="14" r:id="rId5"/>
    <sheet name="biomass calcs 2021 Best Model R" sheetId="7" r:id="rId6"/>
    <sheet name="biomass calcs 2021 Best pgt R" sheetId="9" r:id="rId7"/>
    <sheet name="biomass calcs 2021 Model Avg R" sheetId="11" r:id="rId8"/>
  </sheets>
  <definedNames>
    <definedName name="ADFG_NO">#REF!</definedName>
    <definedName name="AGE">#REF!</definedName>
    <definedName name="AGE_READABILITY">#REF!</definedName>
    <definedName name="AGE_READABILITY_CODE">#REF!</definedName>
    <definedName name="ChartDataLowerRightX">#REF!</definedName>
    <definedName name="ChartDataLowerRightY">#REF!</definedName>
    <definedName name="ChartDataUpperLeftX">#REF!</definedName>
    <definedName name="ChartDataUpperLeftY">#REF!</definedName>
    <definedName name="DatabaseName">#REF!</definedName>
    <definedName name="DataLowerRight">#REF!</definedName>
    <definedName name="DataUpperLeft">#REF!</definedName>
    <definedName name="G_MANAGEMENT_AREA_CODE">#REF!</definedName>
    <definedName name="G_STAT_AREA">#REF!</definedName>
    <definedName name="G_STAT_AREA_GROUP">#REF!</definedName>
    <definedName name="GroupByClause">#REF!</definedName>
    <definedName name="Header">#REF!</definedName>
    <definedName name="LENGTH_MILLIMETERS">#REF!</definedName>
    <definedName name="LENGTH_TYPE">#REF!</definedName>
    <definedName name="LENGTH_TYPE_CODE">#REF!</definedName>
    <definedName name="MATURITY">#REF!</definedName>
    <definedName name="MATURITY_CODE">#REF!</definedName>
    <definedName name="OrderByClause">#REF!</definedName>
    <definedName name="PivotData">"AlexPivot!R8C1:B48"</definedName>
    <definedName name="PivotLowerRight">#REF!</definedName>
    <definedName name="PivotUpperLeft">#REF!</definedName>
    <definedName name="PROJECT_CODE">#REF!</definedName>
    <definedName name="ReplicateLowerRightX">#REF!</definedName>
    <definedName name="ReplicateLowerRightY">#REF!</definedName>
    <definedName name="ReplicateUpperLeftX">#REF!</definedName>
    <definedName name="ReplicateUpperLeftY">#REF!</definedName>
    <definedName name="ResultSet">"AlexData!$A$14:$X$1325"</definedName>
    <definedName name="SAMPLE_TYPE">#REF!</definedName>
    <definedName name="SAMPLE_TYPE_CODE">#REF!</definedName>
    <definedName name="SelectClause">#REF!</definedName>
    <definedName name="SELL_DATE">#REF!</definedName>
    <definedName name="SEX_CODE">#REF!</definedName>
    <definedName name="SPECIES">#REF!</definedName>
    <definedName name="SPECIES_CODE">#REF!</definedName>
    <definedName name="SPECIMEN_NO">#REF!</definedName>
    <definedName name="TableName">#REF!</definedName>
    <definedName name="TRIP_NO">#REF!</definedName>
    <definedName name="UserName">#REF!</definedName>
    <definedName name="VESSEL_NAME">#REF!</definedName>
    <definedName name="ViewName">#REF!</definedName>
    <definedName name="WEIGHT_KILOGRAMS">#REF!</definedName>
    <definedName name="WhereClause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7" i="15" l="1"/>
  <c r="L47" i="15"/>
  <c r="P47" i="15" s="1"/>
  <c r="Q47" i="15" s="1"/>
  <c r="K47" i="15"/>
  <c r="N47" i="15" s="1"/>
  <c r="F47" i="15"/>
  <c r="T45" i="15"/>
  <c r="U45" i="15" s="1"/>
  <c r="L45" i="15"/>
  <c r="P45" i="15" s="1"/>
  <c r="Q45" i="15" s="1"/>
  <c r="K45" i="15"/>
  <c r="N45" i="15" s="1"/>
  <c r="F45" i="15"/>
  <c r="J24" i="15"/>
  <c r="V19" i="15"/>
  <c r="J19" i="15"/>
  <c r="E19" i="15"/>
  <c r="C19" i="15"/>
  <c r="T18" i="15"/>
  <c r="U18" i="15" s="1"/>
  <c r="L18" i="15"/>
  <c r="L19" i="15" s="1"/>
  <c r="K18" i="15"/>
  <c r="N18" i="15" s="1"/>
  <c r="F18" i="15"/>
  <c r="F19" i="15" s="1"/>
  <c r="U17" i="15"/>
  <c r="T17" i="15"/>
  <c r="O17" i="15"/>
  <c r="N17" i="15"/>
  <c r="M17" i="15"/>
  <c r="L17" i="15"/>
  <c r="P17" i="15" s="1"/>
  <c r="Q17" i="15" s="1"/>
  <c r="K17" i="15"/>
  <c r="J17" i="15"/>
  <c r="F17" i="15"/>
  <c r="V17" i="15" s="1"/>
  <c r="W17" i="15" s="1"/>
  <c r="Y17" i="15" s="1"/>
  <c r="AA17" i="15" s="1"/>
  <c r="T16" i="15"/>
  <c r="O16" i="15"/>
  <c r="N16" i="15"/>
  <c r="K16" i="15"/>
  <c r="J16" i="15"/>
  <c r="L16" i="15" s="1"/>
  <c r="F16" i="15"/>
  <c r="U15" i="15"/>
  <c r="T15" i="15"/>
  <c r="M15" i="15"/>
  <c r="L15" i="15"/>
  <c r="P15" i="15" s="1"/>
  <c r="Q15" i="15" s="1"/>
  <c r="K15" i="15"/>
  <c r="N15" i="15" s="1"/>
  <c r="J15" i="15"/>
  <c r="F15" i="15"/>
  <c r="L26" i="6"/>
  <c r="L25" i="6"/>
  <c r="V47" i="14"/>
  <c r="N47" i="14"/>
  <c r="O47" i="14" s="1"/>
  <c r="M47" i="14"/>
  <c r="P47" i="14" s="1"/>
  <c r="F47" i="14"/>
  <c r="V45" i="14"/>
  <c r="W45" i="14" s="1"/>
  <c r="M45" i="14"/>
  <c r="P45" i="14" s="1"/>
  <c r="Q45" i="14" s="1"/>
  <c r="N45" i="14"/>
  <c r="F45" i="14"/>
  <c r="J24" i="14"/>
  <c r="E19" i="14"/>
  <c r="C19" i="14"/>
  <c r="V18" i="14"/>
  <c r="X18" i="14" s="1"/>
  <c r="Y18" i="14" s="1"/>
  <c r="M18" i="14"/>
  <c r="P18" i="14" s="1"/>
  <c r="J19" i="14"/>
  <c r="F18" i="14"/>
  <c r="F19" i="14" s="1"/>
  <c r="V17" i="14"/>
  <c r="M17" i="14"/>
  <c r="P17" i="14" s="1"/>
  <c r="J17" i="14"/>
  <c r="N17" i="14" s="1"/>
  <c r="F17" i="14"/>
  <c r="X16" i="14"/>
  <c r="Y16" i="14" s="1"/>
  <c r="W16" i="14"/>
  <c r="V16" i="14"/>
  <c r="R16" i="14"/>
  <c r="S16" i="14" s="1"/>
  <c r="P16" i="14"/>
  <c r="U16" i="14" s="1"/>
  <c r="O16" i="14"/>
  <c r="N16" i="14"/>
  <c r="M16" i="14"/>
  <c r="J16" i="14"/>
  <c r="F16" i="14"/>
  <c r="V15" i="14"/>
  <c r="X15" i="14" s="1"/>
  <c r="Y15" i="14" s="1"/>
  <c r="M15" i="14"/>
  <c r="P15" i="14" s="1"/>
  <c r="J15" i="14"/>
  <c r="N15" i="14" s="1"/>
  <c r="F15" i="14"/>
  <c r="V47" i="13"/>
  <c r="N47" i="13"/>
  <c r="R47" i="13" s="1"/>
  <c r="S47" i="13" s="1"/>
  <c r="M47" i="13"/>
  <c r="P47" i="13" s="1"/>
  <c r="F47" i="13"/>
  <c r="V45" i="13"/>
  <c r="M45" i="13"/>
  <c r="P45" i="13" s="1"/>
  <c r="N45" i="13"/>
  <c r="F45" i="13"/>
  <c r="J24" i="13"/>
  <c r="E19" i="13"/>
  <c r="C19" i="13"/>
  <c r="V18" i="13"/>
  <c r="X18" i="13" s="1"/>
  <c r="Y18" i="13" s="1"/>
  <c r="M18" i="13"/>
  <c r="P18" i="13" s="1"/>
  <c r="J19" i="13"/>
  <c r="F18" i="13"/>
  <c r="F19" i="13" s="1"/>
  <c r="V17" i="13"/>
  <c r="N17" i="13"/>
  <c r="R17" i="13" s="1"/>
  <c r="S17" i="13" s="1"/>
  <c r="M17" i="13"/>
  <c r="P17" i="13" s="1"/>
  <c r="J17" i="13"/>
  <c r="F17" i="13"/>
  <c r="X16" i="13"/>
  <c r="Y16" i="13" s="1"/>
  <c r="V16" i="13"/>
  <c r="W16" i="13" s="1"/>
  <c r="R16" i="13"/>
  <c r="S16" i="13" s="1"/>
  <c r="P16" i="13"/>
  <c r="U16" i="13" s="1"/>
  <c r="N16" i="13"/>
  <c r="O16" i="13" s="1"/>
  <c r="M16" i="13"/>
  <c r="J16" i="13"/>
  <c r="F16" i="13"/>
  <c r="V15" i="13"/>
  <c r="M15" i="13"/>
  <c r="P15" i="13" s="1"/>
  <c r="J15" i="13"/>
  <c r="N15" i="13" s="1"/>
  <c r="F15" i="13"/>
  <c r="T47" i="12"/>
  <c r="K47" i="12"/>
  <c r="N47" i="12" s="1"/>
  <c r="L47" i="12"/>
  <c r="F47" i="12"/>
  <c r="T45" i="12"/>
  <c r="K45" i="12"/>
  <c r="N45" i="12" s="1"/>
  <c r="L45" i="12"/>
  <c r="F45" i="12"/>
  <c r="J19" i="12"/>
  <c r="E19" i="12"/>
  <c r="C19" i="12"/>
  <c r="T18" i="12"/>
  <c r="V18" i="12" s="1"/>
  <c r="W18" i="12" s="1"/>
  <c r="K18" i="12"/>
  <c r="N18" i="12" s="1"/>
  <c r="L18" i="12"/>
  <c r="F18" i="12"/>
  <c r="F19" i="12" s="1"/>
  <c r="T17" i="12"/>
  <c r="K17" i="12"/>
  <c r="N17" i="12" s="1"/>
  <c r="J17" i="12"/>
  <c r="L17" i="12" s="1"/>
  <c r="F17" i="12"/>
  <c r="V16" i="12"/>
  <c r="W16" i="12" s="1"/>
  <c r="U16" i="12"/>
  <c r="T16" i="12"/>
  <c r="N16" i="12"/>
  <c r="K16" i="12"/>
  <c r="J16" i="12"/>
  <c r="L16" i="12" s="1"/>
  <c r="F16" i="12"/>
  <c r="T15" i="12"/>
  <c r="V15" i="12" s="1"/>
  <c r="W15" i="12" s="1"/>
  <c r="K15" i="12"/>
  <c r="N15" i="12" s="1"/>
  <c r="J15" i="12"/>
  <c r="L15" i="12" s="1"/>
  <c r="F15" i="12"/>
  <c r="V47" i="11"/>
  <c r="N47" i="11"/>
  <c r="R47" i="11" s="1"/>
  <c r="S47" i="11" s="1"/>
  <c r="M47" i="11"/>
  <c r="P47" i="11" s="1"/>
  <c r="J47" i="11"/>
  <c r="F47" i="11"/>
  <c r="V45" i="11"/>
  <c r="X45" i="11" s="1"/>
  <c r="Y45" i="11" s="1"/>
  <c r="M45" i="11"/>
  <c r="P45" i="11" s="1"/>
  <c r="J45" i="11"/>
  <c r="N45" i="11" s="1"/>
  <c r="F45" i="11"/>
  <c r="J24" i="11"/>
  <c r="E19" i="11"/>
  <c r="C19" i="11"/>
  <c r="V18" i="11"/>
  <c r="X18" i="11" s="1"/>
  <c r="Y18" i="11" s="1"/>
  <c r="M18" i="11"/>
  <c r="P18" i="11" s="1"/>
  <c r="J18" i="11"/>
  <c r="J19" i="11" s="1"/>
  <c r="F18" i="11"/>
  <c r="F19" i="11" s="1"/>
  <c r="V17" i="11"/>
  <c r="N17" i="11"/>
  <c r="R17" i="11" s="1"/>
  <c r="S17" i="11" s="1"/>
  <c r="M17" i="11"/>
  <c r="P17" i="11" s="1"/>
  <c r="J17" i="11"/>
  <c r="F17" i="11"/>
  <c r="X16" i="11"/>
  <c r="Y16" i="11" s="1"/>
  <c r="W16" i="11"/>
  <c r="V16" i="11"/>
  <c r="P16" i="11"/>
  <c r="M16" i="11"/>
  <c r="J16" i="11"/>
  <c r="N16" i="11" s="1"/>
  <c r="F16" i="11"/>
  <c r="V15" i="11"/>
  <c r="M15" i="11"/>
  <c r="P15" i="11" s="1"/>
  <c r="J15" i="11"/>
  <c r="N15" i="11" s="1"/>
  <c r="F15" i="11"/>
  <c r="T47" i="7"/>
  <c r="K47" i="7"/>
  <c r="N47" i="7" s="1"/>
  <c r="J47" i="7"/>
  <c r="L47" i="7" s="1"/>
  <c r="F47" i="7"/>
  <c r="V47" i="9"/>
  <c r="M47" i="9"/>
  <c r="P47" i="9" s="1"/>
  <c r="J47" i="9"/>
  <c r="N47" i="9" s="1"/>
  <c r="F47" i="9"/>
  <c r="V45" i="9"/>
  <c r="V18" i="9"/>
  <c r="W18" i="9" s="1"/>
  <c r="F45" i="9"/>
  <c r="M45" i="9"/>
  <c r="P45" i="9" s="1"/>
  <c r="J45" i="9"/>
  <c r="N45" i="9" s="1"/>
  <c r="R45" i="9" s="1"/>
  <c r="S45" i="9" s="1"/>
  <c r="T45" i="9" s="1"/>
  <c r="T45" i="7"/>
  <c r="U45" i="7" s="1"/>
  <c r="K45" i="7"/>
  <c r="N45" i="7" s="1"/>
  <c r="O45" i="7" s="1"/>
  <c r="J45" i="7"/>
  <c r="L45" i="7" s="1"/>
  <c r="F45" i="7"/>
  <c r="F15" i="9"/>
  <c r="N16" i="9"/>
  <c r="O16" i="9" s="1"/>
  <c r="M18" i="9"/>
  <c r="P18" i="9" s="1"/>
  <c r="Q18" i="9" s="1"/>
  <c r="M17" i="9"/>
  <c r="P17" i="9" s="1"/>
  <c r="M16" i="9"/>
  <c r="P16" i="9" s="1"/>
  <c r="M15" i="9"/>
  <c r="P15" i="9" s="1"/>
  <c r="Q15" i="9" s="1"/>
  <c r="E19" i="9"/>
  <c r="C19" i="9"/>
  <c r="J18" i="9"/>
  <c r="J24" i="9" s="1"/>
  <c r="F18" i="9"/>
  <c r="F19" i="9" s="1"/>
  <c r="V17" i="9"/>
  <c r="J17" i="9"/>
  <c r="N17" i="9" s="1"/>
  <c r="F17" i="9"/>
  <c r="V16" i="9"/>
  <c r="W16" i="9" s="1"/>
  <c r="J16" i="9"/>
  <c r="F16" i="9"/>
  <c r="V15" i="9"/>
  <c r="J15" i="9"/>
  <c r="N15" i="9" s="1"/>
  <c r="F15" i="7"/>
  <c r="J17" i="7"/>
  <c r="L17" i="7" s="1"/>
  <c r="M17" i="7" s="1"/>
  <c r="J16" i="7"/>
  <c r="L16" i="7" s="1"/>
  <c r="M16" i="7" s="1"/>
  <c r="J15" i="7"/>
  <c r="L15" i="7" s="1"/>
  <c r="M15" i="7" s="1"/>
  <c r="K18" i="7"/>
  <c r="N18" i="7" s="1"/>
  <c r="O18" i="7" s="1"/>
  <c r="K17" i="7"/>
  <c r="N17" i="7" s="1"/>
  <c r="O17" i="7" s="1"/>
  <c r="K16" i="7"/>
  <c r="N16" i="7" s="1"/>
  <c r="O16" i="7" s="1"/>
  <c r="K15" i="7"/>
  <c r="N15" i="7" s="1"/>
  <c r="O15" i="7" s="1"/>
  <c r="E19" i="7"/>
  <c r="C19" i="7"/>
  <c r="J18" i="7"/>
  <c r="V19" i="7" s="1"/>
  <c r="F18" i="7"/>
  <c r="F19" i="7" s="1"/>
  <c r="T18" i="7"/>
  <c r="T17" i="7"/>
  <c r="F17" i="7"/>
  <c r="T16" i="7"/>
  <c r="F16" i="7"/>
  <c r="T15" i="7"/>
  <c r="J15" i="6"/>
  <c r="M47" i="15" l="1"/>
  <c r="M45" i="15"/>
  <c r="W19" i="15"/>
  <c r="M18" i="15"/>
  <c r="O18" i="15"/>
  <c r="P16" i="15"/>
  <c r="Q16" i="15" s="1"/>
  <c r="R16" i="15" s="1"/>
  <c r="M16" i="15"/>
  <c r="R47" i="15"/>
  <c r="O47" i="15"/>
  <c r="S47" i="15"/>
  <c r="R15" i="15"/>
  <c r="O15" i="15"/>
  <c r="S15" i="15"/>
  <c r="S16" i="15"/>
  <c r="S17" i="15"/>
  <c r="S45" i="15"/>
  <c r="R45" i="15"/>
  <c r="O45" i="15"/>
  <c r="X17" i="15"/>
  <c r="Z17" i="15" s="1"/>
  <c r="V15" i="15"/>
  <c r="W15" i="15" s="1"/>
  <c r="Y15" i="15" s="1"/>
  <c r="AA15" i="15" s="1"/>
  <c r="V18" i="15"/>
  <c r="W18" i="15" s="1"/>
  <c r="X18" i="15" s="1"/>
  <c r="Z18" i="15" s="1"/>
  <c r="V20" i="15"/>
  <c r="V45" i="15"/>
  <c r="W45" i="15" s="1"/>
  <c r="X45" i="15" s="1"/>
  <c r="Z45" i="15" s="1"/>
  <c r="U47" i="15"/>
  <c r="U16" i="15"/>
  <c r="U20" i="15" s="1"/>
  <c r="R17" i="15"/>
  <c r="P18" i="15"/>
  <c r="Q18" i="15" s="1"/>
  <c r="R18" i="15" s="1"/>
  <c r="V47" i="15"/>
  <c r="W47" i="15" s="1"/>
  <c r="Y47" i="15" s="1"/>
  <c r="AA47" i="15" s="1"/>
  <c r="V16" i="15"/>
  <c r="W16" i="15" s="1"/>
  <c r="X16" i="15" s="1"/>
  <c r="Z16" i="15" s="1"/>
  <c r="X47" i="14"/>
  <c r="Y47" i="14" s="1"/>
  <c r="Z47" i="14" s="1"/>
  <c r="AB47" i="14" s="1"/>
  <c r="W18" i="14"/>
  <c r="X45" i="14"/>
  <c r="Y45" i="14" s="1"/>
  <c r="AA45" i="14" s="1"/>
  <c r="AC45" i="14" s="1"/>
  <c r="R17" i="14"/>
  <c r="S17" i="14" s="1"/>
  <c r="O17" i="14"/>
  <c r="Z16" i="14"/>
  <c r="AB16" i="14" s="1"/>
  <c r="AA16" i="14"/>
  <c r="AC16" i="14" s="1"/>
  <c r="AA17" i="14"/>
  <c r="AC17" i="14" s="1"/>
  <c r="T17" i="14"/>
  <c r="Q17" i="14"/>
  <c r="U17" i="14"/>
  <c r="O45" i="14"/>
  <c r="R45" i="14"/>
  <c r="AA18" i="14"/>
  <c r="AC18" i="14" s="1"/>
  <c r="Z18" i="14"/>
  <c r="AB18" i="14" s="1"/>
  <c r="O15" i="14"/>
  <c r="R15" i="14"/>
  <c r="S15" i="14" s="1"/>
  <c r="U15" i="14" s="1"/>
  <c r="Q15" i="14"/>
  <c r="Z15" i="14"/>
  <c r="AB15" i="14" s="1"/>
  <c r="AA15" i="14"/>
  <c r="AC15" i="14" s="1"/>
  <c r="Q18" i="14"/>
  <c r="X17" i="14"/>
  <c r="Y17" i="14" s="1"/>
  <c r="X19" i="14"/>
  <c r="Q47" i="14"/>
  <c r="W47" i="14"/>
  <c r="W15" i="14"/>
  <c r="T16" i="14"/>
  <c r="N18" i="14"/>
  <c r="R47" i="14"/>
  <c r="S47" i="14" s="1"/>
  <c r="U47" i="14" s="1"/>
  <c r="Q16" i="14"/>
  <c r="W17" i="14"/>
  <c r="Z17" i="14"/>
  <c r="AB17" i="14" s="1"/>
  <c r="AA47" i="14"/>
  <c r="AC47" i="14" s="1"/>
  <c r="V45" i="12"/>
  <c r="W45" i="12" s="1"/>
  <c r="Y45" i="12" s="1"/>
  <c r="AA45" i="12" s="1"/>
  <c r="X45" i="13"/>
  <c r="Y45" i="13" s="1"/>
  <c r="AA45" i="13" s="1"/>
  <c r="AC45" i="13" s="1"/>
  <c r="W18" i="13"/>
  <c r="R45" i="13"/>
  <c r="S45" i="13" s="1"/>
  <c r="U45" i="13" s="1"/>
  <c r="O45" i="13"/>
  <c r="AA16" i="13"/>
  <c r="AC16" i="13" s="1"/>
  <c r="Z16" i="13"/>
  <c r="AB16" i="13" s="1"/>
  <c r="Q45" i="13"/>
  <c r="Z18" i="13"/>
  <c r="AB18" i="13" s="1"/>
  <c r="AA18" i="13"/>
  <c r="AC18" i="13" s="1"/>
  <c r="Q18" i="13"/>
  <c r="T17" i="13"/>
  <c r="U17" i="13"/>
  <c r="Q17" i="13"/>
  <c r="Q15" i="13"/>
  <c r="R15" i="13"/>
  <c r="S15" i="13" s="1"/>
  <c r="T15" i="13" s="1"/>
  <c r="O15" i="13"/>
  <c r="U47" i="13"/>
  <c r="O17" i="13"/>
  <c r="W17" i="13"/>
  <c r="X47" i="13"/>
  <c r="Y47" i="13" s="1"/>
  <c r="Z47" i="13" s="1"/>
  <c r="AB47" i="13" s="1"/>
  <c r="Q16" i="13"/>
  <c r="W47" i="13"/>
  <c r="X17" i="13"/>
  <c r="Y17" i="13" s="1"/>
  <c r="Z17" i="13" s="1"/>
  <c r="AB17" i="13" s="1"/>
  <c r="X19" i="13"/>
  <c r="Q47" i="13"/>
  <c r="O47" i="13"/>
  <c r="W15" i="13"/>
  <c r="T16" i="13"/>
  <c r="N18" i="13"/>
  <c r="X15" i="13"/>
  <c r="Y15" i="13" s="1"/>
  <c r="AA15" i="13" s="1"/>
  <c r="AC15" i="13" s="1"/>
  <c r="W45" i="13"/>
  <c r="T47" i="13"/>
  <c r="U18" i="12"/>
  <c r="O18" i="12"/>
  <c r="Y18" i="12"/>
  <c r="AA18" i="12" s="1"/>
  <c r="X18" i="12"/>
  <c r="Z18" i="12" s="1"/>
  <c r="S16" i="12"/>
  <c r="Y16" i="12"/>
  <c r="AA16" i="12" s="1"/>
  <c r="X16" i="12"/>
  <c r="Z16" i="12" s="1"/>
  <c r="M18" i="12"/>
  <c r="P18" i="12"/>
  <c r="Q18" i="12" s="1"/>
  <c r="S18" i="12" s="1"/>
  <c r="L19" i="12"/>
  <c r="M45" i="12"/>
  <c r="P45" i="12"/>
  <c r="Q45" i="12" s="1"/>
  <c r="S45" i="12" s="1"/>
  <c r="O15" i="12"/>
  <c r="R15" i="12"/>
  <c r="P47" i="12"/>
  <c r="Q47" i="12" s="1"/>
  <c r="S47" i="12" s="1"/>
  <c r="M47" i="12"/>
  <c r="P15" i="12"/>
  <c r="Q15" i="12" s="1"/>
  <c r="S15" i="12" s="1"/>
  <c r="M15" i="12"/>
  <c r="Y15" i="12"/>
  <c r="AA15" i="12" s="1"/>
  <c r="X15" i="12"/>
  <c r="Z15" i="12" s="1"/>
  <c r="P17" i="12"/>
  <c r="Q17" i="12" s="1"/>
  <c r="R17" i="12" s="1"/>
  <c r="M17" i="12"/>
  <c r="P16" i="12"/>
  <c r="Q16" i="12" s="1"/>
  <c r="M16" i="12"/>
  <c r="O17" i="12"/>
  <c r="O47" i="12"/>
  <c r="O45" i="12"/>
  <c r="J24" i="12"/>
  <c r="U47" i="12"/>
  <c r="U17" i="12"/>
  <c r="V47" i="12"/>
  <c r="W47" i="12" s="1"/>
  <c r="X47" i="12" s="1"/>
  <c r="Z47" i="12" s="1"/>
  <c r="O16" i="12"/>
  <c r="V17" i="12"/>
  <c r="W17" i="12" s="1"/>
  <c r="Y17" i="12" s="1"/>
  <c r="AA17" i="12" s="1"/>
  <c r="V19" i="12"/>
  <c r="U15" i="12"/>
  <c r="R16" i="12"/>
  <c r="X17" i="12"/>
  <c r="Z17" i="12" s="1"/>
  <c r="U45" i="12"/>
  <c r="Z16" i="11"/>
  <c r="AB16" i="11" s="1"/>
  <c r="AA16" i="11"/>
  <c r="AC16" i="11" s="1"/>
  <c r="Q18" i="11"/>
  <c r="Q15" i="11"/>
  <c r="T15" i="11"/>
  <c r="Z18" i="11"/>
  <c r="AB18" i="11" s="1"/>
  <c r="AA18" i="11"/>
  <c r="AC18" i="11" s="1"/>
  <c r="R15" i="11"/>
  <c r="S15" i="11" s="1"/>
  <c r="U15" i="11" s="1"/>
  <c r="O15" i="11"/>
  <c r="Z45" i="11"/>
  <c r="AB45" i="11" s="1"/>
  <c r="AA45" i="11"/>
  <c r="AC45" i="11" s="1"/>
  <c r="Z15" i="11"/>
  <c r="AB15" i="11" s="1"/>
  <c r="Q45" i="11"/>
  <c r="O16" i="11"/>
  <c r="R16" i="11"/>
  <c r="S16" i="11" s="1"/>
  <c r="T17" i="11"/>
  <c r="Q17" i="11"/>
  <c r="U17" i="11"/>
  <c r="O45" i="11"/>
  <c r="R45" i="11"/>
  <c r="S45" i="11" s="1"/>
  <c r="U45" i="11" s="1"/>
  <c r="T16" i="11"/>
  <c r="AA17" i="11"/>
  <c r="AC17" i="11" s="1"/>
  <c r="U47" i="11"/>
  <c r="W47" i="11"/>
  <c r="O17" i="11"/>
  <c r="W17" i="11"/>
  <c r="X47" i="11"/>
  <c r="Y47" i="11" s="1"/>
  <c r="AA47" i="11" s="1"/>
  <c r="AC47" i="11" s="1"/>
  <c r="X17" i="11"/>
  <c r="Y17" i="11" s="1"/>
  <c r="X19" i="11"/>
  <c r="Q47" i="11"/>
  <c r="X15" i="11"/>
  <c r="Y15" i="11" s="1"/>
  <c r="AA15" i="11" s="1"/>
  <c r="AC15" i="11" s="1"/>
  <c r="U16" i="11"/>
  <c r="Z17" i="11"/>
  <c r="AB17" i="11" s="1"/>
  <c r="W18" i="11"/>
  <c r="Q16" i="11"/>
  <c r="W15" i="11"/>
  <c r="W45" i="11"/>
  <c r="T47" i="11"/>
  <c r="O47" i="11"/>
  <c r="N18" i="11"/>
  <c r="V45" i="7"/>
  <c r="W45" i="7" s="1"/>
  <c r="X45" i="7" s="1"/>
  <c r="Z45" i="7" s="1"/>
  <c r="O47" i="7"/>
  <c r="P47" i="7"/>
  <c r="Q47" i="7" s="1"/>
  <c r="S47" i="7" s="1"/>
  <c r="M47" i="7"/>
  <c r="U47" i="7"/>
  <c r="V47" i="7"/>
  <c r="W47" i="7" s="1"/>
  <c r="X47" i="7" s="1"/>
  <c r="Z47" i="7" s="1"/>
  <c r="J24" i="7"/>
  <c r="U45" i="9"/>
  <c r="R47" i="9"/>
  <c r="S47" i="9" s="1"/>
  <c r="T47" i="9" s="1"/>
  <c r="O47" i="9"/>
  <c r="Q47" i="9"/>
  <c r="W47" i="9"/>
  <c r="X47" i="9"/>
  <c r="Y47" i="9" s="1"/>
  <c r="Z47" i="9" s="1"/>
  <c r="AB47" i="9" s="1"/>
  <c r="N18" i="9"/>
  <c r="N19" i="9" s="1"/>
  <c r="Q45" i="9"/>
  <c r="O45" i="9"/>
  <c r="W45" i="9"/>
  <c r="X45" i="9"/>
  <c r="Y45" i="9" s="1"/>
  <c r="AA45" i="9" s="1"/>
  <c r="AC45" i="9" s="1"/>
  <c r="M45" i="7"/>
  <c r="P45" i="7"/>
  <c r="Q45" i="7" s="1"/>
  <c r="S45" i="7" s="1"/>
  <c r="X15" i="9"/>
  <c r="Y15" i="9" s="1"/>
  <c r="AA15" i="9" s="1"/>
  <c r="AC15" i="9" s="1"/>
  <c r="V15" i="7"/>
  <c r="R17" i="9"/>
  <c r="S17" i="9" s="1"/>
  <c r="U17" i="9" s="1"/>
  <c r="R16" i="9"/>
  <c r="S16" i="9" s="1"/>
  <c r="T16" i="9" s="1"/>
  <c r="X16" i="9"/>
  <c r="Y16" i="9" s="1"/>
  <c r="Z16" i="9" s="1"/>
  <c r="AB16" i="9" s="1"/>
  <c r="Q17" i="9"/>
  <c r="R15" i="9"/>
  <c r="S15" i="9" s="1"/>
  <c r="U15" i="9" s="1"/>
  <c r="O15" i="9"/>
  <c r="Q16" i="9"/>
  <c r="X17" i="9"/>
  <c r="Y17" i="9" s="1"/>
  <c r="AA17" i="9" s="1"/>
  <c r="AC17" i="9" s="1"/>
  <c r="X19" i="9"/>
  <c r="O17" i="9"/>
  <c r="W17" i="9"/>
  <c r="W15" i="9"/>
  <c r="X18" i="9"/>
  <c r="Y18" i="9" s="1"/>
  <c r="J19" i="9"/>
  <c r="P15" i="7"/>
  <c r="Q15" i="7" s="1"/>
  <c r="R15" i="7" s="1"/>
  <c r="P16" i="7"/>
  <c r="Q16" i="7" s="1"/>
  <c r="S16" i="7" s="1"/>
  <c r="P17" i="7"/>
  <c r="Q17" i="7" s="1"/>
  <c r="R17" i="7" s="1"/>
  <c r="V20" i="7"/>
  <c r="L18" i="7"/>
  <c r="P18" i="7" s="1"/>
  <c r="Q18" i="7" s="1"/>
  <c r="S18" i="7" s="1"/>
  <c r="J19" i="7"/>
  <c r="V18" i="7"/>
  <c r="W18" i="7" s="1"/>
  <c r="Y18" i="7" s="1"/>
  <c r="AA18" i="7" s="1"/>
  <c r="W19" i="7"/>
  <c r="V17" i="7"/>
  <c r="W17" i="7" s="1"/>
  <c r="X17" i="7" s="1"/>
  <c r="Z17" i="7" s="1"/>
  <c r="U16" i="7"/>
  <c r="W15" i="7"/>
  <c r="Y15" i="7" s="1"/>
  <c r="AA15" i="7" s="1"/>
  <c r="U15" i="7"/>
  <c r="V16" i="7"/>
  <c r="W16" i="7" s="1"/>
  <c r="Y16" i="7" s="1"/>
  <c r="AA16" i="7" s="1"/>
  <c r="U17" i="7"/>
  <c r="U18" i="7"/>
  <c r="S45" i="14" l="1"/>
  <c r="U45" i="14" s="1"/>
  <c r="X47" i="15"/>
  <c r="Z47" i="15" s="1"/>
  <c r="Y45" i="15"/>
  <c r="AA45" i="15" s="1"/>
  <c r="Y18" i="15"/>
  <c r="AA18" i="15" s="1"/>
  <c r="V36" i="15"/>
  <c r="V40" i="15" s="1"/>
  <c r="V38" i="15"/>
  <c r="V42" i="15" s="1"/>
  <c r="V37" i="15"/>
  <c r="V41" i="15" s="1"/>
  <c r="Y16" i="15"/>
  <c r="AA16" i="15" s="1"/>
  <c r="S18" i="15"/>
  <c r="S19" i="15" s="1"/>
  <c r="X15" i="15"/>
  <c r="Z15" i="15" s="1"/>
  <c r="R19" i="15"/>
  <c r="T47" i="14"/>
  <c r="Z45" i="14"/>
  <c r="AB45" i="14" s="1"/>
  <c r="W20" i="14"/>
  <c r="AC20" i="14"/>
  <c r="T15" i="14"/>
  <c r="AB20" i="14"/>
  <c r="X20" i="14"/>
  <c r="Y19" i="14"/>
  <c r="R18" i="14"/>
  <c r="S18" i="14" s="1"/>
  <c r="O18" i="14"/>
  <c r="N19" i="14"/>
  <c r="X45" i="12"/>
  <c r="Z45" i="12" s="1"/>
  <c r="R45" i="12"/>
  <c r="Z45" i="13"/>
  <c r="AB45" i="13" s="1"/>
  <c r="AA47" i="13"/>
  <c r="AC47" i="13" s="1"/>
  <c r="W20" i="13"/>
  <c r="X36" i="13" s="1"/>
  <c r="X40" i="13" s="1"/>
  <c r="T45" i="13"/>
  <c r="O18" i="13"/>
  <c r="R18" i="13"/>
  <c r="S18" i="13" s="1"/>
  <c r="N19" i="13"/>
  <c r="U15" i="13"/>
  <c r="AC20" i="13"/>
  <c r="Z15" i="13"/>
  <c r="AB15" i="13" s="1"/>
  <c r="AA17" i="13"/>
  <c r="AC17" i="13" s="1"/>
  <c r="X20" i="13"/>
  <c r="Y19" i="13"/>
  <c r="Y47" i="12"/>
  <c r="AA47" i="12" s="1"/>
  <c r="R47" i="12"/>
  <c r="Z20" i="12"/>
  <c r="U24" i="12" s="1"/>
  <c r="AA20" i="12"/>
  <c r="U20" i="12"/>
  <c r="S17" i="12"/>
  <c r="S19" i="12" s="1"/>
  <c r="V20" i="12"/>
  <c r="W19" i="12"/>
  <c r="R18" i="12"/>
  <c r="R19" i="12" s="1"/>
  <c r="Z47" i="11"/>
  <c r="AB47" i="11" s="1"/>
  <c r="O18" i="11"/>
  <c r="R18" i="11"/>
  <c r="S18" i="11" s="1"/>
  <c r="N19" i="11"/>
  <c r="AC20" i="11"/>
  <c r="W20" i="11"/>
  <c r="T45" i="11"/>
  <c r="AB20" i="11"/>
  <c r="W24" i="11" s="1"/>
  <c r="X20" i="11"/>
  <c r="Y19" i="11"/>
  <c r="Y45" i="7"/>
  <c r="AA45" i="7" s="1"/>
  <c r="Y47" i="7"/>
  <c r="AA47" i="7" s="1"/>
  <c r="R47" i="7"/>
  <c r="AA47" i="9"/>
  <c r="AC47" i="9" s="1"/>
  <c r="U47" i="9"/>
  <c r="U20" i="7"/>
  <c r="V37" i="7" s="1"/>
  <c r="V41" i="7" s="1"/>
  <c r="Z45" i="9"/>
  <c r="AB45" i="9" s="1"/>
  <c r="R45" i="7"/>
  <c r="Z15" i="9"/>
  <c r="AB15" i="9" s="1"/>
  <c r="W20" i="9"/>
  <c r="X38" i="9" s="1"/>
  <c r="X42" i="9" s="1"/>
  <c r="T17" i="9"/>
  <c r="U16" i="9"/>
  <c r="AA16" i="9"/>
  <c r="AC16" i="9" s="1"/>
  <c r="Z17" i="9"/>
  <c r="AB17" i="9" s="1"/>
  <c r="O18" i="9"/>
  <c r="R18" i="9"/>
  <c r="S18" i="9" s="1"/>
  <c r="X20" i="9"/>
  <c r="Y19" i="9"/>
  <c r="AA18" i="9"/>
  <c r="AC18" i="9" s="1"/>
  <c r="Z18" i="9"/>
  <c r="AB18" i="9" s="1"/>
  <c r="T15" i="9"/>
  <c r="R18" i="7"/>
  <c r="S15" i="7"/>
  <c r="S17" i="7"/>
  <c r="R16" i="7"/>
  <c r="X18" i="7"/>
  <c r="Z18" i="7" s="1"/>
  <c r="L19" i="7"/>
  <c r="M18" i="7"/>
  <c r="Y17" i="7"/>
  <c r="AA17" i="7" s="1"/>
  <c r="AA20" i="7" s="1"/>
  <c r="X15" i="7"/>
  <c r="Z15" i="7" s="1"/>
  <c r="X16" i="7"/>
  <c r="Z16" i="7" s="1"/>
  <c r="T45" i="14" l="1"/>
  <c r="AA20" i="15"/>
  <c r="Z20" i="15"/>
  <c r="U24" i="15" s="1"/>
  <c r="X26" i="14"/>
  <c r="X30" i="14" s="1"/>
  <c r="X25" i="14"/>
  <c r="X29" i="14" s="1"/>
  <c r="X27" i="14"/>
  <c r="X31" i="14" s="1"/>
  <c r="U18" i="14"/>
  <c r="U19" i="14" s="1"/>
  <c r="T18" i="14"/>
  <c r="T19" i="14"/>
  <c r="W25" i="14"/>
  <c r="W26" i="14"/>
  <c r="W27" i="14"/>
  <c r="X38" i="14"/>
  <c r="X42" i="14" s="1"/>
  <c r="X37" i="14"/>
  <c r="X41" i="14" s="1"/>
  <c r="X36" i="14"/>
  <c r="X40" i="14" s="1"/>
  <c r="W24" i="14"/>
  <c r="X37" i="13"/>
  <c r="X41" i="13" s="1"/>
  <c r="X38" i="13"/>
  <c r="X42" i="13" s="1"/>
  <c r="AB20" i="13"/>
  <c r="W24" i="13" s="1"/>
  <c r="T18" i="13"/>
  <c r="T19" i="13" s="1"/>
  <c r="U18" i="13"/>
  <c r="U19" i="13" s="1"/>
  <c r="U26" i="12"/>
  <c r="U27" i="12"/>
  <c r="U25" i="12"/>
  <c r="V38" i="12"/>
  <c r="V42" i="12" s="1"/>
  <c r="V37" i="12"/>
  <c r="V41" i="12" s="1"/>
  <c r="V36" i="12"/>
  <c r="V40" i="12" s="1"/>
  <c r="V26" i="12"/>
  <c r="V30" i="12" s="1"/>
  <c r="V25" i="12"/>
  <c r="V29" i="12" s="1"/>
  <c r="V27" i="12"/>
  <c r="V31" i="12" s="1"/>
  <c r="W26" i="11"/>
  <c r="W25" i="11"/>
  <c r="X38" i="11"/>
  <c r="X42" i="11" s="1"/>
  <c r="X37" i="11"/>
  <c r="X41" i="11" s="1"/>
  <c r="X36" i="11"/>
  <c r="X40" i="11" s="1"/>
  <c r="W27" i="11"/>
  <c r="X26" i="11"/>
  <c r="X30" i="11" s="1"/>
  <c r="X25" i="11"/>
  <c r="X29" i="11" s="1"/>
  <c r="X27" i="11"/>
  <c r="X31" i="11" s="1"/>
  <c r="U18" i="11"/>
  <c r="U19" i="11" s="1"/>
  <c r="T18" i="11"/>
  <c r="T19" i="11" s="1"/>
  <c r="AB20" i="9"/>
  <c r="W24" i="9" s="1"/>
  <c r="X36" i="9"/>
  <c r="X40" i="9" s="1"/>
  <c r="S19" i="7"/>
  <c r="R19" i="7"/>
  <c r="X37" i="9"/>
  <c r="X41" i="9" s="1"/>
  <c r="AC20" i="9"/>
  <c r="T18" i="9"/>
  <c r="T19" i="9" s="1"/>
  <c r="U18" i="9"/>
  <c r="U19" i="9" s="1"/>
  <c r="V38" i="7"/>
  <c r="V42" i="7" s="1"/>
  <c r="V36" i="7"/>
  <c r="V40" i="7" s="1"/>
  <c r="Z20" i="7"/>
  <c r="U24" i="7" s="1"/>
  <c r="V25" i="15" l="1"/>
  <c r="V29" i="15" s="1"/>
  <c r="V27" i="15"/>
  <c r="V31" i="15" s="1"/>
  <c r="V26" i="15"/>
  <c r="V30" i="15" s="1"/>
  <c r="U27" i="15"/>
  <c r="U26" i="15"/>
  <c r="U25" i="15"/>
  <c r="X26" i="13"/>
  <c r="X30" i="13" s="1"/>
  <c r="X25" i="13"/>
  <c r="X29" i="13" s="1"/>
  <c r="X27" i="13"/>
  <c r="X31" i="13" s="1"/>
  <c r="W26" i="13"/>
  <c r="W25" i="13"/>
  <c r="W27" i="13"/>
  <c r="W26" i="9"/>
  <c r="W25" i="9"/>
  <c r="X25" i="9"/>
  <c r="X29" i="9" s="1"/>
  <c r="X26" i="9"/>
  <c r="X30" i="9" s="1"/>
  <c r="X27" i="9"/>
  <c r="X31" i="9" s="1"/>
  <c r="W27" i="9"/>
  <c r="V27" i="7"/>
  <c r="V31" i="7" s="1"/>
  <c r="V26" i="7"/>
  <c r="V30" i="7" s="1"/>
  <c r="V25" i="7"/>
  <c r="V29" i="7" s="1"/>
  <c r="U26" i="7"/>
  <c r="U27" i="7"/>
  <c r="U25" i="7"/>
  <c r="F16" i="6" l="1"/>
  <c r="F17" i="6"/>
  <c r="F18" i="6"/>
  <c r="F15" i="6"/>
  <c r="J16" i="6" l="1"/>
  <c r="J17" i="6"/>
  <c r="J18" i="6"/>
  <c r="L15" i="6" l="1"/>
  <c r="M15" i="6" s="1"/>
  <c r="K15" i="6" l="1"/>
  <c r="O15" i="6" l="1"/>
  <c r="Q15" i="6" s="1"/>
  <c r="K17" i="6" l="1"/>
  <c r="L16" i="6"/>
  <c r="M16" i="6" s="1"/>
  <c r="L17" i="6"/>
  <c r="L18" i="6"/>
  <c r="M18" i="6" s="1"/>
  <c r="M17" i="6" l="1"/>
  <c r="N17" i="6" s="1"/>
  <c r="P17" i="6" s="1"/>
  <c r="N16" i="6"/>
  <c r="P16" i="6" s="1"/>
  <c r="K18" i="6"/>
  <c r="N18" i="6"/>
  <c r="P18" i="6" s="1"/>
  <c r="K16" i="6"/>
  <c r="K20" i="6" l="1"/>
  <c r="O17" i="6"/>
  <c r="Q17" i="6" s="1"/>
  <c r="N15" i="6"/>
  <c r="P15" i="6" s="1"/>
  <c r="P20" i="6" s="1"/>
  <c r="O18" i="6"/>
  <c r="Q18" i="6" s="1"/>
  <c r="O16" i="6"/>
  <c r="Q16" i="6" s="1"/>
  <c r="L27" i="6" l="1"/>
  <c r="L31" i="6" s="1"/>
  <c r="L30" i="6"/>
  <c r="Q20" i="6"/>
  <c r="L29" i="6"/>
  <c r="L36" i="6"/>
  <c r="L40" i="6" s="1"/>
  <c r="L37" i="6"/>
  <c r="L41" i="6" s="1"/>
  <c r="L38" i="6"/>
  <c r="L42" i="6" s="1"/>
  <c r="K24" i="6"/>
  <c r="K27" i="6" l="1"/>
  <c r="K26" i="6"/>
  <c r="K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E10" authorId="0" shapeId="0" xr:uid="{281197A6-ADF6-4C46-8486-10CC1FA8FB9B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So this is the SE of the mean weight… not the SE of the weights (which is column C)?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86A196D0-E6A3-4DE3-BD0D-D54220458771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E10" authorId="0" shapeId="0" xr:uid="{4A79C23F-2D6B-42A4-9381-BCBD8F742EEF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So this is the SE of the mean weight… not the SE of the weights (which is column C)?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4BA375FB-D714-478B-91A1-3F51DFC62DD3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E10" authorId="0" shapeId="0" xr:uid="{4D56EAA3-DCE7-4C25-84C2-70542618B6E5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So this is the SE of the mean weight… not the SE of the weights (which is column C)?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53FD853B-B950-4089-BBA3-D81B088A4425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5485188C-6995-452F-9365-B2F81A1CD72F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sharedStrings.xml><?xml version="1.0" encoding="utf-8"?>
<sst xmlns="http://schemas.openxmlformats.org/spreadsheetml/2006/main" count="826" uniqueCount="71">
  <si>
    <t>SSEO</t>
  </si>
  <si>
    <t>CSEO</t>
  </si>
  <si>
    <t>NSEO</t>
  </si>
  <si>
    <t>EYKT</t>
  </si>
  <si>
    <t xml:space="preserve"> =bk^2*(CV(d)^2 +CV(wt)^2)</t>
  </si>
  <si>
    <t>Var(biomass) for Area [Var(bk)]</t>
  </si>
  <si>
    <t>CV(bk)</t>
  </si>
  <si>
    <t xml:space="preserve"> =sqrt[Var(bk)]/bk</t>
  </si>
  <si>
    <t>Lower 90% CL (kg) [l90]</t>
  </si>
  <si>
    <t xml:space="preserve"> =bk/(exp(1.645*(ln(1+CV(bk)))^0.5))</t>
  </si>
  <si>
    <t>se (ye weight)</t>
  </si>
  <si>
    <t>stdev (ye wt)</t>
  </si>
  <si>
    <t>n (# weight samples)</t>
  </si>
  <si>
    <t>cv (ye weight)</t>
  </si>
  <si>
    <t>habitat area km2</t>
  </si>
  <si>
    <t>biomass (mt)</t>
  </si>
  <si>
    <t>CV density (values from last stock assessment)</t>
  </si>
  <si>
    <t>density YE (#/km2) (values from last stock assessment)</t>
  </si>
  <si>
    <t>these formulas I copied from your spreadsheet "2007_SAFE_updates - 8 Sept 08"</t>
  </si>
  <si>
    <t>biomass [bk] (kg) for area</t>
  </si>
  <si>
    <t>point biomass lower 90 (mt)</t>
  </si>
  <si>
    <t>Upper 90% CL (kg) [u90]</t>
  </si>
  <si>
    <t xml:space="preserve"> =bk*(exp(1.645*(ln(1+CV(bk)))^0.5))</t>
  </si>
  <si>
    <t>point biomass upper 90 (mt)</t>
  </si>
  <si>
    <t xml:space="preserve"> </t>
  </si>
  <si>
    <t>ABC</t>
  </si>
  <si>
    <t>recommended</t>
  </si>
  <si>
    <t>max allowable</t>
  </si>
  <si>
    <t>OFL</t>
  </si>
  <si>
    <t xml:space="preserve">% contribution </t>
  </si>
  <si>
    <t>total biomass (lower 90)</t>
  </si>
  <si>
    <t xml:space="preserve">area </t>
  </si>
  <si>
    <t>JUST YE biomass, still have to add in tier 6 calcs for other DSR</t>
  </si>
  <si>
    <t>ABC Tier 4+6</t>
  </si>
  <si>
    <t>OFL Tier 4+6</t>
  </si>
  <si>
    <t>EYKT - 2019</t>
  </si>
  <si>
    <t>CSEO - 2018</t>
  </si>
  <si>
    <t>NSEO - 2018</t>
  </si>
  <si>
    <t>Densities from:</t>
  </si>
  <si>
    <t>YE + Other DSR</t>
  </si>
  <si>
    <t>Using Lower 90 CI Biomass Estimate</t>
  </si>
  <si>
    <t>The above YE ABCs and OFL + Other DSR</t>
  </si>
  <si>
    <t>Using BIOMASS POINT ESTIMATE</t>
  </si>
  <si>
    <t>The SSC requested in 2018 that we start presenting this along with the lower 90 CI biomass estimate.</t>
  </si>
  <si>
    <t>Overfishing Level</t>
  </si>
  <si>
    <t>SSEO - 2020</t>
  </si>
  <si>
    <t xml:space="preserve">2021 avg wt (kg) yelloweye </t>
  </si>
  <si>
    <t>PORT SAMPLING DATA</t>
  </si>
  <si>
    <t>FIXED</t>
  </si>
  <si>
    <t>FROM DENSITY ESTIMATE USING DISTANCE IN R</t>
  </si>
  <si>
    <t xml:space="preserve">3 year averages… </t>
  </si>
  <si>
    <t>uncorrected for &lt;270</t>
  </si>
  <si>
    <t>Density SE</t>
  </si>
  <si>
    <t>SE (BM(kg)/km2)</t>
  </si>
  <si>
    <t>lowCI mt</t>
  </si>
  <si>
    <t>hiCI me</t>
  </si>
  <si>
    <t>BM(kg)/km2</t>
  </si>
  <si>
    <t>Var BM(kg)/km2</t>
  </si>
  <si>
    <t>BM(kg)/area</t>
  </si>
  <si>
    <t>BM(kg)/area mt</t>
  </si>
  <si>
    <t>var(BM(kg)/area)</t>
  </si>
  <si>
    <t>SE(BM(kg)/area)</t>
  </si>
  <si>
    <t>Need to deal with not all YE in ROV are greater than 270… need p270 and var(p270)</t>
  </si>
  <si>
    <t>Prop gt 270 (from boot)</t>
  </si>
  <si>
    <t>Var P gt 270</t>
  </si>
  <si>
    <t>corrected for &lt;270</t>
  </si>
  <si>
    <t>From bootstrap of weights?</t>
  </si>
  <si>
    <t>ROV boot mean W of ROV lengths (&gt; 270) backtransformed</t>
  </si>
  <si>
    <t>ROV Length exam</t>
  </si>
  <si>
    <t>ROV boot mean W of ROV lengths (all fish) backtransformed</t>
  </si>
  <si>
    <t>hiCI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</si>
</sst>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"/>
    <numFmt numFmtId="166" formatCode="0.0000000000000000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6" applyNumberFormat="0" applyAlignment="0" applyProtection="0"/>
  </cellStyleXfs>
  <cellXfs count="9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NumberFormat="1"/>
    <xf numFmtId="0" fontId="6" fillId="0" borderId="0" xfId="0" applyFont="1"/>
    <xf numFmtId="1" fontId="0" fillId="3" borderId="0" xfId="0" applyNumberFormat="1" applyFill="1"/>
    <xf numFmtId="0" fontId="0" fillId="3" borderId="0" xfId="0" applyFill="1"/>
    <xf numFmtId="0" fontId="6" fillId="3" borderId="0" xfId="0" applyFont="1" applyFill="1"/>
    <xf numFmtId="0" fontId="0" fillId="0" borderId="0" xfId="0" applyBorder="1"/>
    <xf numFmtId="0" fontId="0" fillId="0" borderId="0" xfId="0" applyNumberFormat="1" applyBorder="1"/>
    <xf numFmtId="1" fontId="1" fillId="4" borderId="0" xfId="0" applyNumberFormat="1" applyFont="1" applyFill="1"/>
    <xf numFmtId="0" fontId="1" fillId="4" borderId="0" xfId="0" applyFont="1" applyFill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1" fillId="0" borderId="0" xfId="0" applyNumberFormat="1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2" fontId="3" fillId="2" borderId="0" xfId="1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5" fillId="2" borderId="0" xfId="1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3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NumberForma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3" xfId="0" applyNumberForma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3" fontId="1" fillId="0" borderId="3" xfId="0" applyNumberFormat="1" applyFont="1" applyFill="1" applyBorder="1" applyAlignment="1">
      <alignment horizontal="center" wrapText="1"/>
    </xf>
    <xf numFmtId="164" fontId="6" fillId="0" borderId="3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0" borderId="3" xfId="0" applyNumberForma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wrapText="1"/>
    </xf>
    <xf numFmtId="0" fontId="12" fillId="6" borderId="3" xfId="3" applyBorder="1" applyAlignment="1">
      <alignment horizontal="center" wrapText="1"/>
    </xf>
    <xf numFmtId="0" fontId="12" fillId="6" borderId="0" xfId="3" applyBorder="1" applyAlignment="1">
      <alignment wrapText="1"/>
    </xf>
    <xf numFmtId="165" fontId="6" fillId="0" borderId="0" xfId="0" applyNumberFormat="1" applyFont="1" applyBorder="1" applyAlignment="1">
      <alignment wrapText="1"/>
    </xf>
    <xf numFmtId="3" fontId="6" fillId="0" borderId="0" xfId="0" applyNumberFormat="1" applyFont="1" applyBorder="1" applyAlignment="1">
      <alignment wrapText="1"/>
    </xf>
    <xf numFmtId="0" fontId="13" fillId="7" borderId="1" xfId="4" applyBorder="1" applyAlignment="1">
      <alignment horizontal="center" vertical="center" wrapText="1"/>
    </xf>
    <xf numFmtId="0" fontId="13" fillId="7" borderId="0" xfId="4" applyBorder="1" applyAlignment="1">
      <alignment horizontal="center" vertical="center" wrapText="1"/>
    </xf>
    <xf numFmtId="0" fontId="13" fillId="7" borderId="3" xfId="4" applyBorder="1" applyAlignment="1">
      <alignment horizontal="center" wrapText="1"/>
    </xf>
    <xf numFmtId="3" fontId="13" fillId="7" borderId="3" xfId="4" applyNumberFormat="1" applyBorder="1" applyAlignment="1">
      <alignment horizontal="center" wrapText="1"/>
    </xf>
    <xf numFmtId="0" fontId="11" fillId="5" borderId="0" xfId="2" applyBorder="1"/>
    <xf numFmtId="0" fontId="11" fillId="5" borderId="0" xfId="2" applyBorder="1" applyAlignment="1">
      <alignment wrapText="1"/>
    </xf>
    <xf numFmtId="0" fontId="11" fillId="5" borderId="3" xfId="2" applyBorder="1" applyAlignment="1">
      <alignment horizontal="center" wrapText="1"/>
    </xf>
    <xf numFmtId="0" fontId="14" fillId="8" borderId="6" xfId="5" applyAlignment="1">
      <alignment wrapText="1"/>
    </xf>
    <xf numFmtId="0" fontId="0" fillId="0" borderId="7" xfId="0" applyBorder="1"/>
    <xf numFmtId="0" fontId="0" fillId="0" borderId="3" xfId="0" applyBorder="1"/>
    <xf numFmtId="0" fontId="11" fillId="5" borderId="1" xfId="2" applyBorder="1" applyAlignment="1">
      <alignment horizontal="center" vertical="center" wrapText="1"/>
    </xf>
    <xf numFmtId="0" fontId="13" fillId="2" borderId="1" xfId="4" applyFill="1" applyBorder="1" applyAlignment="1">
      <alignment horizontal="center" vertical="center" wrapText="1"/>
    </xf>
    <xf numFmtId="0" fontId="18" fillId="0" borderId="0" xfId="0" applyFont="1"/>
    <xf numFmtId="0" fontId="11" fillId="0" borderId="0" xfId="2" applyFill="1"/>
    <xf numFmtId="0" fontId="12" fillId="0" borderId="0" xfId="3" applyFill="1"/>
    <xf numFmtId="0" fontId="15" fillId="0" borderId="0" xfId="2" applyFont="1" applyFill="1"/>
    <xf numFmtId="166" fontId="14" fillId="8" borderId="6" xfId="5" applyNumberFormat="1"/>
    <xf numFmtId="166" fontId="0" fillId="0" borderId="0" xfId="0" applyNumberFormat="1" applyAlignment="1">
      <alignment wrapText="1"/>
    </xf>
    <xf numFmtId="11" fontId="11" fillId="5" borderId="3" xfId="2" applyNumberFormat="1" applyBorder="1" applyAlignment="1">
      <alignment horizontal="center" wrapText="1"/>
    </xf>
    <xf numFmtId="0" fontId="0" fillId="0" borderId="0" xfId="0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9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6">
    <cellStyle name="Bad" xfId="3" builtinId="27"/>
    <cellStyle name="Calculation" xfId="5" builtinId="22"/>
    <cellStyle name="Good" xfId="2" builtinId="26"/>
    <cellStyle name="Neutral" xfId="4" builtinId="28"/>
    <cellStyle name="Normal" xfId="0" builtinId="0"/>
    <cellStyle name="Normal_97DSRDEN" xfId="1" xr:uid="{00000000-0005-0000-0000-000001000000}"/>
  </cellStyles>
  <dxfs count="0"/>
  <tableStyles count="0" defaultTableStyle="TableStyleMedium9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0400D6-BB99-4E7C-9655-A41BF1610DFF}"/>
            </a:ext>
          </a:extLst>
        </xdr:cNvPr>
        <xdr:cNvSpPr txBox="1"/>
      </xdr:nvSpPr>
      <xdr:spPr>
        <a:xfrm>
          <a:off x="2926773" y="6580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935182</xdr:colOff>
      <xdr:row>25</xdr:row>
      <xdr:rowOff>43295</xdr:rowOff>
    </xdr:from>
    <xdr:to>
      <xdr:col>14</xdr:col>
      <xdr:colOff>1541318</xdr:colOff>
      <xdr:row>28</xdr:row>
      <xdr:rowOff>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AC48B6F-D03A-4006-9BDD-7FD82096B0C2}"/>
            </a:ext>
          </a:extLst>
        </xdr:cNvPr>
        <xdr:cNvSpPr/>
      </xdr:nvSpPr>
      <xdr:spPr>
        <a:xfrm>
          <a:off x="16642773" y="4978977"/>
          <a:ext cx="606136" cy="467591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C20018-1BA9-4AAC-921B-D5DFE4FC1BB0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935182</xdr:colOff>
      <xdr:row>25</xdr:row>
      <xdr:rowOff>43295</xdr:rowOff>
    </xdr:from>
    <xdr:to>
      <xdr:col>24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9979EFE-B1B1-4BD6-B7A5-4777AE201DBB}"/>
            </a:ext>
          </a:extLst>
        </xdr:cNvPr>
        <xdr:cNvSpPr/>
      </xdr:nvSpPr>
      <xdr:spPr>
        <a:xfrm>
          <a:off x="29586382" y="582497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21E75-858F-4E47-BBC2-CBDF2C82B95B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4CA4E3F-6A4B-430A-938D-6DA2A1933450}"/>
            </a:ext>
          </a:extLst>
        </xdr:cNvPr>
        <xdr:cNvSpPr/>
      </xdr:nvSpPr>
      <xdr:spPr>
        <a:xfrm>
          <a:off x="32701057" y="5415395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02A006-F085-440C-9793-E17049FD4010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935182</xdr:colOff>
      <xdr:row>25</xdr:row>
      <xdr:rowOff>43295</xdr:rowOff>
    </xdr:from>
    <xdr:to>
      <xdr:col>24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C8D63A6-2304-414C-AB95-6B8E5CAA0AF0}"/>
            </a:ext>
          </a:extLst>
        </xdr:cNvPr>
        <xdr:cNvSpPr/>
      </xdr:nvSpPr>
      <xdr:spPr>
        <a:xfrm>
          <a:off x="29586382" y="576782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BD0C0B-6B73-4AFB-B139-52151DD017C3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0BADC06-14B7-4B6B-B232-503656027B0B}"/>
            </a:ext>
          </a:extLst>
        </xdr:cNvPr>
        <xdr:cNvSpPr/>
      </xdr:nvSpPr>
      <xdr:spPr>
        <a:xfrm>
          <a:off x="32701057" y="5415395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E4C54C-AA80-4DB1-9909-4E9AE3B16BF6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935182</xdr:colOff>
      <xdr:row>25</xdr:row>
      <xdr:rowOff>43295</xdr:rowOff>
    </xdr:from>
    <xdr:to>
      <xdr:col>24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7B17E3DF-B02B-41B8-A0F7-1B15244857BB}"/>
            </a:ext>
          </a:extLst>
        </xdr:cNvPr>
        <xdr:cNvSpPr/>
      </xdr:nvSpPr>
      <xdr:spPr>
        <a:xfrm>
          <a:off x="16632382" y="527252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B6507-BD7C-4821-910B-5CC5F0059F11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533E62A-DD70-49D2-832F-60BB030C3232}"/>
            </a:ext>
          </a:extLst>
        </xdr:cNvPr>
        <xdr:cNvSpPr/>
      </xdr:nvSpPr>
      <xdr:spPr>
        <a:xfrm>
          <a:off x="29586382" y="544397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19F24F-39B7-4A6E-881B-7B371C70CB0E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84E890D-2095-4F73-A057-5676DC1614A0}"/>
            </a:ext>
          </a:extLst>
        </xdr:cNvPr>
        <xdr:cNvSpPr/>
      </xdr:nvSpPr>
      <xdr:spPr>
        <a:xfrm>
          <a:off x="32701057" y="5415395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2:CE42"/>
  <sheetViews>
    <sheetView topLeftCell="A10" zoomScale="110" zoomScaleNormal="110" workbookViewId="0">
      <selection activeCell="L29" sqref="L29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7.5703125" customWidth="1"/>
    <col min="11" max="11" width="16.28515625" bestFit="1" customWidth="1"/>
    <col min="12" max="12" width="26.5703125" customWidth="1"/>
    <col min="13" max="13" width="17" customWidth="1"/>
    <col min="14" max="14" width="26" bestFit="1" customWidth="1"/>
    <col min="15" max="15" width="37.5703125" customWidth="1"/>
    <col min="16" max="16" width="22" customWidth="1"/>
    <col min="17" max="17" width="21.140625" customWidth="1"/>
    <col min="18" max="18" width="8.28515625" bestFit="1" customWidth="1"/>
  </cols>
  <sheetData>
    <row r="2" spans="1:83" x14ac:dyDescent="0.2">
      <c r="A2" s="9"/>
      <c r="B2" s="9"/>
      <c r="C2" s="9"/>
      <c r="D2" s="9"/>
    </row>
    <row r="3" spans="1:83" x14ac:dyDescent="0.2">
      <c r="A3" s="9"/>
      <c r="B3" s="9"/>
      <c r="C3" s="10"/>
      <c r="D3" s="9"/>
    </row>
    <row r="4" spans="1:83" x14ac:dyDescent="0.2">
      <c r="A4" s="9"/>
      <c r="B4" s="9"/>
      <c r="C4" s="10"/>
      <c r="D4" s="9"/>
    </row>
    <row r="5" spans="1:83" x14ac:dyDescent="0.2">
      <c r="A5" s="9"/>
      <c r="B5" s="9"/>
      <c r="C5" s="10"/>
      <c r="D5" s="9"/>
    </row>
    <row r="6" spans="1:83" x14ac:dyDescent="0.2">
      <c r="A6" s="9"/>
      <c r="B6" s="9"/>
      <c r="C6" s="10"/>
      <c r="D6" s="9"/>
    </row>
    <row r="7" spans="1:83" x14ac:dyDescent="0.2">
      <c r="A7" s="9"/>
      <c r="B7" s="9"/>
      <c r="C7" s="9"/>
      <c r="D7" s="9"/>
    </row>
    <row r="8" spans="1:83" s="14" customFormat="1" x14ac:dyDescent="0.2"/>
    <row r="9" spans="1:83" s="14" customFormat="1" x14ac:dyDescent="0.2"/>
    <row r="10" spans="1:83" s="14" customFormat="1" x14ac:dyDescent="0.2"/>
    <row r="11" spans="1:8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</row>
    <row r="12" spans="1:83" s="21" customFormat="1" ht="21.7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2" t="s">
        <v>18</v>
      </c>
      <c r="M12" s="33"/>
      <c r="N12" s="3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spans="1:8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40" t="s">
        <v>19</v>
      </c>
      <c r="K13" s="40" t="s">
        <v>15</v>
      </c>
      <c r="L13" s="41" t="s">
        <v>5</v>
      </c>
      <c r="M13" s="41" t="s">
        <v>6</v>
      </c>
      <c r="N13" s="41" t="s">
        <v>8</v>
      </c>
      <c r="O13" s="41" t="s">
        <v>21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</row>
    <row r="14" spans="1:8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9" t="s">
        <v>4</v>
      </c>
      <c r="M14" s="29" t="s">
        <v>7</v>
      </c>
      <c r="N14" s="29" t="s">
        <v>9</v>
      </c>
      <c r="O14" s="29" t="s">
        <v>22</v>
      </c>
      <c r="P14" s="30" t="s">
        <v>20</v>
      </c>
      <c r="Q14" s="30" t="s">
        <v>23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</row>
    <row r="15" spans="1:83" s="21" customFormat="1" x14ac:dyDescent="0.2">
      <c r="A15" s="42" t="s">
        <v>3</v>
      </c>
      <c r="B15" s="60">
        <v>4.1552610000000003</v>
      </c>
      <c r="C15" s="60">
        <v>1.534198</v>
      </c>
      <c r="D15" s="60">
        <v>182</v>
      </c>
      <c r="E15" s="44">
        <v>0.123852</v>
      </c>
      <c r="F15" s="45">
        <f>E15/B15</f>
        <v>2.980606994362087E-2</v>
      </c>
      <c r="G15" s="46">
        <v>739</v>
      </c>
      <c r="H15" s="47">
        <v>1562</v>
      </c>
      <c r="I15" s="47">
        <v>0.25</v>
      </c>
      <c r="J15" s="48">
        <f>H15*G15*B15</f>
        <v>4796492.5669980003</v>
      </c>
      <c r="K15" s="49">
        <f>J15/1000</f>
        <v>4796.4925669980003</v>
      </c>
      <c r="L15" s="50">
        <f>J15^2*(I15^2+F15^2)</f>
        <v>1458335183912.5479</v>
      </c>
      <c r="M15" s="50">
        <f>SQRT(L15)/J15</f>
        <v>0.25177053402946903</v>
      </c>
      <c r="N15" s="50">
        <f>J15/(EXP(1.645*(LN(1+(M15^2)))^0.5))</f>
        <v>3190155.0199747612</v>
      </c>
      <c r="O15" s="50">
        <f>J15*(EXP(1.645*(LN(1+(M15^2)))^0.5))</f>
        <v>7211668.6497100322</v>
      </c>
      <c r="P15" s="51">
        <f>N15/1000</f>
        <v>3190.1550199747612</v>
      </c>
      <c r="Q15" s="52">
        <f>O15/1000</f>
        <v>7211.6686497100318</v>
      </c>
      <c r="R15" s="27" t="s">
        <v>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</row>
    <row r="16" spans="1:83" s="21" customFormat="1" x14ac:dyDescent="0.2">
      <c r="A16" s="42" t="s">
        <v>1</v>
      </c>
      <c r="B16" s="43">
        <v>3.4670510000000001</v>
      </c>
      <c r="C16" s="43">
        <v>1.1807270000000001</v>
      </c>
      <c r="D16" s="43">
        <v>383</v>
      </c>
      <c r="E16" s="44">
        <v>6.0962000000000002E-2</v>
      </c>
      <c r="F16" s="45">
        <f t="shared" ref="F16:F18" si="0">E16/B16</f>
        <v>1.7583242934701565E-2</v>
      </c>
      <c r="G16" s="46">
        <v>1661</v>
      </c>
      <c r="H16" s="53">
        <v>898</v>
      </c>
      <c r="I16" s="47">
        <v>0.14000000000000001</v>
      </c>
      <c r="J16" s="48">
        <f>H16*G16*B16</f>
        <v>5171376.9964779997</v>
      </c>
      <c r="K16" s="49">
        <f t="shared" ref="K16:K18" si="1">J16/1000</f>
        <v>5171.3769964779995</v>
      </c>
      <c r="L16" s="50">
        <f>J16^2*(I16^2+F16^2)</f>
        <v>532433732939.96063</v>
      </c>
      <c r="M16" s="50">
        <f>SQRT(L16)/J16</f>
        <v>0.14109985978767212</v>
      </c>
      <c r="N16" s="50">
        <f t="shared" ref="N16:N18" si="2">J16/(EXP(1.645*(LN(1+(M16^2)))^0.5))</f>
        <v>4104864.3977723494</v>
      </c>
      <c r="O16" s="50">
        <f t="shared" ref="O16:O18" si="3">J16*(EXP(1.645*(LN(1+(M16^2)))^0.5))</f>
        <v>6514987.4510385608</v>
      </c>
      <c r="P16" s="51">
        <f>N16/1000</f>
        <v>4104.8643977723495</v>
      </c>
      <c r="Q16" s="52">
        <f t="shared" ref="Q16:Q17" si="4">O16/1000</f>
        <v>6514.9874510385607</v>
      </c>
      <c r="R16" s="27" t="s">
        <v>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</row>
    <row r="17" spans="1:83" s="21" customFormat="1" x14ac:dyDescent="0.2">
      <c r="A17" s="42" t="s">
        <v>2</v>
      </c>
      <c r="B17" s="43">
        <v>3.6127129999999998</v>
      </c>
      <c r="C17" s="43">
        <v>1.2503880000000001</v>
      </c>
      <c r="D17" s="43">
        <v>40</v>
      </c>
      <c r="E17" s="44">
        <v>0.190054</v>
      </c>
      <c r="F17" s="45">
        <f t="shared" si="0"/>
        <v>5.2607001995453283E-2</v>
      </c>
      <c r="G17" s="46">
        <v>442</v>
      </c>
      <c r="H17" s="53">
        <v>553</v>
      </c>
      <c r="I17" s="47">
        <v>0.16</v>
      </c>
      <c r="J17" s="48">
        <f>H17*G17*B17</f>
        <v>883040.987738</v>
      </c>
      <c r="K17" s="49">
        <f t="shared" si="1"/>
        <v>883.04098773800001</v>
      </c>
      <c r="L17" s="50">
        <f>J17^2*(I17^2+F17^2)</f>
        <v>22119878512.8507</v>
      </c>
      <c r="M17" s="50">
        <f t="shared" ref="M17" si="5">SQRT(L17)/J17</f>
        <v>0.16842653193291615</v>
      </c>
      <c r="N17" s="50">
        <f t="shared" si="2"/>
        <v>670648.55194931175</v>
      </c>
      <c r="O17" s="50">
        <f t="shared" si="3"/>
        <v>1162697.4870203519</v>
      </c>
      <c r="P17" s="54">
        <f>N17/1000</f>
        <v>670.6485519493117</v>
      </c>
      <c r="Q17" s="52">
        <f t="shared" si="4"/>
        <v>1162.6974870203519</v>
      </c>
      <c r="R17" s="27" t="s">
        <v>2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</row>
    <row r="18" spans="1:83" s="21" customFormat="1" ht="15" x14ac:dyDescent="0.25">
      <c r="A18" s="42" t="s">
        <v>0</v>
      </c>
      <c r="B18" s="55">
        <v>3.4927670000000002</v>
      </c>
      <c r="C18" s="56">
        <v>1.249849</v>
      </c>
      <c r="D18" s="57">
        <v>553</v>
      </c>
      <c r="E18" s="44">
        <v>5.3149000000000002E-2</v>
      </c>
      <c r="F18" s="45">
        <f t="shared" si="0"/>
        <v>1.5216875331220204E-2</v>
      </c>
      <c r="G18" s="54">
        <v>1056</v>
      </c>
      <c r="H18" s="62">
        <v>1500</v>
      </c>
      <c r="I18" s="47">
        <v>0.25</v>
      </c>
      <c r="J18" s="48">
        <f>H18*G18*B18</f>
        <v>5532542.9280000003</v>
      </c>
      <c r="K18" s="48">
        <f t="shared" si="1"/>
        <v>5532.5429280000008</v>
      </c>
      <c r="L18" s="50">
        <f>J18^2*(I18^2+F18^2)</f>
        <v>1920152075173.1921</v>
      </c>
      <c r="M18" s="50">
        <f>SQRT(L18)/J18</f>
        <v>0.25046267844700115</v>
      </c>
      <c r="N18" s="50">
        <f t="shared" si="2"/>
        <v>3687273.3937038304</v>
      </c>
      <c r="O18" s="50">
        <f t="shared" si="3"/>
        <v>8301264.3712367481</v>
      </c>
      <c r="P18" s="51">
        <f>N18/1000</f>
        <v>3687.2733937038306</v>
      </c>
      <c r="Q18" s="52">
        <f>O18/1000</f>
        <v>8301.264371236748</v>
      </c>
      <c r="R18" s="27" t="s">
        <v>0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</row>
    <row r="19" spans="1:83" s="14" customFormat="1" x14ac:dyDescent="0.2">
      <c r="A19" s="13"/>
      <c r="B19" s="13"/>
      <c r="C19" s="18"/>
      <c r="D19" s="13"/>
      <c r="E19" s="13"/>
      <c r="F19" s="13"/>
      <c r="G19" s="13" t="s">
        <v>24</v>
      </c>
      <c r="H19" s="13"/>
      <c r="I19" s="13"/>
      <c r="J19" s="13"/>
      <c r="K19" s="13" t="s">
        <v>24</v>
      </c>
      <c r="L19" s="13"/>
      <c r="M19" s="13"/>
      <c r="N19" s="13"/>
      <c r="O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</row>
    <row r="20" spans="1:83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 s="13"/>
      <c r="J20" s="13"/>
      <c r="K20" s="16">
        <f>SUM(K15:K18)</f>
        <v>16383.453479214002</v>
      </c>
      <c r="L20" s="13"/>
      <c r="M20" s="13"/>
      <c r="N20" s="13"/>
      <c r="O20" s="18" t="s">
        <v>30</v>
      </c>
      <c r="P20" s="61">
        <f>SUM(P15:P18)</f>
        <v>11652.941363400254</v>
      </c>
      <c r="Q20" s="17">
        <f>SUM(Q15:Q18)</f>
        <v>23190.617959005693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</row>
    <row r="21" spans="1:8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</row>
    <row r="22" spans="1:83" s="14" customFormat="1" x14ac:dyDescent="0.2">
      <c r="B22" s="20"/>
      <c r="C22" s="20"/>
      <c r="D22" s="21"/>
      <c r="H22" s="59" t="s">
        <v>36</v>
      </c>
    </row>
    <row r="23" spans="1:83" s="14" customFormat="1" x14ac:dyDescent="0.2">
      <c r="B23" s="20"/>
      <c r="C23" s="20"/>
      <c r="D23" s="21"/>
      <c r="H23" s="59" t="s">
        <v>37</v>
      </c>
      <c r="J23" s="22" t="s">
        <v>31</v>
      </c>
      <c r="K23" s="22" t="s">
        <v>29</v>
      </c>
      <c r="P23" s="23" t="s">
        <v>24</v>
      </c>
    </row>
    <row r="24" spans="1:83" s="14" customFormat="1" x14ac:dyDescent="0.2">
      <c r="B24" s="20"/>
      <c r="D24" s="21"/>
      <c r="H24" s="59" t="s">
        <v>45</v>
      </c>
      <c r="J24" s="24" t="s">
        <v>3</v>
      </c>
      <c r="K24" s="25">
        <f>P15/P20</f>
        <v>0.27376392967997348</v>
      </c>
      <c r="L24" s="86" t="s">
        <v>40</v>
      </c>
      <c r="M24" s="87"/>
      <c r="N24" s="87"/>
    </row>
    <row r="25" spans="1:83" x14ac:dyDescent="0.2">
      <c r="A25" s="9"/>
      <c r="B25" s="34"/>
      <c r="C25" s="9"/>
      <c r="D25" s="35"/>
      <c r="E25" s="9"/>
      <c r="J25" s="3" t="s">
        <v>1</v>
      </c>
      <c r="K25" s="2">
        <f>P16/P20</f>
        <v>0.35225993762098329</v>
      </c>
      <c r="L25" s="6">
        <f>(P20)*0.02</f>
        <v>233.05882726800507</v>
      </c>
      <c r="M25" s="7" t="s">
        <v>25</v>
      </c>
      <c r="N25" s="7" t="s">
        <v>26</v>
      </c>
      <c r="O25" t="s">
        <v>32</v>
      </c>
    </row>
    <row r="26" spans="1:83" x14ac:dyDescent="0.2">
      <c r="A26" s="9"/>
      <c r="B26" s="34"/>
      <c r="C26" s="9"/>
      <c r="D26" s="9"/>
      <c r="E26" s="9"/>
      <c r="J26" s="3" t="s">
        <v>2</v>
      </c>
      <c r="K26" s="2">
        <f>P17/P20</f>
        <v>5.7551868754415557E-2</v>
      </c>
      <c r="L26" s="6">
        <f>(P20*0.026)</f>
        <v>302.97647544840657</v>
      </c>
      <c r="M26" s="8" t="s">
        <v>25</v>
      </c>
      <c r="N26" s="7" t="s">
        <v>27</v>
      </c>
      <c r="O26" s="89"/>
    </row>
    <row r="27" spans="1:83" x14ac:dyDescent="0.2">
      <c r="A27" s="36"/>
      <c r="B27" s="34"/>
      <c r="C27" s="9"/>
      <c r="D27" s="9"/>
      <c r="E27" s="9"/>
      <c r="J27" s="3" t="s">
        <v>0</v>
      </c>
      <c r="K27" s="2">
        <f>P18/P20</f>
        <v>0.31642426394462758</v>
      </c>
      <c r="L27" s="6">
        <f>(P20)*0.032</f>
        <v>372.89412362880813</v>
      </c>
      <c r="M27" s="8" t="s">
        <v>28</v>
      </c>
      <c r="N27" s="8" t="s">
        <v>28</v>
      </c>
      <c r="O27" s="89"/>
    </row>
    <row r="28" spans="1:83" ht="14.25" x14ac:dyDescent="0.2">
      <c r="A28" s="36"/>
      <c r="B28" s="37"/>
      <c r="C28" s="38"/>
      <c r="D28" s="37"/>
      <c r="E28" s="9"/>
      <c r="L28" s="88" t="s">
        <v>41</v>
      </c>
      <c r="M28" s="88"/>
      <c r="N28" s="88"/>
      <c r="O28" s="89"/>
    </row>
    <row r="29" spans="1:83" ht="14.25" x14ac:dyDescent="0.2">
      <c r="A29" s="36"/>
      <c r="B29" s="37"/>
      <c r="C29" s="38"/>
      <c r="D29" s="37"/>
      <c r="E29" s="9"/>
      <c r="L29" s="11">
        <f>L25+20</f>
        <v>253.05882726800507</v>
      </c>
      <c r="M29" s="12" t="s">
        <v>33</v>
      </c>
      <c r="N29" s="12" t="s">
        <v>26</v>
      </c>
      <c r="O29" s="85" t="s">
        <v>39</v>
      </c>
    </row>
    <row r="30" spans="1:83" x14ac:dyDescent="0.2">
      <c r="A30" s="36"/>
      <c r="B30" s="10"/>
      <c r="C30" s="9"/>
      <c r="D30" s="9"/>
      <c r="E30" s="9"/>
      <c r="L30" s="11">
        <f>L26+20</f>
        <v>322.97647544840657</v>
      </c>
      <c r="M30" s="12" t="s">
        <v>33</v>
      </c>
      <c r="N30" s="12" t="s">
        <v>27</v>
      </c>
      <c r="O30" s="85"/>
    </row>
    <row r="31" spans="1:83" x14ac:dyDescent="0.2">
      <c r="A31" s="36"/>
      <c r="B31" s="10"/>
      <c r="C31" s="9"/>
      <c r="D31" s="9"/>
      <c r="E31" s="9"/>
      <c r="L31" s="11">
        <f>L27+26</f>
        <v>398.89412362880813</v>
      </c>
      <c r="M31" s="12" t="s">
        <v>34</v>
      </c>
      <c r="N31" s="12" t="s">
        <v>44</v>
      </c>
      <c r="O31" s="85"/>
    </row>
    <row r="32" spans="1:83" x14ac:dyDescent="0.2">
      <c r="A32" s="1"/>
      <c r="B32" s="4"/>
      <c r="O32" s="5" t="s">
        <v>24</v>
      </c>
    </row>
    <row r="33" spans="1:16" x14ac:dyDescent="0.2">
      <c r="A33" s="1"/>
      <c r="B33" s="4"/>
    </row>
    <row r="34" spans="1:16" x14ac:dyDescent="0.2">
      <c r="A34" s="1"/>
      <c r="B34" s="4"/>
      <c r="L34" s="90" t="s">
        <v>42</v>
      </c>
      <c r="M34" s="90"/>
      <c r="N34" s="90"/>
      <c r="O34" s="91" t="s">
        <v>43</v>
      </c>
    </row>
    <row r="35" spans="1:16" ht="12.75" customHeight="1" x14ac:dyDescent="0.2">
      <c r="A35" s="1"/>
      <c r="B35" s="4"/>
      <c r="L35" s="90"/>
      <c r="M35" s="90"/>
      <c r="N35" s="90"/>
      <c r="O35" s="91"/>
    </row>
    <row r="36" spans="1:16" x14ac:dyDescent="0.2">
      <c r="A36" s="1"/>
      <c r="B36" s="4"/>
      <c r="L36" s="6">
        <f>(K20)*0.02</f>
        <v>327.66906958428007</v>
      </c>
      <c r="M36" s="7" t="s">
        <v>25</v>
      </c>
      <c r="N36" s="7" t="s">
        <v>26</v>
      </c>
      <c r="O36" s="91"/>
      <c r="P36" s="5"/>
    </row>
    <row r="37" spans="1:16" ht="12.75" customHeight="1" x14ac:dyDescent="0.2">
      <c r="A37" s="1"/>
      <c r="B37" s="4"/>
      <c r="L37" s="6">
        <f>(K20*0.026)</f>
        <v>425.96979045956402</v>
      </c>
      <c r="M37" s="8" t="s">
        <v>25</v>
      </c>
      <c r="N37" s="7" t="s">
        <v>27</v>
      </c>
      <c r="O37" s="91"/>
    </row>
    <row r="38" spans="1:16" x14ac:dyDescent="0.2">
      <c r="A38" s="1"/>
      <c r="B38" s="4"/>
      <c r="L38" s="6">
        <f>(K20)*0.032</f>
        <v>524.27051133484804</v>
      </c>
      <c r="M38" s="8" t="s">
        <v>28</v>
      </c>
      <c r="N38" s="8" t="s">
        <v>28</v>
      </c>
      <c r="O38" s="91"/>
    </row>
    <row r="39" spans="1:16" x14ac:dyDescent="0.2">
      <c r="L39" s="88" t="s">
        <v>41</v>
      </c>
      <c r="M39" s="88"/>
      <c r="N39" s="88"/>
      <c r="O39" s="91"/>
    </row>
    <row r="40" spans="1:16" x14ac:dyDescent="0.2">
      <c r="L40" s="11">
        <f>L36+20</f>
        <v>347.66906958428007</v>
      </c>
      <c r="M40" s="12" t="s">
        <v>33</v>
      </c>
      <c r="N40" s="12" t="s">
        <v>26</v>
      </c>
      <c r="O40" s="91"/>
    </row>
    <row r="41" spans="1:16" x14ac:dyDescent="0.2">
      <c r="L41" s="11">
        <f>L37+20</f>
        <v>445.96979045956402</v>
      </c>
      <c r="M41" s="12" t="s">
        <v>33</v>
      </c>
      <c r="N41" s="12" t="s">
        <v>27</v>
      </c>
      <c r="O41" s="91"/>
    </row>
    <row r="42" spans="1:16" x14ac:dyDescent="0.2">
      <c r="L42" s="11">
        <f>L38+26</f>
        <v>550.27051133484804</v>
      </c>
      <c r="M42" s="12" t="s">
        <v>34</v>
      </c>
      <c r="N42" s="12" t="s">
        <v>44</v>
      </c>
      <c r="O42" s="91"/>
    </row>
  </sheetData>
  <mergeCells count="7">
    <mergeCell ref="O29:O31"/>
    <mergeCell ref="L24:N24"/>
    <mergeCell ref="L28:N28"/>
    <mergeCell ref="O26:O28"/>
    <mergeCell ref="L39:N39"/>
    <mergeCell ref="L34:N35"/>
    <mergeCell ref="O34:O42"/>
  </mergeCells>
  <pageMargins left="0.7" right="0.7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18E7-D778-49CA-B0E9-DB3AA1EF9E33}">
  <sheetPr>
    <tabColor rgb="FF92D050"/>
  </sheetPr>
  <dimension ref="A2:CO47"/>
  <sheetViews>
    <sheetView tabSelected="1" topLeftCell="A13" zoomScale="110" zoomScaleNormal="110" workbookViewId="0">
      <selection activeCell="D36" sqref="D36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19" width="19.42578125" customWidth="1"/>
    <col min="20" max="20" width="17.5703125" customWidth="1"/>
    <col min="21" max="21" width="16.28515625" bestFit="1" customWidth="1"/>
    <col min="22" max="22" width="26.5703125" customWidth="1"/>
    <col min="23" max="23" width="17" customWidth="1"/>
    <col min="24" max="24" width="26" bestFit="1" customWidth="1"/>
    <col min="25" max="25" width="37.5703125" customWidth="1"/>
    <col min="26" max="26" width="22" customWidth="1"/>
    <col min="27" max="27" width="21.140625" customWidth="1"/>
    <col min="28" max="28" width="8.28515625" bestFit="1" customWidth="1"/>
  </cols>
  <sheetData>
    <row r="2" spans="1:93" x14ac:dyDescent="0.2">
      <c r="A2" s="9"/>
      <c r="B2" s="9"/>
      <c r="C2" s="9"/>
      <c r="D2" s="9"/>
    </row>
    <row r="3" spans="1:93" x14ac:dyDescent="0.2">
      <c r="A3" s="9"/>
      <c r="B3" s="9"/>
      <c r="C3" s="10"/>
      <c r="D3" s="9"/>
    </row>
    <row r="4" spans="1:93" x14ac:dyDescent="0.2">
      <c r="A4" s="9"/>
      <c r="B4" s="9"/>
      <c r="C4" s="10"/>
      <c r="D4" s="9"/>
    </row>
    <row r="5" spans="1:93" x14ac:dyDescent="0.2">
      <c r="A5" s="9"/>
      <c r="B5" s="9"/>
      <c r="C5" s="10"/>
      <c r="D5" s="9"/>
    </row>
    <row r="6" spans="1:93" x14ac:dyDescent="0.2">
      <c r="A6" s="9"/>
      <c r="C6" s="10"/>
      <c r="D6" s="9"/>
    </row>
    <row r="7" spans="1:93" x14ac:dyDescent="0.2">
      <c r="A7" s="9"/>
      <c r="B7" s="9"/>
      <c r="C7" s="9"/>
      <c r="D7" s="9"/>
    </row>
    <row r="8" spans="1:93" s="14" customFormat="1" x14ac:dyDescent="0.2"/>
    <row r="9" spans="1:93" s="14" customFormat="1" x14ac:dyDescent="0.2"/>
    <row r="10" spans="1:93" s="14" customFormat="1" ht="45" x14ac:dyDescent="0.25">
      <c r="E10" s="73" t="s">
        <v>66</v>
      </c>
    </row>
    <row r="11" spans="1:9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93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2" t="s">
        <v>18</v>
      </c>
      <c r="W12" s="33"/>
      <c r="X12" s="33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</row>
    <row r="13" spans="1:9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66" t="s">
        <v>56</v>
      </c>
      <c r="L13" s="66" t="s">
        <v>57</v>
      </c>
      <c r="M13" s="66" t="s">
        <v>53</v>
      </c>
      <c r="N13" s="66" t="s">
        <v>58</v>
      </c>
      <c r="O13" s="66" t="s">
        <v>59</v>
      </c>
      <c r="P13" s="77" t="s">
        <v>60</v>
      </c>
      <c r="Q13" s="66" t="s">
        <v>61</v>
      </c>
      <c r="R13" s="66" t="s">
        <v>54</v>
      </c>
      <c r="S13" s="66" t="s">
        <v>55</v>
      </c>
      <c r="T13" s="66" t="s">
        <v>19</v>
      </c>
      <c r="U13" s="66" t="s">
        <v>15</v>
      </c>
      <c r="V13" s="41" t="s">
        <v>5</v>
      </c>
      <c r="W13" s="41" t="s">
        <v>6</v>
      </c>
      <c r="X13" s="41" t="s">
        <v>8</v>
      </c>
      <c r="Y13" s="41" t="s">
        <v>21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9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29" t="s">
        <v>4</v>
      </c>
      <c r="W14" s="29" t="s">
        <v>7</v>
      </c>
      <c r="X14" s="29" t="s">
        <v>9</v>
      </c>
      <c r="Y14" s="29" t="s">
        <v>22</v>
      </c>
      <c r="Z14" s="30" t="s">
        <v>20</v>
      </c>
      <c r="AA14" s="30" t="s">
        <v>23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93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9">
        <f>H15*B15</f>
        <v>6490.5176820000006</v>
      </c>
      <c r="L15" s="69">
        <f>((E15^2)*(J15^2))+((E15^2)*(H15^2))+((J15^2)*(B15^2))</f>
        <v>2657382.9417823879</v>
      </c>
      <c r="M15" s="69">
        <f>SQRT(L15)</f>
        <v>1630.148134919765</v>
      </c>
      <c r="N15" s="69">
        <f>K15*G15</f>
        <v>4796492.5669980003</v>
      </c>
      <c r="O15" s="69">
        <f>N15/1000</f>
        <v>4796.4925669980003</v>
      </c>
      <c r="P15" s="68">
        <f>L15*G15^2</f>
        <v>1451252629549.1394</v>
      </c>
      <c r="Q15" s="69">
        <f>SQRT(P15)</f>
        <v>1204679.4717057063</v>
      </c>
      <c r="R15" s="69">
        <f>(N15-1.645*(Q15))/1000</f>
        <v>2814.7948360421137</v>
      </c>
      <c r="S15" s="69">
        <f>(N15+1.645*Q15)/1000</f>
        <v>6778.1902979538872</v>
      </c>
      <c r="T15" s="69">
        <f>H15*G15*B15</f>
        <v>4796492.5669980003</v>
      </c>
      <c r="U15" s="69">
        <f>T15/1000</f>
        <v>4796.4925669980003</v>
      </c>
      <c r="V15" s="50">
        <f>T15^2*(I15^2+F15^2)</f>
        <v>1450466963639.1426</v>
      </c>
      <c r="W15" s="50">
        <f>SQRT(V15)/T15</f>
        <v>0.25109042108287616</v>
      </c>
      <c r="X15" s="50">
        <f>T15/(EXP(1.645*(LN(1+(W15^2)))^0.5))</f>
        <v>3193565.835743919</v>
      </c>
      <c r="Y15" s="50">
        <f>T15*(EXP(1.645*(LN(1+(W15^2)))^0.5))</f>
        <v>7203966.3900988279</v>
      </c>
      <c r="Z15" s="51">
        <f>X15/1000</f>
        <v>3193.5658357439188</v>
      </c>
      <c r="AA15" s="52">
        <f>Y15/1000</f>
        <v>7203.966390098828</v>
      </c>
      <c r="AB15" s="27" t="s">
        <v>3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</row>
    <row r="16" spans="1:93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9">
        <f>H16*B16</f>
        <v>3105.8120240000003</v>
      </c>
      <c r="L16" s="69">
        <f>((E16^2)*(J16^2))+((E16^2)*(H16^2))+((J16^2)*(B16^2))</f>
        <v>190817.80115762944</v>
      </c>
      <c r="M16" s="69">
        <f>SQRT(L16)</f>
        <v>436.8269693570092</v>
      </c>
      <c r="N16" s="69">
        <f t="shared" ref="N16:N18" si="1">K16*G16</f>
        <v>5158753.7718640007</v>
      </c>
      <c r="O16" s="69">
        <f>N16/1000</f>
        <v>5158.7537718640006</v>
      </c>
      <c r="P16" s="68">
        <f>L16*G16^2</f>
        <v>526451238787.60815</v>
      </c>
      <c r="Q16" s="69">
        <f>SQRT(P16)</f>
        <v>725569.5961019923</v>
      </c>
      <c r="R16" s="69">
        <f t="shared" ref="R16:R18" si="2">(N16-1.645*(Q16))/1000</f>
        <v>3965.191786276223</v>
      </c>
      <c r="S16" s="69">
        <f t="shared" ref="S16:S18" si="3">(N16+1.645*Q16)/1000</f>
        <v>6352.3157574517782</v>
      </c>
      <c r="T16" s="69">
        <f>H16*G16*B16</f>
        <v>5158753.7718640007</v>
      </c>
      <c r="U16" s="69">
        <f t="shared" ref="U16:U18" si="4">T16/1000</f>
        <v>5158.7537718640006</v>
      </c>
      <c r="V16" s="50">
        <f>T16^2*(I16^2+F16^2)</f>
        <v>526358169056.40808</v>
      </c>
      <c r="W16" s="50">
        <f>SQRT(V16)/T16</f>
        <v>0.1406357988223268</v>
      </c>
      <c r="X16" s="50">
        <f t="shared" ref="X16:X18" si="5">T16/(EXP(1.645*(LN(1+(W16^2)))^0.5))</f>
        <v>4097925.8863633494</v>
      </c>
      <c r="Y16" s="50">
        <f t="shared" ref="Y16:Y18" si="6">T16*(EXP(1.645*(LN(1+(W16^2)))^0.5))</f>
        <v>6494197.6054960284</v>
      </c>
      <c r="Z16" s="51">
        <f>X16/1000</f>
        <v>4097.9258863633495</v>
      </c>
      <c r="AA16" s="52">
        <f t="shared" ref="AA16:AA17" si="7">Y16/1000</f>
        <v>6494.1976054960287</v>
      </c>
      <c r="AB16" s="27" t="s">
        <v>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</row>
    <row r="17" spans="1:93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9">
        <f>H17*B17</f>
        <v>1997.830289</v>
      </c>
      <c r="L17" s="69">
        <f>((E17^2)*(J17^2))+((E17^2)*(H17^2))+((J17^2)*(B17^2))</f>
        <v>104739.27074828418</v>
      </c>
      <c r="M17" s="69">
        <f>SQRT(L17)</f>
        <v>323.6344708900524</v>
      </c>
      <c r="N17" s="69">
        <f t="shared" si="1"/>
        <v>883040.987738</v>
      </c>
      <c r="O17" s="69">
        <f>N17/1000</f>
        <v>883.04098773800001</v>
      </c>
      <c r="P17" s="68">
        <f>L17*G17^2</f>
        <v>20462282890.467789</v>
      </c>
      <c r="Q17" s="69">
        <f>SQRT(P17)</f>
        <v>143046.43613340316</v>
      </c>
      <c r="R17" s="69">
        <f t="shared" si="2"/>
        <v>647.72960029855187</v>
      </c>
      <c r="S17" s="69">
        <f t="shared" si="3"/>
        <v>1118.352375177448</v>
      </c>
      <c r="T17" s="69">
        <f>H17*G17*B17</f>
        <v>883040.987738</v>
      </c>
      <c r="U17" s="69">
        <f t="shared" si="4"/>
        <v>883.04098773800001</v>
      </c>
      <c r="V17" s="50">
        <f>T17^2*(I17^2+F17^2)</f>
        <v>20449792621.30785</v>
      </c>
      <c r="W17" s="50">
        <f t="shared" ref="W17" si="8">SQRT(V17)/T17</f>
        <v>0.1619435262485783</v>
      </c>
      <c r="X17" s="50">
        <f t="shared" si="5"/>
        <v>677694.60304175981</v>
      </c>
      <c r="Y17" s="50">
        <f t="shared" si="6"/>
        <v>1150608.8177852193</v>
      </c>
      <c r="Z17" s="54">
        <f>X17/1000</f>
        <v>677.69460304175982</v>
      </c>
      <c r="AA17" s="52">
        <f t="shared" si="7"/>
        <v>1150.6088177852193</v>
      </c>
      <c r="AB17" s="27" t="s">
        <v>2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</row>
    <row r="18" spans="1:93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1957.5329999999999</v>
      </c>
      <c r="I18" s="47">
        <v>0.14199999999999999</v>
      </c>
      <c r="J18" s="68">
        <v>278.46480000000003</v>
      </c>
      <c r="K18" s="69">
        <f>H18*B18</f>
        <v>6842.1455195699991</v>
      </c>
      <c r="L18" s="69">
        <f>((E18^2)*(J18^2))+((E18^2)*(H18^2))+((J18^2)*(B18^2))</f>
        <v>958030.21519378654</v>
      </c>
      <c r="M18" s="69">
        <f>SQRT(L18)</f>
        <v>978.79017935090997</v>
      </c>
      <c r="N18" s="69">
        <f t="shared" si="1"/>
        <v>7225305.6686659195</v>
      </c>
      <c r="O18" s="69">
        <f>N18/1000</f>
        <v>7225.3056686659193</v>
      </c>
      <c r="P18" s="68">
        <f>L18*G18^2</f>
        <v>1068333982050.3384</v>
      </c>
      <c r="Q18" s="69">
        <f>SQRT(P18)</f>
        <v>1033602.429394561</v>
      </c>
      <c r="R18" s="69">
        <f t="shared" si="2"/>
        <v>5525.0296723118663</v>
      </c>
      <c r="S18" s="69">
        <f t="shared" si="3"/>
        <v>8925.5816650199722</v>
      </c>
      <c r="T18" s="69">
        <f>H18*G18*B18</f>
        <v>7225305.6686659195</v>
      </c>
      <c r="U18" s="69">
        <f t="shared" si="4"/>
        <v>7225.3056686659193</v>
      </c>
      <c r="V18" s="50">
        <f>T18^2*(I18^2+F18^2)</f>
        <v>1064344287942.3741</v>
      </c>
      <c r="W18" s="50">
        <f>SQRT(V18)/T18</f>
        <v>0.14278574179306808</v>
      </c>
      <c r="X18" s="50">
        <f t="shared" si="5"/>
        <v>5719555.7450127462</v>
      </c>
      <c r="Y18" s="50">
        <f t="shared" si="6"/>
        <v>9127464.4977762215</v>
      </c>
      <c r="Z18" s="51">
        <f>X18/1000</f>
        <v>5719.5557450127462</v>
      </c>
      <c r="AA18" s="52">
        <f>Y18/1000</f>
        <v>9127.4644977762218</v>
      </c>
      <c r="AB18" s="27" t="s">
        <v>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</row>
    <row r="19" spans="1:93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77542.644839040018</v>
      </c>
      <c r="K19" s="64"/>
      <c r="L19" s="64">
        <f>SQRT(L18)</f>
        <v>978.79017935090997</v>
      </c>
      <c r="M19" s="64"/>
      <c r="N19" s="64"/>
      <c r="O19" s="64"/>
      <c r="P19" s="64"/>
      <c r="Q19" s="65"/>
      <c r="R19" s="16">
        <f>SUM(R15:R18)</f>
        <v>12952.745894928754</v>
      </c>
      <c r="S19" s="16">
        <f>SUM(S15:S18)</f>
        <v>23174.440095603088</v>
      </c>
      <c r="T19" s="13"/>
      <c r="U19" s="13" t="s">
        <v>24</v>
      </c>
      <c r="V19" s="13">
        <f>(((J18^2)*(C18^2))+((J18^2)*(B18^2))+((C18^2)*(H18^2)))*G18^2</f>
        <v>7866644745130.1611</v>
      </c>
      <c r="W19" s="13">
        <f>SQRT(V19)/T18</f>
        <v>0.38818481640660529</v>
      </c>
      <c r="X19" s="13"/>
      <c r="Y19" s="13"/>
      <c r="Z19" s="15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</row>
    <row r="20" spans="1:93" s="14" customFormat="1" x14ac:dyDescent="0.2">
      <c r="A20" s="19"/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6">
        <f>SUM(U15:U18)</f>
        <v>18063.592995265921</v>
      </c>
      <c r="V20" s="13">
        <f>SQRT(V19)</f>
        <v>2804753.9544726843</v>
      </c>
      <c r="W20" s="13"/>
      <c r="X20" s="13"/>
      <c r="Y20" s="18" t="s">
        <v>30</v>
      </c>
      <c r="Z20" s="61">
        <f>SUM(Z15:Z18)</f>
        <v>13688.742070161774</v>
      </c>
      <c r="AA20" s="17">
        <f>SUM(AA15:AA18)</f>
        <v>23976.237311156299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9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</row>
    <row r="22" spans="1:93" s="14" customFormat="1" x14ac:dyDescent="0.2">
      <c r="B22" s="20"/>
      <c r="C22" s="20"/>
      <c r="D22" s="21"/>
      <c r="H22" s="59" t="s">
        <v>36</v>
      </c>
    </row>
    <row r="23" spans="1:93" s="14" customFormat="1" x14ac:dyDescent="0.2">
      <c r="B23" s="20"/>
      <c r="C23" s="20"/>
      <c r="D23" s="21"/>
      <c r="H23" s="59" t="s">
        <v>37</v>
      </c>
      <c r="T23" s="22" t="s">
        <v>31</v>
      </c>
      <c r="U23" s="22" t="s">
        <v>29</v>
      </c>
      <c r="Z23" s="23" t="s">
        <v>24</v>
      </c>
    </row>
    <row r="24" spans="1:93" s="14" customFormat="1" x14ac:dyDescent="0.2">
      <c r="B24" s="20"/>
      <c r="D24" s="21"/>
      <c r="H24" s="59" t="s">
        <v>45</v>
      </c>
      <c r="J24" s="14">
        <f>J18/I18</f>
        <v>1961.0197183098594</v>
      </c>
      <c r="T24" s="24" t="s">
        <v>3</v>
      </c>
      <c r="U24" s="25">
        <f>Z15/Z20</f>
        <v>0.23329870775380729</v>
      </c>
      <c r="V24" s="86" t="s">
        <v>40</v>
      </c>
      <c r="W24" s="87"/>
      <c r="X24" s="87"/>
    </row>
    <row r="25" spans="1:93" x14ac:dyDescent="0.2">
      <c r="A25" s="9"/>
      <c r="B25" s="34"/>
      <c r="C25" s="9"/>
      <c r="D25" s="35"/>
      <c r="E25" s="9"/>
      <c r="T25" s="3" t="s">
        <v>1</v>
      </c>
      <c r="U25" s="2">
        <f>Z16/Z20</f>
        <v>0.29936467977549674</v>
      </c>
      <c r="V25" s="6">
        <f>(Z20)*0.02</f>
        <v>273.77484140323548</v>
      </c>
      <c r="W25" s="7" t="s">
        <v>25</v>
      </c>
      <c r="X25" s="7" t="s">
        <v>26</v>
      </c>
      <c r="Y25" t="s">
        <v>32</v>
      </c>
    </row>
    <row r="26" spans="1:93" x14ac:dyDescent="0.2">
      <c r="A26" s="9"/>
      <c r="B26" s="34"/>
      <c r="C26" s="9"/>
      <c r="D26" s="9"/>
      <c r="E26" s="9"/>
      <c r="T26" s="3" t="s">
        <v>2</v>
      </c>
      <c r="U26" s="2">
        <f>Z17/Z20</f>
        <v>4.9507441923314056E-2</v>
      </c>
      <c r="V26" s="6">
        <f>(Z20*0.026)</f>
        <v>355.90729382420608</v>
      </c>
      <c r="W26" s="8" t="s">
        <v>25</v>
      </c>
      <c r="X26" s="7" t="s">
        <v>27</v>
      </c>
      <c r="Y26" s="89"/>
    </row>
    <row r="27" spans="1:93" x14ac:dyDescent="0.2">
      <c r="A27" s="36"/>
      <c r="B27" s="34"/>
      <c r="C27" s="9"/>
      <c r="D27" s="9"/>
      <c r="E27" s="9"/>
      <c r="T27" s="3" t="s">
        <v>0</v>
      </c>
      <c r="U27" s="2">
        <f>Z18/Z20</f>
        <v>0.41782917054738195</v>
      </c>
      <c r="V27" s="6">
        <f>(Z20)*0.032</f>
        <v>438.03974624517679</v>
      </c>
      <c r="W27" s="8" t="s">
        <v>28</v>
      </c>
      <c r="X27" s="8" t="s">
        <v>28</v>
      </c>
      <c r="Y27" s="89"/>
    </row>
    <row r="28" spans="1:93" ht="14.25" x14ac:dyDescent="0.2">
      <c r="A28" s="36"/>
      <c r="B28" s="37"/>
      <c r="C28" s="38"/>
      <c r="D28" s="37"/>
      <c r="E28" s="9"/>
      <c r="V28" s="88" t="s">
        <v>41</v>
      </c>
      <c r="W28" s="88"/>
      <c r="X28" s="88"/>
      <c r="Y28" s="89"/>
    </row>
    <row r="29" spans="1:93" ht="14.25" x14ac:dyDescent="0.2">
      <c r="A29" s="36"/>
      <c r="B29" s="37"/>
      <c r="C29" s="38"/>
      <c r="D29" s="37"/>
      <c r="E29" s="9"/>
      <c r="V29" s="11">
        <f>V25+20</f>
        <v>293.77484140323548</v>
      </c>
      <c r="W29" s="12" t="s">
        <v>33</v>
      </c>
      <c r="X29" s="12" t="s">
        <v>26</v>
      </c>
      <c r="Y29" s="85" t="s">
        <v>39</v>
      </c>
    </row>
    <row r="30" spans="1:93" x14ac:dyDescent="0.2">
      <c r="A30" s="36"/>
      <c r="B30" s="10"/>
      <c r="C30" s="9"/>
      <c r="D30" s="9"/>
      <c r="E30" s="9"/>
      <c r="V30" s="11">
        <f>V26+20</f>
        <v>375.90729382420608</v>
      </c>
      <c r="W30" s="12" t="s">
        <v>33</v>
      </c>
      <c r="X30" s="12" t="s">
        <v>27</v>
      </c>
      <c r="Y30" s="85"/>
    </row>
    <row r="31" spans="1:93" x14ac:dyDescent="0.2">
      <c r="A31" s="36"/>
      <c r="B31" s="10"/>
      <c r="C31" s="9"/>
      <c r="D31" s="9"/>
      <c r="E31" s="9"/>
      <c r="V31" s="11">
        <f>V27+26</f>
        <v>464.03974624517679</v>
      </c>
      <c r="W31" s="12" t="s">
        <v>34</v>
      </c>
      <c r="X31" s="12" t="s">
        <v>44</v>
      </c>
      <c r="Y31" s="85"/>
    </row>
    <row r="32" spans="1:93" x14ac:dyDescent="0.2">
      <c r="A32" s="1"/>
      <c r="B32" s="4"/>
      <c r="Y32" s="5" t="s">
        <v>24</v>
      </c>
    </row>
    <row r="33" spans="1:28" x14ac:dyDescent="0.2">
      <c r="A33" s="1"/>
      <c r="B33" s="4"/>
    </row>
    <row r="34" spans="1:28" x14ac:dyDescent="0.2">
      <c r="A34" s="1"/>
      <c r="B34" s="4"/>
      <c r="V34" s="90" t="s">
        <v>42</v>
      </c>
      <c r="W34" s="90"/>
      <c r="X34" s="90"/>
      <c r="Y34" s="91" t="s">
        <v>43</v>
      </c>
    </row>
    <row r="35" spans="1:28" ht="12.75" customHeight="1" x14ac:dyDescent="0.2">
      <c r="A35" s="1"/>
      <c r="B35" s="4"/>
      <c r="V35" s="90"/>
      <c r="W35" s="90"/>
      <c r="X35" s="90"/>
      <c r="Y35" s="91"/>
    </row>
    <row r="36" spans="1:28" x14ac:dyDescent="0.2">
      <c r="A36" s="1"/>
      <c r="B36" s="4"/>
      <c r="V36" s="6">
        <f>(U20)*0.02</f>
        <v>361.27185990531842</v>
      </c>
      <c r="W36" s="7" t="s">
        <v>25</v>
      </c>
      <c r="X36" s="7" t="s">
        <v>26</v>
      </c>
      <c r="Y36" s="91"/>
      <c r="Z36" s="5"/>
    </row>
    <row r="37" spans="1:28" ht="12.75" customHeight="1" x14ac:dyDescent="0.2">
      <c r="A37" s="1"/>
      <c r="B37" s="4"/>
      <c r="V37" s="6">
        <f>(U20*0.026)</f>
        <v>469.65341787691392</v>
      </c>
      <c r="W37" s="8" t="s">
        <v>25</v>
      </c>
      <c r="X37" s="7" t="s">
        <v>27</v>
      </c>
      <c r="Y37" s="91"/>
    </row>
    <row r="38" spans="1:28" x14ac:dyDescent="0.2">
      <c r="A38" s="1"/>
      <c r="B38" s="4"/>
      <c r="V38" s="6">
        <f>(U20)*0.032</f>
        <v>578.03497584850948</v>
      </c>
      <c r="W38" s="8" t="s">
        <v>28</v>
      </c>
      <c r="X38" s="8" t="s">
        <v>28</v>
      </c>
      <c r="Y38" s="91"/>
    </row>
    <row r="39" spans="1:28" x14ac:dyDescent="0.2">
      <c r="V39" s="88" t="s">
        <v>41</v>
      </c>
      <c r="W39" s="88"/>
      <c r="X39" s="88"/>
      <c r="Y39" s="91"/>
    </row>
    <row r="40" spans="1:28" x14ac:dyDescent="0.2">
      <c r="V40" s="11">
        <f>V36+20</f>
        <v>381.27185990531842</v>
      </c>
      <c r="W40" s="12" t="s">
        <v>33</v>
      </c>
      <c r="X40" s="12" t="s">
        <v>26</v>
      </c>
      <c r="Y40" s="91"/>
    </row>
    <row r="41" spans="1:28" x14ac:dyDescent="0.2">
      <c r="V41" s="11">
        <f>V37+20</f>
        <v>489.65341787691392</v>
      </c>
      <c r="W41" s="12" t="s">
        <v>33</v>
      </c>
      <c r="X41" s="12" t="s">
        <v>27</v>
      </c>
      <c r="Y41" s="91"/>
    </row>
    <row r="42" spans="1:28" ht="18" x14ac:dyDescent="0.25">
      <c r="A42" s="78" t="s">
        <v>68</v>
      </c>
      <c r="V42" s="11">
        <f>V38+26</f>
        <v>604.03497584850948</v>
      </c>
      <c r="W42" s="12" t="s">
        <v>34</v>
      </c>
      <c r="X42" s="12" t="s">
        <v>44</v>
      </c>
      <c r="Y42" s="91"/>
    </row>
    <row r="44" spans="1:28" x14ac:dyDescent="0.2">
      <c r="B44" t="s">
        <v>67</v>
      </c>
    </row>
    <row r="45" spans="1:28" ht="15" x14ac:dyDescent="0.25">
      <c r="A45" s="42" t="s">
        <v>0</v>
      </c>
      <c r="B45" s="55">
        <v>3.5281920000000002</v>
      </c>
      <c r="C45" s="56">
        <v>3.8008060000000001</v>
      </c>
      <c r="D45" s="75">
        <v>553</v>
      </c>
      <c r="E45" s="44">
        <v>0.16300000000000001</v>
      </c>
      <c r="F45" s="45">
        <f>E45/B45</f>
        <v>4.6199299811348134E-2</v>
      </c>
      <c r="G45" s="54">
        <v>1056</v>
      </c>
      <c r="H45" s="72">
        <v>1957.5329999999999</v>
      </c>
      <c r="I45" s="47">
        <v>0.14199999999999999</v>
      </c>
      <c r="J45" s="68">
        <v>278.46480000000003</v>
      </c>
      <c r="K45" s="69">
        <f>H45*B45</f>
        <v>6906.5522703360002</v>
      </c>
      <c r="L45" s="69">
        <f>((E45^2)*(J45^2))+((E45^2)*(H45^2))+((J45^2)*(B45^2))</f>
        <v>1069132.5284098261</v>
      </c>
      <c r="M45" s="69">
        <f>SQRT(L45)</f>
        <v>1033.9886500391704</v>
      </c>
      <c r="N45" s="69">
        <f t="shared" ref="N45" si="9">K45*G45</f>
        <v>7293319.1974748159</v>
      </c>
      <c r="O45" s="69">
        <f>N45/1000</f>
        <v>7293.3191974748161</v>
      </c>
      <c r="P45" s="68">
        <f>L45*G45^2</f>
        <v>1192228171200.8198</v>
      </c>
      <c r="Q45" s="69">
        <f>SQRT(P45)</f>
        <v>1091892.014441364</v>
      </c>
      <c r="R45" s="69">
        <f t="shared" ref="R45" si="10">(N45-1.645*(Q45))/1000</f>
        <v>5497.1568337187718</v>
      </c>
      <c r="S45" s="69">
        <f t="shared" ref="S45" si="11">(N45+1.645*Q45)/1000</f>
        <v>9089.4815612308612</v>
      </c>
      <c r="T45" s="69">
        <f>H45*G45*B45</f>
        <v>7293319.1974748168</v>
      </c>
      <c r="U45" s="69">
        <f t="shared" ref="U45" si="12">T45/1000</f>
        <v>7293.319197474817</v>
      </c>
      <c r="V45" s="50">
        <f>T45^2*(I45^2+F45^2)</f>
        <v>1186106437932.4492</v>
      </c>
      <c r="W45" s="50">
        <f>SQRT(V45)/T45</f>
        <v>0.14932640524387786</v>
      </c>
      <c r="X45" s="50">
        <f t="shared" ref="X45" si="13">T45/(EXP(1.645*(LN(1+(W45^2)))^0.5))</f>
        <v>5712574.9290309912</v>
      </c>
      <c r="Y45" s="50">
        <f t="shared" ref="Y45" si="14">T45*(EXP(1.645*(LN(1+(W45^2)))^0.5))</f>
        <v>9311476.0991463456</v>
      </c>
      <c r="Z45" s="51">
        <f>X45/1000</f>
        <v>5712.5749290309914</v>
      </c>
      <c r="AA45" s="52">
        <f>Y45/1000</f>
        <v>9311.4760991463463</v>
      </c>
      <c r="AB45" s="27" t="s">
        <v>0</v>
      </c>
    </row>
    <row r="46" spans="1:28" ht="15" x14ac:dyDescent="0.25">
      <c r="B46" t="s">
        <v>69</v>
      </c>
      <c r="E46" s="82"/>
    </row>
    <row r="47" spans="1:28" ht="15" x14ac:dyDescent="0.25">
      <c r="A47" s="42" t="s">
        <v>0</v>
      </c>
      <c r="B47" s="55">
        <v>3.4979490000000002</v>
      </c>
      <c r="C47" s="56">
        <v>3.802994</v>
      </c>
      <c r="D47" s="75">
        <v>553</v>
      </c>
      <c r="E47" s="44">
        <v>0.16300000000000001</v>
      </c>
      <c r="F47" s="45">
        <f>E47/B47</f>
        <v>4.6598735430390781E-2</v>
      </c>
      <c r="G47" s="54">
        <v>1056</v>
      </c>
      <c r="H47" s="72">
        <v>1957.5329999999999</v>
      </c>
      <c r="I47" s="47">
        <v>0.14199999999999999</v>
      </c>
      <c r="J47" s="68">
        <v>278.46480000000003</v>
      </c>
      <c r="K47" s="69">
        <f>H47*B47</f>
        <v>6847.3505998170003</v>
      </c>
      <c r="L47" s="69">
        <f>((E47^2)*(J47^2))+((E47^2)*(H47^2))+((J47^2)*(B47^2))</f>
        <v>1052655.3691151207</v>
      </c>
      <c r="M47" s="69">
        <f>SQRT(L47)</f>
        <v>1025.989945913273</v>
      </c>
      <c r="N47" s="69">
        <f t="shared" ref="N47" si="15">K47*G47</f>
        <v>7230802.2334067523</v>
      </c>
      <c r="O47" s="69">
        <f>N47/1000</f>
        <v>7230.8022334067527</v>
      </c>
      <c r="P47" s="68">
        <f>L47*G47^2</f>
        <v>1173853897693.5593</v>
      </c>
      <c r="Q47" s="69">
        <f>SQRT(P47)</f>
        <v>1083445.3828844163</v>
      </c>
      <c r="R47" s="69">
        <f t="shared" ref="R47" si="16">(N47-1.645*(Q47))/1000</f>
        <v>5448.5345785618874</v>
      </c>
      <c r="S47" s="69">
        <f t="shared" ref="S47" si="17">(N47+1.645*Q47)/1000</f>
        <v>9013.0698882516172</v>
      </c>
      <c r="T47" s="69">
        <f>H47*G47*B47</f>
        <v>7230802.2334067523</v>
      </c>
      <c r="U47" s="69">
        <f t="shared" ref="U47" si="18">T47/1000</f>
        <v>7230.8022334067527</v>
      </c>
      <c r="V47" s="50">
        <f>T47^2*(I47^2+F47^2)</f>
        <v>1167797445727.8279</v>
      </c>
      <c r="W47" s="50">
        <f>SQRT(V47)/T47</f>
        <v>0.14945046719134589</v>
      </c>
      <c r="X47" s="50">
        <f t="shared" ref="X47" si="19">T47/(EXP(1.645*(LN(1+(W47^2)))^0.5))</f>
        <v>5662471.0468801586</v>
      </c>
      <c r="Y47" s="50">
        <f t="shared" ref="Y47" si="20">T47*(EXP(1.645*(LN(1+(W47^2)))^0.5))</f>
        <v>9233513.1616164595</v>
      </c>
      <c r="Z47" s="51">
        <f>X47/1000</f>
        <v>5662.4710468801586</v>
      </c>
      <c r="AA47" s="52">
        <f>Y47/1000</f>
        <v>9233.5131616164599</v>
      </c>
      <c r="AB47" s="27" t="s">
        <v>0</v>
      </c>
    </row>
  </sheetData>
  <mergeCells count="7">
    <mergeCell ref="V24:X24"/>
    <mergeCell ref="Y26:Y28"/>
    <mergeCell ref="V28:X28"/>
    <mergeCell ref="Y29:Y31"/>
    <mergeCell ref="V34:X35"/>
    <mergeCell ref="Y34:Y42"/>
    <mergeCell ref="V39:X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D73C-E8BE-4464-BF93-7F838417C2DB}">
  <sheetPr>
    <tabColor rgb="FF92D050"/>
  </sheetPr>
  <dimension ref="A2:CQ47"/>
  <sheetViews>
    <sheetView topLeftCell="L13" zoomScale="110" zoomScaleNormal="110" workbookViewId="0">
      <selection activeCell="K47" sqref="K47:L47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55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1957.5329999999999</v>
      </c>
      <c r="I18" s="47">
        <v>0.14199999999999999</v>
      </c>
      <c r="J18" s="68">
        <v>278.46480000000003</v>
      </c>
      <c r="K18" s="72">
        <v>0.99060680000000001</v>
      </c>
      <c r="L18" s="84">
        <v>4.5732770000000002E-5</v>
      </c>
      <c r="M18" s="69">
        <f>H18*B18*K18</f>
        <v>6777.875878275574</v>
      </c>
      <c r="N18" s="69">
        <f>(((J18^2)+(H18^2))*(L18+K18^2)*((E18^2)+(B18^2)))-((H18^2)*(K18^2)*(B18^2))</f>
        <v>942301.59643787891</v>
      </c>
      <c r="O18" s="69">
        <f>SQRT(N18)</f>
        <v>970.72220353604712</v>
      </c>
      <c r="P18" s="69">
        <f t="shared" si="1"/>
        <v>7157436.9274590062</v>
      </c>
      <c r="Q18" s="69">
        <f>P18/1000</f>
        <v>7157.4369274590063</v>
      </c>
      <c r="R18" s="68">
        <f>N18*G18^2</f>
        <v>1050794433045.3506</v>
      </c>
      <c r="S18" s="69">
        <f>SQRT(R18)</f>
        <v>1025082.6469340657</v>
      </c>
      <c r="T18" s="69">
        <f t="shared" si="2"/>
        <v>5471.1759732524679</v>
      </c>
      <c r="U18" s="69">
        <f t="shared" si="3"/>
        <v>8843.6978816655446</v>
      </c>
      <c r="V18" s="69">
        <f>H18*G18*B18*K18</f>
        <v>7157436.9274590071</v>
      </c>
      <c r="W18" s="69">
        <f t="shared" si="4"/>
        <v>7157.4369274590072</v>
      </c>
      <c r="X18" s="50">
        <f>V18^2*(I18^2+F18^2)</f>
        <v>1044442999856.0978</v>
      </c>
      <c r="Y18" s="50">
        <f>SQRT(X18)/V18</f>
        <v>0.14278574179306808</v>
      </c>
      <c r="Z18" s="50">
        <f t="shared" si="5"/>
        <v>5665830.8139886931</v>
      </c>
      <c r="AA18" s="50">
        <f t="shared" si="6"/>
        <v>9041728.3982557114</v>
      </c>
      <c r="AB18" s="51">
        <f>Z18/1000</f>
        <v>5665.8308139886931</v>
      </c>
      <c r="AC18" s="52">
        <f>AA18/1000</f>
        <v>9041.728398255711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77542.644839040018</v>
      </c>
      <c r="K19" s="64"/>
      <c r="L19" s="64"/>
      <c r="M19" s="64"/>
      <c r="N19" s="64">
        <f>SQRT(N18)</f>
        <v>970.72220353604712</v>
      </c>
      <c r="O19" s="64"/>
      <c r="P19" s="64"/>
      <c r="Q19" s="64"/>
      <c r="R19" s="64"/>
      <c r="S19" s="65"/>
      <c r="T19" s="16">
        <f>SUM(T15:T18)</f>
        <v>12898.89219586935</v>
      </c>
      <c r="U19" s="16">
        <f>SUM(U15:U18)</f>
        <v>23092.556312248664</v>
      </c>
      <c r="V19" s="13"/>
      <c r="W19" s="13" t="s">
        <v>24</v>
      </c>
      <c r="X19" s="13">
        <f>(((J18^2)*(C18^2))+((J18^2)*(B18^2))+((C18^2)*(H18^2)))*G18^2</f>
        <v>7866644745130.1611</v>
      </c>
      <c r="Y19" s="13">
        <f>SQRT(X19)/V18</f>
        <v>0.39186568919838349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17995.724254059009</v>
      </c>
      <c r="X20" s="13">
        <f>SQRT(X19)</f>
        <v>2804753.9544726843</v>
      </c>
      <c r="Y20" s="13"/>
      <c r="Z20" s="13"/>
      <c r="AA20" s="18" t="s">
        <v>30</v>
      </c>
      <c r="AB20" s="61">
        <f>SUM(AB15:AB18)</f>
        <v>13635.017139137723</v>
      </c>
      <c r="AC20" s="17">
        <f>SUM(AC15:AC18)</f>
        <v>23890.501211635787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1961.0197183098594</v>
      </c>
      <c r="V24" s="24" t="s">
        <v>3</v>
      </c>
      <c r="W24" s="25">
        <f>AB15/AB20</f>
        <v>0.234217955368546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0.3005442416790759</v>
      </c>
      <c r="X25" s="6">
        <f>(AB20)*0.02</f>
        <v>272.70034278275443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4.9702512004661636E-2</v>
      </c>
      <c r="X26" s="6">
        <f>(AB20*0.026)</f>
        <v>354.51044561758079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0.41553529094771641</v>
      </c>
      <c r="X27" s="6">
        <f>(AB20)*0.032</f>
        <v>436.32054845240714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292.70034278275443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374.51044561758079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462.32054845240714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359.9144850811802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467.88883060553422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575.8631761298883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379.9144850811802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487.88883060553422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601.8631761298883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N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3.5281920000000002</v>
      </c>
      <c r="C45" s="56">
        <v>3.8008060000000001</v>
      </c>
      <c r="D45" s="75">
        <v>553</v>
      </c>
      <c r="E45" s="44">
        <v>0.16300000000000001</v>
      </c>
      <c r="F45" s="45">
        <f>E45/B45</f>
        <v>4.6199299811348134E-2</v>
      </c>
      <c r="G45" s="54">
        <v>1056</v>
      </c>
      <c r="H45" s="72">
        <v>1957.5329999999999</v>
      </c>
      <c r="I45" s="47">
        <v>0.14199999999999999</v>
      </c>
      <c r="J45" s="68">
        <v>278.46480000000003</v>
      </c>
      <c r="K45" s="72">
        <v>0.99060680000000001</v>
      </c>
      <c r="L45" s="84">
        <v>4.5732770000000002E-5</v>
      </c>
      <c r="M45" s="69">
        <f>H45*B45*K45</f>
        <v>6841.6776435502798</v>
      </c>
      <c r="N45" s="69">
        <f>(((J45^2)+(H45^2))*(L45+K45^2)*((E45^2)+(B45^2)))-((H45^2)*(K45^2)*(B45^2))</f>
        <v>1051372.0777529031</v>
      </c>
      <c r="O45" s="69">
        <f>SQRT(N45)</f>
        <v>1025.3643634108332</v>
      </c>
      <c r="P45" s="69">
        <f t="shared" ref="P45" si="9">M45*G45</f>
        <v>7224811.5915890951</v>
      </c>
      <c r="Q45" s="69">
        <f>P45/1000</f>
        <v>7224.8115915890949</v>
      </c>
      <c r="R45" s="68">
        <f>N45*G45^2</f>
        <v>1172422853297.0613</v>
      </c>
      <c r="S45" s="69">
        <f>SQRT(R45)</f>
        <v>1082784.7677618398</v>
      </c>
      <c r="T45" s="69">
        <f>(P45-1.645*(S45))/1000</f>
        <v>5443.6306486208678</v>
      </c>
      <c r="U45" s="69">
        <f>(P45+1.645*S45)/1000</f>
        <v>9005.9925345573229</v>
      </c>
      <c r="V45" s="69">
        <f>H45*G45*B45*K45</f>
        <v>7224811.591589096</v>
      </c>
      <c r="W45" s="69">
        <f t="shared" ref="W45" si="10">V45/1000</f>
        <v>7224.8115915890958</v>
      </c>
      <c r="X45" s="50">
        <f>V45^2*(I45^2+F45^2)</f>
        <v>1163928420734.7292</v>
      </c>
      <c r="Y45" s="50">
        <f>SQRT(X45)/V45</f>
        <v>0.14932640524387786</v>
      </c>
      <c r="Z45" s="50">
        <f t="shared" ref="Z45" si="11">V45/(EXP(1.645*(LN(1+(Y45^2)))^0.5))</f>
        <v>5658915.5702076172</v>
      </c>
      <c r="AA45" s="50">
        <f t="shared" ref="AA45" si="12">V45*(EXP(1.645*(LN(1+(Y45^2)))^0.5))</f>
        <v>9224011.5418518428</v>
      </c>
      <c r="AB45" s="51">
        <f>Z45/1000</f>
        <v>5658.9155702076168</v>
      </c>
      <c r="AC45" s="52">
        <f>AA45/1000</f>
        <v>9224.0115418518435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N46" t="s">
        <v>69</v>
      </c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3.4979490000000002</v>
      </c>
      <c r="C47" s="56">
        <v>3.802994</v>
      </c>
      <c r="D47" s="75">
        <v>553</v>
      </c>
      <c r="E47" s="44">
        <v>0.16300000000000001</v>
      </c>
      <c r="F47" s="45">
        <f>E47/B47</f>
        <v>4.6598735430390781E-2</v>
      </c>
      <c r="G47" s="54">
        <v>1056</v>
      </c>
      <c r="H47" s="72">
        <v>1957.5329999999999</v>
      </c>
      <c r="I47" s="47">
        <v>0.14199999999999999</v>
      </c>
      <c r="J47" s="68">
        <v>278.46480000000003</v>
      </c>
      <c r="K47" s="72">
        <v>0.99060680000000001</v>
      </c>
      <c r="L47" s="84">
        <v>4.5732770000000002E-5</v>
      </c>
      <c r="M47" s="69">
        <f>H47*B47*K47</f>
        <v>6783.0320661627993</v>
      </c>
      <c r="N47" s="69">
        <f>(((J47^2)+(H47^2))*(L47+K47^2)*((E47^2)+(B47^2)))-((H47^2)*(K47^2)*(B47^2))</f>
        <v>1035165.0195092186</v>
      </c>
      <c r="O47" s="69">
        <f>SQRT(N47)</f>
        <v>1017.4305969004562</v>
      </c>
      <c r="P47" s="69">
        <f t="shared" ref="P47" si="13">M47*G47</f>
        <v>7162881.8618679158</v>
      </c>
      <c r="Q47" s="69">
        <f>P47/1000</f>
        <v>7162.8818618679161</v>
      </c>
      <c r="R47" s="68">
        <f>N47*G47^2</f>
        <v>1154349779195.4321</v>
      </c>
      <c r="S47" s="69">
        <f>SQRT(R47)</f>
        <v>1074406.7103268818</v>
      </c>
      <c r="T47" s="69">
        <f>(P47-1.645*(S47))/1000</f>
        <v>5395.4828233801945</v>
      </c>
      <c r="U47" s="69">
        <f>(P47+1.645*S47)/1000</f>
        <v>8930.2809003556376</v>
      </c>
      <c r="V47" s="69">
        <f>H47*G47*B47*K47</f>
        <v>7162881.8618679158</v>
      </c>
      <c r="W47" s="69">
        <f t="shared" ref="W47" si="14">V47/1000</f>
        <v>7162.8818618679161</v>
      </c>
      <c r="X47" s="50">
        <f>V47^2*(I47^2+F47^2)</f>
        <v>1145961773138.4846</v>
      </c>
      <c r="Y47" s="50">
        <f>SQRT(X47)/V47</f>
        <v>0.14945046719134591</v>
      </c>
      <c r="Z47" s="50">
        <f t="shared" ref="Z47" si="15">V47/(EXP(1.645*(LN(1+(Y47^2)))^0.5))</f>
        <v>5609282.3238426037</v>
      </c>
      <c r="AA47" s="50">
        <f t="shared" ref="AA47" si="16">V47*(EXP(1.645*(LN(1+(Y47^2)))^0.5))</f>
        <v>9146780.9257867634</v>
      </c>
      <c r="AB47" s="51">
        <f>Z47/1000</f>
        <v>5609.2823238426035</v>
      </c>
      <c r="AC47" s="52">
        <f>AA47/1000</f>
        <v>9146.780925786763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8D0E-42C7-441A-A658-8836B8F695E3}">
  <sheetPr>
    <tabColor rgb="FF92D050"/>
  </sheetPr>
  <dimension ref="A2:CO47"/>
  <sheetViews>
    <sheetView topLeftCell="K13" zoomScale="110" zoomScaleNormal="110" workbookViewId="0">
      <selection activeCell="A44" sqref="A44:E47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19" width="19.42578125" customWidth="1"/>
    <col min="20" max="20" width="17.5703125" customWidth="1"/>
    <col min="21" max="21" width="16.28515625" bestFit="1" customWidth="1"/>
    <col min="22" max="22" width="26.5703125" customWidth="1"/>
    <col min="23" max="23" width="17" customWidth="1"/>
    <col min="24" max="24" width="26" bestFit="1" customWidth="1"/>
    <col min="25" max="25" width="37.5703125" customWidth="1"/>
    <col min="26" max="26" width="22" customWidth="1"/>
    <col min="27" max="27" width="21.140625" customWidth="1"/>
    <col min="28" max="28" width="8.28515625" bestFit="1" customWidth="1"/>
  </cols>
  <sheetData>
    <row r="2" spans="1:93" x14ac:dyDescent="0.2">
      <c r="A2" s="9"/>
      <c r="B2" s="9"/>
      <c r="C2" s="9"/>
      <c r="D2" s="9"/>
    </row>
    <row r="3" spans="1:93" x14ac:dyDescent="0.2">
      <c r="A3" s="9"/>
      <c r="B3" s="9"/>
      <c r="C3" s="10"/>
      <c r="D3" s="9"/>
    </row>
    <row r="4" spans="1:93" x14ac:dyDescent="0.2">
      <c r="A4" s="9"/>
      <c r="B4" s="9"/>
      <c r="C4" s="10"/>
      <c r="D4" s="9"/>
    </row>
    <row r="5" spans="1:93" x14ac:dyDescent="0.2">
      <c r="A5" s="9"/>
      <c r="B5" s="9"/>
      <c r="C5" s="10"/>
      <c r="D5" s="9"/>
    </row>
    <row r="6" spans="1:93" x14ac:dyDescent="0.2">
      <c r="A6" s="9"/>
      <c r="C6" s="10"/>
      <c r="D6" s="9"/>
    </row>
    <row r="7" spans="1:93" x14ac:dyDescent="0.2">
      <c r="A7" s="9"/>
      <c r="B7" s="9"/>
      <c r="C7" s="9"/>
      <c r="D7" s="9"/>
    </row>
    <row r="8" spans="1:93" s="14" customFormat="1" x14ac:dyDescent="0.2"/>
    <row r="9" spans="1:93" s="14" customFormat="1" x14ac:dyDescent="0.2"/>
    <row r="10" spans="1:93" s="14" customFormat="1" ht="45" x14ac:dyDescent="0.25">
      <c r="E10" s="73" t="s">
        <v>66</v>
      </c>
    </row>
    <row r="11" spans="1:9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93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2" t="s">
        <v>18</v>
      </c>
      <c r="W12" s="33"/>
      <c r="X12" s="33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</row>
    <row r="13" spans="1:9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66" t="s">
        <v>56</v>
      </c>
      <c r="L13" s="66" t="s">
        <v>57</v>
      </c>
      <c r="M13" s="66" t="s">
        <v>53</v>
      </c>
      <c r="N13" s="66" t="s">
        <v>58</v>
      </c>
      <c r="O13" s="66" t="s">
        <v>59</v>
      </c>
      <c r="P13" s="77" t="s">
        <v>60</v>
      </c>
      <c r="Q13" s="66" t="s">
        <v>61</v>
      </c>
      <c r="R13" s="66" t="s">
        <v>54</v>
      </c>
      <c r="S13" s="66" t="s">
        <v>55</v>
      </c>
      <c r="T13" s="66" t="s">
        <v>19</v>
      </c>
      <c r="U13" s="66" t="s">
        <v>15</v>
      </c>
      <c r="V13" s="41" t="s">
        <v>5</v>
      </c>
      <c r="W13" s="41" t="s">
        <v>6</v>
      </c>
      <c r="X13" s="41" t="s">
        <v>8</v>
      </c>
      <c r="Y13" s="41" t="s">
        <v>21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9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29" t="s">
        <v>4</v>
      </c>
      <c r="W14" s="29" t="s">
        <v>7</v>
      </c>
      <c r="X14" s="29" t="s">
        <v>9</v>
      </c>
      <c r="Y14" s="29" t="s">
        <v>22</v>
      </c>
      <c r="Z14" s="30" t="s">
        <v>20</v>
      </c>
      <c r="AA14" s="30" t="s">
        <v>23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93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9">
        <f>H15*B15</f>
        <v>6490.5176820000006</v>
      </c>
      <c r="L15" s="69">
        <f>((E15^2)*(J15^2))+((E15^2)*(H15^2))+((J15^2)*(B15^2))</f>
        <v>2657382.9417823879</v>
      </c>
      <c r="M15" s="69">
        <f>SQRT(L15)</f>
        <v>1630.148134919765</v>
      </c>
      <c r="N15" s="69">
        <f>K15*G15</f>
        <v>4796492.5669980003</v>
      </c>
      <c r="O15" s="69">
        <f>N15/1000</f>
        <v>4796.4925669980003</v>
      </c>
      <c r="P15" s="68">
        <f>L15*G15^2</f>
        <v>1451252629549.1394</v>
      </c>
      <c r="Q15" s="69">
        <f>SQRT(P15)</f>
        <v>1204679.4717057063</v>
      </c>
      <c r="R15" s="69">
        <f>(N15-1.645*(Q15))/1000</f>
        <v>2814.7948360421137</v>
      </c>
      <c r="S15" s="69">
        <f>(N15+1.645*Q15)/1000</f>
        <v>6778.1902979538872</v>
      </c>
      <c r="T15" s="69">
        <f>H15*G15*B15</f>
        <v>4796492.5669980003</v>
      </c>
      <c r="U15" s="69">
        <f>T15/1000</f>
        <v>4796.4925669980003</v>
      </c>
      <c r="V15" s="50">
        <f>T15^2*(I15^2+F15^2)</f>
        <v>1450466963639.1426</v>
      </c>
      <c r="W15" s="50">
        <f>SQRT(V15)/T15</f>
        <v>0.25109042108287616</v>
      </c>
      <c r="X15" s="50">
        <f>T15/(EXP(1.645*(LN(1+(W15^2)))^0.5))</f>
        <v>3193565.835743919</v>
      </c>
      <c r="Y15" s="50">
        <f>T15*(EXP(1.645*(LN(1+(W15^2)))^0.5))</f>
        <v>7203966.3900988279</v>
      </c>
      <c r="Z15" s="51">
        <f>X15/1000</f>
        <v>3193.5658357439188</v>
      </c>
      <c r="AA15" s="52">
        <f>Y15/1000</f>
        <v>7203.966390098828</v>
      </c>
      <c r="AB15" s="27" t="s">
        <v>3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</row>
    <row r="16" spans="1:93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9">
        <f>H16*B16</f>
        <v>3105.8120240000003</v>
      </c>
      <c r="L16" s="69">
        <f>((E16^2)*(J16^2))+((E16^2)*(H16^2))+((J16^2)*(B16^2))</f>
        <v>190817.80115762944</v>
      </c>
      <c r="M16" s="69">
        <f>SQRT(L16)</f>
        <v>436.8269693570092</v>
      </c>
      <c r="N16" s="69">
        <f t="shared" ref="N16:N18" si="1">K16*G16</f>
        <v>5158753.7718640007</v>
      </c>
      <c r="O16" s="69">
        <f>N16/1000</f>
        <v>5158.7537718640006</v>
      </c>
      <c r="P16" s="68">
        <f>L16*G16^2</f>
        <v>526451238787.60815</v>
      </c>
      <c r="Q16" s="69">
        <f>SQRT(P16)</f>
        <v>725569.5961019923</v>
      </c>
      <c r="R16" s="69">
        <f t="shared" ref="R16:R18" si="2">(N16-1.645*(Q16))/1000</f>
        <v>3965.191786276223</v>
      </c>
      <c r="S16" s="69">
        <f t="shared" ref="S16:S18" si="3">(N16+1.645*Q16)/1000</f>
        <v>6352.3157574517782</v>
      </c>
      <c r="T16" s="69">
        <f>H16*G16*B16</f>
        <v>5158753.7718640007</v>
      </c>
      <c r="U16" s="69">
        <f t="shared" ref="U16:U18" si="4">T16/1000</f>
        <v>5158.7537718640006</v>
      </c>
      <c r="V16" s="50">
        <f>T16^2*(I16^2+F16^2)</f>
        <v>526358169056.40808</v>
      </c>
      <c r="W16" s="50">
        <f>SQRT(V16)/T16</f>
        <v>0.1406357988223268</v>
      </c>
      <c r="X16" s="50">
        <f t="shared" ref="X16:X18" si="5">T16/(EXP(1.645*(LN(1+(W16^2)))^0.5))</f>
        <v>4097925.8863633494</v>
      </c>
      <c r="Y16" s="50">
        <f t="shared" ref="Y16:Y18" si="6">T16*(EXP(1.645*(LN(1+(W16^2)))^0.5))</f>
        <v>6494197.6054960284</v>
      </c>
      <c r="Z16" s="51">
        <f>X16/1000</f>
        <v>4097.9258863633495</v>
      </c>
      <c r="AA16" s="52">
        <f t="shared" ref="AA16:AA17" si="7">Y16/1000</f>
        <v>6494.1976054960287</v>
      </c>
      <c r="AB16" s="27" t="s">
        <v>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</row>
    <row r="17" spans="1:93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9">
        <f>H17*B17</f>
        <v>1997.830289</v>
      </c>
      <c r="L17" s="69">
        <f>((E17^2)*(J17^2))+((E17^2)*(H17^2))+((J17^2)*(B17^2))</f>
        <v>104739.27074828418</v>
      </c>
      <c r="M17" s="69">
        <f>SQRT(L17)</f>
        <v>323.6344708900524</v>
      </c>
      <c r="N17" s="69">
        <f t="shared" si="1"/>
        <v>883040.987738</v>
      </c>
      <c r="O17" s="69">
        <f>N17/1000</f>
        <v>883.04098773800001</v>
      </c>
      <c r="P17" s="68">
        <f>L17*G17^2</f>
        <v>20462282890.467789</v>
      </c>
      <c r="Q17" s="69">
        <f>SQRT(P17)</f>
        <v>143046.43613340316</v>
      </c>
      <c r="R17" s="69">
        <f t="shared" si="2"/>
        <v>647.72960029855187</v>
      </c>
      <c r="S17" s="69">
        <f t="shared" si="3"/>
        <v>1118.352375177448</v>
      </c>
      <c r="T17" s="69">
        <f>H17*G17*B17</f>
        <v>883040.987738</v>
      </c>
      <c r="U17" s="69">
        <f t="shared" si="4"/>
        <v>883.04098773800001</v>
      </c>
      <c r="V17" s="50">
        <f>T17^2*(I17^2+F17^2)</f>
        <v>20449792621.30785</v>
      </c>
      <c r="W17" s="50">
        <f t="shared" ref="W17" si="8">SQRT(V17)/T17</f>
        <v>0.1619435262485783</v>
      </c>
      <c r="X17" s="50">
        <f t="shared" si="5"/>
        <v>677694.60304175981</v>
      </c>
      <c r="Y17" s="50">
        <f t="shared" si="6"/>
        <v>1150608.8177852193</v>
      </c>
      <c r="Z17" s="54">
        <f>X17/1000</f>
        <v>677.69460304175982</v>
      </c>
      <c r="AA17" s="52">
        <f t="shared" si="7"/>
        <v>1150.6088177852193</v>
      </c>
      <c r="AB17" s="27" t="s">
        <v>2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</row>
    <row r="18" spans="1:93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1988.5450000000001</v>
      </c>
      <c r="I18" s="47">
        <v>0.14199999999999999</v>
      </c>
      <c r="J18" s="68">
        <v>278.46480000000003</v>
      </c>
      <c r="K18" s="69">
        <f>H18*B18</f>
        <v>6950.5414530500002</v>
      </c>
      <c r="L18" s="69">
        <f>((E18^2)*(J18^2))+((E18^2)*(H18^2))+((J18^2)*(B18^2))</f>
        <v>958364.7643703043</v>
      </c>
      <c r="M18" s="69">
        <f>SQRT(L18)</f>
        <v>978.96106376622777</v>
      </c>
      <c r="N18" s="69">
        <f t="shared" si="1"/>
        <v>7339771.7744208006</v>
      </c>
      <c r="O18" s="69">
        <f>N18/1000</f>
        <v>7339.7717744208003</v>
      </c>
      <c r="P18" s="68">
        <f>L18*G18^2</f>
        <v>1068707049880.8436</v>
      </c>
      <c r="Q18" s="69">
        <f>SQRT(P18)</f>
        <v>1033782.8833371365</v>
      </c>
      <c r="R18" s="69">
        <f t="shared" si="2"/>
        <v>5639.1989313312106</v>
      </c>
      <c r="S18" s="69">
        <f t="shared" si="3"/>
        <v>9040.3446175103891</v>
      </c>
      <c r="T18" s="69">
        <f>H18*G18*B18</f>
        <v>7339771.7744207997</v>
      </c>
      <c r="U18" s="69">
        <f t="shared" si="4"/>
        <v>7339.7717744207994</v>
      </c>
      <c r="V18" s="50">
        <f>T18^2*(I18^2+F18^2)</f>
        <v>1098334931733.4155</v>
      </c>
      <c r="W18" s="50">
        <f>SQRT(V18)/T18</f>
        <v>0.14278574179306808</v>
      </c>
      <c r="X18" s="50">
        <f t="shared" si="5"/>
        <v>5810167.1741760531</v>
      </c>
      <c r="Y18" s="50">
        <f t="shared" si="6"/>
        <v>9272065.3443545606</v>
      </c>
      <c r="Z18" s="51">
        <f>X18/1000</f>
        <v>5810.1671741760529</v>
      </c>
      <c r="AA18" s="52">
        <f>Y18/1000</f>
        <v>9272.0653443545598</v>
      </c>
      <c r="AB18" s="27" t="s">
        <v>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</row>
    <row r="19" spans="1:93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77542.644839040018</v>
      </c>
      <c r="K19" s="64"/>
      <c r="L19" s="64">
        <f>SQRT(L18)</f>
        <v>978.96106376622777</v>
      </c>
      <c r="M19" s="64"/>
      <c r="N19" s="64"/>
      <c r="O19" s="64"/>
      <c r="P19" s="64"/>
      <c r="Q19" s="65"/>
      <c r="R19" s="16">
        <f>SUM(R15:R18)</f>
        <v>13066.915153948099</v>
      </c>
      <c r="S19" s="16">
        <f>SUM(S15:S18)</f>
        <v>23289.203048093503</v>
      </c>
      <c r="T19" s="13"/>
      <c r="U19" s="13" t="s">
        <v>24</v>
      </c>
      <c r="V19" s="13">
        <f>(((J18^2)*(C18^2))+((J18^2)*(B18^2))+((C18^2)*(H18^2)))*G18^2</f>
        <v>8079820775746.1445</v>
      </c>
      <c r="W19" s="13">
        <f>SQRT(V19)/T18</f>
        <v>0.38727397015333304</v>
      </c>
      <c r="X19" s="13"/>
      <c r="Y19" s="13"/>
      <c r="Z19" s="15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</row>
    <row r="20" spans="1:93" s="14" customFormat="1" x14ac:dyDescent="0.2">
      <c r="A20" s="19"/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6">
        <f>SUM(U15:U18)</f>
        <v>18178.059101020801</v>
      </c>
      <c r="V20" s="13">
        <f>SQRT(V19)</f>
        <v>2842502.5550993169</v>
      </c>
      <c r="W20" s="13"/>
      <c r="X20" s="13"/>
      <c r="Y20" s="18" t="s">
        <v>30</v>
      </c>
      <c r="Z20" s="61">
        <f>SUM(Z15:Z18)</f>
        <v>13779.353499325081</v>
      </c>
      <c r="AA20" s="17">
        <f>SUM(AA15:AA18)</f>
        <v>24120.838157734637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9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</row>
    <row r="22" spans="1:93" s="14" customFormat="1" x14ac:dyDescent="0.2">
      <c r="B22" s="20"/>
      <c r="C22" s="20"/>
      <c r="D22" s="21"/>
      <c r="H22" s="59" t="s">
        <v>36</v>
      </c>
    </row>
    <row r="23" spans="1:93" s="14" customFormat="1" x14ac:dyDescent="0.2">
      <c r="B23" s="20"/>
      <c r="C23" s="20"/>
      <c r="D23" s="21"/>
      <c r="H23" s="59" t="s">
        <v>37</v>
      </c>
      <c r="T23" s="22" t="s">
        <v>31</v>
      </c>
      <c r="U23" s="22" t="s">
        <v>29</v>
      </c>
      <c r="Z23" s="23" t="s">
        <v>24</v>
      </c>
    </row>
    <row r="24" spans="1:93" s="14" customFormat="1" x14ac:dyDescent="0.2">
      <c r="B24" s="20"/>
      <c r="D24" s="21"/>
      <c r="H24" s="59" t="s">
        <v>45</v>
      </c>
      <c r="J24" s="14">
        <f>J18/I18</f>
        <v>1961.0197183098594</v>
      </c>
      <c r="T24" s="24" t="s">
        <v>3</v>
      </c>
      <c r="U24" s="25">
        <f>Z15/Z20</f>
        <v>0.23176456253193164</v>
      </c>
      <c r="V24" s="86" t="s">
        <v>40</v>
      </c>
      <c r="W24" s="87"/>
      <c r="X24" s="87"/>
    </row>
    <row r="25" spans="1:93" x14ac:dyDescent="0.2">
      <c r="A25" s="9"/>
      <c r="B25" s="34"/>
      <c r="C25" s="9"/>
      <c r="D25" s="35"/>
      <c r="E25" s="9"/>
      <c r="T25" s="3" t="s">
        <v>1</v>
      </c>
      <c r="U25" s="2">
        <f>Z16/Z20</f>
        <v>0.2973960923902611</v>
      </c>
      <c r="V25" s="6">
        <f>(Z20)*0.02</f>
        <v>275.58706998650166</v>
      </c>
      <c r="W25" s="7" t="s">
        <v>25</v>
      </c>
      <c r="X25" s="7" t="s">
        <v>26</v>
      </c>
      <c r="Y25" t="s">
        <v>32</v>
      </c>
    </row>
    <row r="26" spans="1:93" x14ac:dyDescent="0.2">
      <c r="A26" s="9"/>
      <c r="B26" s="34"/>
      <c r="C26" s="9"/>
      <c r="D26" s="9"/>
      <c r="E26" s="9"/>
      <c r="T26" s="3" t="s">
        <v>2</v>
      </c>
      <c r="U26" s="2">
        <f>Z17/Z20</f>
        <v>4.9181886731837862E-2</v>
      </c>
      <c r="V26" s="6">
        <f>(Z20*0.026)</f>
        <v>358.2631909824521</v>
      </c>
      <c r="W26" s="8" t="s">
        <v>25</v>
      </c>
      <c r="X26" s="7" t="s">
        <v>27</v>
      </c>
      <c r="Y26" s="89"/>
    </row>
    <row r="27" spans="1:93" x14ac:dyDescent="0.2">
      <c r="A27" s="36"/>
      <c r="B27" s="34"/>
      <c r="C27" s="9"/>
      <c r="D27" s="9"/>
      <c r="E27" s="9"/>
      <c r="T27" s="3" t="s">
        <v>0</v>
      </c>
      <c r="U27" s="2">
        <f>Z18/Z20</f>
        <v>0.42165745834596935</v>
      </c>
      <c r="V27" s="6">
        <f>(Z20)*0.032</f>
        <v>440.9393119784026</v>
      </c>
      <c r="W27" s="8" t="s">
        <v>28</v>
      </c>
      <c r="X27" s="8" t="s">
        <v>28</v>
      </c>
      <c r="Y27" s="89"/>
    </row>
    <row r="28" spans="1:93" ht="14.25" x14ac:dyDescent="0.2">
      <c r="A28" s="36"/>
      <c r="B28" s="37"/>
      <c r="C28" s="38"/>
      <c r="D28" s="37"/>
      <c r="E28" s="9"/>
      <c r="V28" s="88" t="s">
        <v>41</v>
      </c>
      <c r="W28" s="88"/>
      <c r="X28" s="88"/>
      <c r="Y28" s="89"/>
    </row>
    <row r="29" spans="1:93" ht="14.25" x14ac:dyDescent="0.2">
      <c r="A29" s="36"/>
      <c r="B29" s="37"/>
      <c r="C29" s="38"/>
      <c r="D29" s="37"/>
      <c r="E29" s="9"/>
      <c r="V29" s="11">
        <f>V25+20</f>
        <v>295.58706998650166</v>
      </c>
      <c r="W29" s="12" t="s">
        <v>33</v>
      </c>
      <c r="X29" s="12" t="s">
        <v>26</v>
      </c>
      <c r="Y29" s="85" t="s">
        <v>39</v>
      </c>
    </row>
    <row r="30" spans="1:93" x14ac:dyDescent="0.2">
      <c r="A30" s="36"/>
      <c r="B30" s="10"/>
      <c r="C30" s="9"/>
      <c r="D30" s="9"/>
      <c r="E30" s="9"/>
      <c r="V30" s="11">
        <f>V26+20</f>
        <v>378.2631909824521</v>
      </c>
      <c r="W30" s="12" t="s">
        <v>33</v>
      </c>
      <c r="X30" s="12" t="s">
        <v>27</v>
      </c>
      <c r="Y30" s="85"/>
    </row>
    <row r="31" spans="1:93" x14ac:dyDescent="0.2">
      <c r="A31" s="36"/>
      <c r="B31" s="10"/>
      <c r="C31" s="9"/>
      <c r="D31" s="9"/>
      <c r="E31" s="9"/>
      <c r="V31" s="11">
        <f>V27+26</f>
        <v>466.9393119784026</v>
      </c>
      <c r="W31" s="12" t="s">
        <v>34</v>
      </c>
      <c r="X31" s="12" t="s">
        <v>44</v>
      </c>
      <c r="Y31" s="85"/>
    </row>
    <row r="32" spans="1:93" x14ac:dyDescent="0.2">
      <c r="A32" s="1"/>
      <c r="B32" s="4"/>
      <c r="Y32" s="5" t="s">
        <v>24</v>
      </c>
    </row>
    <row r="33" spans="1:28" x14ac:dyDescent="0.2">
      <c r="A33" s="1"/>
      <c r="B33" s="4"/>
    </row>
    <row r="34" spans="1:28" x14ac:dyDescent="0.2">
      <c r="A34" s="1"/>
      <c r="B34" s="4"/>
      <c r="V34" s="90" t="s">
        <v>42</v>
      </c>
      <c r="W34" s="90"/>
      <c r="X34" s="90"/>
      <c r="Y34" s="91" t="s">
        <v>43</v>
      </c>
    </row>
    <row r="35" spans="1:28" ht="12.75" customHeight="1" x14ac:dyDescent="0.2">
      <c r="A35" s="1"/>
      <c r="B35" s="4"/>
      <c r="V35" s="90"/>
      <c r="W35" s="90"/>
      <c r="X35" s="90"/>
      <c r="Y35" s="91"/>
    </row>
    <row r="36" spans="1:28" x14ac:dyDescent="0.2">
      <c r="A36" s="1"/>
      <c r="B36" s="4"/>
      <c r="V36" s="6">
        <f>(U20)*0.02</f>
        <v>363.56118202041603</v>
      </c>
      <c r="W36" s="7" t="s">
        <v>25</v>
      </c>
      <c r="X36" s="7" t="s">
        <v>26</v>
      </c>
      <c r="Y36" s="91"/>
      <c r="Z36" s="5"/>
    </row>
    <row r="37" spans="1:28" ht="12.75" customHeight="1" x14ac:dyDescent="0.2">
      <c r="A37" s="1"/>
      <c r="B37" s="4"/>
      <c r="V37" s="6">
        <f>(U20*0.026)</f>
        <v>472.62953662654081</v>
      </c>
      <c r="W37" s="8" t="s">
        <v>25</v>
      </c>
      <c r="X37" s="7" t="s">
        <v>27</v>
      </c>
      <c r="Y37" s="91"/>
    </row>
    <row r="38" spans="1:28" x14ac:dyDescent="0.2">
      <c r="A38" s="1"/>
      <c r="B38" s="4"/>
      <c r="V38" s="6">
        <f>(U20)*0.032</f>
        <v>581.6978912326656</v>
      </c>
      <c r="W38" s="8" t="s">
        <v>28</v>
      </c>
      <c r="X38" s="8" t="s">
        <v>28</v>
      </c>
      <c r="Y38" s="91"/>
    </row>
    <row r="39" spans="1:28" x14ac:dyDescent="0.2">
      <c r="V39" s="88" t="s">
        <v>41</v>
      </c>
      <c r="W39" s="88"/>
      <c r="X39" s="88"/>
      <c r="Y39" s="91"/>
    </row>
    <row r="40" spans="1:28" x14ac:dyDescent="0.2">
      <c r="V40" s="11">
        <f>V36+20</f>
        <v>383.56118202041603</v>
      </c>
      <c r="W40" s="12" t="s">
        <v>33</v>
      </c>
      <c r="X40" s="12" t="s">
        <v>26</v>
      </c>
      <c r="Y40" s="91"/>
    </row>
    <row r="41" spans="1:28" x14ac:dyDescent="0.2">
      <c r="V41" s="11">
        <f>V37+20</f>
        <v>492.62953662654081</v>
      </c>
      <c r="W41" s="12" t="s">
        <v>33</v>
      </c>
      <c r="X41" s="12" t="s">
        <v>27</v>
      </c>
      <c r="Y41" s="91"/>
    </row>
    <row r="42" spans="1:28" ht="18" x14ac:dyDescent="0.25">
      <c r="A42" s="78" t="s">
        <v>68</v>
      </c>
      <c r="V42" s="11">
        <f>V38+26</f>
        <v>607.6978912326656</v>
      </c>
      <c r="W42" s="12" t="s">
        <v>34</v>
      </c>
      <c r="X42" s="12" t="s">
        <v>44</v>
      </c>
      <c r="Y42" s="91"/>
    </row>
    <row r="44" spans="1:28" x14ac:dyDescent="0.2">
      <c r="B44" t="s">
        <v>67</v>
      </c>
    </row>
    <row r="45" spans="1:28" ht="15" x14ac:dyDescent="0.25">
      <c r="A45" s="42" t="s">
        <v>0</v>
      </c>
      <c r="B45" s="55">
        <v>3.5281920000000002</v>
      </c>
      <c r="C45" s="56">
        <v>3.8008060000000001</v>
      </c>
      <c r="D45" s="75">
        <v>553</v>
      </c>
      <c r="E45" s="44">
        <v>0.16300000000000001</v>
      </c>
      <c r="F45" s="45">
        <f>E45/B45</f>
        <v>4.6199299811348134E-2</v>
      </c>
      <c r="G45" s="54">
        <v>1056</v>
      </c>
      <c r="H45" s="72">
        <v>1988.5450000000001</v>
      </c>
      <c r="I45" s="47">
        <v>0.14199999999999999</v>
      </c>
      <c r="J45" s="68">
        <v>278.46480000000003</v>
      </c>
      <c r="K45" s="69">
        <f>H45*B45</f>
        <v>7015.9685606400008</v>
      </c>
      <c r="L45" s="69">
        <f>((E45^2)*(J45^2))+((E45^2)*(H45^2))+((J45^2)*(B45^2))</f>
        <v>1072383.9302678248</v>
      </c>
      <c r="M45" s="69">
        <f>SQRT(L45)</f>
        <v>1035.5597183493692</v>
      </c>
      <c r="N45" s="69">
        <f t="shared" ref="N45" si="9">K45*G45</f>
        <v>7408862.8000358408</v>
      </c>
      <c r="O45" s="69">
        <f>N45/1000</f>
        <v>7408.8628000358412</v>
      </c>
      <c r="P45" s="68">
        <f>L45*G45^2</f>
        <v>1195853926463.1411</v>
      </c>
      <c r="Q45" s="69">
        <f>SQRT(P45)</f>
        <v>1093551.0625769338</v>
      </c>
      <c r="R45" s="69">
        <f t="shared" ref="R45" si="10">(N45-1.645*(Q45))/1000</f>
        <v>5609.9713020967847</v>
      </c>
      <c r="S45" s="69">
        <f t="shared" ref="S45" si="11">(N45+1.645*Q45)/1000</f>
        <v>9207.7542979748978</v>
      </c>
      <c r="T45" s="69">
        <f>H45*G45*B45</f>
        <v>7408862.8000358408</v>
      </c>
      <c r="U45" s="69">
        <f t="shared" ref="U45" si="12">T45/1000</f>
        <v>7408.8628000358412</v>
      </c>
      <c r="V45" s="50">
        <f>T45^2*(I45^2+F45^2)</f>
        <v>1223985648528.8289</v>
      </c>
      <c r="W45" s="50">
        <f>SQRT(V45)/T45</f>
        <v>0.14932640524387783</v>
      </c>
      <c r="X45" s="50">
        <f t="shared" ref="X45" si="13">T45/(EXP(1.645*(LN(1+(W45^2)))^0.5))</f>
        <v>5803075.7653893614</v>
      </c>
      <c r="Y45" s="50">
        <f t="shared" ref="Y45" si="14">T45*(EXP(1.645*(LN(1+(W45^2)))^0.5))</f>
        <v>9458992.1291630697</v>
      </c>
      <c r="Z45" s="51">
        <f>X45/1000</f>
        <v>5803.0757653893615</v>
      </c>
      <c r="AA45" s="52">
        <f>Y45/1000</f>
        <v>9458.992129163069</v>
      </c>
      <c r="AB45" s="27" t="s">
        <v>0</v>
      </c>
    </row>
    <row r="46" spans="1:28" ht="15" x14ac:dyDescent="0.25">
      <c r="B46" t="s">
        <v>69</v>
      </c>
      <c r="E46" s="82"/>
    </row>
    <row r="47" spans="1:28" ht="15" x14ac:dyDescent="0.25">
      <c r="A47" s="42" t="s">
        <v>0</v>
      </c>
      <c r="B47" s="55">
        <v>3.4979490000000002</v>
      </c>
      <c r="C47" s="56">
        <v>3.802994</v>
      </c>
      <c r="D47" s="75">
        <v>553</v>
      </c>
      <c r="E47" s="44">
        <v>0.16300000000000001</v>
      </c>
      <c r="F47" s="45">
        <f>E47/B47</f>
        <v>4.6598735430390781E-2</v>
      </c>
      <c r="G47" s="54">
        <v>1056</v>
      </c>
      <c r="H47" s="72">
        <v>1988.5450000000001</v>
      </c>
      <c r="I47" s="47">
        <v>0.14199999999999999</v>
      </c>
      <c r="J47" s="68">
        <v>278.46480000000003</v>
      </c>
      <c r="K47" s="69">
        <f>H47*B47</f>
        <v>6955.8289942050005</v>
      </c>
      <c r="L47" s="69">
        <f>((E47^2)*(J47^2))+((E47^2)*(H47^2))+((J47^2)*(B47^2))</f>
        <v>1055906.7709731194</v>
      </c>
      <c r="M47" s="69">
        <f>SQRT(L47)</f>
        <v>1027.5732436051064</v>
      </c>
      <c r="N47" s="69">
        <f t="shared" ref="N47" si="15">K47*G47</f>
        <v>7345355.4178804802</v>
      </c>
      <c r="O47" s="69">
        <f>N47/1000</f>
        <v>7345.3554178804798</v>
      </c>
      <c r="P47" s="68">
        <f>L47*G47^2</f>
        <v>1177479652955.8806</v>
      </c>
      <c r="Q47" s="69">
        <f>SQRT(P47)</f>
        <v>1085117.3452469925</v>
      </c>
      <c r="R47" s="69">
        <f t="shared" ref="R47" si="16">(N47-1.645*(Q47))/1000</f>
        <v>5560.3373849491772</v>
      </c>
      <c r="S47" s="69">
        <f t="shared" ref="S47" si="17">(N47+1.645*Q47)/1000</f>
        <v>9130.3734508117832</v>
      </c>
      <c r="T47" s="69">
        <f>H47*G47*B47</f>
        <v>7345355.4178804802</v>
      </c>
      <c r="U47" s="69">
        <f t="shared" ref="U47" si="18">T47/1000</f>
        <v>7345.3554178804798</v>
      </c>
      <c r="V47" s="50">
        <f>T47^2*(I47^2+F47^2)</f>
        <v>1205091944742.3906</v>
      </c>
      <c r="W47" s="50">
        <f>SQRT(V47)/T47</f>
        <v>0.14945046719134589</v>
      </c>
      <c r="X47" s="50">
        <f t="shared" ref="X47" si="19">T47/(EXP(1.645*(LN(1+(W47^2)))^0.5))</f>
        <v>5752178.1180283064</v>
      </c>
      <c r="Y47" s="50">
        <f t="shared" ref="Y47" si="20">T47*(EXP(1.645*(LN(1+(W47^2)))^0.5))</f>
        <v>9379794.0724200327</v>
      </c>
      <c r="Z47" s="51">
        <f>X47/1000</f>
        <v>5752.178118028306</v>
      </c>
      <c r="AA47" s="52">
        <f>Y47/1000</f>
        <v>9379.7940724200325</v>
      </c>
      <c r="AB47" s="27" t="s">
        <v>0</v>
      </c>
    </row>
  </sheetData>
  <mergeCells count="7">
    <mergeCell ref="V24:X24"/>
    <mergeCell ref="Y26:Y28"/>
    <mergeCell ref="V28:X28"/>
    <mergeCell ref="Y29:Y31"/>
    <mergeCell ref="V34:X35"/>
    <mergeCell ref="Y34:Y42"/>
    <mergeCell ref="V39:X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456E-7D06-4351-8F93-0853DA7C6655}">
  <sheetPr>
    <tabColor rgb="FF92D050"/>
  </sheetPr>
  <dimension ref="A2:CQ47"/>
  <sheetViews>
    <sheetView topLeftCell="A17" zoomScale="110" zoomScaleNormal="110" workbookViewId="0">
      <selection activeCell="K47" sqref="K47:L47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70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1988.5450000000001</v>
      </c>
      <c r="I18" s="47">
        <v>0.14665790000000001</v>
      </c>
      <c r="J18" s="68">
        <v>291.63589999999999</v>
      </c>
      <c r="K18" s="72">
        <v>0.99060680000000001</v>
      </c>
      <c r="L18" s="84">
        <v>4.5732770000000002E-5</v>
      </c>
      <c r="M18" s="69">
        <f>H18*B18*K18</f>
        <v>6885.2536270732107</v>
      </c>
      <c r="N18" s="69">
        <f>(((J18^2)+(H18^2))*(L18+K18^2)*((E18^2)+(B18^2)))-((H18^2)*(K18^2)*(B18^2))</f>
        <v>1032743.3761180118</v>
      </c>
      <c r="O18" s="69">
        <f>SQRT(N18)</f>
        <v>1016.2398221473177</v>
      </c>
      <c r="P18" s="69">
        <f t="shared" si="1"/>
        <v>7270827.8301893109</v>
      </c>
      <c r="Q18" s="69">
        <f>P18/1000</f>
        <v>7270.8278301893106</v>
      </c>
      <c r="R18" s="68">
        <f>N18*G18^2</f>
        <v>1151649317470.7351</v>
      </c>
      <c r="S18" s="69">
        <f>SQRT(R18)</f>
        <v>1073149.2521875673</v>
      </c>
      <c r="T18" s="69">
        <f t="shared" si="2"/>
        <v>5505.4973103407629</v>
      </c>
      <c r="U18" s="69">
        <f t="shared" si="3"/>
        <v>9036.1583500378601</v>
      </c>
      <c r="V18" s="69">
        <f>H18*G18*B18*K18</f>
        <v>7270827.83018931</v>
      </c>
      <c r="W18" s="69">
        <f t="shared" si="4"/>
        <v>7270.8278301893097</v>
      </c>
      <c r="X18" s="50">
        <f>V18^2*(I18^2+F18^2)</f>
        <v>1148877084299.5828</v>
      </c>
      <c r="Y18" s="50">
        <f>SQRT(X18)/V18</f>
        <v>0.14741881729211748</v>
      </c>
      <c r="Z18" s="50">
        <f t="shared" si="5"/>
        <v>5712566.8364376398</v>
      </c>
      <c r="AA18" s="50">
        <f t="shared" si="6"/>
        <v>9254147.7150089685</v>
      </c>
      <c r="AB18" s="51">
        <f>Z18/1000</f>
        <v>5712.5668364376397</v>
      </c>
      <c r="AC18" s="52">
        <f>AA18/1000</f>
        <v>9254.1477150089686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85051.498168809994</v>
      </c>
      <c r="K19" s="64"/>
      <c r="L19" s="64"/>
      <c r="M19" s="64"/>
      <c r="N19" s="64">
        <f>SQRT(N18)</f>
        <v>1016.2398221473177</v>
      </c>
      <c r="O19" s="64"/>
      <c r="P19" s="64"/>
      <c r="Q19" s="64"/>
      <c r="R19" s="64"/>
      <c r="S19" s="65"/>
      <c r="T19" s="16">
        <f>SUM(T15:T18)</f>
        <v>12933.213532957645</v>
      </c>
      <c r="U19" s="16">
        <f>SUM(U15:U18)</f>
        <v>23285.016780620979</v>
      </c>
      <c r="V19" s="13"/>
      <c r="W19" s="13" t="s">
        <v>24</v>
      </c>
      <c r="X19" s="13">
        <f>(((J18^2)*(C18^2))+((J18^2)*(B18^2))+((C18^2)*(H18^2)))*G18^2</f>
        <v>8195199216190.7256</v>
      </c>
      <c r="Y19" s="13">
        <f>SQRT(X19)/V18</f>
        <v>0.39372763371287428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18109.11515678931</v>
      </c>
      <c r="X20" s="13">
        <f>SQRT(X19)</f>
        <v>2862725.836714149</v>
      </c>
      <c r="Y20" s="13"/>
      <c r="Z20" s="13"/>
      <c r="AA20" s="18" t="s">
        <v>30</v>
      </c>
      <c r="AB20" s="61">
        <f>SUM(AB15:AB18)</f>
        <v>13681.753161586668</v>
      </c>
      <c r="AC20" s="17">
        <f>SUM(AC15:AC18)</f>
        <v>24102.920528389044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1988.5454516940442</v>
      </c>
      <c r="V24" s="24" t="s">
        <v>3</v>
      </c>
      <c r="W24" s="25">
        <f>AB15/AB20</f>
        <v>0.23341788132169183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0.29951760114111825</v>
      </c>
      <c r="X25" s="6">
        <f>(AB20)*0.02</f>
        <v>273.6350632317334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4.9532731298243052E-2</v>
      </c>
      <c r="X26" s="6">
        <f>(AB20*0.026)</f>
        <v>355.72558220125336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0.41753178623894682</v>
      </c>
      <c r="X27" s="6">
        <f>(AB20)*0.032</f>
        <v>437.81610117077338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293.6350632317334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375.72558220125336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463.81610117077338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362.18230313578619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470.83699407652205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579.49168501725796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382.18230313578619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490.83699407652205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605.49168501725796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S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3.5281920000000002</v>
      </c>
      <c r="C45" s="56">
        <v>3.8008060000000001</v>
      </c>
      <c r="D45" s="75">
        <v>553</v>
      </c>
      <c r="E45" s="44">
        <v>0.16300000000000001</v>
      </c>
      <c r="F45" s="45">
        <f>E45/B45</f>
        <v>4.6199299811348134E-2</v>
      </c>
      <c r="G45" s="54">
        <v>1056</v>
      </c>
      <c r="H45" s="72">
        <v>1988.5450000000001</v>
      </c>
      <c r="I45" s="47">
        <v>0.14665790000000001</v>
      </c>
      <c r="J45" s="68">
        <v>291.63589999999999</v>
      </c>
      <c r="K45" s="72">
        <v>0.99060680000000001</v>
      </c>
      <c r="L45" s="84">
        <v>4.5732770000000002E-5</v>
      </c>
      <c r="M45" s="69">
        <f>H45*B45*K45</f>
        <v>6950.0661647561974</v>
      </c>
      <c r="N45" s="69">
        <f>(((J45^2)+(H45^2))*(L45+K45^2)*((E45^2)+(B45^2)))-((H45^2)*(K45^2)*(B45^2))</f>
        <v>1146556.063610211</v>
      </c>
      <c r="O45" s="69">
        <f>SQRT(N45)</f>
        <v>1070.7735818604281</v>
      </c>
      <c r="P45" s="69">
        <f t="shared" ref="P45" si="9">M45*G45</f>
        <v>7339269.8699825443</v>
      </c>
      <c r="Q45" s="69">
        <f>P45/1000</f>
        <v>7339.2698699825442</v>
      </c>
      <c r="R45" s="68">
        <f>N45*G45^2</f>
        <v>1278565942550.0364</v>
      </c>
      <c r="S45" s="69">
        <f>SQRT(R45)</f>
        <v>1130736.9024446122</v>
      </c>
      <c r="T45" s="69">
        <f>(P45-1.645*(S45))/1000</f>
        <v>5479.2076654611574</v>
      </c>
      <c r="U45" s="69">
        <f>(P45+1.645*S45)/1000</f>
        <v>9199.3320745039327</v>
      </c>
      <c r="V45" s="69">
        <f>H45*G45*B45*K45</f>
        <v>7339269.8699825443</v>
      </c>
      <c r="W45" s="69">
        <f t="shared" ref="W45" si="10">V45/1000</f>
        <v>7339.2698699825442</v>
      </c>
      <c r="X45" s="50">
        <f>V45^2*(I45^2+F45^2)</f>
        <v>1273522828441.3308</v>
      </c>
      <c r="Y45" s="50">
        <f>SQRT(X45)/V45</f>
        <v>0.15376252773503962</v>
      </c>
      <c r="Z45" s="50">
        <f t="shared" ref="Z45" si="11">V45/(EXP(1.645*(LN(1+(Y45^2)))^0.5))</f>
        <v>5707472.1255979519</v>
      </c>
      <c r="AA45" s="50">
        <f t="shared" ref="AA45" si="12">V45*(EXP(1.645*(LN(1+(Y45^2)))^0.5))</f>
        <v>9437607.5851251502</v>
      </c>
      <c r="AB45" s="51">
        <f>Z45/1000</f>
        <v>5707.4721255979521</v>
      </c>
      <c r="AC45" s="52">
        <f>AA45/1000</f>
        <v>9437.6075851251499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S46" t="s">
        <v>69</v>
      </c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3.4979490000000002</v>
      </c>
      <c r="C47" s="56">
        <v>3.802994</v>
      </c>
      <c r="D47" s="75">
        <v>553</v>
      </c>
      <c r="E47" s="44">
        <v>0.16300000000000001</v>
      </c>
      <c r="F47" s="45">
        <f>E47/B47</f>
        <v>4.6598735430390781E-2</v>
      </c>
      <c r="G47" s="54">
        <v>1056</v>
      </c>
      <c r="H47" s="72">
        <v>1988.5450000000001</v>
      </c>
      <c r="I47" s="47">
        <v>0.14665790000000001</v>
      </c>
      <c r="J47" s="68">
        <v>291.63589999999999</v>
      </c>
      <c r="K47" s="72">
        <v>0.99060680000000001</v>
      </c>
      <c r="L47" s="84">
        <v>4.5732770000000002E-5</v>
      </c>
      <c r="M47" s="69">
        <f>H47*B47*K47</f>
        <v>6890.4915012966339</v>
      </c>
      <c r="N47" s="69">
        <f>(((J47^2)+(H47^2))*(L47+K47^2)*((E47^2)+(B47^2)))-((H47^2)*(K47^2)*(B47^2))</f>
        <v>1128782.0092455149</v>
      </c>
      <c r="O47" s="69">
        <f>SQRT(N47)</f>
        <v>1062.4415321538945</v>
      </c>
      <c r="P47" s="69">
        <f t="shared" ref="P47" si="13">M47*G47</f>
        <v>7276359.0253692456</v>
      </c>
      <c r="Q47" s="69">
        <f>P47/1000</f>
        <v>7276.3590253692455</v>
      </c>
      <c r="R47" s="68">
        <f>N47*G47^2</f>
        <v>1258745454662.0063</v>
      </c>
      <c r="S47" s="69">
        <f>SQRT(R47)</f>
        <v>1121938.2579545125</v>
      </c>
      <c r="T47" s="69">
        <f>(P47-1.645*(S47))/1000</f>
        <v>5430.7705910340728</v>
      </c>
      <c r="U47" s="69">
        <f>(P47+1.645*S47)/1000</f>
        <v>9121.9474597044173</v>
      </c>
      <c r="V47" s="69">
        <f>H47*G47*B47*K47</f>
        <v>7276359.0253692456</v>
      </c>
      <c r="W47" s="69">
        <f t="shared" ref="W47" si="14">V47/1000</f>
        <v>7276.3590253692455</v>
      </c>
      <c r="X47" s="50">
        <f>V47^2*(I47^2+F47^2)</f>
        <v>1253746122902.0505</v>
      </c>
      <c r="Y47" s="50">
        <f>SQRT(X47)/V47</f>
        <v>0.15388301327996393</v>
      </c>
      <c r="Z47" s="50">
        <f t="shared" ref="Z47" si="15">V47/(EXP(1.645*(LN(1+(Y47^2)))^0.5))</f>
        <v>5657446.8220014479</v>
      </c>
      <c r="AA47" s="50">
        <f t="shared" ref="AA47" si="16">V47*(EXP(1.645*(LN(1+(Y47^2)))^0.5))</f>
        <v>9358532.6264440008</v>
      </c>
      <c r="AB47" s="51">
        <f>Z47/1000</f>
        <v>5657.4468220014478</v>
      </c>
      <c r="AC47" s="52">
        <f>AA47/1000</f>
        <v>9358.5326264440009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BEF8-667E-4F44-BE44-A9E8BE70932F}">
  <sheetPr>
    <tabColor theme="8" tint="-0.249977111117893"/>
  </sheetPr>
  <dimension ref="A2:CO47"/>
  <sheetViews>
    <sheetView topLeftCell="A7" zoomScale="110" zoomScaleNormal="110" workbookViewId="0">
      <selection activeCell="E54" sqref="E54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19" width="19.42578125" customWidth="1"/>
    <col min="20" max="20" width="17.5703125" customWidth="1"/>
    <col min="21" max="21" width="16.28515625" bestFit="1" customWidth="1"/>
    <col min="22" max="22" width="26.5703125" customWidth="1"/>
    <col min="23" max="23" width="17" customWidth="1"/>
    <col min="24" max="24" width="26" bestFit="1" customWidth="1"/>
    <col min="25" max="25" width="37.5703125" customWidth="1"/>
    <col min="26" max="26" width="22" customWidth="1"/>
    <col min="27" max="27" width="21.140625" customWidth="1"/>
    <col min="28" max="28" width="8.28515625" bestFit="1" customWidth="1"/>
  </cols>
  <sheetData>
    <row r="2" spans="1:93" x14ac:dyDescent="0.2">
      <c r="A2" s="9"/>
      <c r="B2" s="9"/>
      <c r="C2" s="9"/>
      <c r="D2" s="9"/>
    </row>
    <row r="3" spans="1:93" x14ac:dyDescent="0.2">
      <c r="A3" s="9"/>
      <c r="B3" s="9"/>
      <c r="C3" s="10"/>
      <c r="D3" s="9"/>
    </row>
    <row r="4" spans="1:93" x14ac:dyDescent="0.2">
      <c r="A4" s="9"/>
      <c r="B4" s="9"/>
      <c r="C4" s="10"/>
      <c r="D4" s="9"/>
    </row>
    <row r="5" spans="1:93" x14ac:dyDescent="0.2">
      <c r="A5" s="9"/>
      <c r="B5" s="9"/>
      <c r="C5" s="10"/>
      <c r="D5" s="9"/>
    </row>
    <row r="6" spans="1:93" ht="15" x14ac:dyDescent="0.25">
      <c r="A6" s="9"/>
      <c r="B6" s="70" t="s">
        <v>62</v>
      </c>
      <c r="C6" s="10"/>
      <c r="D6" s="9"/>
    </row>
    <row r="7" spans="1:93" x14ac:dyDescent="0.2">
      <c r="A7" s="9"/>
      <c r="B7" s="9"/>
      <c r="C7" s="9"/>
      <c r="D7" s="9"/>
    </row>
    <row r="8" spans="1:93" s="14" customFormat="1" x14ac:dyDescent="0.2"/>
    <row r="9" spans="1:93" s="14" customFormat="1" x14ac:dyDescent="0.2"/>
    <row r="10" spans="1:93" s="14" customFormat="1" ht="45" x14ac:dyDescent="0.25">
      <c r="E10" s="73" t="s">
        <v>66</v>
      </c>
    </row>
    <row r="11" spans="1:9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93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2" t="s">
        <v>18</v>
      </c>
      <c r="W12" s="33"/>
      <c r="X12" s="33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</row>
    <row r="13" spans="1:9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66" t="s">
        <v>56</v>
      </c>
      <c r="L13" s="66" t="s">
        <v>57</v>
      </c>
      <c r="M13" s="66" t="s">
        <v>53</v>
      </c>
      <c r="N13" s="66" t="s">
        <v>58</v>
      </c>
      <c r="O13" s="66" t="s">
        <v>59</v>
      </c>
      <c r="P13" s="77" t="s">
        <v>60</v>
      </c>
      <c r="Q13" s="66" t="s">
        <v>61</v>
      </c>
      <c r="R13" s="66" t="s">
        <v>54</v>
      </c>
      <c r="S13" s="66" t="s">
        <v>55</v>
      </c>
      <c r="T13" s="66" t="s">
        <v>19</v>
      </c>
      <c r="U13" s="66" t="s">
        <v>15</v>
      </c>
      <c r="V13" s="41" t="s">
        <v>5</v>
      </c>
      <c r="W13" s="41" t="s">
        <v>6</v>
      </c>
      <c r="X13" s="41" t="s">
        <v>8</v>
      </c>
      <c r="Y13" s="41" t="s">
        <v>21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9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29" t="s">
        <v>4</v>
      </c>
      <c r="W14" s="29" t="s">
        <v>7</v>
      </c>
      <c r="X14" s="29" t="s">
        <v>9</v>
      </c>
      <c r="Y14" s="29" t="s">
        <v>22</v>
      </c>
      <c r="Z14" s="30" t="s">
        <v>20</v>
      </c>
      <c r="AA14" s="30" t="s">
        <v>23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93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9">
        <f>H15*B15</f>
        <v>6490.5176820000006</v>
      </c>
      <c r="L15" s="69">
        <f>((E15^2)*(J15^2))+((E15^2)*(H15^2))+((J15^2)*(B15^2))</f>
        <v>2657382.9417823879</v>
      </c>
      <c r="M15" s="69">
        <f>SQRT(L15)</f>
        <v>1630.148134919765</v>
      </c>
      <c r="N15" s="69">
        <f>K15*G15</f>
        <v>4796492.5669980003</v>
      </c>
      <c r="O15" s="69">
        <f>N15/1000</f>
        <v>4796.4925669980003</v>
      </c>
      <c r="P15" s="68">
        <f>L15*G15^2</f>
        <v>1451252629549.1394</v>
      </c>
      <c r="Q15" s="69">
        <f>SQRT(P15)</f>
        <v>1204679.4717057063</v>
      </c>
      <c r="R15" s="69">
        <f>(N15-1.645*(Q15))/1000</f>
        <v>2814.7948360421137</v>
      </c>
      <c r="S15" s="69">
        <f>(N15+1.645*Q15)/1000</f>
        <v>6778.1902979538872</v>
      </c>
      <c r="T15" s="69">
        <f>H15*G15*B15</f>
        <v>4796492.5669980003</v>
      </c>
      <c r="U15" s="69">
        <f>T15/1000</f>
        <v>4796.4925669980003</v>
      </c>
      <c r="V15" s="50">
        <f>T15^2*(I15^2+F15^2)</f>
        <v>1450466963639.1426</v>
      </c>
      <c r="W15" s="50">
        <f>SQRT(V15)/T15</f>
        <v>0.25109042108287616</v>
      </c>
      <c r="X15" s="50">
        <f>T15/(EXP(1.645*(LN(1+(W15^2)))^0.5))</f>
        <v>3193565.835743919</v>
      </c>
      <c r="Y15" s="50">
        <f>T15*(EXP(1.645*(LN(1+(W15^2)))^0.5))</f>
        <v>7203966.3900988279</v>
      </c>
      <c r="Z15" s="51">
        <f>X15/1000</f>
        <v>3193.5658357439188</v>
      </c>
      <c r="AA15" s="52">
        <f>Y15/1000</f>
        <v>7203.966390098828</v>
      </c>
      <c r="AB15" s="27" t="s">
        <v>3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</row>
    <row r="16" spans="1:93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9">
        <f>H16*B16</f>
        <v>3105.8120240000003</v>
      </c>
      <c r="L16" s="69">
        <f>((E16^2)*(J16^2))+((E16^2)*(H16^2))+((J16^2)*(B16^2))</f>
        <v>190817.80115762944</v>
      </c>
      <c r="M16" s="69">
        <f>SQRT(L16)</f>
        <v>436.8269693570092</v>
      </c>
      <c r="N16" s="69">
        <f t="shared" ref="N16:N18" si="1">K16*G16</f>
        <v>5158753.7718640007</v>
      </c>
      <c r="O16" s="69">
        <f>N16/1000</f>
        <v>5158.7537718640006</v>
      </c>
      <c r="P16" s="68">
        <f>L16*G16^2</f>
        <v>526451238787.60815</v>
      </c>
      <c r="Q16" s="69">
        <f>SQRT(P16)</f>
        <v>725569.5961019923</v>
      </c>
      <c r="R16" s="69">
        <f t="shared" ref="R16:R18" si="2">(N16-1.645*(Q16))/1000</f>
        <v>3965.191786276223</v>
      </c>
      <c r="S16" s="69">
        <f t="shared" ref="S16:S18" si="3">(N16+1.645*Q16)/1000</f>
        <v>6352.3157574517782</v>
      </c>
      <c r="T16" s="69">
        <f>H16*G16*B16</f>
        <v>5158753.7718640007</v>
      </c>
      <c r="U16" s="69">
        <f t="shared" ref="U16:U18" si="4">T16/1000</f>
        <v>5158.7537718640006</v>
      </c>
      <c r="V16" s="50">
        <f>T16^2*(I16^2+F16^2)</f>
        <v>526358169056.40808</v>
      </c>
      <c r="W16" s="50">
        <f>SQRT(V16)/T16</f>
        <v>0.1406357988223268</v>
      </c>
      <c r="X16" s="50">
        <f t="shared" ref="X16:X18" si="5">T16/(EXP(1.645*(LN(1+(W16^2)))^0.5))</f>
        <v>4097925.8863633494</v>
      </c>
      <c r="Y16" s="50">
        <f t="shared" ref="Y16:Y18" si="6">T16*(EXP(1.645*(LN(1+(W16^2)))^0.5))</f>
        <v>6494197.6054960284</v>
      </c>
      <c r="Z16" s="51">
        <f>X16/1000</f>
        <v>4097.9258863633495</v>
      </c>
      <c r="AA16" s="52">
        <f t="shared" ref="AA16:AA17" si="7">Y16/1000</f>
        <v>6494.1976054960287</v>
      </c>
      <c r="AB16" s="27" t="s">
        <v>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</row>
    <row r="17" spans="1:93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9">
        <f>H17*B17</f>
        <v>1997.830289</v>
      </c>
      <c r="L17" s="69">
        <f>((E17^2)*(J17^2))+((E17^2)*(H17^2))+((J17^2)*(B17^2))</f>
        <v>104739.27074828418</v>
      </c>
      <c r="M17" s="69">
        <f>SQRT(L17)</f>
        <v>323.6344708900524</v>
      </c>
      <c r="N17" s="69">
        <f t="shared" si="1"/>
        <v>883040.987738</v>
      </c>
      <c r="O17" s="69">
        <f>N17/1000</f>
        <v>883.04098773800001</v>
      </c>
      <c r="P17" s="68">
        <f>L17*G17^2</f>
        <v>20462282890.467789</v>
      </c>
      <c r="Q17" s="69">
        <f>SQRT(P17)</f>
        <v>143046.43613340316</v>
      </c>
      <c r="R17" s="69">
        <f t="shared" si="2"/>
        <v>647.72960029855187</v>
      </c>
      <c r="S17" s="69">
        <f t="shared" si="3"/>
        <v>1118.352375177448</v>
      </c>
      <c r="T17" s="69">
        <f>H17*G17*B17</f>
        <v>883040.987738</v>
      </c>
      <c r="U17" s="69">
        <f t="shared" si="4"/>
        <v>883.04098773800001</v>
      </c>
      <c r="V17" s="50">
        <f>T17^2*(I17^2+F17^2)</f>
        <v>20449792621.30785</v>
      </c>
      <c r="W17" s="50">
        <f t="shared" ref="W17" si="8">SQRT(V17)/T17</f>
        <v>0.1619435262485783</v>
      </c>
      <c r="X17" s="50">
        <f t="shared" si="5"/>
        <v>677694.60304175981</v>
      </c>
      <c r="Y17" s="50">
        <f t="shared" si="6"/>
        <v>1150608.8177852193</v>
      </c>
      <c r="Z17" s="54">
        <f>X17/1000</f>
        <v>677.69460304175982</v>
      </c>
      <c r="AA17" s="52">
        <f t="shared" si="7"/>
        <v>1150.6088177852193</v>
      </c>
      <c r="AB17" s="27" t="s">
        <v>2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</row>
    <row r="18" spans="1:93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62">
        <v>1907.4870000000001</v>
      </c>
      <c r="I18" s="47">
        <v>0.14499999999999999</v>
      </c>
      <c r="J18" s="68">
        <f>276.939</f>
        <v>276.93900000000002</v>
      </c>
      <c r="K18" s="69">
        <f>H18*B18</f>
        <v>6667.2202362299995</v>
      </c>
      <c r="L18" s="69">
        <f>((E18^2)*(J18^2))+((E18^2)*(H18^2))+((J18^2)*(B18^2))</f>
        <v>947145.94649575662</v>
      </c>
      <c r="M18" s="69">
        <f>SQRT(L18)</f>
        <v>973.21423463477799</v>
      </c>
      <c r="N18" s="69">
        <f t="shared" si="1"/>
        <v>7040584.5694588795</v>
      </c>
      <c r="O18" s="69">
        <f>N18/1000</f>
        <v>7040.5845694588797</v>
      </c>
      <c r="P18" s="68">
        <f>L18*G18^2</f>
        <v>1056196542191.4921</v>
      </c>
      <c r="Q18" s="69">
        <f>SQRT(P18)</f>
        <v>1027714.2317743255</v>
      </c>
      <c r="R18" s="69">
        <f t="shared" si="2"/>
        <v>5349.994658190114</v>
      </c>
      <c r="S18" s="69">
        <f t="shared" si="3"/>
        <v>8731.1744807276445</v>
      </c>
      <c r="T18" s="69">
        <f>H18*G18*B18</f>
        <v>7040584.5694588795</v>
      </c>
      <c r="U18" s="69">
        <f t="shared" si="4"/>
        <v>7040.5845694588797</v>
      </c>
      <c r="V18" s="50">
        <f>T18^2*(I18^2+F18^2)</f>
        <v>1053297843356.0721</v>
      </c>
      <c r="W18" s="50">
        <f>SQRT(V18)/T18</f>
        <v>0.1457695717884796</v>
      </c>
      <c r="X18" s="50">
        <f t="shared" si="5"/>
        <v>5546458.5069705984</v>
      </c>
      <c r="Y18" s="50">
        <f t="shared" si="6"/>
        <v>8937203.9865447134</v>
      </c>
      <c r="Z18" s="51">
        <f>X18/1000</f>
        <v>5546.4585069705981</v>
      </c>
      <c r="AA18" s="52">
        <f>Y18/1000</f>
        <v>8937.2039865447132</v>
      </c>
      <c r="AB18" s="27" t="s">
        <v>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</row>
    <row r="19" spans="1:93" s="14" customFormat="1" ht="15" x14ac:dyDescent="0.25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 s="63" t="s">
        <v>51</v>
      </c>
      <c r="I19"/>
      <c r="J19" s="64">
        <f>J18^2</f>
        <v>76695.209721000007</v>
      </c>
      <c r="K19" s="64"/>
      <c r="L19" s="64">
        <f>SQRT(L18)</f>
        <v>973.21423463477799</v>
      </c>
      <c r="M19" s="64"/>
      <c r="N19" s="64"/>
      <c r="O19" s="64"/>
      <c r="P19" s="64"/>
      <c r="Q19" s="65"/>
      <c r="R19" s="16">
        <f>SUM(R15:R18)</f>
        <v>12777.710880807002</v>
      </c>
      <c r="S19" s="16">
        <f>SUM(S15:S18)</f>
        <v>22980.032911310758</v>
      </c>
      <c r="T19" s="13"/>
      <c r="U19" s="13" t="s">
        <v>24</v>
      </c>
      <c r="V19" s="13">
        <f>(((J18^2)*(C18^2))+((J18^2)*(B18^2))+((C18^2)*(H18^2)))*G18^2</f>
        <v>7516674446826.6709</v>
      </c>
      <c r="W19" s="13">
        <f>SQRT(V19)/T18</f>
        <v>0.38940735585655489</v>
      </c>
      <c r="X19" s="13"/>
      <c r="Y19" s="13"/>
      <c r="Z19" s="15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</row>
    <row r="20" spans="1:93" s="14" customFormat="1" x14ac:dyDescent="0.2">
      <c r="A20" s="19"/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6">
        <f>SUM(U15:U18)</f>
        <v>17878.871896058881</v>
      </c>
      <c r="V20" s="13">
        <f>SQRT(V19)</f>
        <v>2741655.4208774432</v>
      </c>
      <c r="W20" s="13"/>
      <c r="X20" s="13"/>
      <c r="Y20" s="18" t="s">
        <v>30</v>
      </c>
      <c r="Z20" s="61">
        <f>SUM(Z15:Z18)</f>
        <v>13515.644832119626</v>
      </c>
      <c r="AA20" s="17">
        <f>SUM(AA15:AA18)</f>
        <v>23785.976799924789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9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</row>
    <row r="22" spans="1:93" s="14" customFormat="1" x14ac:dyDescent="0.2">
      <c r="B22" s="20"/>
      <c r="C22" s="20"/>
      <c r="D22" s="21"/>
      <c r="H22" s="59" t="s">
        <v>36</v>
      </c>
    </row>
    <row r="23" spans="1:93" s="14" customFormat="1" x14ac:dyDescent="0.2">
      <c r="B23" s="20"/>
      <c r="C23" s="20"/>
      <c r="D23" s="21"/>
      <c r="H23" s="59" t="s">
        <v>37</v>
      </c>
      <c r="T23" s="22" t="s">
        <v>31</v>
      </c>
      <c r="U23" s="22" t="s">
        <v>29</v>
      </c>
      <c r="Z23" s="23" t="s">
        <v>24</v>
      </c>
    </row>
    <row r="24" spans="1:93" s="14" customFormat="1" x14ac:dyDescent="0.2">
      <c r="B24" s="20"/>
      <c r="D24" s="21"/>
      <c r="H24" s="59" t="s">
        <v>45</v>
      </c>
      <c r="J24" s="14">
        <f>J18/I18</f>
        <v>1909.9241379310347</v>
      </c>
      <c r="T24" s="24" t="s">
        <v>3</v>
      </c>
      <c r="U24" s="25">
        <f>Z15/Z20</f>
        <v>0.23628660529422033</v>
      </c>
      <c r="V24" s="86" t="s">
        <v>40</v>
      </c>
      <c r="W24" s="87"/>
      <c r="X24" s="87"/>
    </row>
    <row r="25" spans="1:93" x14ac:dyDescent="0.2">
      <c r="A25" s="9"/>
      <c r="B25" s="34"/>
      <c r="C25" s="9"/>
      <c r="D25" s="35"/>
      <c r="E25" s="9"/>
      <c r="T25" s="3" t="s">
        <v>1</v>
      </c>
      <c r="U25" s="2">
        <f>Z16/Z20</f>
        <v>0.30319869582727721</v>
      </c>
      <c r="V25" s="6">
        <f>(Z20)*0.02</f>
        <v>270.3128966423925</v>
      </c>
      <c r="W25" s="7" t="s">
        <v>25</v>
      </c>
      <c r="X25" s="7" t="s">
        <v>26</v>
      </c>
      <c r="Y25" t="s">
        <v>32</v>
      </c>
    </row>
    <row r="26" spans="1:93" x14ac:dyDescent="0.2">
      <c r="A26" s="9"/>
      <c r="B26" s="34"/>
      <c r="C26" s="9"/>
      <c r="D26" s="9"/>
      <c r="E26" s="9"/>
      <c r="T26" s="3" t="s">
        <v>2</v>
      </c>
      <c r="U26" s="2">
        <f>Z17/Z20</f>
        <v>5.0141492430404347E-2</v>
      </c>
      <c r="V26" s="6">
        <f>(Z20*0.026)</f>
        <v>351.40676563511028</v>
      </c>
      <c r="W26" s="8" t="s">
        <v>25</v>
      </c>
      <c r="X26" s="7" t="s">
        <v>27</v>
      </c>
      <c r="Y26" s="89"/>
    </row>
    <row r="27" spans="1:93" x14ac:dyDescent="0.2">
      <c r="A27" s="36"/>
      <c r="B27" s="34"/>
      <c r="C27" s="9"/>
      <c r="D27" s="9"/>
      <c r="E27" s="9"/>
      <c r="T27" s="3" t="s">
        <v>0</v>
      </c>
      <c r="U27" s="2">
        <f>Z18/Z20</f>
        <v>0.41037320644809816</v>
      </c>
      <c r="V27" s="6">
        <f>(Z20)*0.032</f>
        <v>432.50063462782805</v>
      </c>
      <c r="W27" s="8" t="s">
        <v>28</v>
      </c>
      <c r="X27" s="8" t="s">
        <v>28</v>
      </c>
      <c r="Y27" s="89"/>
    </row>
    <row r="28" spans="1:93" ht="14.25" x14ac:dyDescent="0.2">
      <c r="A28" s="36"/>
      <c r="B28" s="37"/>
      <c r="C28" s="38"/>
      <c r="D28" s="37"/>
      <c r="E28" s="9"/>
      <c r="V28" s="88" t="s">
        <v>41</v>
      </c>
      <c r="W28" s="88"/>
      <c r="X28" s="88"/>
      <c r="Y28" s="89"/>
    </row>
    <row r="29" spans="1:93" ht="14.25" x14ac:dyDescent="0.2">
      <c r="A29" s="36"/>
      <c r="B29" s="37"/>
      <c r="C29" s="38"/>
      <c r="D29" s="37"/>
      <c r="E29" s="9"/>
      <c r="V29" s="11">
        <f>V25+20</f>
        <v>290.3128966423925</v>
      </c>
      <c r="W29" s="12" t="s">
        <v>33</v>
      </c>
      <c r="X29" s="12" t="s">
        <v>26</v>
      </c>
      <c r="Y29" s="85" t="s">
        <v>39</v>
      </c>
    </row>
    <row r="30" spans="1:93" x14ac:dyDescent="0.2">
      <c r="A30" s="36"/>
      <c r="B30" s="10"/>
      <c r="C30" s="9"/>
      <c r="D30" s="9"/>
      <c r="E30" s="9"/>
      <c r="V30" s="11">
        <f>V26+20</f>
        <v>371.40676563511028</v>
      </c>
      <c r="W30" s="12" t="s">
        <v>33</v>
      </c>
      <c r="X30" s="12" t="s">
        <v>27</v>
      </c>
      <c r="Y30" s="85"/>
    </row>
    <row r="31" spans="1:93" x14ac:dyDescent="0.2">
      <c r="A31" s="36"/>
      <c r="B31" s="10"/>
      <c r="C31" s="9"/>
      <c r="D31" s="9"/>
      <c r="E31" s="9"/>
      <c r="V31" s="11">
        <f>V27+26</f>
        <v>458.50063462782805</v>
      </c>
      <c r="W31" s="12" t="s">
        <v>34</v>
      </c>
      <c r="X31" s="12" t="s">
        <v>44</v>
      </c>
      <c r="Y31" s="85"/>
    </row>
    <row r="32" spans="1:93" x14ac:dyDescent="0.2">
      <c r="A32" s="1"/>
      <c r="B32" s="4"/>
      <c r="Y32" s="5" t="s">
        <v>24</v>
      </c>
    </row>
    <row r="33" spans="1:28" x14ac:dyDescent="0.2">
      <c r="A33" s="1"/>
      <c r="B33" s="4"/>
    </row>
    <row r="34" spans="1:28" x14ac:dyDescent="0.2">
      <c r="A34" s="1"/>
      <c r="B34" s="4"/>
      <c r="V34" s="90" t="s">
        <v>42</v>
      </c>
      <c r="W34" s="90"/>
      <c r="X34" s="90"/>
      <c r="Y34" s="91" t="s">
        <v>43</v>
      </c>
    </row>
    <row r="35" spans="1:28" ht="12.75" customHeight="1" x14ac:dyDescent="0.2">
      <c r="A35" s="1"/>
      <c r="B35" s="4"/>
      <c r="V35" s="90"/>
      <c r="W35" s="90"/>
      <c r="X35" s="90"/>
      <c r="Y35" s="91"/>
    </row>
    <row r="36" spans="1:28" x14ac:dyDescent="0.2">
      <c r="A36" s="1"/>
      <c r="B36" s="4"/>
      <c r="V36" s="6">
        <f>(U20)*0.02</f>
        <v>357.57743792117765</v>
      </c>
      <c r="W36" s="7" t="s">
        <v>25</v>
      </c>
      <c r="X36" s="7" t="s">
        <v>26</v>
      </c>
      <c r="Y36" s="91"/>
      <c r="Z36" s="5"/>
    </row>
    <row r="37" spans="1:28" ht="12.75" customHeight="1" x14ac:dyDescent="0.2">
      <c r="A37" s="1"/>
      <c r="B37" s="4"/>
      <c r="V37" s="6">
        <f>(U20*0.026)</f>
        <v>464.85066929753089</v>
      </c>
      <c r="W37" s="8" t="s">
        <v>25</v>
      </c>
      <c r="X37" s="7" t="s">
        <v>27</v>
      </c>
      <c r="Y37" s="91"/>
    </row>
    <row r="38" spans="1:28" x14ac:dyDescent="0.2">
      <c r="A38" s="1"/>
      <c r="B38" s="4"/>
      <c r="V38" s="6">
        <f>(U20)*0.032</f>
        <v>572.12390067388424</v>
      </c>
      <c r="W38" s="8" t="s">
        <v>28</v>
      </c>
      <c r="X38" s="8" t="s">
        <v>28</v>
      </c>
      <c r="Y38" s="91"/>
    </row>
    <row r="39" spans="1:28" x14ac:dyDescent="0.2">
      <c r="V39" s="88" t="s">
        <v>41</v>
      </c>
      <c r="W39" s="88"/>
      <c r="X39" s="88"/>
      <c r="Y39" s="91"/>
    </row>
    <row r="40" spans="1:28" x14ac:dyDescent="0.2">
      <c r="V40" s="11">
        <f>V36+20</f>
        <v>377.57743792117765</v>
      </c>
      <c r="W40" s="12" t="s">
        <v>33</v>
      </c>
      <c r="X40" s="12" t="s">
        <v>26</v>
      </c>
      <c r="Y40" s="91"/>
    </row>
    <row r="41" spans="1:28" x14ac:dyDescent="0.2">
      <c r="V41" s="11">
        <f>V37+20</f>
        <v>484.85066929753089</v>
      </c>
      <c r="W41" s="12" t="s">
        <v>33</v>
      </c>
      <c r="X41" s="12" t="s">
        <v>27</v>
      </c>
      <c r="Y41" s="91"/>
    </row>
    <row r="42" spans="1:28" ht="18" x14ac:dyDescent="0.25">
      <c r="A42" s="78" t="s">
        <v>68</v>
      </c>
      <c r="V42" s="11">
        <f>V38+26</f>
        <v>598.12390067388424</v>
      </c>
      <c r="W42" s="12" t="s">
        <v>34</v>
      </c>
      <c r="X42" s="12" t="s">
        <v>44</v>
      </c>
      <c r="Y42" s="91"/>
    </row>
    <row r="44" spans="1:28" x14ac:dyDescent="0.2">
      <c r="B44" t="s">
        <v>67</v>
      </c>
    </row>
    <row r="45" spans="1:28" ht="15" x14ac:dyDescent="0.25">
      <c r="A45" s="42" t="s">
        <v>0</v>
      </c>
      <c r="B45" s="55">
        <v>3.9928240000000002</v>
      </c>
      <c r="C45" s="56">
        <v>3.8008060000000001</v>
      </c>
      <c r="D45" s="75">
        <v>553</v>
      </c>
      <c r="E45" s="44">
        <v>0.37835760000000002</v>
      </c>
      <c r="F45" s="45">
        <f>E45/B45</f>
        <v>9.4759398360659025E-2</v>
      </c>
      <c r="G45" s="54">
        <v>1056</v>
      </c>
      <c r="H45" s="62">
        <v>1907.4870000000001</v>
      </c>
      <c r="I45" s="47">
        <v>0.14499999999999999</v>
      </c>
      <c r="J45" s="68">
        <f>276.939</f>
        <v>276.93900000000002</v>
      </c>
      <c r="K45" s="69">
        <f>H45*B45</f>
        <v>7616.2598732880006</v>
      </c>
      <c r="L45" s="69">
        <f>((E45^2)*(J45^2))+((E45^2)*(H45^2))+((J45^2)*(B45^2))</f>
        <v>1754572.1531862409</v>
      </c>
      <c r="M45" s="69">
        <f>SQRT(L45)</f>
        <v>1324.6026397324749</v>
      </c>
      <c r="N45" s="69">
        <f t="shared" ref="N45" si="9">K45*G45</f>
        <v>8042770.426192129</v>
      </c>
      <c r="O45" s="69">
        <f>N45/1000</f>
        <v>8042.770426192129</v>
      </c>
      <c r="P45" s="68">
        <f>L45*G45^2</f>
        <v>1956586572615.4919</v>
      </c>
      <c r="Q45" s="69">
        <f>SQRT(P45)</f>
        <v>1398780.3875574935</v>
      </c>
      <c r="R45" s="69">
        <f t="shared" ref="R45" si="10">(N45-1.645*(Q45))/1000</f>
        <v>5741.7766886600521</v>
      </c>
      <c r="S45" s="69">
        <f t="shared" ref="S45" si="11">(N45+1.645*Q45)/1000</f>
        <v>10343.764163724207</v>
      </c>
      <c r="T45" s="69">
        <f>H45*G45*B45</f>
        <v>8042770.426192129</v>
      </c>
      <c r="U45" s="69">
        <f t="shared" ref="U45" si="12">T45/1000</f>
        <v>8042.770426192129</v>
      </c>
      <c r="V45" s="50">
        <f>T45^2*(I45^2+F45^2)</f>
        <v>1940865653196.5022</v>
      </c>
      <c r="W45" s="50">
        <f>SQRT(V45)/T45</f>
        <v>0.17321761913175596</v>
      </c>
      <c r="X45" s="50">
        <f t="shared" ref="X45" si="13">T45/(EXP(1.645*(LN(1+(W45^2)))^0.5))</f>
        <v>6061358.5082153771</v>
      </c>
      <c r="Y45" s="50">
        <f t="shared" ref="Y45" si="14">T45*(EXP(1.645*(LN(1+(W45^2)))^0.5))</f>
        <v>10671890.804801781</v>
      </c>
      <c r="Z45" s="51">
        <f>X45/1000</f>
        <v>6061.3585082153768</v>
      </c>
      <c r="AA45" s="52">
        <f>Y45/1000</f>
        <v>10671.89080480178</v>
      </c>
      <c r="AB45" s="27" t="s">
        <v>0</v>
      </c>
    </row>
    <row r="46" spans="1:28" ht="15" x14ac:dyDescent="0.25">
      <c r="B46" t="s">
        <v>69</v>
      </c>
      <c r="E46" s="82"/>
    </row>
    <row r="47" spans="1:28" ht="15" x14ac:dyDescent="0.25">
      <c r="A47" s="42" t="s">
        <v>0</v>
      </c>
      <c r="B47" s="55">
        <v>3.8518469999999998</v>
      </c>
      <c r="C47" s="56">
        <v>3.802994</v>
      </c>
      <c r="D47" s="75">
        <v>553</v>
      </c>
      <c r="E47" s="44">
        <v>0.36967080000000002</v>
      </c>
      <c r="F47" s="45">
        <f>E47/B47</f>
        <v>9.5972347811322731E-2</v>
      </c>
      <c r="G47" s="54">
        <v>1056</v>
      </c>
      <c r="H47" s="62">
        <v>1907.4870000000001</v>
      </c>
      <c r="I47" s="47">
        <v>0.14499999999999999</v>
      </c>
      <c r="J47" s="68">
        <f>276.939</f>
        <v>276.93900000000002</v>
      </c>
      <c r="K47" s="69">
        <f>H47*B47</f>
        <v>7347.3480784889998</v>
      </c>
      <c r="L47" s="69">
        <f>((E47^2)*(J47^2))+((E47^2)*(H47^2))+((J47^2)*(B47^2))</f>
        <v>1645612.2443651552</v>
      </c>
      <c r="M47" s="69">
        <f>SQRT(L47)</f>
        <v>1282.8141893373161</v>
      </c>
      <c r="N47" s="69">
        <f t="shared" ref="N47" si="15">K47*G47</f>
        <v>7758799.5708843842</v>
      </c>
      <c r="O47" s="69">
        <f>N47/1000</f>
        <v>7758.7995708843846</v>
      </c>
      <c r="P47" s="68">
        <f>L47*G47^2</f>
        <v>1835081455732.3818</v>
      </c>
      <c r="Q47" s="69">
        <f>SQRT(P47)</f>
        <v>1354651.7839402058</v>
      </c>
      <c r="R47" s="69">
        <f t="shared" ref="R47" si="16">(N47-1.645*(Q47))/1000</f>
        <v>5530.397386302745</v>
      </c>
      <c r="S47" s="69">
        <f t="shared" ref="S47" si="17">(N47+1.645*Q47)/1000</f>
        <v>9987.2017554660233</v>
      </c>
      <c r="T47" s="69">
        <f>H47*G47*B47</f>
        <v>7758799.5708843842</v>
      </c>
      <c r="U47" s="69">
        <f t="shared" ref="U47" si="18">T47/1000</f>
        <v>7758.7995708843846</v>
      </c>
      <c r="V47" s="50">
        <f>T47^2*(I47^2+F47^2)</f>
        <v>1820157511830.4255</v>
      </c>
      <c r="W47" s="50">
        <f>SQRT(V47)/T47</f>
        <v>0.17388413252628171</v>
      </c>
      <c r="X47" s="50">
        <f t="shared" ref="X47" si="19">T47/(EXP(1.645*(LN(1+(W47^2)))^0.5))</f>
        <v>5841079.778305199</v>
      </c>
      <c r="Y47" s="50">
        <f t="shared" ref="Y47" si="20">T47*(EXP(1.645*(LN(1+(W47^2)))^0.5))</f>
        <v>10306137.403694656</v>
      </c>
      <c r="Z47" s="51">
        <f>X47/1000</f>
        <v>5841.0797783051994</v>
      </c>
      <c r="AA47" s="52">
        <f>Y47/1000</f>
        <v>10306.137403694656</v>
      </c>
      <c r="AB47" s="27" t="s">
        <v>0</v>
      </c>
    </row>
  </sheetData>
  <mergeCells count="7">
    <mergeCell ref="V24:X24"/>
    <mergeCell ref="Y26:Y28"/>
    <mergeCell ref="V28:X28"/>
    <mergeCell ref="Y29:Y31"/>
    <mergeCell ref="V34:X35"/>
    <mergeCell ref="Y34:Y42"/>
    <mergeCell ref="V39:X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CCCC-1894-45A4-AD0F-137D0608730A}">
  <sheetPr>
    <tabColor theme="8" tint="-0.249977111117893"/>
  </sheetPr>
  <dimension ref="A2:CQ47"/>
  <sheetViews>
    <sheetView topLeftCell="N22" zoomScale="110" zoomScaleNormal="110" workbookViewId="0">
      <selection activeCell="D53" sqref="D53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55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1907.4870000000001</v>
      </c>
      <c r="I18" s="47">
        <v>0.14499999999999999</v>
      </c>
      <c r="J18" s="68">
        <f>276.939</f>
        <v>276.93900000000002</v>
      </c>
      <c r="K18" s="72">
        <v>0.96348900000000004</v>
      </c>
      <c r="L18" s="72">
        <v>3.5124409999999999E-4</v>
      </c>
      <c r="M18" s="69">
        <f>H18*B18*K18</f>
        <v>6423.7933581850066</v>
      </c>
      <c r="N18" s="69">
        <f>(((J18^2)+(H18^2))*(L18+K18^2)*((E18^2)+(B18^2)))-((H18^2)*(K18^2)*(B18^2))</f>
        <v>895192.17198007554</v>
      </c>
      <c r="O18" s="69">
        <f>SQRT(N18)</f>
        <v>946.14595701724352</v>
      </c>
      <c r="P18" s="69">
        <f t="shared" si="1"/>
        <v>6783525.786243367</v>
      </c>
      <c r="Q18" s="69">
        <f>P18/1000</f>
        <v>6783.5257862433673</v>
      </c>
      <c r="R18" s="68">
        <f>N18*G18^2</f>
        <v>998261017893.17346</v>
      </c>
      <c r="S18" s="69">
        <f>SQRT(R18)</f>
        <v>999130.13061020907</v>
      </c>
      <c r="T18" s="69">
        <f t="shared" si="2"/>
        <v>5139.9567213895734</v>
      </c>
      <c r="U18" s="69">
        <f t="shared" si="3"/>
        <v>8427.0948510971612</v>
      </c>
      <c r="V18" s="69">
        <f>H18*G18*B18*K18</f>
        <v>6783525.786243367</v>
      </c>
      <c r="W18" s="69">
        <f t="shared" si="4"/>
        <v>6783.5257862433673</v>
      </c>
      <c r="X18" s="50">
        <f>V18^2*(I18^2+F18^2)</f>
        <v>977788030215.95361</v>
      </c>
      <c r="Y18" s="50">
        <f>SQRT(X18)/V18</f>
        <v>0.1457695717884796</v>
      </c>
      <c r="Z18" s="50">
        <f t="shared" si="5"/>
        <v>5343951.7604225958</v>
      </c>
      <c r="AA18" s="50">
        <f t="shared" si="6"/>
        <v>8610897.7317919806</v>
      </c>
      <c r="AB18" s="51">
        <f>Z18/1000</f>
        <v>5343.9517604225957</v>
      </c>
      <c r="AC18" s="52">
        <f>AA18/1000</f>
        <v>8610.8977317919798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ht="15" x14ac:dyDescent="0.25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 s="71" t="s">
        <v>65</v>
      </c>
      <c r="I19"/>
      <c r="J19" s="64">
        <f>J18^2</f>
        <v>76695.209721000007</v>
      </c>
      <c r="K19" s="64"/>
      <c r="L19" s="64"/>
      <c r="M19" s="64"/>
      <c r="N19" s="64">
        <f>SQRT(N18)</f>
        <v>946.14595701724352</v>
      </c>
      <c r="O19" s="64"/>
      <c r="P19" s="64"/>
      <c r="Q19" s="64"/>
      <c r="R19" s="64"/>
      <c r="S19" s="65"/>
      <c r="T19" s="16">
        <f>SUM(T15:T18)</f>
        <v>12567.672944006456</v>
      </c>
      <c r="U19" s="16">
        <f>SUM(U15:U18)</f>
        <v>22675.953281680282</v>
      </c>
      <c r="V19" s="13"/>
      <c r="W19" s="13" t="s">
        <v>24</v>
      </c>
      <c r="X19" s="13">
        <f>(((J18^2)*(C18^2))+((J18^2)*(B18^2))+((C18^2)*(H18^2)))*G18^2</f>
        <v>7516674446826.6709</v>
      </c>
      <c r="Y19" s="13">
        <f>SQRT(X19)/V18</f>
        <v>0.40416377961404321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17621.813112843371</v>
      </c>
      <c r="X20" s="13">
        <f>SQRT(X19)</f>
        <v>2741655.4208774432</v>
      </c>
      <c r="Y20" s="13"/>
      <c r="Z20" s="13"/>
      <c r="AA20" s="18" t="s">
        <v>30</v>
      </c>
      <c r="AB20" s="61">
        <f>SUM(AB15:AB18)</f>
        <v>13313.138085571623</v>
      </c>
      <c r="AC20" s="17">
        <f>SUM(AC15:AC18)</f>
        <v>23459.670545172055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1909.9241379310347</v>
      </c>
      <c r="V24" s="24" t="s">
        <v>3</v>
      </c>
      <c r="W24" s="25">
        <f>AB15/AB20</f>
        <v>0.23988077155190096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0.30781066492539111</v>
      </c>
      <c r="X25" s="6">
        <f>(AB20)*0.02</f>
        <v>266.26276171143246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5.0904196943335603E-2</v>
      </c>
      <c r="X26" s="6">
        <f>(AB20*0.026)</f>
        <v>346.14159022486217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0.4014043665793724</v>
      </c>
      <c r="X27" s="6">
        <f>(AB20)*0.032</f>
        <v>426.02041873829194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286.26276171143246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366.14159022486217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452.02041873829194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352.43626225686739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458.16714093392761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563.89801961098783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372.43626225686739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478.16714093392761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589.89801961098783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3.9928240000000002</v>
      </c>
      <c r="C45" s="56">
        <v>3.8008060000000001</v>
      </c>
      <c r="D45" s="75">
        <v>553</v>
      </c>
      <c r="E45" s="44">
        <v>0.37835760000000002</v>
      </c>
      <c r="F45" s="45">
        <f>E45/B45</f>
        <v>9.4759398360659025E-2</v>
      </c>
      <c r="G45" s="54">
        <v>1056</v>
      </c>
      <c r="H45" s="72">
        <v>1907.4870000000001</v>
      </c>
      <c r="I45" s="47">
        <v>0.14499999999999999</v>
      </c>
      <c r="J45" s="68">
        <f>276.939</f>
        <v>276.93900000000002</v>
      </c>
      <c r="K45" s="72">
        <v>0.96348900000000004</v>
      </c>
      <c r="L45" s="72">
        <v>3.5124409999999999E-4</v>
      </c>
      <c r="M45" s="69">
        <f>H45*B45*K45</f>
        <v>7338.1826090543827</v>
      </c>
      <c r="N45" s="69">
        <f>(((J45^2)+(H45^2))*(L45+K45^2)*((E45^2)+(B45^2)))-((H45^2)*(K45^2)*(B45^2))</f>
        <v>1649779.7685023546</v>
      </c>
      <c r="O45" s="69">
        <f>SQRT(N45)</f>
        <v>1284.4375300116212</v>
      </c>
      <c r="P45" s="69">
        <f t="shared" ref="P45" si="9">M45*G45</f>
        <v>7749120.835161428</v>
      </c>
      <c r="Q45" s="69">
        <f>P45/1000</f>
        <v>7749.1208351614277</v>
      </c>
      <c r="R45" s="68">
        <f>N45*G45^2</f>
        <v>1839728811928.6416</v>
      </c>
      <c r="S45" s="69">
        <f>SQRT(R45)</f>
        <v>1356366.0316922721</v>
      </c>
      <c r="T45" s="69">
        <f>(P45-1.645*(S45))/1000</f>
        <v>5517.89871302764</v>
      </c>
      <c r="U45" s="69">
        <f>(P45+1.645*S45)/1000</f>
        <v>9980.3429572952173</v>
      </c>
      <c r="V45" s="69">
        <f>H45*G45*B45*K45</f>
        <v>7749120.8351614289</v>
      </c>
      <c r="W45" s="69">
        <f t="shared" ref="W45" si="10">V45/1000</f>
        <v>7749.1208351614287</v>
      </c>
      <c r="X45" s="50">
        <f>V45^2*(I45^2+F45^2)</f>
        <v>1801727038485.2229</v>
      </c>
      <c r="Y45" s="50">
        <f>SQRT(X45)/V45</f>
        <v>0.17321761913175596</v>
      </c>
      <c r="Z45" s="50">
        <f t="shared" ref="Z45" si="11">V45/(EXP(1.645*(LN(1+(Y45^2)))^0.5))</f>
        <v>5840052.2477219254</v>
      </c>
      <c r="AA45" s="50">
        <f t="shared" ref="AA45" si="12">V45*(EXP(1.645*(LN(1+(Y45^2)))^0.5))</f>
        <v>10282249.399627665</v>
      </c>
      <c r="AB45" s="51">
        <f>Z45/1000</f>
        <v>5840.0522477219256</v>
      </c>
      <c r="AC45" s="52">
        <f>AA45/1000</f>
        <v>10282.249399627664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3.855248</v>
      </c>
      <c r="C47" s="56">
        <v>3.802994</v>
      </c>
      <c r="D47" s="75">
        <v>553</v>
      </c>
      <c r="E47" s="44">
        <v>0.36967080000000002</v>
      </c>
      <c r="F47" s="45">
        <f>E47/B47</f>
        <v>9.5887683490141234E-2</v>
      </c>
      <c r="G47" s="54">
        <v>1056</v>
      </c>
      <c r="H47" s="72">
        <v>1907.4870000000001</v>
      </c>
      <c r="I47" s="47">
        <v>0.14499999999999999</v>
      </c>
      <c r="J47" s="68">
        <f>276.939</f>
        <v>276.93900000000002</v>
      </c>
      <c r="K47" s="72">
        <v>0.96348900000000004</v>
      </c>
      <c r="L47" s="72">
        <v>3.5124409999999999E-4</v>
      </c>
      <c r="M47" s="69">
        <f>H47*B47*K47</f>
        <v>7085.3395559613173</v>
      </c>
      <c r="N47" s="69">
        <f>(((J47^2)+(H47^2))*(L47+K47^2)*((E47^2)+(B47^2)))-((H47^2)*(K47^2)*(B47^2))</f>
        <v>1549079.8503047451</v>
      </c>
      <c r="O47" s="69">
        <f>SQRT(N47)</f>
        <v>1244.6203639281921</v>
      </c>
      <c r="P47" s="69">
        <f t="shared" ref="P47" si="13">M47*G47</f>
        <v>7482118.5710951509</v>
      </c>
      <c r="Q47" s="69">
        <f>P47/1000</f>
        <v>7482.1185710951513</v>
      </c>
      <c r="R47" s="68">
        <f>N47*G47^2</f>
        <v>1727434707949.4324</v>
      </c>
      <c r="S47" s="69">
        <f>SQRT(R47)</f>
        <v>1314319.1043081707</v>
      </c>
      <c r="T47" s="69">
        <f>(P47-1.645*(S47))/1000</f>
        <v>5320.06364450821</v>
      </c>
      <c r="U47" s="69">
        <f>(P47+1.645*S47)/1000</f>
        <v>9644.1734976820917</v>
      </c>
      <c r="V47" s="69">
        <f>H47*G47*B47*K47</f>
        <v>7482118.5710951509</v>
      </c>
      <c r="W47" s="69">
        <f t="shared" ref="W47" si="14">V47/1000</f>
        <v>7482.1185710951513</v>
      </c>
      <c r="X47" s="50">
        <f>V47^2*(I47^2+F47^2)</f>
        <v>1691748100196.8452</v>
      </c>
      <c r="Y47" s="50">
        <f>SQRT(X47)/V47</f>
        <v>0.1738374178510067</v>
      </c>
      <c r="Z47" s="50">
        <f t="shared" ref="Z47" si="15">V47/(EXP(1.645*(LN(1+(Y47^2)))^0.5))</f>
        <v>5633208.5299945707</v>
      </c>
      <c r="AA47" s="50">
        <f t="shared" ref="AA47" si="16">V47*(EXP(1.645*(LN(1+(Y47^2)))^0.5))</f>
        <v>9937870.7558658216</v>
      </c>
      <c r="AB47" s="51">
        <f>Z47/1000</f>
        <v>5633.2085299945702</v>
      </c>
      <c r="AC47" s="52">
        <f>AA47/1000</f>
        <v>9937.8707558658225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F07A-BAC1-4B6D-8867-A85497CF02B1}">
  <sheetPr>
    <tabColor theme="8" tint="-0.249977111117893"/>
  </sheetPr>
  <dimension ref="A2:CQ47"/>
  <sheetViews>
    <sheetView topLeftCell="N20" zoomScale="110" zoomScaleNormal="110" workbookViewId="0">
      <selection activeCell="R62" sqref="R62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55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1925.646</v>
      </c>
      <c r="I18" s="47">
        <v>0.15082619999999999</v>
      </c>
      <c r="J18" s="68">
        <f>276.939</f>
        <v>276.93900000000002</v>
      </c>
      <c r="K18" s="72">
        <v>0.96348900000000004</v>
      </c>
      <c r="L18" s="72">
        <v>3.5124409999999999E-4</v>
      </c>
      <c r="M18" s="69">
        <f>H18*B18*K18</f>
        <v>6484.9469406688095</v>
      </c>
      <c r="N18" s="69">
        <f>(((J18^2)+(H18^2))*(L18+K18^2)*((E18^2)+(B18^2)))-((H18^2)*(K18^2)*(B18^2))</f>
        <v>895667.57525335997</v>
      </c>
      <c r="O18" s="69">
        <f>SQRT(N18)</f>
        <v>946.39715513803185</v>
      </c>
      <c r="P18" s="69">
        <f t="shared" si="1"/>
        <v>6848103.9693462625</v>
      </c>
      <c r="Q18" s="69">
        <f>P18/1000</f>
        <v>6848.1039693462626</v>
      </c>
      <c r="R18" s="68">
        <f>N18*G18^2</f>
        <v>998791157197.73083</v>
      </c>
      <c r="S18" s="69">
        <f>SQRT(R18)</f>
        <v>999395.39582576172</v>
      </c>
      <c r="T18" s="69">
        <f t="shared" si="2"/>
        <v>5204.0985432128855</v>
      </c>
      <c r="U18" s="69">
        <f t="shared" si="3"/>
        <v>8492.1093954796397</v>
      </c>
      <c r="V18" s="69">
        <f>H18*G18*B18*K18</f>
        <v>6848103.9693462625</v>
      </c>
      <c r="W18" s="69">
        <f t="shared" si="4"/>
        <v>6848.1039693462626</v>
      </c>
      <c r="X18" s="50">
        <f>V18^2*(I18^2+F18^2)</f>
        <v>1077321609790.2516</v>
      </c>
      <c r="Y18" s="50">
        <f>SQRT(X18)/V18</f>
        <v>0.15156619235778376</v>
      </c>
      <c r="Z18" s="50">
        <f t="shared" si="5"/>
        <v>5344456.1434361888</v>
      </c>
      <c r="AA18" s="50">
        <f t="shared" si="6"/>
        <v>8774798.916176375</v>
      </c>
      <c r="AB18" s="51">
        <f>Z18/1000</f>
        <v>5344.4561434361885</v>
      </c>
      <c r="AC18" s="52">
        <f>AA18/1000</f>
        <v>8774.7989161763744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ht="15" x14ac:dyDescent="0.25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 s="71" t="s">
        <v>65</v>
      </c>
      <c r="I19"/>
      <c r="J19" s="64">
        <f>J18^2</f>
        <v>76695.209721000007</v>
      </c>
      <c r="K19" s="64"/>
      <c r="L19" s="64"/>
      <c r="M19" s="64"/>
      <c r="N19" s="64">
        <f>SQRT(N18)</f>
        <v>946.39715513803185</v>
      </c>
      <c r="O19" s="64"/>
      <c r="P19" s="64"/>
      <c r="Q19" s="64"/>
      <c r="R19" s="64"/>
      <c r="S19" s="65"/>
      <c r="T19" s="16">
        <f>SUM(T15:T18)</f>
        <v>12631.814765829768</v>
      </c>
      <c r="U19" s="16">
        <f>SUM(U15:U18)</f>
        <v>22740.967826062762</v>
      </c>
      <c r="V19" s="13"/>
      <c r="W19" s="13" t="s">
        <v>24</v>
      </c>
      <c r="X19" s="13">
        <f>(((J18^2)*(C18^2))+((J18^2)*(B18^2))+((C18^2)*(H18^2)))*G18^2</f>
        <v>7637926401250.3994</v>
      </c>
      <c r="Y19" s="13">
        <f>SQRT(X19)/V18</f>
        <v>0.40356861961842788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17686.391295946265</v>
      </c>
      <c r="X20" s="13">
        <f>SQRT(X19)</f>
        <v>2763679.8659125478</v>
      </c>
      <c r="Y20" s="13"/>
      <c r="Z20" s="13"/>
      <c r="AA20" s="18" t="s">
        <v>30</v>
      </c>
      <c r="AB20" s="61">
        <f>SUM(AB15:AB18)</f>
        <v>13313.642468585218</v>
      </c>
      <c r="AC20" s="17">
        <f>SUM(AC15:AC18)</f>
        <v>23623.57172955645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1836.1465050501838</v>
      </c>
      <c r="V24" s="24" t="s">
        <v>3</v>
      </c>
      <c r="W24" s="25">
        <f>AB15/AB20</f>
        <v>0.23987168374691115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0.30779900361849044</v>
      </c>
      <c r="X25" s="6">
        <f>(AB20)*0.02</f>
        <v>266.27284937170435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5.0902268454395071E-2</v>
      </c>
      <c r="X26" s="6">
        <f>(AB20*0.026)</f>
        <v>346.15470418321564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0.40142704418020325</v>
      </c>
      <c r="X27" s="6">
        <f>(AB20)*0.032</f>
        <v>426.03655899472699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286.27284937170435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366.15470418321564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452.03655899472699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353.7278259189253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459.8461736946029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565.96452147028049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373.7278259189253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479.8461736946029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591.96452147028049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3.9928240000000002</v>
      </c>
      <c r="C45" s="56">
        <v>3.8008060000000001</v>
      </c>
      <c r="D45" s="75">
        <v>553</v>
      </c>
      <c r="E45" s="44">
        <v>0.37835760000000002</v>
      </c>
      <c r="F45" s="45">
        <f>E45/B45</f>
        <v>9.4759398360659025E-2</v>
      </c>
      <c r="G45" s="54">
        <v>1056</v>
      </c>
      <c r="H45" s="72">
        <v>1925.646</v>
      </c>
      <c r="I45" s="47">
        <v>0.15082619999999999</v>
      </c>
      <c r="J45" s="68">
        <f>276.939</f>
        <v>276.93900000000002</v>
      </c>
      <c r="K45" s="72">
        <v>0.96348900000000004</v>
      </c>
      <c r="L45" s="72">
        <v>3.5124409999999999E-4</v>
      </c>
      <c r="M45" s="69">
        <f>H45*B45*K45</f>
        <v>7408.0410447856966</v>
      </c>
      <c r="N45" s="69">
        <f>(((J45^2)+(H45^2))*(L45+K45^2)*((E45^2)+(B45^2)))-((H45^2)*(K45^2)*(B45^2))</f>
        <v>1659423.0984032452</v>
      </c>
      <c r="O45" s="69">
        <f>SQRT(N45)</f>
        <v>1288.1859719789086</v>
      </c>
      <c r="P45" s="69">
        <f t="shared" ref="P45" si="9">M45*G45</f>
        <v>7822891.3432936957</v>
      </c>
      <c r="Q45" s="69">
        <f>P45/1000</f>
        <v>7822.8913432936961</v>
      </c>
      <c r="R45" s="68">
        <f>N45*G45^2</f>
        <v>1850482436261.0012</v>
      </c>
      <c r="S45" s="69">
        <f>SQRT(R45)</f>
        <v>1360324.3864097274</v>
      </c>
      <c r="T45" s="69">
        <f>(P45-1.645*(S45))/1000</f>
        <v>5585.1577276496946</v>
      </c>
      <c r="U45" s="69">
        <f>(P45+1.645*S45)/1000</f>
        <v>10060.624958937697</v>
      </c>
      <c r="V45" s="69">
        <f>H45*G45*B45*K45</f>
        <v>7822891.3432936966</v>
      </c>
      <c r="W45" s="69">
        <f t="shared" ref="W45" si="10">V45/1000</f>
        <v>7822.891343293697</v>
      </c>
      <c r="X45" s="50">
        <f>V45^2*(I45^2+F45^2)</f>
        <v>1941671406665.4224</v>
      </c>
      <c r="Y45" s="50">
        <f>SQRT(X45)/V45</f>
        <v>0.17812323313962744</v>
      </c>
      <c r="Z45" s="50">
        <f t="shared" ref="Z45" si="11">V45/(EXP(1.645*(LN(1+(Y45^2)))^0.5))</f>
        <v>5849326.7170394072</v>
      </c>
      <c r="AA45" s="50">
        <f t="shared" ref="AA45" si="12">V45*(EXP(1.645*(LN(1+(Y45^2)))^0.5))</f>
        <v>10462337.279042292</v>
      </c>
      <c r="AB45" s="51">
        <f>Z45/1000</f>
        <v>5849.3267170394074</v>
      </c>
      <c r="AC45" s="52">
        <f>AA45/1000</f>
        <v>10462.337279042293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3.855248</v>
      </c>
      <c r="C47" s="56">
        <v>3.802994</v>
      </c>
      <c r="D47" s="75">
        <v>553</v>
      </c>
      <c r="E47" s="44">
        <v>0.36967080000000002</v>
      </c>
      <c r="F47" s="45">
        <f>E47/B47</f>
        <v>9.5887683490141234E-2</v>
      </c>
      <c r="G47" s="54">
        <v>1056</v>
      </c>
      <c r="H47" s="72">
        <v>1925.646</v>
      </c>
      <c r="I47" s="47">
        <v>0.15082619999999999</v>
      </c>
      <c r="J47" s="68">
        <f>276.939</f>
        <v>276.93900000000002</v>
      </c>
      <c r="K47" s="72">
        <v>0.96348900000000004</v>
      </c>
      <c r="L47" s="72">
        <v>3.5124409999999999E-4</v>
      </c>
      <c r="M47" s="69">
        <f>H47*B47*K47</f>
        <v>7152.7909624436152</v>
      </c>
      <c r="N47" s="69">
        <f>(((J47^2)+(H47^2))*(L47+K47^2)*((E47^2)+(B47^2)))-((H47^2)*(K47^2)*(B47^2))</f>
        <v>1558276.7516548112</v>
      </c>
      <c r="O47" s="69">
        <f>SQRT(N47)</f>
        <v>1248.3095576237536</v>
      </c>
      <c r="P47" s="69">
        <f t="shared" ref="P47" si="13">M47*G47</f>
        <v>7553347.2563404581</v>
      </c>
      <c r="Q47" s="69">
        <f>P47/1000</f>
        <v>7553.3472563404584</v>
      </c>
      <c r="R47" s="68">
        <f>N47*G47^2</f>
        <v>1737690503733.3396</v>
      </c>
      <c r="S47" s="69">
        <f>SQRT(R47)</f>
        <v>1318214.8928506838</v>
      </c>
      <c r="T47" s="69">
        <f>(P47-1.645*(S47))/1000</f>
        <v>5384.8837576010828</v>
      </c>
      <c r="U47" s="69">
        <f>(P47+1.645*S47)/1000</f>
        <v>9721.8107550798322</v>
      </c>
      <c r="V47" s="69">
        <f>H47*G47*B47*K47</f>
        <v>7553347.2563404581</v>
      </c>
      <c r="W47" s="69">
        <f t="shared" ref="W47" si="14">V47/1000</f>
        <v>7553.3472563404584</v>
      </c>
      <c r="X47" s="50">
        <f>V47^2*(I47^2+F47^2)</f>
        <v>1822445183905.0444</v>
      </c>
      <c r="Y47" s="50">
        <f>SQRT(X47)/V47</f>
        <v>0.17872602063366569</v>
      </c>
      <c r="Z47" s="50">
        <f t="shared" ref="Z47" si="15">V47/(EXP(1.645*(LN(1+(Y47^2)))^0.5))</f>
        <v>5642315.7774704797</v>
      </c>
      <c r="AA47" s="50">
        <f t="shared" ref="AA47" si="16">V47*(EXP(1.645*(LN(1+(Y47^2)))^0.5))</f>
        <v>10111638.026832225</v>
      </c>
      <c r="AB47" s="51">
        <f>Z47/1000</f>
        <v>5642.3157774704796</v>
      </c>
      <c r="AC47" s="52">
        <f>AA47/1000</f>
        <v>10111.638026832225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biomass calcs 2020</vt:lpstr>
      <vt:lpstr>biomass calcs 2021 Best Mod GIS</vt:lpstr>
      <vt:lpstr>biomass calcs 2021 Best pgt GIS</vt:lpstr>
      <vt:lpstr>biomass calcs 2021 Model Av GIS</vt:lpstr>
      <vt:lpstr>biomass calcs 2021 Model Av pgt</vt:lpstr>
      <vt:lpstr>biomass calcs 2021 Best Model R</vt:lpstr>
      <vt:lpstr>biomass calcs 2021 Best pgt R</vt:lpstr>
      <vt:lpstr>biomass calcs 2021 Model Avg R</vt:lpstr>
    </vt:vector>
  </TitlesOfParts>
  <Company>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Talley</dc:creator>
  <cp:lastModifiedBy>Joy, Philip J (DFG)</cp:lastModifiedBy>
  <cp:lastPrinted>2019-10-03T15:43:37Z</cp:lastPrinted>
  <dcterms:created xsi:type="dcterms:W3CDTF">1997-12-30T20:47:23Z</dcterms:created>
  <dcterms:modified xsi:type="dcterms:W3CDTF">2021-08-11T23:54:27Z</dcterms:modified>
</cp:coreProperties>
</file>