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"/>
    </mc:Choice>
  </mc:AlternateContent>
  <xr:revisionPtr revIDLastSave="0" documentId="13_ncr:1_{B4EC0E22-A476-425A-B13C-BF3847B5C140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inverse MAPE" sheetId="2" r:id="rId1"/>
    <sheet name="AICc weights" sheetId="4" r:id="rId2"/>
    <sheet name="equal weighting" sheetId="1" r:id="rId3"/>
    <sheet name="MAPE_weight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3" l="1"/>
  <c r="Q4" i="3" a="1"/>
  <c r="Q4" i="3" s="1"/>
  <c r="P4" i="4" a="1"/>
  <c r="P4" i="4" s="1"/>
  <c r="R4" i="4" s="1"/>
  <c r="S4" i="4" s="1"/>
  <c r="O5" i="4"/>
  <c r="O6" i="4"/>
  <c r="O7" i="4"/>
  <c r="O8" i="4"/>
  <c r="O4" i="4"/>
  <c r="Q4" i="4"/>
  <c r="N4" i="4"/>
  <c r="N5" i="4"/>
  <c r="N6" i="4"/>
  <c r="N7" i="4"/>
  <c r="N8" i="4"/>
  <c r="H22" i="4"/>
  <c r="G22" i="4"/>
  <c r="E22" i="4"/>
  <c r="G19" i="4"/>
  <c r="L17" i="4"/>
  <c r="G17" i="4"/>
  <c r="I17" i="4" s="1"/>
  <c r="K17" i="4" s="1"/>
  <c r="E13" i="4"/>
  <c r="M8" i="4"/>
  <c r="J8" i="4"/>
  <c r="Q8" i="4" s="1"/>
  <c r="M7" i="4"/>
  <c r="J7" i="4"/>
  <c r="Q7" i="4" s="1"/>
  <c r="M6" i="4"/>
  <c r="J6" i="4"/>
  <c r="M5" i="4"/>
  <c r="J5" i="4"/>
  <c r="M4" i="4"/>
  <c r="J4" i="4"/>
  <c r="L4" i="4" s="1"/>
  <c r="E23" i="4"/>
  <c r="L8" i="4" l="1"/>
  <c r="H17" i="4"/>
  <c r="J17" i="4" s="1"/>
  <c r="L7" i="4"/>
  <c r="L5" i="4"/>
  <c r="Q6" i="4"/>
  <c r="K6" i="4"/>
  <c r="L6" i="4"/>
  <c r="K9" i="4"/>
  <c r="K4" i="4"/>
  <c r="L9" i="4"/>
  <c r="Q5" i="4"/>
  <c r="K5" i="4"/>
  <c r="P8" i="4" a="1"/>
  <c r="P8" i="4" s="1"/>
  <c r="P7" i="4" a="1"/>
  <c r="P7" i="4" s="1"/>
  <c r="P6" i="4" a="1"/>
  <c r="P6" i="4" s="1"/>
  <c r="P5" i="4" a="1"/>
  <c r="P5" i="4" s="1"/>
  <c r="K7" i="4"/>
  <c r="K8" i="4"/>
  <c r="E26" i="1"/>
  <c r="N4" i="1"/>
  <c r="L4" i="1"/>
  <c r="K4" i="1"/>
  <c r="M4" i="1"/>
  <c r="J5" i="1"/>
  <c r="L5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  <c r="Q4" i="1" a="1"/>
  <c r="Q4" i="1" s="1"/>
  <c r="U4" i="2"/>
  <c r="T4" i="2"/>
  <c r="S4" i="2"/>
  <c r="Q4" i="2" a="1"/>
  <c r="Q4" i="2" s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R4" i="2"/>
  <c r="O4" i="3"/>
  <c r="T4" i="3"/>
  <c r="U4" i="3" s="1"/>
  <c r="V4" i="3" s="1"/>
  <c r="W4" i="3" s="1"/>
  <c r="AA4" i="3" s="1"/>
  <c r="S4" i="3"/>
  <c r="S5" i="3"/>
  <c r="T5" i="3" s="1"/>
  <c r="S6" i="3"/>
  <c r="T6" i="3"/>
  <c r="S7" i="3"/>
  <c r="T7" i="3"/>
  <c r="S8" i="3"/>
  <c r="T8" i="3" s="1"/>
  <c r="S9" i="3"/>
  <c r="T9" i="3" s="1"/>
  <c r="S10" i="3"/>
  <c r="T10" i="3"/>
  <c r="S11" i="3"/>
  <c r="T11" i="3"/>
  <c r="S12" i="3"/>
  <c r="T12" i="3" s="1"/>
  <c r="S13" i="3"/>
  <c r="T13" i="3"/>
  <c r="S14" i="3"/>
  <c r="T14" i="3" s="1"/>
  <c r="S15" i="3"/>
  <c r="T15" i="3"/>
  <c r="S16" i="3"/>
  <c r="T16" i="3" s="1"/>
  <c r="S17" i="3"/>
  <c r="T17" i="3"/>
  <c r="K5" i="1"/>
  <c r="E36" i="1"/>
  <c r="E35" i="1"/>
  <c r="G35" i="1"/>
  <c r="H35" i="1"/>
  <c r="N24" i="1"/>
  <c r="O4" i="1"/>
  <c r="L30" i="1"/>
  <c r="I30" i="1"/>
  <c r="K30" i="1" s="1"/>
  <c r="H30" i="1"/>
  <c r="J30" i="1" s="1"/>
  <c r="G30" i="1"/>
  <c r="R5" i="4" l="1"/>
  <c r="S5" i="4" s="1"/>
  <c r="Y8" i="4"/>
  <c r="R8" i="4"/>
  <c r="S8" i="4" s="1"/>
  <c r="Y4" i="4"/>
  <c r="Y6" i="4"/>
  <c r="Y5" i="4"/>
  <c r="Y7" i="4"/>
  <c r="R6" i="4"/>
  <c r="S6" i="4" s="1"/>
  <c r="R7" i="4"/>
  <c r="S7" i="4" s="1"/>
  <c r="K22" i="1"/>
  <c r="L22" i="1"/>
  <c r="V4" i="2"/>
  <c r="W4" i="2" s="1"/>
  <c r="X4" i="2" s="1"/>
  <c r="AA4" i="2" s="1"/>
  <c r="Z4" i="2"/>
  <c r="U7" i="3"/>
  <c r="V7" i="3" s="1"/>
  <c r="W7" i="3" s="1"/>
  <c r="U11" i="3"/>
  <c r="V11" i="3" s="1"/>
  <c r="W11" i="3" s="1"/>
  <c r="U15" i="3"/>
  <c r="V15" i="3" s="1"/>
  <c r="W15" i="3" s="1"/>
  <c r="U6" i="3"/>
  <c r="V6" i="3" s="1"/>
  <c r="W6" i="3" s="1"/>
  <c r="U14" i="3"/>
  <c r="V14" i="3" s="1"/>
  <c r="W14" i="3" s="1"/>
  <c r="U8" i="3"/>
  <c r="V8" i="3" s="1"/>
  <c r="W8" i="3" s="1"/>
  <c r="U12" i="3"/>
  <c r="V12" i="3" s="1"/>
  <c r="W12" i="3" s="1"/>
  <c r="U16" i="3"/>
  <c r="V16" i="3" s="1"/>
  <c r="W16" i="3" s="1"/>
  <c r="U5" i="3"/>
  <c r="V5" i="3" s="1"/>
  <c r="W5" i="3" s="1"/>
  <c r="U9" i="3"/>
  <c r="V9" i="3" s="1"/>
  <c r="W9" i="3" s="1"/>
  <c r="U13" i="3"/>
  <c r="V13" i="3" s="1"/>
  <c r="W13" i="3" s="1"/>
  <c r="U17" i="3"/>
  <c r="V17" i="3" s="1"/>
  <c r="W17" i="3" s="1"/>
  <c r="U10" i="3"/>
  <c r="V10" i="3" s="1"/>
  <c r="W10" i="3" s="1"/>
  <c r="T4" i="4" l="1"/>
  <c r="U4" i="4" s="1"/>
  <c r="T8" i="4"/>
  <c r="U8" i="4" s="1"/>
  <c r="V8" i="4" s="1"/>
  <c r="T7" i="4"/>
  <c r="U7" i="4" s="1"/>
  <c r="V7" i="4" s="1"/>
  <c r="T6" i="4"/>
  <c r="U6" i="4" s="1"/>
  <c r="V6" i="4" s="1"/>
  <c r="T5" i="4"/>
  <c r="U5" i="4" s="1"/>
  <c r="V5" i="4" s="1"/>
  <c r="V4" i="4"/>
  <c r="G32" i="1"/>
  <c r="W5" i="4" l="1"/>
  <c r="Z5" i="4" s="1"/>
  <c r="X5" i="4"/>
  <c r="AA5" i="4" s="1"/>
  <c r="X6" i="4"/>
  <c r="AA6" i="4" s="1"/>
  <c r="W6" i="4"/>
  <c r="Z6" i="4" s="1"/>
  <c r="W8" i="4"/>
  <c r="Z8" i="4" s="1"/>
  <c r="X8" i="4"/>
  <c r="AA8" i="4" s="1"/>
  <c r="X7" i="4"/>
  <c r="AA7" i="4" s="1"/>
  <c r="W7" i="4"/>
  <c r="Z7" i="4" s="1"/>
  <c r="W4" i="4"/>
  <c r="Z4" i="4" s="1"/>
  <c r="X4" i="4"/>
  <c r="AA4" i="4" s="1"/>
  <c r="O2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4" i="2"/>
  <c r="M17" i="3"/>
  <c r="J17" i="3"/>
  <c r="R17" i="3" s="1"/>
  <c r="M16" i="3"/>
  <c r="J16" i="3"/>
  <c r="L16" i="3" s="1"/>
  <c r="M15" i="3"/>
  <c r="J15" i="3"/>
  <c r="M14" i="3"/>
  <c r="J14" i="3"/>
  <c r="M13" i="3"/>
  <c r="J13" i="3"/>
  <c r="L13" i="3" s="1"/>
  <c r="M12" i="3"/>
  <c r="J12" i="3"/>
  <c r="M11" i="3"/>
  <c r="J11" i="3"/>
  <c r="M10" i="3"/>
  <c r="J10" i="3"/>
  <c r="M9" i="3"/>
  <c r="J9" i="3"/>
  <c r="L9" i="3" s="1"/>
  <c r="M8" i="3"/>
  <c r="J8" i="3"/>
  <c r="M7" i="3"/>
  <c r="J7" i="3"/>
  <c r="R7" i="3" s="1"/>
  <c r="M6" i="3"/>
  <c r="J6" i="3"/>
  <c r="R6" i="3" s="1"/>
  <c r="M5" i="3"/>
  <c r="J5" i="3"/>
  <c r="R5" i="3" s="1"/>
  <c r="M4" i="3"/>
  <c r="J4" i="3"/>
  <c r="R4" i="3" s="1"/>
  <c r="L30" i="2"/>
  <c r="G30" i="2"/>
  <c r="I30" i="2" s="1"/>
  <c r="K30" i="2" s="1"/>
  <c r="M21" i="2"/>
  <c r="J21" i="2"/>
  <c r="M20" i="2"/>
  <c r="J20" i="2"/>
  <c r="M19" i="2"/>
  <c r="J19" i="2"/>
  <c r="M18" i="2"/>
  <c r="J18" i="2"/>
  <c r="L18" i="2" s="1"/>
  <c r="M17" i="2"/>
  <c r="J17" i="2"/>
  <c r="M16" i="2"/>
  <c r="J16" i="2"/>
  <c r="L16" i="2" s="1"/>
  <c r="M15" i="2"/>
  <c r="J15" i="2"/>
  <c r="M14" i="2"/>
  <c r="J14" i="2"/>
  <c r="R14" i="2" s="1"/>
  <c r="M13" i="2"/>
  <c r="J13" i="2"/>
  <c r="M12" i="2"/>
  <c r="K12" i="2" s="1"/>
  <c r="J12" i="2"/>
  <c r="R12" i="2" s="1"/>
  <c r="M11" i="2"/>
  <c r="J11" i="2"/>
  <c r="M10" i="2"/>
  <c r="L10" i="2" s="1"/>
  <c r="J10" i="2"/>
  <c r="R10" i="2" s="1"/>
  <c r="M9" i="2"/>
  <c r="J9" i="2"/>
  <c r="R9" i="2" s="1"/>
  <c r="R8" i="2"/>
  <c r="M8" i="2"/>
  <c r="K8" i="2"/>
  <c r="J8" i="2"/>
  <c r="M7" i="2"/>
  <c r="J7" i="2"/>
  <c r="R7" i="2" s="1"/>
  <c r="M6" i="2"/>
  <c r="L6" i="2" s="1"/>
  <c r="J6" i="2"/>
  <c r="R6" i="2" s="1"/>
  <c r="M5" i="2"/>
  <c r="J5" i="2"/>
  <c r="M4" i="2"/>
  <c r="J4" i="2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4" i="1"/>
  <c r="R4" i="1" l="1"/>
  <c r="S4" i="1" s="1"/>
  <c r="T4" i="1" s="1"/>
  <c r="K5" i="3"/>
  <c r="L8" i="3"/>
  <c r="L6" i="3"/>
  <c r="L4" i="3"/>
  <c r="L11" i="3"/>
  <c r="K6" i="3"/>
  <c r="L15" i="3"/>
  <c r="L5" i="3"/>
  <c r="R8" i="3"/>
  <c r="R9" i="3"/>
  <c r="R11" i="3"/>
  <c r="R13" i="3"/>
  <c r="R15" i="3"/>
  <c r="R16" i="3"/>
  <c r="K8" i="3"/>
  <c r="K9" i="3"/>
  <c r="K11" i="3"/>
  <c r="L12" i="3"/>
  <c r="K13" i="3"/>
  <c r="K15" i="3"/>
  <c r="K16" i="3"/>
  <c r="L17" i="3"/>
  <c r="L20" i="2"/>
  <c r="L14" i="2"/>
  <c r="L8" i="2"/>
  <c r="K10" i="2"/>
  <c r="R16" i="2"/>
  <c r="R18" i="2"/>
  <c r="R20" i="2"/>
  <c r="K5" i="2"/>
  <c r="K6" i="2"/>
  <c r="L12" i="2"/>
  <c r="H30" i="2"/>
  <c r="J30" i="2" s="1"/>
  <c r="K14" i="2"/>
  <c r="K16" i="2"/>
  <c r="K18" i="2"/>
  <c r="K20" i="2"/>
  <c r="R10" i="3"/>
  <c r="K10" i="3"/>
  <c r="R14" i="3"/>
  <c r="K14" i="3"/>
  <c r="Q16" i="3" a="1"/>
  <c r="Q16" i="3" s="1"/>
  <c r="L7" i="3"/>
  <c r="L10" i="3"/>
  <c r="L14" i="3"/>
  <c r="R12" i="3"/>
  <c r="K12" i="3"/>
  <c r="K4" i="3"/>
  <c r="K7" i="3"/>
  <c r="Q12" i="3" a="1"/>
  <c r="Q12" i="3" s="1"/>
  <c r="Q14" i="3" a="1"/>
  <c r="Q14" i="3" s="1"/>
  <c r="K17" i="3"/>
  <c r="Q17" i="3" a="1"/>
  <c r="Q17" i="3" s="1"/>
  <c r="Q7" i="3" a="1"/>
  <c r="Q7" i="3" s="1"/>
  <c r="Q10" i="3" a="1"/>
  <c r="Q10" i="3" s="1"/>
  <c r="Q5" i="3" a="1"/>
  <c r="Q5" i="3" s="1"/>
  <c r="Q6" i="3" a="1"/>
  <c r="Q6" i="3" s="1"/>
  <c r="Q8" i="3" a="1"/>
  <c r="Q8" i="3" s="1"/>
  <c r="Q9" i="3" a="1"/>
  <c r="Q9" i="3" s="1"/>
  <c r="Q11" i="3" a="1"/>
  <c r="Q11" i="3" s="1"/>
  <c r="Q13" i="3" a="1"/>
  <c r="Q13" i="3" s="1"/>
  <c r="Q15" i="3" a="1"/>
  <c r="Q15" i="3" s="1"/>
  <c r="L11" i="2"/>
  <c r="L15" i="2"/>
  <c r="L19" i="2"/>
  <c r="R15" i="2"/>
  <c r="K15" i="2"/>
  <c r="L5" i="2"/>
  <c r="L9" i="2"/>
  <c r="R13" i="2"/>
  <c r="K13" i="2"/>
  <c r="R17" i="2"/>
  <c r="K17" i="2"/>
  <c r="R21" i="2"/>
  <c r="K21" i="2"/>
  <c r="Q20" i="2" a="1"/>
  <c r="Q20" i="2" s="1"/>
  <c r="Q18" i="2" a="1"/>
  <c r="Q18" i="2" s="1"/>
  <c r="Q16" i="2" a="1"/>
  <c r="Q16" i="2" s="1"/>
  <c r="Q14" i="2" a="1"/>
  <c r="Q14" i="2" s="1"/>
  <c r="S14" i="2" s="1"/>
  <c r="Q12" i="2" a="1"/>
  <c r="Q12" i="2" s="1"/>
  <c r="S12" i="2" s="1"/>
  <c r="Q10" i="2" a="1"/>
  <c r="Q10" i="2" s="1"/>
  <c r="Q8" i="2" a="1"/>
  <c r="Q8" i="2" s="1"/>
  <c r="S8" i="2" s="1"/>
  <c r="Q15" i="2" a="1"/>
  <c r="Q15" i="2" s="1"/>
  <c r="Q11" i="2" a="1"/>
  <c r="Q11" i="2" s="1"/>
  <c r="Q7" i="2" a="1"/>
  <c r="Q7" i="2" s="1"/>
  <c r="Q21" i="2" a="1"/>
  <c r="Q21" i="2" s="1"/>
  <c r="Q19" i="2" a="1"/>
  <c r="Q19" i="2" s="1"/>
  <c r="Q17" i="2" a="1"/>
  <c r="Q17" i="2" s="1"/>
  <c r="Q13" i="2" a="1"/>
  <c r="Q13" i="2" s="1"/>
  <c r="Q9" i="2" a="1"/>
  <c r="Q9" i="2" s="1"/>
  <c r="Q5" i="2" a="1"/>
  <c r="Q5" i="2" s="1"/>
  <c r="R5" i="2"/>
  <c r="L7" i="2"/>
  <c r="K7" i="2"/>
  <c r="R11" i="2"/>
  <c r="K11" i="2"/>
  <c r="R19" i="2"/>
  <c r="K19" i="2"/>
  <c r="K4" i="2"/>
  <c r="L4" i="2"/>
  <c r="Q6" i="2" a="1"/>
  <c r="Q6" i="2" s="1"/>
  <c r="S6" i="2" s="1"/>
  <c r="L13" i="2"/>
  <c r="S16" i="2"/>
  <c r="L17" i="2"/>
  <c r="L21" i="2"/>
  <c r="K9" i="2"/>
  <c r="S5" i="2" l="1"/>
  <c r="S20" i="2"/>
  <c r="S15" i="2"/>
  <c r="S11" i="2"/>
  <c r="S19" i="2"/>
  <c r="Z12" i="3"/>
  <c r="Z15" i="3"/>
  <c r="Z7" i="3"/>
  <c r="Z9" i="3"/>
  <c r="Z17" i="3"/>
  <c r="Z8" i="3"/>
  <c r="Z13" i="3"/>
  <c r="Z6" i="3"/>
  <c r="Z10" i="3"/>
  <c r="Z11" i="3"/>
  <c r="Z5" i="3"/>
  <c r="Z4" i="3"/>
  <c r="Z14" i="3"/>
  <c r="Z16" i="3"/>
  <c r="Z13" i="2"/>
  <c r="Z10" i="2"/>
  <c r="Z17" i="2"/>
  <c r="Z11" i="2"/>
  <c r="Z12" i="2"/>
  <c r="Z20" i="2"/>
  <c r="S17" i="2"/>
  <c r="Z18" i="2"/>
  <c r="Z5" i="2"/>
  <c r="Z19" i="2"/>
  <c r="Z15" i="2"/>
  <c r="Z14" i="2"/>
  <c r="Z7" i="2"/>
  <c r="Z6" i="2"/>
  <c r="Z9" i="2"/>
  <c r="S9" i="2"/>
  <c r="Z21" i="2"/>
  <c r="Z8" i="2"/>
  <c r="Z16" i="2"/>
  <c r="S21" i="2"/>
  <c r="S13" i="2"/>
  <c r="S18" i="2"/>
  <c r="S10" i="2"/>
  <c r="S7" i="2"/>
  <c r="U19" i="2" l="1"/>
  <c r="U5" i="2"/>
  <c r="U21" i="2"/>
  <c r="U14" i="2"/>
  <c r="U20" i="2"/>
  <c r="U7" i="2"/>
  <c r="U15" i="2"/>
  <c r="U18" i="2"/>
  <c r="U6" i="2"/>
  <c r="U9" i="2"/>
  <c r="U17" i="2"/>
  <c r="U10" i="2"/>
  <c r="U16" i="2"/>
  <c r="U13" i="2"/>
  <c r="U12" i="2"/>
  <c r="U8" i="2"/>
  <c r="U11" i="2"/>
  <c r="V12" i="2" l="1"/>
  <c r="W12" i="2" s="1"/>
  <c r="V21" i="2"/>
  <c r="W21" i="2" s="1"/>
  <c r="V13" i="2"/>
  <c r="W13" i="2" s="1"/>
  <c r="V9" i="2"/>
  <c r="W9" i="2" s="1"/>
  <c r="V7" i="2"/>
  <c r="W7" i="2" s="1"/>
  <c r="V5" i="2"/>
  <c r="W5" i="2" s="1"/>
  <c r="V17" i="2"/>
  <c r="W17" i="2" s="1"/>
  <c r="V11" i="2"/>
  <c r="W11" i="2" s="1"/>
  <c r="V6" i="2"/>
  <c r="W6" i="2" s="1"/>
  <c r="V20" i="2"/>
  <c r="W20" i="2" s="1"/>
  <c r="V15" i="2"/>
  <c r="W15" i="2" s="1"/>
  <c r="V16" i="2"/>
  <c r="W16" i="2" s="1"/>
  <c r="V8" i="2"/>
  <c r="W8" i="2" s="1"/>
  <c r="V10" i="2"/>
  <c r="W10" i="2" s="1"/>
  <c r="V18" i="2"/>
  <c r="W18" i="2" s="1"/>
  <c r="V14" i="2"/>
  <c r="W14" i="2" s="1"/>
  <c r="V19" i="2"/>
  <c r="W19" i="2" s="1"/>
  <c r="X15" i="3"/>
  <c r="AA15" i="3" s="1"/>
  <c r="Y15" i="3"/>
  <c r="AB15" i="3" s="1"/>
  <c r="Y5" i="3"/>
  <c r="AB5" i="3" s="1"/>
  <c r="X5" i="3"/>
  <c r="AA5" i="3" s="1"/>
  <c r="Y7" i="3"/>
  <c r="AB7" i="3" s="1"/>
  <c r="X7" i="3"/>
  <c r="AA7" i="3" s="1"/>
  <c r="Y14" i="3"/>
  <c r="AB14" i="3" s="1"/>
  <c r="X14" i="3"/>
  <c r="AA14" i="3" s="1"/>
  <c r="X9" i="3"/>
  <c r="AA9" i="3" s="1"/>
  <c r="Y9" i="3"/>
  <c r="AB9" i="3" s="1"/>
  <c r="Y12" i="3"/>
  <c r="AB12" i="3" s="1"/>
  <c r="X12" i="3"/>
  <c r="AA12" i="3" s="1"/>
  <c r="X13" i="3"/>
  <c r="AA13" i="3" s="1"/>
  <c r="Y13" i="3"/>
  <c r="AB13" i="3" s="1"/>
  <c r="Y8" i="3"/>
  <c r="AB8" i="3" s="1"/>
  <c r="X8" i="3"/>
  <c r="AA8" i="3" s="1"/>
  <c r="X16" i="3"/>
  <c r="AA16" i="3" s="1"/>
  <c r="Y16" i="3"/>
  <c r="AB16" i="3" s="1"/>
  <c r="X11" i="3"/>
  <c r="AA11" i="3" s="1"/>
  <c r="Y11" i="3"/>
  <c r="AB11" i="3" s="1"/>
  <c r="X6" i="3"/>
  <c r="AA6" i="3" s="1"/>
  <c r="Y6" i="3"/>
  <c r="AB6" i="3" s="1"/>
  <c r="Y4" i="3"/>
  <c r="AB4" i="3" s="1"/>
  <c r="X10" i="3"/>
  <c r="AA10" i="3" s="1"/>
  <c r="Y10" i="3"/>
  <c r="AB10" i="3" s="1"/>
  <c r="Y17" i="3"/>
  <c r="AB17" i="3" s="1"/>
  <c r="X17" i="3"/>
  <c r="AA17" i="3" s="1"/>
  <c r="Y4" i="2"/>
  <c r="AB4" i="2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Y11" i="2" l="1"/>
  <c r="AB11" i="2" s="1"/>
  <c r="X11" i="2"/>
  <c r="AA11" i="2" s="1"/>
  <c r="Y18" i="2"/>
  <c r="AB18" i="2" s="1"/>
  <c r="X18" i="2"/>
  <c r="AA18" i="2" s="1"/>
  <c r="X15" i="2"/>
  <c r="AA15" i="2" s="1"/>
  <c r="Y15" i="2"/>
  <c r="AB15" i="2" s="1"/>
  <c r="Y17" i="2"/>
  <c r="AB17" i="2" s="1"/>
  <c r="X17" i="2"/>
  <c r="AA17" i="2" s="1"/>
  <c r="X13" i="2"/>
  <c r="AA13" i="2" s="1"/>
  <c r="Y13" i="2"/>
  <c r="AB13" i="2" s="1"/>
  <c r="X16" i="2"/>
  <c r="AA16" i="2" s="1"/>
  <c r="Y16" i="2"/>
  <c r="AB16" i="2" s="1"/>
  <c r="Y20" i="2"/>
  <c r="AB20" i="2" s="1"/>
  <c r="X20" i="2"/>
  <c r="AA20" i="2" s="1"/>
  <c r="Y5" i="2"/>
  <c r="AB5" i="2" s="1"/>
  <c r="X5" i="2"/>
  <c r="AA5" i="2" s="1"/>
  <c r="X21" i="2"/>
  <c r="AA21" i="2" s="1"/>
  <c r="Y21" i="2"/>
  <c r="AB21" i="2" s="1"/>
  <c r="X14" i="2"/>
  <c r="AA14" i="2" s="1"/>
  <c r="Y14" i="2"/>
  <c r="AB14" i="2" s="1"/>
  <c r="X9" i="2"/>
  <c r="AA9" i="2" s="1"/>
  <c r="Y9" i="2"/>
  <c r="AB9" i="2" s="1"/>
  <c r="Y10" i="2"/>
  <c r="AB10" i="2" s="1"/>
  <c r="X10" i="2"/>
  <c r="AA10" i="2" s="1"/>
  <c r="Y19" i="2"/>
  <c r="AB19" i="2" s="1"/>
  <c r="X19" i="2"/>
  <c r="AA19" i="2" s="1"/>
  <c r="X8" i="2"/>
  <c r="AA8" i="2" s="1"/>
  <c r="Y8" i="2"/>
  <c r="AB8" i="2" s="1"/>
  <c r="Y6" i="2"/>
  <c r="AB6" i="2" s="1"/>
  <c r="X6" i="2"/>
  <c r="AA6" i="2" s="1"/>
  <c r="Y7" i="2"/>
  <c r="AB7" i="2" s="1"/>
  <c r="X7" i="2"/>
  <c r="AA7" i="2" s="1"/>
  <c r="Y12" i="2"/>
  <c r="AB12" i="2" s="1"/>
  <c r="X12" i="2"/>
  <c r="AA12" i="2" s="1"/>
  <c r="K20" i="1"/>
  <c r="L20" i="1"/>
  <c r="K12" i="1"/>
  <c r="L12" i="1"/>
  <c r="K19" i="1"/>
  <c r="L19" i="1"/>
  <c r="K15" i="1"/>
  <c r="L15" i="1"/>
  <c r="K11" i="1"/>
  <c r="L11" i="1"/>
  <c r="K7" i="1"/>
  <c r="L7" i="1"/>
  <c r="K16" i="1"/>
  <c r="L16" i="1"/>
  <c r="K18" i="1"/>
  <c r="L18" i="1"/>
  <c r="K14" i="1"/>
  <c r="L14" i="1"/>
  <c r="K10" i="1"/>
  <c r="L10" i="1"/>
  <c r="K6" i="1"/>
  <c r="L6" i="1"/>
  <c r="K8" i="1"/>
  <c r="L8" i="1"/>
  <c r="K21" i="1"/>
  <c r="L21" i="1"/>
  <c r="K17" i="1"/>
  <c r="L17" i="1"/>
  <c r="K13" i="1"/>
  <c r="L13" i="1"/>
  <c r="K9" i="1"/>
  <c r="L9" i="1"/>
  <c r="R21" i="1"/>
  <c r="S21" i="1" s="1"/>
  <c r="T21" i="1" s="1"/>
  <c r="R5" i="1"/>
  <c r="S5" i="1" s="1"/>
  <c r="T5" i="1" s="1"/>
  <c r="R17" i="1"/>
  <c r="S17" i="1" s="1"/>
  <c r="T17" i="1" s="1"/>
  <c r="R13" i="1"/>
  <c r="S13" i="1" s="1"/>
  <c r="T13" i="1" s="1"/>
  <c r="R9" i="1"/>
  <c r="S9" i="1" s="1"/>
  <c r="T9" i="1" s="1"/>
  <c r="R20" i="1"/>
  <c r="S20" i="1" s="1"/>
  <c r="T20" i="1" s="1"/>
  <c r="R16" i="1"/>
  <c r="S16" i="1" s="1"/>
  <c r="T16" i="1" s="1"/>
  <c r="R12" i="1"/>
  <c r="S12" i="1" s="1"/>
  <c r="T12" i="1" s="1"/>
  <c r="R8" i="1"/>
  <c r="S8" i="1" s="1"/>
  <c r="T8" i="1" s="1"/>
  <c r="R19" i="1"/>
  <c r="S19" i="1" s="1"/>
  <c r="T19" i="1" s="1"/>
  <c r="R15" i="1"/>
  <c r="S15" i="1" s="1"/>
  <c r="T15" i="1" s="1"/>
  <c r="R11" i="1"/>
  <c r="S11" i="1" s="1"/>
  <c r="T11" i="1" s="1"/>
  <c r="R7" i="1"/>
  <c r="S7" i="1" s="1"/>
  <c r="T7" i="1" s="1"/>
  <c r="R18" i="1"/>
  <c r="S18" i="1" s="1"/>
  <c r="T18" i="1" s="1"/>
  <c r="R14" i="1"/>
  <c r="S14" i="1" s="1"/>
  <c r="T14" i="1" s="1"/>
  <c r="R10" i="1"/>
  <c r="S10" i="1" s="1"/>
  <c r="T10" i="1" s="1"/>
  <c r="R6" i="1"/>
  <c r="S6" i="1" s="1"/>
  <c r="T6" i="1" s="1"/>
  <c r="U4" i="1" l="1"/>
  <c r="V4" i="1" s="1"/>
  <c r="W4" i="1" s="1"/>
  <c r="Z4" i="1"/>
  <c r="Q5" i="1" a="1"/>
  <c r="Q5" i="1" s="1"/>
  <c r="Q7" i="1" a="1"/>
  <c r="Q7" i="1" s="1"/>
  <c r="Z7" i="1" s="1"/>
  <c r="Q15" i="1" a="1"/>
  <c r="Q15" i="1" s="1"/>
  <c r="Q12" i="1" a="1"/>
  <c r="Q12" i="1" s="1"/>
  <c r="Q20" i="1" a="1"/>
  <c r="Q20" i="1" s="1"/>
  <c r="Z20" i="1" s="1"/>
  <c r="Q19" i="1" a="1"/>
  <c r="Q19" i="1" s="1"/>
  <c r="Q17" i="1" a="1"/>
  <c r="Q17" i="1" s="1"/>
  <c r="Z17" i="1" s="1"/>
  <c r="Q18" i="1" a="1"/>
  <c r="Q18" i="1" s="1"/>
  <c r="Q8" i="1" a="1"/>
  <c r="Q8" i="1" s="1"/>
  <c r="Z8" i="1" s="1"/>
  <c r="Q6" i="1" a="1"/>
  <c r="Q6" i="1" s="1"/>
  <c r="Q13" i="1" a="1"/>
  <c r="Q13" i="1" s="1"/>
  <c r="Q21" i="1" a="1"/>
  <c r="Q21" i="1" s="1"/>
  <c r="Z21" i="1" s="1"/>
  <c r="Q11" i="1" a="1"/>
  <c r="Q11" i="1" s="1"/>
  <c r="Z11" i="1" s="1"/>
  <c r="Q9" i="1" a="1"/>
  <c r="Q9" i="1" s="1"/>
  <c r="Z9" i="1" s="1"/>
  <c r="Q10" i="1" a="1"/>
  <c r="Q10" i="1" s="1"/>
  <c r="Q16" i="1" a="1"/>
  <c r="Q16" i="1" s="1"/>
  <c r="Z16" i="1" s="1"/>
  <c r="Q14" i="1" a="1"/>
  <c r="Q14" i="1" s="1"/>
  <c r="Z14" i="1" s="1"/>
  <c r="Y4" i="1" l="1"/>
  <c r="AB4" i="1" s="1"/>
  <c r="X4" i="1"/>
  <c r="Z13" i="1"/>
  <c r="Z18" i="1"/>
  <c r="Z12" i="1"/>
  <c r="Z10" i="1"/>
  <c r="Z5" i="1"/>
  <c r="Z6" i="1"/>
  <c r="Z19" i="1"/>
  <c r="Z15" i="1"/>
  <c r="U5" i="1" l="1"/>
  <c r="V5" i="1" s="1"/>
  <c r="W5" i="1" s="1"/>
  <c r="U20" i="1"/>
  <c r="V20" i="1" s="1"/>
  <c r="W20" i="1" s="1"/>
  <c r="U21" i="1"/>
  <c r="V21" i="1" s="1"/>
  <c r="W21" i="1" s="1"/>
  <c r="U6" i="1"/>
  <c r="V6" i="1" s="1"/>
  <c r="W6" i="1" s="1"/>
  <c r="U11" i="1"/>
  <c r="V11" i="1" s="1"/>
  <c r="W11" i="1" s="1"/>
  <c r="U18" i="1"/>
  <c r="V18" i="1" s="1"/>
  <c r="W18" i="1" s="1"/>
  <c r="U8" i="1"/>
  <c r="V8" i="1" s="1"/>
  <c r="W8" i="1" s="1"/>
  <c r="U10" i="1"/>
  <c r="V10" i="1" s="1"/>
  <c r="W10" i="1" s="1"/>
  <c r="U14" i="1"/>
  <c r="V14" i="1" s="1"/>
  <c r="W14" i="1" s="1"/>
  <c r="U19" i="1"/>
  <c r="V19" i="1" s="1"/>
  <c r="W19" i="1" s="1"/>
  <c r="U16" i="1"/>
  <c r="V16" i="1" s="1"/>
  <c r="W16" i="1" s="1"/>
  <c r="U9" i="1"/>
  <c r="V9" i="1" s="1"/>
  <c r="W9" i="1" s="1"/>
  <c r="U12" i="1"/>
  <c r="V12" i="1" s="1"/>
  <c r="W12" i="1" s="1"/>
  <c r="U13" i="1"/>
  <c r="V13" i="1" s="1"/>
  <c r="W13" i="1" s="1"/>
  <c r="U15" i="1"/>
  <c r="V15" i="1" s="1"/>
  <c r="W15" i="1" s="1"/>
  <c r="U17" i="1"/>
  <c r="V17" i="1" s="1"/>
  <c r="W17" i="1" s="1"/>
  <c r="U7" i="1"/>
  <c r="V7" i="1" s="1"/>
  <c r="W7" i="1" s="1"/>
  <c r="AA4" i="1" l="1"/>
  <c r="X5" i="1" l="1"/>
  <c r="AA5" i="1" s="1"/>
  <c r="Y5" i="1"/>
  <c r="AB5" i="1" s="1"/>
  <c r="X9" i="1"/>
  <c r="AA9" i="1" s="1"/>
  <c r="Y9" i="1"/>
  <c r="AB9" i="1" s="1"/>
  <c r="X13" i="1"/>
  <c r="AA13" i="1" s="1"/>
  <c r="Y13" i="1"/>
  <c r="AB13" i="1" s="1"/>
  <c r="X6" i="1"/>
  <c r="AA6" i="1" s="1"/>
  <c r="Y6" i="1"/>
  <c r="AB6" i="1" s="1"/>
  <c r="Y15" i="1"/>
  <c r="AB15" i="1" s="1"/>
  <c r="X15" i="1"/>
  <c r="AA15" i="1" s="1"/>
  <c r="X19" i="1"/>
  <c r="AA19" i="1" s="1"/>
  <c r="Y19" i="1"/>
  <c r="AB19" i="1" s="1"/>
  <c r="X7" i="1"/>
  <c r="AA7" i="1" s="1"/>
  <c r="Y7" i="1"/>
  <c r="AB7" i="1" s="1"/>
  <c r="Y12" i="1"/>
  <c r="AB12" i="1" s="1"/>
  <c r="X12" i="1"/>
  <c r="AA12" i="1" s="1"/>
  <c r="X21" i="1"/>
  <c r="AA21" i="1" s="1"/>
  <c r="Y21" i="1"/>
  <c r="AB21" i="1" s="1"/>
  <c r="Y16" i="1"/>
  <c r="AB16" i="1" s="1"/>
  <c r="X16" i="1"/>
  <c r="AA16" i="1" s="1"/>
  <c r="X8" i="1"/>
  <c r="AA8" i="1" s="1"/>
  <c r="Y8" i="1"/>
  <c r="AB8" i="1" s="1"/>
  <c r="X17" i="1"/>
  <c r="AA17" i="1" s="1"/>
  <c r="Y17" i="1"/>
  <c r="AB17" i="1" s="1"/>
  <c r="Y20" i="1"/>
  <c r="AB20" i="1" s="1"/>
  <c r="X20" i="1"/>
  <c r="AA20" i="1" s="1"/>
  <c r="X14" i="1"/>
  <c r="AA14" i="1" s="1"/>
  <c r="Y14" i="1"/>
  <c r="AB14" i="1" s="1"/>
  <c r="X18" i="1"/>
  <c r="AA18" i="1" s="1"/>
  <c r="Y18" i="1"/>
  <c r="AB18" i="1" s="1"/>
  <c r="Y11" i="1"/>
  <c r="AB11" i="1" s="1"/>
  <c r="X11" i="1"/>
  <c r="AA11" i="1" s="1"/>
  <c r="Y10" i="1"/>
  <c r="AB10" i="1" s="1"/>
  <c r="X10" i="1"/>
  <c r="AA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2" authorId="0" shapeId="0" xr:uid="{F232629D-D7EB-47A2-9407-ED9BA53EC61A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5FFE8B8A-3793-4F2B-8F40-7E8649CC6328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Q2" authorId="0" shapeId="0" xr:uid="{088B3E26-4356-421F-9CF7-5674F5968094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896A301C-73C6-44C1-BCB0-79BA91619D18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B6B5709B-A3BF-46EA-90E8-419A4EBC3184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D2521BF0-299E-4CBC-A4FF-008571A2C274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3A3BB5F4-3BD0-4BFA-9ADE-6FAB2F921106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42222393-BC59-4828-9905-EF800E0326EC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2DFC584E-D43F-48F3-A0AB-9BE932DCBC9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E16B3D2B-6EE5-48F5-AB92-FB734B248C17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A153FF70-E183-4BE2-A553-25C5439DB5B5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BE913923-AD2F-4EE1-95CF-D7241C2FA1B1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2" authorId="0" shapeId="0" xr:uid="{B8975ED5-6A73-4B1A-B335-9D9CA6A08867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B61A538C-A314-4C6F-A4B7-673F77BACED4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4ED4C6FF-C156-452D-ADBE-C9794A69420F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E4AB98FA-CC97-46FE-9508-54E0C89BBEBD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1D972BD2-72BC-43FE-9C8C-B85E62C4C98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B93375F-2302-4760-8E23-3F02FC1BA7A5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DDC7C020-9C60-4C3F-BD5F-F924E0F3B632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D4148534-0E64-4B00-894E-0C0808418061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8710745B-A00E-4E14-9AFD-1B223D1A6DA7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64352CC7-D2B5-47B2-A44E-D2FEC60D3305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<sst xmlns="http://schemas.openxmlformats.org/spreadsheetml/2006/main" count="292" uniqueCount="78">
  <si>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</si>
  <si>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</si>
  <si>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</si>
  <si>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</si>
  <si>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</si>
  <si>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</si>
  <si>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</si>
  <si>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</si>
  <si>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</si>
  <si>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</si>
  <si>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</si>
  <si>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</si>
  <si>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</si>
  <si>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</si>
  <si>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</si>
  <si>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</si>
  <si>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</si>
  <si>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</si>
  <si>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</si>
  <si>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</si>
  <si>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</si>
  <si>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</si>
  <si>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</si>
  <si>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</si>
  <si>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</si>
  <si>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</si>
  <si>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</si>
  <si>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</si>
  <si>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</si>
  <si>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</si>
  <si>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</si>
  <si>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</si>
  <si>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</si>
  <si>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</si>
  <si>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</si>
  <si>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</si>
  <si>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</si>
  <si>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</si>
  <si>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</si>
  <si>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</si>
  <si>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</si>
  <si>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</si>
  <si>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</si>
  <si>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</si>
  <si>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</si>
  <si>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</si>
  <si>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</si>
  <si>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</si>
  <si>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</si>
  <si>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</si>
  <si>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</si>
  <si>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</si>
  <si>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</si>
  <si>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</si>
  <si>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</si>
  <si>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</si>
  <si>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</si>
  <si>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</si>
  <si>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</si>
  <si>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</si>
  <si>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</si>
  <si>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</si>
  <si>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</si>
  <si>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</si>
  <si>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</si>
  <si>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</si>
  <si>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</si>
  <si>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</si>
  <si>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</si>
  <si>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</si>
  <si>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equal weighting</t>
  </si>
  <si>
    <t>MAPE</t>
  </si>
  <si>
    <t>1/MAPE</t>
  </si>
  <si>
    <t>MAPE weighting</t>
  </si>
  <si>
    <t>weighted equally based on MAPE &lt;0.14</t>
  </si>
  <si>
    <t>weighted equally</t>
  </si>
  <si>
    <t>weighted equally based on inverse MAPE</t>
  </si>
  <si>
    <t>delta 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</si>
</sst>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70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0" fillId="0" borderId="0" xfId="0" applyFill="1"/>
    <xf numFmtId="166" fontId="0" fillId="0" borderId="10" xfId="0" applyNumberFormat="1" applyBorder="1" applyAlignment="1">
      <alignment horizontal="center" vertical="center"/>
    </xf>
    <xf numFmtId="166" fontId="0" fillId="34" borderId="10" xfId="0" applyNumberFormat="1" applyFill="1" applyBorder="1" applyAlignment="1">
      <alignment horizontal="center" vertical="center"/>
    </xf>
    <xf numFmtId="166" fontId="0" fillId="34" borderId="0" xfId="0" applyNumberFormat="1" applyFill="1" applyBorder="1" applyAlignment="1">
      <alignment horizontal="center" vertical="center"/>
    </xf>
    <xf numFmtId="166" fontId="0" fillId="34" borderId="11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70" fontId="0" fillId="34" borderId="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AB32"/>
  <sheetViews>
    <sheetView topLeftCell="O1" workbookViewId="0">
      <selection activeCell="F4" sqref="F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9" width="9.140625" style="1"/>
    <col min="20" max="20" width="12" style="1" bestFit="1" customWidth="1"/>
    <col min="21" max="21" width="9.140625" style="1"/>
    <col min="22" max="22" width="27.85546875" style="1" bestFit="1" customWidth="1"/>
    <col min="23" max="23" width="26.7109375" style="1" bestFit="1" customWidth="1"/>
    <col min="24" max="24" width="22.28515625" style="1" customWidth="1"/>
    <col min="25" max="25" width="35.140625" style="1" customWidth="1"/>
    <col min="26" max="26" width="5.5703125" style="1" bestFit="1" customWidth="1"/>
    <col min="27" max="27" width="19.140625" style="1" customWidth="1"/>
    <col min="28" max="28" width="24.7109375" style="1" customWidth="1"/>
  </cols>
  <sheetData>
    <row r="1" spans="1:28" ht="75" x14ac:dyDescent="0.25">
      <c r="A1" s="27" t="s">
        <v>76</v>
      </c>
      <c r="B1" s="2" t="s">
        <v>60</v>
      </c>
    </row>
    <row r="2" spans="1:28" x14ac:dyDescent="0.25">
      <c r="C2" s="34" t="s">
        <v>59</v>
      </c>
      <c r="D2" s="34"/>
      <c r="E2" s="34"/>
      <c r="F2" s="34"/>
      <c r="G2" s="34"/>
      <c r="H2" s="34"/>
      <c r="I2" s="34"/>
      <c r="K2" s="34" t="s">
        <v>49</v>
      </c>
      <c r="L2" s="34"/>
      <c r="P2" s="26"/>
      <c r="R2" s="34" t="s">
        <v>46</v>
      </c>
      <c r="S2" s="34"/>
      <c r="T2" s="34"/>
      <c r="U2" s="34"/>
      <c r="V2" s="34"/>
      <c r="X2" s="34" t="s">
        <v>50</v>
      </c>
      <c r="Y2" s="34"/>
      <c r="AA2" s="34" t="s">
        <v>50</v>
      </c>
      <c r="AB2" s="34"/>
    </row>
    <row r="3" spans="1:28" s="4" customFormat="1" ht="15.75" x14ac:dyDescent="0.25">
      <c r="A3" s="3" t="s">
        <v>47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43</v>
      </c>
      <c r="L3" s="3" t="s">
        <v>44</v>
      </c>
      <c r="M3" s="3" t="s">
        <v>37</v>
      </c>
      <c r="N3" s="3" t="s">
        <v>71</v>
      </c>
      <c r="O3" s="3" t="s">
        <v>72</v>
      </c>
      <c r="P3" s="3" t="s">
        <v>73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45</v>
      </c>
      <c r="X3" s="3" t="s">
        <v>43</v>
      </c>
      <c r="Y3" s="3" t="s">
        <v>44</v>
      </c>
      <c r="Z3" s="3" t="s">
        <v>1</v>
      </c>
      <c r="AA3" s="3" t="s">
        <v>43</v>
      </c>
      <c r="AB3" s="3" t="s">
        <v>44</v>
      </c>
    </row>
    <row r="4" spans="1:28" s="16" customFormat="1" x14ac:dyDescent="0.25">
      <c r="A4" s="13" t="s">
        <v>11</v>
      </c>
      <c r="B4" s="13" t="s">
        <v>10</v>
      </c>
      <c r="C4" s="13">
        <v>2.7112471342805602</v>
      </c>
      <c r="D4" s="13">
        <v>0.15505096628672199</v>
      </c>
      <c r="E4" s="13">
        <v>2.1101200792932202</v>
      </c>
      <c r="F4" s="13">
        <v>3.3123741892679002</v>
      </c>
      <c r="G4" s="13">
        <v>32.4570233112888</v>
      </c>
      <c r="H4" s="13">
        <v>0.42773781235782499</v>
      </c>
      <c r="I4" s="13">
        <v>22</v>
      </c>
      <c r="J4" s="14">
        <f>D4*SQRT(I4+1)</f>
        <v>0.74359831183795899</v>
      </c>
      <c r="K4" s="14">
        <f>M4-(1.28*J4)</f>
        <v>1.8509211131883014</v>
      </c>
      <c r="L4" s="14">
        <f>M4+(1.28*J4)</f>
        <v>3.7545327914934767</v>
      </c>
      <c r="M4" s="14">
        <f>C4+((H4*H4)/2)</f>
        <v>2.8027269523408891</v>
      </c>
      <c r="N4" s="14">
        <v>0.21363449153110001</v>
      </c>
      <c r="O4" s="14">
        <f>1/N4</f>
        <v>4.6808920827020302</v>
      </c>
      <c r="P4" s="15">
        <f>O4/SUM($O$4:$O$21)</f>
        <v>3.3401995415097682E-2</v>
      </c>
      <c r="Q4" s="14" cm="1">
        <f t="array" ref="Q4">SUM($M$4:$M$21*$P$4:$P$21)</f>
        <v>2.6639597946035853</v>
      </c>
      <c r="R4" s="14">
        <f>J4*J4</f>
        <v>0.55293844936826253</v>
      </c>
      <c r="S4" s="14">
        <f>R4+((M4-Q4)^2)</f>
        <v>0.57219477343475222</v>
      </c>
      <c r="T4" s="14">
        <f>SQRT(S4)*P4</f>
        <v>2.5266457482321564E-2</v>
      </c>
      <c r="U4" s="23">
        <f>SUM($T$4:$T$21)</f>
        <v>0.5839736080601291</v>
      </c>
      <c r="V4" s="23">
        <f>U4^2</f>
        <v>0.34102517491076528</v>
      </c>
      <c r="W4" s="14">
        <f>SQRT(V4)</f>
        <v>0.5839736080601291</v>
      </c>
      <c r="X4" s="14">
        <f>Q4-1.28*W4</f>
        <v>1.9164735762866201</v>
      </c>
      <c r="Y4" s="14">
        <f>Q4+1.28*W4</f>
        <v>3.4114460129205506</v>
      </c>
      <c r="Z4" s="15">
        <f>EXP(Q4)</f>
        <v>14.353011697905618</v>
      </c>
      <c r="AA4" s="15">
        <f>EXP(X4)</f>
        <v>6.7969472413614005</v>
      </c>
      <c r="AB4" s="15">
        <f>EXP(Y4)</f>
        <v>30.309039850506885</v>
      </c>
    </row>
    <row r="5" spans="1:28" s="12" customFormat="1" x14ac:dyDescent="0.25">
      <c r="A5" s="10" t="s">
        <v>12</v>
      </c>
      <c r="B5" s="10" t="s">
        <v>19</v>
      </c>
      <c r="C5" s="10">
        <v>2.70182322411776</v>
      </c>
      <c r="D5" s="10">
        <v>0.106226080473006</v>
      </c>
      <c r="E5" s="10">
        <v>2.2894357532537999</v>
      </c>
      <c r="F5" s="10">
        <v>3.1142106949817299</v>
      </c>
      <c r="G5" s="10">
        <v>16.085665331656699</v>
      </c>
      <c r="H5" s="10">
        <v>0.29300045269297698</v>
      </c>
      <c r="I5" s="10">
        <v>21</v>
      </c>
      <c r="J5" s="5">
        <f t="shared" ref="J5:J21" si="0">D5*SQRT(I5+1)</f>
        <v>0.49824448195485921</v>
      </c>
      <c r="K5" s="5">
        <f t="shared" ref="K5:K21" si="1">M5-(1.28*J5)</f>
        <v>2.1069949198546851</v>
      </c>
      <c r="L5" s="5">
        <f t="shared" ref="L5:L21" si="2">M5+(1.28*J5)</f>
        <v>3.3825007936591245</v>
      </c>
      <c r="M5" s="5">
        <f t="shared" ref="M5:M21" si="3">C5+((H5*H5)/2)</f>
        <v>2.7447478567569048</v>
      </c>
      <c r="N5" s="5">
        <v>0.132690975515799</v>
      </c>
      <c r="O5" s="5">
        <f t="shared" ref="O5:O21" si="4">1/N5</f>
        <v>7.5363075455039805</v>
      </c>
      <c r="P5" s="11">
        <f t="shared" ref="P5:P21" si="5">O5/SUM($O$4:$O$21)</f>
        <v>5.3777721347590013E-2</v>
      </c>
      <c r="Q5" s="5" cm="1">
        <f t="array" ref="Q5">SUM($M$4:$M$21*$P$4:$P$21)</f>
        <v>2.6639597946035853</v>
      </c>
      <c r="R5" s="5">
        <f t="shared" ref="R5:R21" si="6">J5*J5</f>
        <v>0.24824756379846602</v>
      </c>
      <c r="S5" s="5">
        <f t="shared" ref="S5:S21" si="7">R5+((M5-Q5)^2)</f>
        <v>0.25477427478495462</v>
      </c>
      <c r="T5" s="5">
        <f t="shared" ref="T5:T21" si="8">SQRT(S5)*P5</f>
        <v>2.7144396066271781E-2</v>
      </c>
      <c r="U5" s="24">
        <f t="shared" ref="U5:U21" si="9">SUM($T$4:$T$21)</f>
        <v>0.5839736080601291</v>
      </c>
      <c r="V5" s="24">
        <f t="shared" ref="V5:V21" si="10">U5^2</f>
        <v>0.34102517491076528</v>
      </c>
      <c r="W5" s="5">
        <f t="shared" ref="W5:W21" si="11">SQRT(V5)</f>
        <v>0.5839736080601291</v>
      </c>
      <c r="X5" s="5">
        <f t="shared" ref="X5:X21" si="12">Q5-1.28*W5</f>
        <v>1.9164735762866201</v>
      </c>
      <c r="Y5" s="5">
        <f t="shared" ref="Y5:Y21" si="13">Q5+1.28*W5</f>
        <v>3.4114460129205506</v>
      </c>
      <c r="Z5" s="11">
        <f t="shared" ref="Z5:Z10" si="14">EXP(Q5)</f>
        <v>14.353011697905618</v>
      </c>
      <c r="AA5" s="11">
        <f t="shared" ref="AA5:AB21" si="15">EXP(X5)</f>
        <v>6.7969472413614005</v>
      </c>
      <c r="AB5" s="11">
        <f t="shared" si="15"/>
        <v>30.309039850506885</v>
      </c>
    </row>
    <row r="6" spans="1:28" s="12" customFormat="1" x14ac:dyDescent="0.25">
      <c r="A6" s="10" t="s">
        <v>13</v>
      </c>
      <c r="B6" s="10" t="s">
        <v>51</v>
      </c>
      <c r="C6" s="10">
        <v>2.7487634979664199</v>
      </c>
      <c r="D6" s="10">
        <v>0.111536226797165</v>
      </c>
      <c r="E6" s="10">
        <v>2.3167002163063102</v>
      </c>
      <c r="F6" s="10">
        <v>3.1808267796265399</v>
      </c>
      <c r="G6" s="10">
        <v>18.309151221931302</v>
      </c>
      <c r="H6" s="10">
        <v>0.30689227086117599</v>
      </c>
      <c r="I6" s="10">
        <v>21</v>
      </c>
      <c r="J6" s="5">
        <f t="shared" si="0"/>
        <v>0.52315127596066302</v>
      </c>
      <c r="K6" s="5">
        <f t="shared" si="1"/>
        <v>2.1262212976939363</v>
      </c>
      <c r="L6" s="5">
        <f t="shared" si="2"/>
        <v>3.4654885641532331</v>
      </c>
      <c r="M6" s="5">
        <f t="shared" si="3"/>
        <v>2.7958549309235847</v>
      </c>
      <c r="N6" s="5">
        <v>0.121898023168894</v>
      </c>
      <c r="O6" s="5">
        <f t="shared" si="4"/>
        <v>8.2035784830937306</v>
      </c>
      <c r="P6" s="11">
        <f t="shared" si="5"/>
        <v>5.8539245519524136E-2</v>
      </c>
      <c r="Q6" s="5" cm="1">
        <f t="array" ref="Q6">SUM($M$4:$M$21*$P$4:$P$21)</f>
        <v>2.6639597946035853</v>
      </c>
      <c r="R6" s="5">
        <f t="shared" si="6"/>
        <v>0.27368725753926981</v>
      </c>
      <c r="S6" s="5">
        <f t="shared" si="7"/>
        <v>0.29108358452414101</v>
      </c>
      <c r="T6" s="5">
        <f t="shared" si="8"/>
        <v>3.1583188905939752E-2</v>
      </c>
      <c r="U6" s="24">
        <f t="shared" si="9"/>
        <v>0.5839736080601291</v>
      </c>
      <c r="V6" s="24">
        <f t="shared" si="10"/>
        <v>0.34102517491076528</v>
      </c>
      <c r="W6" s="5">
        <f t="shared" si="11"/>
        <v>0.5839736080601291</v>
      </c>
      <c r="X6" s="5">
        <f t="shared" si="12"/>
        <v>1.9164735762866201</v>
      </c>
      <c r="Y6" s="5">
        <f t="shared" si="13"/>
        <v>3.4114460129205506</v>
      </c>
      <c r="Z6" s="11">
        <f t="shared" si="14"/>
        <v>14.353011697905618</v>
      </c>
      <c r="AA6" s="11">
        <f t="shared" si="15"/>
        <v>6.7969472413614005</v>
      </c>
      <c r="AB6" s="11">
        <f t="shared" si="15"/>
        <v>30.309039850506885</v>
      </c>
    </row>
    <row r="7" spans="1:28" s="12" customFormat="1" x14ac:dyDescent="0.25">
      <c r="A7" s="10" t="s">
        <v>14</v>
      </c>
      <c r="B7" s="10" t="s">
        <v>52</v>
      </c>
      <c r="C7" s="10">
        <v>2.5285795418553101</v>
      </c>
      <c r="D7" s="10">
        <v>0.13303474190407399</v>
      </c>
      <c r="E7" s="10">
        <v>2.0445611766301699</v>
      </c>
      <c r="F7" s="10">
        <v>3.0125979070804498</v>
      </c>
      <c r="G7" s="10">
        <v>23.332204304897299</v>
      </c>
      <c r="H7" s="10">
        <v>0.34074817542799102</v>
      </c>
      <c r="I7" s="10">
        <v>21</v>
      </c>
      <c r="J7" s="5">
        <f t="shared" si="0"/>
        <v>0.62398825003091107</v>
      </c>
      <c r="K7" s="5">
        <f t="shared" si="1"/>
        <v>1.7879292413444963</v>
      </c>
      <c r="L7" s="5">
        <f t="shared" si="2"/>
        <v>3.3853391614236283</v>
      </c>
      <c r="M7" s="5">
        <f t="shared" si="3"/>
        <v>2.5866342013840624</v>
      </c>
      <c r="N7" s="5">
        <v>0.15043575265679601</v>
      </c>
      <c r="O7" s="5">
        <f t="shared" si="4"/>
        <v>6.647355979807533</v>
      </c>
      <c r="P7" s="11">
        <f t="shared" si="5"/>
        <v>4.7434324491387209E-2</v>
      </c>
      <c r="Q7" s="5" cm="1">
        <f t="array" ref="Q7">SUM($M$4:$M$21*$P$4:$P$21)</f>
        <v>2.6639597946035853</v>
      </c>
      <c r="R7" s="5">
        <f t="shared" si="6"/>
        <v>0.38936133617663882</v>
      </c>
      <c r="S7" s="5">
        <f t="shared" si="7"/>
        <v>0.39534058354338997</v>
      </c>
      <c r="T7" s="5">
        <f t="shared" si="8"/>
        <v>2.9824860408909915E-2</v>
      </c>
      <c r="U7" s="24">
        <f t="shared" si="9"/>
        <v>0.5839736080601291</v>
      </c>
      <c r="V7" s="24">
        <f t="shared" si="10"/>
        <v>0.34102517491076528</v>
      </c>
      <c r="W7" s="5">
        <f t="shared" si="11"/>
        <v>0.5839736080601291</v>
      </c>
      <c r="X7" s="5">
        <f t="shared" si="12"/>
        <v>1.9164735762866201</v>
      </c>
      <c r="Y7" s="5">
        <f t="shared" si="13"/>
        <v>3.4114460129205506</v>
      </c>
      <c r="Z7" s="11">
        <f t="shared" si="14"/>
        <v>14.353011697905618</v>
      </c>
      <c r="AA7" s="11">
        <f t="shared" si="15"/>
        <v>6.7969472413614005</v>
      </c>
      <c r="AB7" s="11">
        <f t="shared" si="15"/>
        <v>30.309039850506885</v>
      </c>
    </row>
    <row r="8" spans="1:28" s="12" customFormat="1" x14ac:dyDescent="0.25">
      <c r="A8" s="10" t="s">
        <v>15</v>
      </c>
      <c r="B8" s="10" t="s">
        <v>53</v>
      </c>
      <c r="C8" s="10">
        <v>2.6494683649057702</v>
      </c>
      <c r="D8" s="10">
        <v>0.111315416116681</v>
      </c>
      <c r="E8" s="10">
        <v>2.2199136024174599</v>
      </c>
      <c r="F8" s="10">
        <v>3.0790231273940698</v>
      </c>
      <c r="G8" s="10">
        <v>18.005195780123401</v>
      </c>
      <c r="H8" s="10">
        <v>0.30495504482257202</v>
      </c>
      <c r="I8" s="10">
        <v>21</v>
      </c>
      <c r="J8" s="5">
        <f t="shared" si="0"/>
        <v>0.52211558206498354</v>
      </c>
      <c r="K8" s="5">
        <f t="shared" si="1"/>
        <v>2.0276592095439598</v>
      </c>
      <c r="L8" s="5">
        <f t="shared" si="2"/>
        <v>3.3642750996303175</v>
      </c>
      <c r="M8" s="5">
        <f t="shared" si="3"/>
        <v>2.6959671545871386</v>
      </c>
      <c r="N8" s="5">
        <v>0.112153281584548</v>
      </c>
      <c r="O8" s="5">
        <f t="shared" si="4"/>
        <v>8.916368615091649</v>
      </c>
      <c r="P8" s="11">
        <f t="shared" si="5"/>
        <v>6.3625586392219047E-2</v>
      </c>
      <c r="Q8" s="5" cm="1">
        <f t="array" ref="Q8">SUM($M$4:$M$21*$P$4:$P$21)</f>
        <v>2.6639597946035853</v>
      </c>
      <c r="R8" s="5">
        <f t="shared" si="6"/>
        <v>0.27260468103505658</v>
      </c>
      <c r="S8" s="5">
        <f t="shared" si="7"/>
        <v>0.27362915212817335</v>
      </c>
      <c r="T8" s="5">
        <f t="shared" si="8"/>
        <v>3.328227313121325E-2</v>
      </c>
      <c r="U8" s="24">
        <f t="shared" si="9"/>
        <v>0.5839736080601291</v>
      </c>
      <c r="V8" s="24">
        <f t="shared" si="10"/>
        <v>0.34102517491076528</v>
      </c>
      <c r="W8" s="5">
        <f t="shared" si="11"/>
        <v>0.5839736080601291</v>
      </c>
      <c r="X8" s="5">
        <f t="shared" si="12"/>
        <v>1.9164735762866201</v>
      </c>
      <c r="Y8" s="5">
        <f t="shared" si="13"/>
        <v>3.4114460129205506</v>
      </c>
      <c r="Z8" s="11">
        <f t="shared" si="14"/>
        <v>14.353011697905618</v>
      </c>
      <c r="AA8" s="11">
        <f t="shared" si="15"/>
        <v>6.7969472413614005</v>
      </c>
      <c r="AB8" s="11">
        <f t="shared" si="15"/>
        <v>30.309039850506885</v>
      </c>
    </row>
    <row r="9" spans="1:28" s="12" customFormat="1" x14ac:dyDescent="0.25">
      <c r="A9" s="10" t="s">
        <v>16</v>
      </c>
      <c r="B9" s="10" t="s">
        <v>54</v>
      </c>
      <c r="C9" s="10">
        <v>2.5383741438290701</v>
      </c>
      <c r="D9" s="10">
        <v>0.122764287341551</v>
      </c>
      <c r="E9" s="10">
        <v>2.0850577150356102</v>
      </c>
      <c r="F9" s="10">
        <v>2.9916905726225398</v>
      </c>
      <c r="G9" s="10">
        <v>20.293190500077099</v>
      </c>
      <c r="H9" s="10">
        <v>0.31984321684954797</v>
      </c>
      <c r="I9" s="10">
        <v>21</v>
      </c>
      <c r="J9" s="5">
        <f t="shared" si="0"/>
        <v>0.57581554809030278</v>
      </c>
      <c r="K9" s="5">
        <f t="shared" si="1"/>
        <v>1.852480083955816</v>
      </c>
      <c r="L9" s="5">
        <f t="shared" si="2"/>
        <v>3.3265678870669908</v>
      </c>
      <c r="M9" s="5">
        <f t="shared" si="3"/>
        <v>2.5895239855114034</v>
      </c>
      <c r="N9" s="5">
        <v>0.121796796259368</v>
      </c>
      <c r="O9" s="5">
        <f t="shared" si="4"/>
        <v>8.2103965844100362</v>
      </c>
      <c r="P9" s="11">
        <f t="shared" si="5"/>
        <v>5.8587898251713476E-2</v>
      </c>
      <c r="Q9" s="5" cm="1">
        <f t="array" ref="Q9">SUM($M$4:$M$21*$P$4:$P$21)</f>
        <v>2.6639597946035853</v>
      </c>
      <c r="R9" s="5">
        <f t="shared" si="6"/>
        <v>0.3315635454225358</v>
      </c>
      <c r="S9" s="5">
        <f t="shared" si="7"/>
        <v>0.33710423509774357</v>
      </c>
      <c r="T9" s="5">
        <f t="shared" si="8"/>
        <v>3.4016531057644364E-2</v>
      </c>
      <c r="U9" s="24">
        <f t="shared" si="9"/>
        <v>0.5839736080601291</v>
      </c>
      <c r="V9" s="24">
        <f t="shared" si="10"/>
        <v>0.34102517491076528</v>
      </c>
      <c r="W9" s="5">
        <f t="shared" si="11"/>
        <v>0.5839736080601291</v>
      </c>
      <c r="X9" s="5">
        <f t="shared" si="12"/>
        <v>1.9164735762866201</v>
      </c>
      <c r="Y9" s="5">
        <f t="shared" si="13"/>
        <v>3.4114460129205506</v>
      </c>
      <c r="Z9" s="11">
        <f t="shared" si="14"/>
        <v>14.353011697905618</v>
      </c>
      <c r="AA9" s="11">
        <f t="shared" si="15"/>
        <v>6.7969472413614005</v>
      </c>
      <c r="AB9" s="11">
        <f t="shared" si="15"/>
        <v>30.309039850506885</v>
      </c>
    </row>
    <row r="10" spans="1:28" s="12" customFormat="1" x14ac:dyDescent="0.25">
      <c r="A10" s="10" t="s">
        <v>17</v>
      </c>
      <c r="B10" s="10" t="s">
        <v>28</v>
      </c>
      <c r="C10" s="10">
        <v>2.7129899220685201</v>
      </c>
      <c r="D10" s="10">
        <v>0.11557153516632999</v>
      </c>
      <c r="E10" s="10">
        <v>2.2642639541580998</v>
      </c>
      <c r="F10" s="10">
        <v>3.1617158899789399</v>
      </c>
      <c r="G10" s="10">
        <v>20.140031656140799</v>
      </c>
      <c r="H10" s="10">
        <v>0.31882428462877799</v>
      </c>
      <c r="I10" s="10">
        <v>21</v>
      </c>
      <c r="J10" s="5">
        <f t="shared" si="0"/>
        <v>0.54207854993114191</v>
      </c>
      <c r="K10" s="5">
        <f t="shared" si="1"/>
        <v>2.0699538403911846</v>
      </c>
      <c r="L10" s="5">
        <f t="shared" si="2"/>
        <v>3.457674928214908</v>
      </c>
      <c r="M10" s="5">
        <f t="shared" si="3"/>
        <v>2.7638143843030463</v>
      </c>
      <c r="N10" s="5">
        <v>0.122631593621034</v>
      </c>
      <c r="O10" s="5">
        <f t="shared" si="4"/>
        <v>8.1545054620286539</v>
      </c>
      <c r="P10" s="11">
        <f t="shared" si="5"/>
        <v>5.8189069357446395E-2</v>
      </c>
      <c r="Q10" s="5" cm="1">
        <f t="array" ref="Q10">SUM($M$4:$M$21*$P$4:$P$21)</f>
        <v>2.6639597946035853</v>
      </c>
      <c r="R10" s="5">
        <f t="shared" si="6"/>
        <v>0.2938491542954495</v>
      </c>
      <c r="S10" s="5">
        <f t="shared" si="7"/>
        <v>0.30382009337949717</v>
      </c>
      <c r="T10" s="5">
        <f t="shared" si="8"/>
        <v>3.2073743949744021E-2</v>
      </c>
      <c r="U10" s="24">
        <f t="shared" si="9"/>
        <v>0.5839736080601291</v>
      </c>
      <c r="V10" s="24">
        <f t="shared" si="10"/>
        <v>0.34102517491076528</v>
      </c>
      <c r="W10" s="5">
        <f t="shared" si="11"/>
        <v>0.5839736080601291</v>
      </c>
      <c r="X10" s="5">
        <f t="shared" si="12"/>
        <v>1.9164735762866201</v>
      </c>
      <c r="Y10" s="5">
        <f t="shared" si="13"/>
        <v>3.4114460129205506</v>
      </c>
      <c r="Z10" s="11">
        <f t="shared" si="14"/>
        <v>14.353011697905618</v>
      </c>
      <c r="AA10" s="11">
        <f t="shared" si="15"/>
        <v>6.7969472413614005</v>
      </c>
      <c r="AB10" s="11">
        <f t="shared" si="15"/>
        <v>30.309039850506885</v>
      </c>
    </row>
    <row r="11" spans="1:28" s="12" customFormat="1" x14ac:dyDescent="0.25">
      <c r="A11" s="10" t="s">
        <v>18</v>
      </c>
      <c r="B11" s="10" t="s">
        <v>26</v>
      </c>
      <c r="C11" s="10">
        <v>2.5568750669548099</v>
      </c>
      <c r="D11" s="10">
        <v>0.13418559017589399</v>
      </c>
      <c r="E11" s="10">
        <v>2.0618943980702902</v>
      </c>
      <c r="F11" s="10">
        <v>3.0518557358393399</v>
      </c>
      <c r="G11" s="10">
        <v>24.506461478872399</v>
      </c>
      <c r="H11" s="10">
        <v>0.34918693427855202</v>
      </c>
      <c r="I11" s="10">
        <v>21</v>
      </c>
      <c r="J11" s="5">
        <f t="shared" si="0"/>
        <v>0.62938620690222113</v>
      </c>
      <c r="K11" s="5">
        <f t="shared" si="1"/>
        <v>1.8122264796553935</v>
      </c>
      <c r="L11" s="5">
        <f t="shared" si="2"/>
        <v>3.4234551693250799</v>
      </c>
      <c r="M11" s="5">
        <f t="shared" si="3"/>
        <v>2.6178408244902367</v>
      </c>
      <c r="N11" s="5">
        <v>0.14783510826856799</v>
      </c>
      <c r="O11" s="5">
        <f t="shared" si="4"/>
        <v>6.7642930810679109</v>
      </c>
      <c r="P11" s="11">
        <f t="shared" si="5"/>
        <v>4.8268766399285089E-2</v>
      </c>
      <c r="Q11" s="5" cm="1">
        <f t="array" ref="Q11">SUM($M$4:$M$21*$P$4:$P$21)</f>
        <v>2.6639597946035853</v>
      </c>
      <c r="R11" s="5">
        <f t="shared" si="6"/>
        <v>0.3961269974387655</v>
      </c>
      <c r="S11" s="5">
        <f t="shared" si="7"/>
        <v>0.39825395684308146</v>
      </c>
      <c r="T11" s="5">
        <f t="shared" si="8"/>
        <v>3.0461146788352794E-2</v>
      </c>
      <c r="U11" s="24">
        <f t="shared" si="9"/>
        <v>0.5839736080601291</v>
      </c>
      <c r="V11" s="24">
        <f t="shared" si="10"/>
        <v>0.34102517491076528</v>
      </c>
      <c r="W11" s="5">
        <f t="shared" si="11"/>
        <v>0.5839736080601291</v>
      </c>
      <c r="X11" s="5">
        <f t="shared" si="12"/>
        <v>1.9164735762866201</v>
      </c>
      <c r="Y11" s="5">
        <f t="shared" si="13"/>
        <v>3.4114460129205506</v>
      </c>
      <c r="Z11" s="11">
        <f>EXP(Q11)</f>
        <v>14.353011697905618</v>
      </c>
      <c r="AA11" s="11">
        <f t="shared" si="15"/>
        <v>6.7969472413614005</v>
      </c>
      <c r="AB11" s="11">
        <f t="shared" si="15"/>
        <v>30.309039850506885</v>
      </c>
    </row>
    <row r="12" spans="1:28" s="12" customFormat="1" x14ac:dyDescent="0.25">
      <c r="A12" s="10" t="s">
        <v>20</v>
      </c>
      <c r="B12" s="10" t="s">
        <v>55</v>
      </c>
      <c r="C12" s="10">
        <v>2.6088744140726998</v>
      </c>
      <c r="D12" s="10">
        <v>0.120900107884263</v>
      </c>
      <c r="E12" s="10">
        <v>2.1483968584136499</v>
      </c>
      <c r="F12" s="10">
        <v>3.06935196973174</v>
      </c>
      <c r="G12" s="10">
        <v>21.256988664509802</v>
      </c>
      <c r="H12" s="10">
        <v>0.32633029940962099</v>
      </c>
      <c r="I12" s="10">
        <v>21</v>
      </c>
      <c r="J12" s="5">
        <f t="shared" si="0"/>
        <v>0.56707177138470011</v>
      </c>
      <c r="K12" s="5">
        <f t="shared" si="1"/>
        <v>1.9362682788566703</v>
      </c>
      <c r="L12" s="5">
        <f t="shared" si="2"/>
        <v>3.3879720136015026</v>
      </c>
      <c r="M12" s="5">
        <f t="shared" si="3"/>
        <v>2.6621201462290864</v>
      </c>
      <c r="N12" s="5">
        <v>0.13017964966860901</v>
      </c>
      <c r="O12" s="5">
        <f t="shared" si="4"/>
        <v>7.6816922041628137</v>
      </c>
      <c r="P12" s="11">
        <f t="shared" si="5"/>
        <v>5.4815159856350652E-2</v>
      </c>
      <c r="Q12" s="5" cm="1">
        <f t="array" ref="Q12">SUM($M$4:$M$21*$P$4:$P$21)</f>
        <v>2.6639597946035853</v>
      </c>
      <c r="R12" s="5">
        <f t="shared" si="6"/>
        <v>0.32157039390138159</v>
      </c>
      <c r="S12" s="5">
        <f t="shared" si="7"/>
        <v>0.32157377820752336</v>
      </c>
      <c r="T12" s="5">
        <f t="shared" si="8"/>
        <v>3.1084293367537038E-2</v>
      </c>
      <c r="U12" s="24">
        <f t="shared" si="9"/>
        <v>0.5839736080601291</v>
      </c>
      <c r="V12" s="24">
        <f t="shared" si="10"/>
        <v>0.34102517491076528</v>
      </c>
      <c r="W12" s="5">
        <f t="shared" si="11"/>
        <v>0.5839736080601291</v>
      </c>
      <c r="X12" s="5">
        <f t="shared" si="12"/>
        <v>1.9164735762866201</v>
      </c>
      <c r="Y12" s="5">
        <f t="shared" si="13"/>
        <v>3.4114460129205506</v>
      </c>
      <c r="Z12" s="11">
        <f t="shared" ref="Z12:Z21" si="16">EXP(Q12)</f>
        <v>14.353011697905618</v>
      </c>
      <c r="AA12" s="11">
        <f t="shared" si="15"/>
        <v>6.7969472413614005</v>
      </c>
      <c r="AB12" s="11">
        <f t="shared" si="15"/>
        <v>30.309039850506885</v>
      </c>
    </row>
    <row r="13" spans="1:28" s="12" customFormat="1" x14ac:dyDescent="0.25">
      <c r="A13" s="10" t="s">
        <v>21</v>
      </c>
      <c r="B13" s="10" t="s">
        <v>30</v>
      </c>
      <c r="C13" s="10">
        <v>2.5520756596572398</v>
      </c>
      <c r="D13" s="10">
        <v>0.128630121258686</v>
      </c>
      <c r="E13" s="10">
        <v>2.0762128716284498</v>
      </c>
      <c r="F13" s="10">
        <v>3.0279384476860201</v>
      </c>
      <c r="G13" s="10">
        <v>22.636225019422</v>
      </c>
      <c r="H13" s="10">
        <v>0.33584312046039999</v>
      </c>
      <c r="I13" s="10">
        <v>21</v>
      </c>
      <c r="J13" s="5">
        <f t="shared" si="0"/>
        <v>0.60332874793973956</v>
      </c>
      <c r="K13" s="5">
        <f t="shared" si="1"/>
        <v>1.8362101630746626</v>
      </c>
      <c r="L13" s="5">
        <f t="shared" si="2"/>
        <v>3.3807317578003957</v>
      </c>
      <c r="M13" s="5">
        <f t="shared" si="3"/>
        <v>2.6084709604375291</v>
      </c>
      <c r="N13" s="5">
        <v>0.12931939630216999</v>
      </c>
      <c r="O13" s="5">
        <f t="shared" si="4"/>
        <v>7.7327920528130392</v>
      </c>
      <c r="P13" s="11">
        <f t="shared" si="5"/>
        <v>5.5179799091814877E-2</v>
      </c>
      <c r="Q13" s="5" cm="1">
        <f t="array" ref="Q13">SUM($M$4:$M$21*$P$4:$P$21)</f>
        <v>2.6639597946035853</v>
      </c>
      <c r="R13" s="5">
        <f t="shared" si="6"/>
        <v>0.3640055780905338</v>
      </c>
      <c r="S13" s="5">
        <f t="shared" si="7"/>
        <v>0.36708458880764189</v>
      </c>
      <c r="T13" s="5">
        <f t="shared" si="8"/>
        <v>3.3432064107291631E-2</v>
      </c>
      <c r="U13" s="24">
        <f t="shared" si="9"/>
        <v>0.5839736080601291</v>
      </c>
      <c r="V13" s="24">
        <f t="shared" si="10"/>
        <v>0.34102517491076528</v>
      </c>
      <c r="W13" s="5">
        <f t="shared" si="11"/>
        <v>0.5839736080601291</v>
      </c>
      <c r="X13" s="5">
        <f t="shared" si="12"/>
        <v>1.9164735762866201</v>
      </c>
      <c r="Y13" s="5">
        <f t="shared" si="13"/>
        <v>3.4114460129205506</v>
      </c>
      <c r="Z13" s="11">
        <f t="shared" si="16"/>
        <v>14.353011697905618</v>
      </c>
      <c r="AA13" s="11">
        <f t="shared" si="15"/>
        <v>6.7969472413614005</v>
      </c>
      <c r="AB13" s="11">
        <f t="shared" si="15"/>
        <v>30.309039850506885</v>
      </c>
    </row>
    <row r="14" spans="1:28" s="12" customFormat="1" x14ac:dyDescent="0.25">
      <c r="A14" s="10" t="s">
        <v>22</v>
      </c>
      <c r="B14" s="10" t="s">
        <v>33</v>
      </c>
      <c r="C14" s="10">
        <v>2.7362916373574602</v>
      </c>
      <c r="D14" s="10">
        <v>0.114473923133776</v>
      </c>
      <c r="E14" s="10">
        <v>2.2923083173802699</v>
      </c>
      <c r="F14" s="10">
        <v>3.1802749573346398</v>
      </c>
      <c r="G14" s="10">
        <v>19.623175331024701</v>
      </c>
      <c r="H14" s="10">
        <v>0.31540965280732303</v>
      </c>
      <c r="I14" s="10">
        <v>21</v>
      </c>
      <c r="J14" s="5">
        <f t="shared" si="0"/>
        <v>0.5369302931554788</v>
      </c>
      <c r="K14" s="5">
        <f t="shared" si="1"/>
        <v>2.0987624866604655</v>
      </c>
      <c r="L14" s="5">
        <f t="shared" si="2"/>
        <v>3.4733040371384911</v>
      </c>
      <c r="M14" s="5">
        <f t="shared" si="3"/>
        <v>2.7860332618994783</v>
      </c>
      <c r="N14" s="5">
        <v>0.11718029649581201</v>
      </c>
      <c r="O14" s="5">
        <f t="shared" si="4"/>
        <v>8.5338579087461159</v>
      </c>
      <c r="P14" s="11">
        <f t="shared" si="5"/>
        <v>6.0896059491397182E-2</v>
      </c>
      <c r="Q14" s="5" cm="1">
        <f t="array" ref="Q14">SUM($M$4:$M$21*$P$4:$P$21)</f>
        <v>2.6639597946035853</v>
      </c>
      <c r="R14" s="5">
        <f t="shared" si="6"/>
        <v>0.28829413970802842</v>
      </c>
      <c r="S14" s="5">
        <f t="shared" si="7"/>
        <v>0.30319607112566987</v>
      </c>
      <c r="T14" s="5">
        <f t="shared" si="8"/>
        <v>3.3531345113314563E-2</v>
      </c>
      <c r="U14" s="24">
        <f t="shared" si="9"/>
        <v>0.5839736080601291</v>
      </c>
      <c r="V14" s="24">
        <f t="shared" si="10"/>
        <v>0.34102517491076528</v>
      </c>
      <c r="W14" s="5">
        <f t="shared" si="11"/>
        <v>0.5839736080601291</v>
      </c>
      <c r="X14" s="5">
        <f t="shared" si="12"/>
        <v>1.9164735762866201</v>
      </c>
      <c r="Y14" s="5">
        <f t="shared" si="13"/>
        <v>3.4114460129205506</v>
      </c>
      <c r="Z14" s="11">
        <f t="shared" si="16"/>
        <v>14.353011697905618</v>
      </c>
      <c r="AA14" s="11">
        <f t="shared" si="15"/>
        <v>6.7969472413614005</v>
      </c>
      <c r="AB14" s="11">
        <f t="shared" si="15"/>
        <v>30.309039850506885</v>
      </c>
    </row>
    <row r="15" spans="1:28" s="12" customFormat="1" x14ac:dyDescent="0.25">
      <c r="A15" s="10" t="s">
        <v>23</v>
      </c>
      <c r="B15" s="10" t="s">
        <v>31</v>
      </c>
      <c r="C15" s="10">
        <v>2.5173218911272599</v>
      </c>
      <c r="D15" s="10">
        <v>0.13230127850477</v>
      </c>
      <c r="E15" s="10">
        <v>2.0385024393814302</v>
      </c>
      <c r="F15" s="10">
        <v>2.9961413428730901</v>
      </c>
      <c r="G15" s="10">
        <v>22.775041930131501</v>
      </c>
      <c r="H15" s="10">
        <v>0.33681579094958403</v>
      </c>
      <c r="I15" s="10">
        <v>21</v>
      </c>
      <c r="J15" s="5">
        <f t="shared" si="0"/>
        <v>0.62054800174356195</v>
      </c>
      <c r="K15" s="5">
        <f t="shared" si="1"/>
        <v>1.7797428874119976</v>
      </c>
      <c r="L15" s="5">
        <f t="shared" si="2"/>
        <v>3.3683457718755161</v>
      </c>
      <c r="M15" s="5">
        <f t="shared" si="3"/>
        <v>2.574044329643757</v>
      </c>
      <c r="N15" s="5">
        <v>0.13506497486246799</v>
      </c>
      <c r="O15" s="5">
        <f t="shared" si="4"/>
        <v>7.4038439722679072</v>
      </c>
      <c r="P15" s="11">
        <f t="shared" si="5"/>
        <v>5.2832485356730609E-2</v>
      </c>
      <c r="Q15" s="5" cm="1">
        <f t="array" ref="Q15">SUM($M$4:$M$21*$P$4:$P$21)</f>
        <v>2.6639597946035853</v>
      </c>
      <c r="R15" s="5">
        <f t="shared" si="6"/>
        <v>0.38507982246792777</v>
      </c>
      <c r="S15" s="5">
        <f t="shared" si="7"/>
        <v>0.39316461330686991</v>
      </c>
      <c r="T15" s="5">
        <f t="shared" si="8"/>
        <v>3.3127468714925092E-2</v>
      </c>
      <c r="U15" s="24">
        <f t="shared" si="9"/>
        <v>0.5839736080601291</v>
      </c>
      <c r="V15" s="24">
        <f t="shared" si="10"/>
        <v>0.34102517491076528</v>
      </c>
      <c r="W15" s="5">
        <f t="shared" si="11"/>
        <v>0.5839736080601291</v>
      </c>
      <c r="X15" s="5">
        <f t="shared" si="12"/>
        <v>1.9164735762866201</v>
      </c>
      <c r="Y15" s="5">
        <f t="shared" si="13"/>
        <v>3.4114460129205506</v>
      </c>
      <c r="Z15" s="11">
        <f t="shared" si="16"/>
        <v>14.353011697905618</v>
      </c>
      <c r="AA15" s="11">
        <f t="shared" si="15"/>
        <v>6.7969472413614005</v>
      </c>
      <c r="AB15" s="11">
        <f t="shared" si="15"/>
        <v>30.309039850506885</v>
      </c>
    </row>
    <row r="16" spans="1:28" s="12" customFormat="1" x14ac:dyDescent="0.25">
      <c r="A16" s="10" t="s">
        <v>24</v>
      </c>
      <c r="B16" s="10" t="s">
        <v>56</v>
      </c>
      <c r="C16" s="10">
        <v>2.61176707953517</v>
      </c>
      <c r="D16" s="10">
        <v>0.115378698430513</v>
      </c>
      <c r="E16" s="10">
        <v>2.1711171663422499</v>
      </c>
      <c r="F16" s="10">
        <v>3.0524169927280802</v>
      </c>
      <c r="G16" s="10">
        <v>19.162285753693201</v>
      </c>
      <c r="H16" s="10">
        <v>0.31239562482802402</v>
      </c>
      <c r="I16" s="10">
        <v>21</v>
      </c>
      <c r="J16" s="5">
        <f t="shared" si="0"/>
        <v>0.54117406546639302</v>
      </c>
      <c r="K16" s="5">
        <f t="shared" si="1"/>
        <v>1.9678597889440328</v>
      </c>
      <c r="L16" s="5">
        <f t="shared" si="2"/>
        <v>3.3532653965379993</v>
      </c>
      <c r="M16" s="5">
        <f t="shared" si="3"/>
        <v>2.6605625927410159</v>
      </c>
      <c r="N16" s="5">
        <v>0.108100911963951</v>
      </c>
      <c r="O16" s="5">
        <f t="shared" si="4"/>
        <v>9.2506157610721687</v>
      </c>
      <c r="P16" s="11">
        <f t="shared" si="5"/>
        <v>6.6010713295445181E-2</v>
      </c>
      <c r="Q16" s="5" cm="1">
        <f t="array" ref="Q16">SUM($M$4:$M$21*$P$4:$P$21)</f>
        <v>2.6639597946035853</v>
      </c>
      <c r="R16" s="5">
        <f t="shared" si="6"/>
        <v>0.29286936913342382</v>
      </c>
      <c r="S16" s="5">
        <f t="shared" si="7"/>
        <v>0.29288091011391887</v>
      </c>
      <c r="T16" s="5">
        <f t="shared" si="8"/>
        <v>3.5723989937780316E-2</v>
      </c>
      <c r="U16" s="24">
        <f t="shared" si="9"/>
        <v>0.5839736080601291</v>
      </c>
      <c r="V16" s="24">
        <f t="shared" si="10"/>
        <v>0.34102517491076528</v>
      </c>
      <c r="W16" s="5">
        <f t="shared" si="11"/>
        <v>0.5839736080601291</v>
      </c>
      <c r="X16" s="5">
        <f t="shared" si="12"/>
        <v>1.9164735762866201</v>
      </c>
      <c r="Y16" s="5">
        <f t="shared" si="13"/>
        <v>3.4114460129205506</v>
      </c>
      <c r="Z16" s="11">
        <f t="shared" si="16"/>
        <v>14.353011697905618</v>
      </c>
      <c r="AA16" s="11">
        <f t="shared" si="15"/>
        <v>6.7969472413614005</v>
      </c>
      <c r="AB16" s="11">
        <f t="shared" si="15"/>
        <v>30.309039850506885</v>
      </c>
    </row>
    <row r="17" spans="1:28" s="12" customFormat="1" x14ac:dyDescent="0.25">
      <c r="A17" s="10" t="s">
        <v>25</v>
      </c>
      <c r="B17" s="10" t="s">
        <v>34</v>
      </c>
      <c r="C17" s="10">
        <v>2.5229646943501902</v>
      </c>
      <c r="D17" s="10">
        <v>0.125982309045474</v>
      </c>
      <c r="E17" s="10">
        <v>2.06261582255883</v>
      </c>
      <c r="F17" s="10">
        <v>2.9833135661415402</v>
      </c>
      <c r="G17" s="10">
        <v>20.957096455115799</v>
      </c>
      <c r="H17" s="10">
        <v>0.32429782367385601</v>
      </c>
      <c r="I17" s="10">
        <v>21</v>
      </c>
      <c r="J17" s="5">
        <f t="shared" si="0"/>
        <v>0.59090940780583712</v>
      </c>
      <c r="K17" s="5">
        <f t="shared" si="1"/>
        <v>1.8191851915785184</v>
      </c>
      <c r="L17" s="5">
        <f t="shared" si="2"/>
        <v>3.3319132755614618</v>
      </c>
      <c r="M17" s="5">
        <f t="shared" si="3"/>
        <v>2.5755492335699901</v>
      </c>
      <c r="N17" s="5">
        <v>0.11187405464844601</v>
      </c>
      <c r="O17" s="5">
        <f t="shared" si="4"/>
        <v>8.9386230180215485</v>
      </c>
      <c r="P17" s="11">
        <f t="shared" si="5"/>
        <v>6.3784389768049302E-2</v>
      </c>
      <c r="Q17" s="5" cm="1">
        <f t="array" ref="Q17">SUM($M$4:$M$21*$P$4:$P$21)</f>
        <v>2.6639597946035853</v>
      </c>
      <c r="R17" s="5">
        <f t="shared" si="6"/>
        <v>0.34917392823344512</v>
      </c>
      <c r="S17" s="5">
        <f t="shared" si="7"/>
        <v>0.35699035553572017</v>
      </c>
      <c r="T17" s="5">
        <f t="shared" si="8"/>
        <v>3.8110324493113044E-2</v>
      </c>
      <c r="U17" s="24">
        <f t="shared" si="9"/>
        <v>0.5839736080601291</v>
      </c>
      <c r="V17" s="24">
        <f t="shared" si="10"/>
        <v>0.34102517491076528</v>
      </c>
      <c r="W17" s="5">
        <f t="shared" si="11"/>
        <v>0.5839736080601291</v>
      </c>
      <c r="X17" s="5">
        <f t="shared" si="12"/>
        <v>1.9164735762866201</v>
      </c>
      <c r="Y17" s="5">
        <f t="shared" si="13"/>
        <v>3.4114460129205506</v>
      </c>
      <c r="Z17" s="11">
        <f t="shared" si="16"/>
        <v>14.353011697905618</v>
      </c>
      <c r="AA17" s="11">
        <f t="shared" si="15"/>
        <v>6.7969472413614005</v>
      </c>
      <c r="AB17" s="11">
        <f t="shared" si="15"/>
        <v>30.309039850506885</v>
      </c>
    </row>
    <row r="18" spans="1:28" s="12" customFormat="1" x14ac:dyDescent="0.25">
      <c r="A18" s="10" t="s">
        <v>27</v>
      </c>
      <c r="B18" s="10" t="s">
        <v>36</v>
      </c>
      <c r="C18" s="10">
        <v>2.6980158644976799</v>
      </c>
      <c r="D18" s="10">
        <v>0.119091146571229</v>
      </c>
      <c r="E18" s="10">
        <v>2.2357764970899701</v>
      </c>
      <c r="F18" s="10">
        <v>3.1602552319054</v>
      </c>
      <c r="G18" s="10">
        <v>21.562139219282699</v>
      </c>
      <c r="H18" s="10">
        <v>0.32841148843983597</v>
      </c>
      <c r="I18" s="10">
        <v>21</v>
      </c>
      <c r="J18" s="5">
        <f t="shared" si="0"/>
        <v>0.55858699073313456</v>
      </c>
      <c r="K18" s="5">
        <f t="shared" si="1"/>
        <v>2.036951569228902</v>
      </c>
      <c r="L18" s="5">
        <f t="shared" si="2"/>
        <v>3.4669342655057265</v>
      </c>
      <c r="M18" s="5">
        <f t="shared" si="3"/>
        <v>2.7519429173673142</v>
      </c>
      <c r="N18" s="5">
        <v>0.129812120509184</v>
      </c>
      <c r="O18" s="5">
        <f t="shared" si="4"/>
        <v>7.7034409119697846</v>
      </c>
      <c r="P18" s="11">
        <f t="shared" si="5"/>
        <v>5.4970354683665151E-2</v>
      </c>
      <c r="Q18" s="5" cm="1">
        <f t="array" ref="Q18">SUM($M$4:$M$21*$P$4:$P$21)</f>
        <v>2.6639597946035853</v>
      </c>
      <c r="R18" s="5">
        <f t="shared" si="6"/>
        <v>0.31201942621629897</v>
      </c>
      <c r="S18" s="5">
        <f t="shared" si="7"/>
        <v>0.31976045610755638</v>
      </c>
      <c r="T18" s="5">
        <f t="shared" si="8"/>
        <v>3.1084287457800456E-2</v>
      </c>
      <c r="U18" s="24">
        <f t="shared" si="9"/>
        <v>0.5839736080601291</v>
      </c>
      <c r="V18" s="24">
        <f t="shared" si="10"/>
        <v>0.34102517491076528</v>
      </c>
      <c r="W18" s="5">
        <f t="shared" si="11"/>
        <v>0.5839736080601291</v>
      </c>
      <c r="X18" s="5">
        <f t="shared" si="12"/>
        <v>1.9164735762866201</v>
      </c>
      <c r="Y18" s="5">
        <f t="shared" si="13"/>
        <v>3.4114460129205506</v>
      </c>
      <c r="Z18" s="11">
        <f t="shared" si="16"/>
        <v>14.353011697905618</v>
      </c>
      <c r="AA18" s="11">
        <f t="shared" si="15"/>
        <v>6.7969472413614005</v>
      </c>
      <c r="AB18" s="11">
        <f t="shared" si="15"/>
        <v>30.309039850506885</v>
      </c>
    </row>
    <row r="19" spans="1:28" s="12" customFormat="1" x14ac:dyDescent="0.25">
      <c r="A19" s="10" t="s">
        <v>29</v>
      </c>
      <c r="B19" s="10" t="s">
        <v>35</v>
      </c>
      <c r="C19" s="10">
        <v>2.5078022212550701</v>
      </c>
      <c r="D19" s="10">
        <v>0.13786471965177799</v>
      </c>
      <c r="E19" s="10">
        <v>2.01500111097705</v>
      </c>
      <c r="F19" s="10">
        <v>3.0006033315330898</v>
      </c>
      <c r="G19" s="10">
        <v>24.063348313053101</v>
      </c>
      <c r="H19" s="10">
        <v>0.34597823997078098</v>
      </c>
      <c r="I19" s="10">
        <v>21</v>
      </c>
      <c r="J19" s="5">
        <f t="shared" si="0"/>
        <v>0.64664285377833841</v>
      </c>
      <c r="K19" s="5">
        <f t="shared" si="1"/>
        <v>1.7399498396854365</v>
      </c>
      <c r="L19" s="5">
        <f t="shared" si="2"/>
        <v>3.3953555453579827</v>
      </c>
      <c r="M19" s="5">
        <f t="shared" si="3"/>
        <v>2.5676526925217096</v>
      </c>
      <c r="N19" s="5">
        <v>0.14549895808448399</v>
      </c>
      <c r="O19" s="5">
        <f t="shared" si="4"/>
        <v>6.8729014500526517</v>
      </c>
      <c r="P19" s="11">
        <f t="shared" si="5"/>
        <v>4.9043775986939465E-2</v>
      </c>
      <c r="Q19" s="5" cm="1">
        <f t="array" ref="Q19">SUM($M$4:$M$21*$P$4:$P$21)</f>
        <v>2.6639597946035853</v>
      </c>
      <c r="R19" s="5">
        <f t="shared" si="6"/>
        <v>0.41814698034259357</v>
      </c>
      <c r="S19" s="5">
        <f t="shared" si="7"/>
        <v>0.42742203825400238</v>
      </c>
      <c r="T19" s="5">
        <f t="shared" si="8"/>
        <v>3.2063605434290078E-2</v>
      </c>
      <c r="U19" s="24">
        <f t="shared" si="9"/>
        <v>0.5839736080601291</v>
      </c>
      <c r="V19" s="24">
        <f t="shared" si="10"/>
        <v>0.34102517491076528</v>
      </c>
      <c r="W19" s="5">
        <f t="shared" si="11"/>
        <v>0.5839736080601291</v>
      </c>
      <c r="X19" s="5">
        <f t="shared" si="12"/>
        <v>1.9164735762866201</v>
      </c>
      <c r="Y19" s="5">
        <f t="shared" si="13"/>
        <v>3.4114460129205506</v>
      </c>
      <c r="Z19" s="11">
        <f t="shared" si="16"/>
        <v>14.353011697905618</v>
      </c>
      <c r="AA19" s="11">
        <f t="shared" si="15"/>
        <v>6.7969472413614005</v>
      </c>
      <c r="AB19" s="11">
        <f t="shared" si="15"/>
        <v>30.309039850506885</v>
      </c>
    </row>
    <row r="20" spans="1:28" s="12" customFormat="1" x14ac:dyDescent="0.25">
      <c r="A20" s="10" t="s">
        <v>48</v>
      </c>
      <c r="B20" s="10" t="s">
        <v>57</v>
      </c>
      <c r="C20" s="10">
        <v>2.5766668443837801</v>
      </c>
      <c r="D20" s="10">
        <v>0.12112164988522101</v>
      </c>
      <c r="E20" s="10">
        <v>2.1210759753328001</v>
      </c>
      <c r="F20" s="10">
        <v>3.0322577134347499</v>
      </c>
      <c r="G20" s="10">
        <v>20.6613440909574</v>
      </c>
      <c r="H20" s="10">
        <v>0.32230580339909198</v>
      </c>
      <c r="I20" s="10">
        <v>21</v>
      </c>
      <c r="J20" s="5">
        <f t="shared" si="0"/>
        <v>0.5681108954774563</v>
      </c>
      <c r="K20" s="5">
        <f t="shared" si="1"/>
        <v>1.9014254136250033</v>
      </c>
      <c r="L20" s="5">
        <f t="shared" si="2"/>
        <v>3.3557893060472912</v>
      </c>
      <c r="M20" s="5">
        <f t="shared" si="3"/>
        <v>2.6286073598361472</v>
      </c>
      <c r="N20" s="5">
        <v>0.11405930370541099</v>
      </c>
      <c r="O20" s="5">
        <f t="shared" si="4"/>
        <v>8.7673689695912103</v>
      </c>
      <c r="P20" s="11">
        <f t="shared" si="5"/>
        <v>6.2562351994175855E-2</v>
      </c>
      <c r="Q20" s="5" cm="1">
        <f t="array" ref="Q20">SUM($M$4:$M$21*$P$4:$P$21)</f>
        <v>2.6639597946035853</v>
      </c>
      <c r="R20" s="5">
        <f t="shared" si="6"/>
        <v>0.32274998956019729</v>
      </c>
      <c r="S20" s="5">
        <f t="shared" si="7"/>
        <v>0.32399978420418324</v>
      </c>
      <c r="T20" s="5">
        <f t="shared" si="8"/>
        <v>3.5611103195026451E-2</v>
      </c>
      <c r="U20" s="24">
        <f t="shared" si="9"/>
        <v>0.5839736080601291</v>
      </c>
      <c r="V20" s="24">
        <f t="shared" si="10"/>
        <v>0.34102517491076528</v>
      </c>
      <c r="W20" s="5">
        <f t="shared" si="11"/>
        <v>0.5839736080601291</v>
      </c>
      <c r="X20" s="5">
        <f t="shared" si="12"/>
        <v>1.9164735762866201</v>
      </c>
      <c r="Y20" s="5">
        <f t="shared" si="13"/>
        <v>3.4114460129205506</v>
      </c>
      <c r="Z20" s="11">
        <f t="shared" si="16"/>
        <v>14.353011697905618</v>
      </c>
      <c r="AA20" s="11">
        <f t="shared" si="15"/>
        <v>6.7969472413614005</v>
      </c>
      <c r="AB20" s="11">
        <f t="shared" si="15"/>
        <v>30.309039850506885</v>
      </c>
    </row>
    <row r="21" spans="1:28" s="20" customFormat="1" x14ac:dyDescent="0.25">
      <c r="A21" s="17" t="s">
        <v>32</v>
      </c>
      <c r="B21" s="17" t="s">
        <v>58</v>
      </c>
      <c r="C21" s="17">
        <v>2.50712106108733</v>
      </c>
      <c r="D21" s="17">
        <v>0.132446425123429</v>
      </c>
      <c r="E21" s="17">
        <v>2.03053396394077</v>
      </c>
      <c r="F21" s="17">
        <v>2.98370815823389</v>
      </c>
      <c r="G21" s="17">
        <v>22.507717058859299</v>
      </c>
      <c r="H21" s="17">
        <v>0.33494518727386302</v>
      </c>
      <c r="I21" s="17">
        <v>21</v>
      </c>
      <c r="J21" s="18">
        <f t="shared" si="0"/>
        <v>0.62122879973120526</v>
      </c>
      <c r="K21" s="18">
        <f t="shared" si="1"/>
        <v>1.7680423366703488</v>
      </c>
      <c r="L21" s="18">
        <f t="shared" si="2"/>
        <v>3.3583880639822343</v>
      </c>
      <c r="M21" s="18">
        <f t="shared" si="3"/>
        <v>2.5632152003262916</v>
      </c>
      <c r="N21" s="18">
        <v>0.122861243847618</v>
      </c>
      <c r="O21" s="18">
        <f t="shared" si="4"/>
        <v>8.1392631938536883</v>
      </c>
      <c r="P21" s="19">
        <f t="shared" si="5"/>
        <v>5.808030330116893E-2</v>
      </c>
      <c r="Q21" s="18" cm="1">
        <f t="array" ref="Q21">SUM($M$4:$M$21*$P$4:$P$21)</f>
        <v>2.6639597946035853</v>
      </c>
      <c r="R21" s="18">
        <f t="shared" si="6"/>
        <v>0.38592522161547393</v>
      </c>
      <c r="S21" s="18">
        <f t="shared" si="7"/>
        <v>0.39607469489157049</v>
      </c>
      <c r="T21" s="18">
        <f t="shared" si="8"/>
        <v>3.6552528448653018E-2</v>
      </c>
      <c r="U21" s="25">
        <f t="shared" si="9"/>
        <v>0.5839736080601291</v>
      </c>
      <c r="V21" s="25">
        <f t="shared" si="10"/>
        <v>0.34102517491076528</v>
      </c>
      <c r="W21" s="18">
        <f t="shared" si="11"/>
        <v>0.5839736080601291</v>
      </c>
      <c r="X21" s="18">
        <f t="shared" si="12"/>
        <v>1.9164735762866201</v>
      </c>
      <c r="Y21" s="18">
        <f t="shared" si="13"/>
        <v>3.4114460129205506</v>
      </c>
      <c r="Z21" s="19">
        <f t="shared" si="16"/>
        <v>14.353011697905618</v>
      </c>
      <c r="AA21" s="19">
        <f t="shared" si="15"/>
        <v>6.7969472413614005</v>
      </c>
      <c r="AB21" s="19">
        <f t="shared" si="15"/>
        <v>30.309039850506885</v>
      </c>
    </row>
    <row r="26" spans="1:28" x14ac:dyDescent="0.25">
      <c r="A26" s="6" t="s">
        <v>69</v>
      </c>
    </row>
    <row r="27" spans="1:28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8" x14ac:dyDescent="0.25">
      <c r="A28" s="8" t="s">
        <v>61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28" ht="15.75" x14ac:dyDescent="0.25">
      <c r="A29" s="8" t="s">
        <v>62</v>
      </c>
      <c r="B29" s="8" t="s">
        <v>63</v>
      </c>
      <c r="C29" s="8" t="s">
        <v>64</v>
      </c>
      <c r="D29" s="8" t="s">
        <v>65</v>
      </c>
      <c r="E29" s="8" t="s">
        <v>66</v>
      </c>
      <c r="F29" s="8" t="s">
        <v>67</v>
      </c>
      <c r="G29" s="8" t="s">
        <v>1</v>
      </c>
      <c r="H29" s="35" t="s">
        <v>37</v>
      </c>
      <c r="I29" s="35"/>
      <c r="J29" s="35"/>
      <c r="K29" s="35"/>
      <c r="L29" s="35"/>
    </row>
    <row r="30" spans="1:28" x14ac:dyDescent="0.25">
      <c r="A30" s="8" t="s">
        <v>11</v>
      </c>
      <c r="B30" s="8" t="s">
        <v>68</v>
      </c>
      <c r="C30" s="7">
        <v>2.3342051499999998</v>
      </c>
      <c r="D30" s="7">
        <v>0.21099999999999999</v>
      </c>
      <c r="E30" s="7">
        <v>11.069000000000001</v>
      </c>
      <c r="F30" s="7">
        <v>0</v>
      </c>
      <c r="G30" s="5">
        <f>C30+(C31*B28)</f>
        <v>2.711247131989555</v>
      </c>
      <c r="H30" s="5">
        <f>G30+((H4*H4)/2)</f>
        <v>2.8027269500498839</v>
      </c>
      <c r="I30" s="5">
        <f>EXP(G30)*EXP(0.5*H4*H4)</f>
        <v>16.489551700352312</v>
      </c>
      <c r="J30" s="21">
        <f>EXP(H30)</f>
        <v>16.489551700352308</v>
      </c>
      <c r="K30" s="5">
        <f>LN(I30)</f>
        <v>2.8027269500498839</v>
      </c>
      <c r="L30" s="5">
        <f>EXP(C30+C31*B28+0.5*H4*H4)</f>
        <v>16.489551700352308</v>
      </c>
    </row>
    <row r="31" spans="1:28" x14ac:dyDescent="0.25">
      <c r="A31" s="8" t="s">
        <v>11</v>
      </c>
      <c r="B31" s="8" t="s">
        <v>10</v>
      </c>
      <c r="C31" s="7">
        <v>0.4306816</v>
      </c>
      <c r="D31" s="7">
        <v>7.2999999999999995E-2</v>
      </c>
      <c r="E31" s="7">
        <v>5.907</v>
      </c>
      <c r="F31" s="7">
        <v>0</v>
      </c>
      <c r="G31" s="7"/>
      <c r="H31" s="7"/>
      <c r="I31" s="7"/>
      <c r="J31" s="7"/>
      <c r="K31" s="7"/>
      <c r="L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22"/>
      <c r="K32" s="7"/>
      <c r="L32" s="7"/>
    </row>
  </sheetData>
  <mergeCells count="6">
    <mergeCell ref="AA2:AB2"/>
    <mergeCell ref="H29:L29"/>
    <mergeCell ref="C2:I2"/>
    <mergeCell ref="K2:L2"/>
    <mergeCell ref="R2:V2"/>
    <mergeCell ref="X2:Y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0A-7DF6-40B6-9BC0-933C97805440}">
  <dimension ref="A1:AB32"/>
  <sheetViews>
    <sheetView workbookViewId="0">
      <selection activeCell="X33" sqref="X33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4" width="19" style="1" customWidth="1"/>
    <col min="15" max="15" width="32.7109375" style="1" bestFit="1" customWidth="1"/>
    <col min="16" max="16" width="21.7109375" style="1" bestFit="1" customWidth="1"/>
    <col min="17" max="17" width="12" style="1" bestFit="1" customWidth="1"/>
    <col min="18" max="18" width="9.140625" style="1"/>
    <col min="19" max="19" width="12" style="1" bestFit="1" customWidth="1"/>
    <col min="20" max="20" width="9.140625" style="1"/>
    <col min="21" max="21" width="27.85546875" style="1" bestFit="1" customWidth="1"/>
    <col min="22" max="22" width="26.7109375" style="1" bestFit="1" customWidth="1"/>
    <col min="23" max="23" width="22.28515625" style="1" customWidth="1"/>
    <col min="24" max="24" width="35.140625" style="1" customWidth="1"/>
    <col min="25" max="25" width="5.5703125" style="1" bestFit="1" customWidth="1"/>
    <col min="26" max="26" width="19.140625" style="1" customWidth="1"/>
    <col min="27" max="27" width="24.7109375" style="1" customWidth="1"/>
  </cols>
  <sheetData>
    <row r="1" spans="1:27" x14ac:dyDescent="0.25">
      <c r="A1" s="27" t="s">
        <v>75</v>
      </c>
      <c r="B1" s="2" t="s">
        <v>60</v>
      </c>
    </row>
    <row r="2" spans="1:27" x14ac:dyDescent="0.25">
      <c r="C2" s="34" t="s">
        <v>59</v>
      </c>
      <c r="D2" s="34"/>
      <c r="E2" s="34"/>
      <c r="F2" s="34"/>
      <c r="G2" s="34"/>
      <c r="H2" s="34"/>
      <c r="I2" s="34"/>
      <c r="K2" s="34" t="s">
        <v>49</v>
      </c>
      <c r="L2" s="34"/>
      <c r="O2" s="26"/>
      <c r="Q2" s="34" t="s">
        <v>46</v>
      </c>
      <c r="R2" s="34"/>
      <c r="S2" s="34"/>
      <c r="T2" s="34"/>
      <c r="U2" s="34"/>
      <c r="W2" s="34" t="s">
        <v>50</v>
      </c>
      <c r="X2" s="34"/>
      <c r="Z2" s="34" t="s">
        <v>50</v>
      </c>
      <c r="AA2" s="34"/>
    </row>
    <row r="3" spans="1:27" s="4" customFormat="1" ht="15.75" x14ac:dyDescent="0.25">
      <c r="A3" s="3" t="s">
        <v>47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43</v>
      </c>
      <c r="L3" s="3" t="s">
        <v>44</v>
      </c>
      <c r="M3" s="3" t="s">
        <v>37</v>
      </c>
      <c r="N3" s="3" t="s">
        <v>77</v>
      </c>
      <c r="O3" s="3" t="s">
        <v>70</v>
      </c>
      <c r="P3" s="3" t="s">
        <v>38</v>
      </c>
      <c r="Q3" s="3" t="s">
        <v>9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45</v>
      </c>
      <c r="W3" s="3" t="s">
        <v>43</v>
      </c>
      <c r="X3" s="3" t="s">
        <v>44</v>
      </c>
      <c r="Y3" s="3" t="s">
        <v>1</v>
      </c>
      <c r="Z3" s="3" t="s">
        <v>43</v>
      </c>
      <c r="AA3" s="3" t="s">
        <v>44</v>
      </c>
    </row>
    <row r="4" spans="1:27" s="12" customFormat="1" x14ac:dyDescent="0.25">
      <c r="A4" s="10" t="s">
        <v>12</v>
      </c>
      <c r="B4" s="10" t="s">
        <v>19</v>
      </c>
      <c r="C4" s="10">
        <v>2.70182322411776</v>
      </c>
      <c r="D4" s="10">
        <v>0.106226080473006</v>
      </c>
      <c r="E4" s="10">
        <v>2.2894357532537999</v>
      </c>
      <c r="F4" s="10">
        <v>3.1142106949817299</v>
      </c>
      <c r="G4" s="10">
        <v>16.085665331656699</v>
      </c>
      <c r="H4" s="10">
        <v>0.29300045269297698</v>
      </c>
      <c r="I4" s="10">
        <v>21</v>
      </c>
      <c r="J4" s="5">
        <f t="shared" ref="J4:J8" si="0">D4*SQRT(I4+1)</f>
        <v>0.49824448195485921</v>
      </c>
      <c r="K4" s="5">
        <f>C4-(1.282*J4)</f>
        <v>2.0630737982516303</v>
      </c>
      <c r="L4" s="5">
        <f>C4+(1.282*J4)</f>
        <v>3.3405726499838897</v>
      </c>
      <c r="M4" s="5">
        <f t="shared" ref="M4:M8" si="1">C4+((H4*H4)/2)</f>
        <v>2.7447478567569048</v>
      </c>
      <c r="N4" s="37">
        <f>G4-MIN($G$4:$G$8)</f>
        <v>0</v>
      </c>
      <c r="O4" s="32">
        <f>1/5</f>
        <v>0.2</v>
      </c>
      <c r="P4" s="5" cm="1">
        <f t="array" ref="P4">SUM($M$4:$M$8*$O$4:$O$8)</f>
        <v>2.7366331593816247</v>
      </c>
      <c r="Q4" s="5">
        <f>J4*J4</f>
        <v>0.24824756379846602</v>
      </c>
      <c r="R4" s="5">
        <f>Q4+((M4-P4)^2)</f>
        <v>0.2483134121119584</v>
      </c>
      <c r="S4" s="5">
        <f>SQRT(R4)*O4</f>
        <v>9.9662111579468027E-2</v>
      </c>
      <c r="T4" s="24">
        <f>SUM($S$4:$S$8)</f>
        <v>0.52683848734283911</v>
      </c>
      <c r="U4" s="24">
        <f>T4^2</f>
        <v>0.27755879174569087</v>
      </c>
      <c r="V4" s="5">
        <f t="shared" ref="V4:V8" si="2">SQRT(U4)</f>
        <v>0.52683848734283911</v>
      </c>
      <c r="W4" s="5">
        <f t="shared" ref="W4:W8" si="3">P4-1.28*V4</f>
        <v>2.0622798955827903</v>
      </c>
      <c r="X4" s="5">
        <f t="shared" ref="X4:X8" si="4">P4+1.28*V4</f>
        <v>3.410986423180459</v>
      </c>
      <c r="Y4" s="11">
        <f t="shared" ref="Y4:Y6" si="5">EXP(P4)</f>
        <v>15.434930564689674</v>
      </c>
      <c r="Z4" s="11">
        <f t="shared" ref="Z4:AA8" si="6">EXP(W4)</f>
        <v>7.8638782091141479</v>
      </c>
      <c r="AA4" s="11">
        <f t="shared" si="6"/>
        <v>30.295113327248298</v>
      </c>
    </row>
    <row r="5" spans="1:27" s="12" customFormat="1" x14ac:dyDescent="0.25">
      <c r="A5" s="10" t="s">
        <v>13</v>
      </c>
      <c r="B5" s="10" t="s">
        <v>51</v>
      </c>
      <c r="C5" s="10">
        <v>2.7487634979664199</v>
      </c>
      <c r="D5" s="10">
        <v>0.111536226797165</v>
      </c>
      <c r="E5" s="10">
        <v>2.3167002163063102</v>
      </c>
      <c r="F5" s="10">
        <v>3.1808267796265399</v>
      </c>
      <c r="G5" s="10">
        <v>18.309151221931302</v>
      </c>
      <c r="H5" s="10">
        <v>0.30689227086117599</v>
      </c>
      <c r="I5" s="10">
        <v>21</v>
      </c>
      <c r="J5" s="5">
        <f t="shared" si="0"/>
        <v>0.52315127596066302</v>
      </c>
      <c r="K5" s="5">
        <f t="shared" ref="K5:K8" si="7">M5-(1.28*J5)</f>
        <v>2.1262212976939363</v>
      </c>
      <c r="L5" s="5">
        <f t="shared" ref="L5:L8" si="8">M5+(1.28*J5)</f>
        <v>3.4654885641532331</v>
      </c>
      <c r="M5" s="5">
        <f t="shared" si="1"/>
        <v>2.7958549309235847</v>
      </c>
      <c r="N5" s="37">
        <f>G5-MIN($G$4:$G$8)</f>
        <v>2.2234858902746026</v>
      </c>
      <c r="O5" s="32">
        <f t="shared" ref="O5:O8" si="9">1/5</f>
        <v>0.2</v>
      </c>
      <c r="P5" s="5" cm="1">
        <f t="array" ref="P5">SUM($M$4:$M$8*$O$4:$O$8)</f>
        <v>2.7366331593816247</v>
      </c>
      <c r="Q5" s="5">
        <f>J5*J5</f>
        <v>0.27368725753926981</v>
      </c>
      <c r="R5" s="5">
        <f>Q5+((M5-P5)^2)</f>
        <v>0.27719447576383793</v>
      </c>
      <c r="S5" s="5">
        <f t="shared" ref="S4:S8" si="10">SQRT(R5)*O5</f>
        <v>0.10529852340158204</v>
      </c>
      <c r="T5" s="24">
        <f>SUM($S$4:$S$8)</f>
        <v>0.52683848734283911</v>
      </c>
      <c r="U5" s="24">
        <f t="shared" ref="U4:U8" si="11">T5^2</f>
        <v>0.27755879174569087</v>
      </c>
      <c r="V5" s="5">
        <f t="shared" si="2"/>
        <v>0.52683848734283911</v>
      </c>
      <c r="W5" s="5">
        <f t="shared" si="3"/>
        <v>2.0622798955827903</v>
      </c>
      <c r="X5" s="5">
        <f t="shared" si="4"/>
        <v>3.410986423180459</v>
      </c>
      <c r="Y5" s="11">
        <f t="shared" si="5"/>
        <v>15.434930564689674</v>
      </c>
      <c r="Z5" s="11">
        <f t="shared" si="6"/>
        <v>7.8638782091141479</v>
      </c>
      <c r="AA5" s="11">
        <f t="shared" si="6"/>
        <v>30.295113327248298</v>
      </c>
    </row>
    <row r="6" spans="1:27" s="12" customFormat="1" x14ac:dyDescent="0.25">
      <c r="A6" s="10" t="s">
        <v>15</v>
      </c>
      <c r="B6" s="10" t="s">
        <v>53</v>
      </c>
      <c r="C6" s="10">
        <v>2.6494683649057702</v>
      </c>
      <c r="D6" s="10">
        <v>0.111315416116681</v>
      </c>
      <c r="E6" s="10">
        <v>2.2199136024174599</v>
      </c>
      <c r="F6" s="10">
        <v>3.0790231273940698</v>
      </c>
      <c r="G6" s="10">
        <v>18.005195780123401</v>
      </c>
      <c r="H6" s="10">
        <v>0.30495504482257202</v>
      </c>
      <c r="I6" s="10">
        <v>21</v>
      </c>
      <c r="J6" s="5">
        <f t="shared" si="0"/>
        <v>0.52211558206498354</v>
      </c>
      <c r="K6" s="5">
        <f t="shared" si="7"/>
        <v>2.0276592095439598</v>
      </c>
      <c r="L6" s="5">
        <f t="shared" si="8"/>
        <v>3.3642750996303175</v>
      </c>
      <c r="M6" s="5">
        <f t="shared" si="1"/>
        <v>2.6959671545871386</v>
      </c>
      <c r="N6" s="37">
        <f>G6-MIN($G$4:$G$8)</f>
        <v>1.919530448466702</v>
      </c>
      <c r="O6" s="32">
        <f t="shared" si="9"/>
        <v>0.2</v>
      </c>
      <c r="P6" s="5" cm="1">
        <f t="array" ref="P6">SUM($M$4:$M$8*$O$4:$O$8)</f>
        <v>2.7366331593816247</v>
      </c>
      <c r="Q6" s="5">
        <f>J6*J6</f>
        <v>0.27260468103505658</v>
      </c>
      <c r="R6" s="5">
        <f>Q6+((M6-P6)^2)</f>
        <v>0.27425840498100174</v>
      </c>
      <c r="S6" s="5">
        <f t="shared" si="10"/>
        <v>0.10473937272697441</v>
      </c>
      <c r="T6" s="24">
        <f>SUM($S$4:$S$8)</f>
        <v>0.52683848734283911</v>
      </c>
      <c r="U6" s="24">
        <f t="shared" si="11"/>
        <v>0.27755879174569087</v>
      </c>
      <c r="V6" s="5">
        <f t="shared" si="2"/>
        <v>0.52683848734283911</v>
      </c>
      <c r="W6" s="5">
        <f t="shared" si="3"/>
        <v>2.0622798955827903</v>
      </c>
      <c r="X6" s="5">
        <f t="shared" si="4"/>
        <v>3.410986423180459</v>
      </c>
      <c r="Y6" s="11">
        <f t="shared" si="5"/>
        <v>15.434930564689674</v>
      </c>
      <c r="Z6" s="11">
        <f t="shared" si="6"/>
        <v>7.8638782091141479</v>
      </c>
      <c r="AA6" s="11">
        <f t="shared" si="6"/>
        <v>30.295113327248298</v>
      </c>
    </row>
    <row r="7" spans="1:27" s="12" customFormat="1" x14ac:dyDescent="0.25">
      <c r="A7" s="10" t="s">
        <v>22</v>
      </c>
      <c r="B7" s="10" t="s">
        <v>33</v>
      </c>
      <c r="C7" s="10">
        <v>2.7362916373574602</v>
      </c>
      <c r="D7" s="10">
        <v>0.114473923133776</v>
      </c>
      <c r="E7" s="10">
        <v>2.2923083173802699</v>
      </c>
      <c r="F7" s="10">
        <v>3.1802749573346398</v>
      </c>
      <c r="G7" s="10">
        <v>19.623175331024701</v>
      </c>
      <c r="H7" s="10">
        <v>0.31540965280732303</v>
      </c>
      <c r="I7" s="10">
        <v>21</v>
      </c>
      <c r="J7" s="5">
        <f t="shared" si="0"/>
        <v>0.5369302931554788</v>
      </c>
      <c r="K7" s="5">
        <f t="shared" si="7"/>
        <v>2.0987624866604655</v>
      </c>
      <c r="L7" s="5">
        <f t="shared" si="8"/>
        <v>3.4733040371384911</v>
      </c>
      <c r="M7" s="5">
        <f t="shared" si="1"/>
        <v>2.7860332618994783</v>
      </c>
      <c r="N7" s="37">
        <f>G7-MIN($G$4:$G$8)</f>
        <v>3.5375099993680017</v>
      </c>
      <c r="O7" s="32">
        <f t="shared" si="9"/>
        <v>0.2</v>
      </c>
      <c r="P7" s="5" cm="1">
        <f t="array" ref="P7">SUM($M$4:$M$8*$O$4:$O$8)</f>
        <v>2.7366331593816247</v>
      </c>
      <c r="Q7" s="5">
        <f>J7*J7</f>
        <v>0.28829413970802842</v>
      </c>
      <c r="R7" s="5">
        <f>Q7+((M7-P7)^2)</f>
        <v>0.29073450983680288</v>
      </c>
      <c r="S7" s="5">
        <f t="shared" si="10"/>
        <v>0.10783960493933625</v>
      </c>
      <c r="T7" s="24">
        <f>SUM($S$4:$S$8)</f>
        <v>0.52683848734283911</v>
      </c>
      <c r="U7" s="24">
        <f t="shared" si="11"/>
        <v>0.27755879174569087</v>
      </c>
      <c r="V7" s="5">
        <f t="shared" si="2"/>
        <v>0.52683848734283911</v>
      </c>
      <c r="W7" s="5">
        <f t="shared" si="3"/>
        <v>2.0622798955827903</v>
      </c>
      <c r="X7" s="5">
        <f t="shared" si="4"/>
        <v>3.410986423180459</v>
      </c>
      <c r="Y7" s="11">
        <f t="shared" ref="Y7:Y8" si="12">EXP(P7)</f>
        <v>15.434930564689674</v>
      </c>
      <c r="Z7" s="11">
        <f t="shared" si="6"/>
        <v>7.8638782091141479</v>
      </c>
      <c r="AA7" s="11">
        <f t="shared" si="6"/>
        <v>30.295113327248298</v>
      </c>
    </row>
    <row r="8" spans="1:27" s="12" customFormat="1" x14ac:dyDescent="0.25">
      <c r="A8" s="10" t="s">
        <v>24</v>
      </c>
      <c r="B8" s="10" t="s">
        <v>56</v>
      </c>
      <c r="C8" s="10">
        <v>2.61176707953517</v>
      </c>
      <c r="D8" s="10">
        <v>0.115378698430513</v>
      </c>
      <c r="E8" s="10">
        <v>2.1711171663422499</v>
      </c>
      <c r="F8" s="10">
        <v>3.0524169927280802</v>
      </c>
      <c r="G8" s="10">
        <v>19.162285753693201</v>
      </c>
      <c r="H8" s="10">
        <v>0.31239562482802402</v>
      </c>
      <c r="I8" s="10">
        <v>21</v>
      </c>
      <c r="J8" s="5">
        <f t="shared" si="0"/>
        <v>0.54117406546639302</v>
      </c>
      <c r="K8" s="5">
        <f t="shared" si="7"/>
        <v>1.9678597889440328</v>
      </c>
      <c r="L8" s="5">
        <f t="shared" si="8"/>
        <v>3.3532653965379993</v>
      </c>
      <c r="M8" s="5">
        <f t="shared" si="1"/>
        <v>2.6605625927410159</v>
      </c>
      <c r="N8" s="37">
        <f>G8-MIN($G$4:$G$8)</f>
        <v>3.0766204220365019</v>
      </c>
      <c r="O8" s="32">
        <f t="shared" si="9"/>
        <v>0.2</v>
      </c>
      <c r="P8" s="5" cm="1">
        <f t="array" ref="P8">SUM($M$4:$M$8*$O$4:$O$8)</f>
        <v>2.7366331593816247</v>
      </c>
      <c r="Q8" s="5">
        <f>J8*J8</f>
        <v>0.29286936913342382</v>
      </c>
      <c r="R8" s="5">
        <f>Q8+((M8-P8)^2)</f>
        <v>0.2986561002424471</v>
      </c>
      <c r="S8" s="5">
        <f t="shared" si="10"/>
        <v>0.10929887469547839</v>
      </c>
      <c r="T8" s="24">
        <f>SUM($S$4:$S$8)</f>
        <v>0.52683848734283911</v>
      </c>
      <c r="U8" s="24">
        <f t="shared" si="11"/>
        <v>0.27755879174569087</v>
      </c>
      <c r="V8" s="5">
        <f t="shared" si="2"/>
        <v>0.52683848734283911</v>
      </c>
      <c r="W8" s="5">
        <f t="shared" si="3"/>
        <v>2.0622798955827903</v>
      </c>
      <c r="X8" s="5">
        <f t="shared" si="4"/>
        <v>3.410986423180459</v>
      </c>
      <c r="Y8" s="11">
        <f t="shared" si="12"/>
        <v>15.434930564689674</v>
      </c>
      <c r="Z8" s="11">
        <f t="shared" si="6"/>
        <v>7.8638782091141479</v>
      </c>
      <c r="AA8" s="11">
        <f t="shared" si="6"/>
        <v>30.295113327248298</v>
      </c>
    </row>
    <row r="9" spans="1:27" x14ac:dyDescent="0.25">
      <c r="K9" s="1" t="e">
        <f>EXP(#REF!)</f>
        <v>#REF!</v>
      </c>
      <c r="L9" s="1" t="e">
        <f>EXP(#REF!)</f>
        <v>#REF!</v>
      </c>
    </row>
    <row r="13" spans="1:27" x14ac:dyDescent="0.25">
      <c r="A13" s="6" t="s">
        <v>69</v>
      </c>
      <c r="E13" s="1" t="e">
        <f>EXP(#REF!)</f>
        <v>#REF!</v>
      </c>
    </row>
    <row r="14" spans="1:27" x14ac:dyDescent="0.25">
      <c r="A14" s="7"/>
      <c r="B14" s="8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7" x14ac:dyDescent="0.25">
      <c r="A15" s="8" t="s">
        <v>61</v>
      </c>
      <c r="B15" s="9">
        <v>0.87545412199999995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7" ht="15.75" x14ac:dyDescent="0.25">
      <c r="A16" s="8" t="s">
        <v>62</v>
      </c>
      <c r="B16" s="8" t="s">
        <v>63</v>
      </c>
      <c r="C16" s="8" t="s">
        <v>64</v>
      </c>
      <c r="D16" s="8" t="s">
        <v>65</v>
      </c>
      <c r="E16" s="8" t="s">
        <v>66</v>
      </c>
      <c r="F16" s="8" t="s">
        <v>67</v>
      </c>
      <c r="G16" s="8" t="s">
        <v>1</v>
      </c>
      <c r="H16" s="35" t="s">
        <v>37</v>
      </c>
      <c r="I16" s="35"/>
      <c r="J16" s="35"/>
      <c r="K16" s="35"/>
      <c r="L16" s="35"/>
    </row>
    <row r="17" spans="1:28" x14ac:dyDescent="0.25">
      <c r="A17" s="8" t="s">
        <v>11</v>
      </c>
      <c r="B17" s="8" t="s">
        <v>68</v>
      </c>
      <c r="C17" s="7">
        <v>2.3342051499999998</v>
      </c>
      <c r="D17" s="7">
        <v>0.21099999999999999</v>
      </c>
      <c r="E17" s="7">
        <v>11.069000000000001</v>
      </c>
      <c r="F17" s="7">
        <v>0</v>
      </c>
      <c r="G17" s="5">
        <f>C17+(C18*B15)</f>
        <v>2.711247131989555</v>
      </c>
      <c r="H17" s="5" t="e">
        <f>G17+((#REF!*#REF!)/2)</f>
        <v>#REF!</v>
      </c>
      <c r="I17" s="5" t="e">
        <f>EXP(G17)*EXP(0.5*#REF!*#REF!)</f>
        <v>#REF!</v>
      </c>
      <c r="J17" s="21" t="e">
        <f>EXP(H17)</f>
        <v>#REF!</v>
      </c>
      <c r="K17" s="5" t="e">
        <f>LN(I17)</f>
        <v>#REF!</v>
      </c>
      <c r="L17" s="5" t="e">
        <f>EXP(C17+C18*B15+0.5*#REF!*#REF!)</f>
        <v>#REF!</v>
      </c>
    </row>
    <row r="18" spans="1:28" x14ac:dyDescent="0.25">
      <c r="A18" s="8" t="s">
        <v>11</v>
      </c>
      <c r="B18" s="8" t="s">
        <v>10</v>
      </c>
      <c r="C18" s="7">
        <v>0.4306816</v>
      </c>
      <c r="D18" s="7">
        <v>7.2999999999999995E-2</v>
      </c>
      <c r="E18" s="7">
        <v>5.907</v>
      </c>
      <c r="F18" s="7">
        <v>0</v>
      </c>
      <c r="G18" s="7"/>
      <c r="H18" s="7"/>
      <c r="I18" s="7"/>
      <c r="J18" s="7"/>
      <c r="K18" s="7"/>
      <c r="L18" s="7"/>
    </row>
    <row r="19" spans="1:28" x14ac:dyDescent="0.25">
      <c r="A19" s="7"/>
      <c r="B19" s="7"/>
      <c r="C19" s="7"/>
      <c r="D19" s="7"/>
      <c r="E19" s="7"/>
      <c r="F19" s="7"/>
      <c r="G19" s="14" t="e">
        <f>#REF!*SQRT(#REF!+1)</f>
        <v>#REF!</v>
      </c>
      <c r="H19" s="7"/>
      <c r="I19" s="7"/>
      <c r="J19" s="22"/>
      <c r="K19" s="7"/>
      <c r="L19" s="7"/>
      <c r="M19" s="7"/>
      <c r="O19" s="7"/>
      <c r="P19" s="7"/>
    </row>
    <row r="20" spans="1:28" s="1" customFormat="1" x14ac:dyDescent="0.25">
      <c r="P20" s="7"/>
      <c r="AB20"/>
    </row>
    <row r="21" spans="1:28" s="1" customFormat="1" x14ac:dyDescent="0.25">
      <c r="P21" s="7"/>
      <c r="AB21"/>
    </row>
    <row r="22" spans="1:28" s="1" customFormat="1" x14ac:dyDescent="0.25">
      <c r="E22" s="1" t="e">
        <f>EXP(#REF!)</f>
        <v>#REF!</v>
      </c>
      <c r="G22" s="1" t="e">
        <f>EXP(#REF!)</f>
        <v>#REF!</v>
      </c>
      <c r="H22" s="1" t="e">
        <f>EXP(#REF!)</f>
        <v>#REF!</v>
      </c>
      <c r="K22" s="15"/>
      <c r="L22" s="15"/>
      <c r="P22" s="7"/>
      <c r="AB22"/>
    </row>
    <row r="23" spans="1:28" s="1" customFormat="1" x14ac:dyDescent="0.25">
      <c r="E23" s="1" t="e">
        <f>EXP(#REF!)</f>
        <v>#REF!</v>
      </c>
      <c r="P23" s="7"/>
      <c r="AB23"/>
    </row>
    <row r="24" spans="1:28" s="1" customFormat="1" x14ac:dyDescent="0.25">
      <c r="P24" s="7"/>
      <c r="AB24"/>
    </row>
    <row r="25" spans="1:28" s="1" customFormat="1" x14ac:dyDescent="0.25">
      <c r="P25" s="7"/>
      <c r="AB25"/>
    </row>
    <row r="26" spans="1:28" s="1" customFormat="1" x14ac:dyDescent="0.25">
      <c r="P26" s="7"/>
      <c r="AB26"/>
    </row>
    <row r="27" spans="1:28" s="1" customFormat="1" x14ac:dyDescent="0.25">
      <c r="AB27"/>
    </row>
    <row r="28" spans="1:28" s="1" customFormat="1" x14ac:dyDescent="0.25">
      <c r="AB28"/>
    </row>
    <row r="29" spans="1:28" s="1" customFormat="1" x14ac:dyDescent="0.25">
      <c r="AB29"/>
    </row>
    <row r="30" spans="1:28" s="1" customFormat="1" x14ac:dyDescent="0.25">
      <c r="AB30"/>
    </row>
    <row r="31" spans="1:28" s="1" customFormat="1" x14ac:dyDescent="0.25">
      <c r="AB31"/>
    </row>
    <row r="32" spans="1:28" s="1" customFormat="1" x14ac:dyDescent="0.25">
      <c r="AB32"/>
    </row>
  </sheetData>
  <mergeCells count="6">
    <mergeCell ref="C2:I2"/>
    <mergeCell ref="K2:L2"/>
    <mergeCell ref="Q2:U2"/>
    <mergeCell ref="W2:X2"/>
    <mergeCell ref="Z2:AA2"/>
    <mergeCell ref="H16:L1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opLeftCell="Q1" workbookViewId="0">
      <selection activeCell="E27" sqref="E27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8.710937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8" width="12" style="1" bestFit="1" customWidth="1"/>
    <col min="19" max="19" width="8.7109375" style="1"/>
    <col min="20" max="20" width="12" style="1" bestFit="1" customWidth="1"/>
    <col min="21" max="21" width="8.7109375" style="1"/>
    <col min="22" max="22" width="27.85546875" style="1" bestFit="1" customWidth="1"/>
    <col min="23" max="23" width="26.7109375" style="1" bestFit="1" customWidth="1"/>
    <col min="24" max="24" width="22.28515625" style="1" customWidth="1"/>
    <col min="25" max="25" width="35.140625" style="1" customWidth="1"/>
    <col min="26" max="26" width="5.5703125" style="1" bestFit="1" customWidth="1"/>
    <col min="27" max="27" width="19.140625" style="1" customWidth="1"/>
    <col min="28" max="28" width="24.7109375" style="1" customWidth="1"/>
  </cols>
  <sheetData>
    <row r="1" spans="1:28" x14ac:dyDescent="0.25">
      <c r="A1" s="27" t="s">
        <v>75</v>
      </c>
      <c r="B1" s="2" t="s">
        <v>60</v>
      </c>
    </row>
    <row r="2" spans="1:28" x14ac:dyDescent="0.25">
      <c r="C2" s="34" t="s">
        <v>59</v>
      </c>
      <c r="D2" s="34"/>
      <c r="E2" s="34"/>
      <c r="F2" s="34"/>
      <c r="G2" s="34"/>
      <c r="H2" s="34"/>
      <c r="I2" s="34"/>
      <c r="K2" s="34" t="s">
        <v>49</v>
      </c>
      <c r="L2" s="34"/>
      <c r="P2" s="26"/>
      <c r="R2" s="34" t="s">
        <v>46</v>
      </c>
      <c r="S2" s="34"/>
      <c r="T2" s="34"/>
      <c r="U2" s="34"/>
      <c r="V2" s="34"/>
      <c r="X2" s="34" t="s">
        <v>50</v>
      </c>
      <c r="Y2" s="34"/>
      <c r="AA2" s="34" t="s">
        <v>50</v>
      </c>
      <c r="AB2" s="34"/>
    </row>
    <row r="3" spans="1:28" s="4" customFormat="1" ht="15.75" x14ac:dyDescent="0.25">
      <c r="A3" s="3" t="s">
        <v>47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43</v>
      </c>
      <c r="L3" s="3" t="s">
        <v>44</v>
      </c>
      <c r="M3" s="3" t="s">
        <v>37</v>
      </c>
      <c r="N3" s="3"/>
      <c r="O3" s="3"/>
      <c r="P3" s="3" t="s">
        <v>70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45</v>
      </c>
      <c r="X3" s="3" t="s">
        <v>43</v>
      </c>
      <c r="Y3" s="3" t="s">
        <v>44</v>
      </c>
      <c r="Z3" s="3" t="s">
        <v>1</v>
      </c>
      <c r="AA3" s="3" t="s">
        <v>43</v>
      </c>
      <c r="AB3" s="3" t="s">
        <v>44</v>
      </c>
    </row>
    <row r="4" spans="1:28" s="16" customFormat="1" x14ac:dyDescent="0.25">
      <c r="A4" s="13" t="s">
        <v>11</v>
      </c>
      <c r="B4" s="13" t="s">
        <v>10</v>
      </c>
      <c r="C4" s="13">
        <v>2.7112471342805602</v>
      </c>
      <c r="D4" s="13">
        <v>0.15505096628672199</v>
      </c>
      <c r="E4" s="30">
        <v>2.1101200792932202</v>
      </c>
      <c r="F4" s="30">
        <v>3.3123741892679002</v>
      </c>
      <c r="G4" s="13">
        <v>32.4570233112888</v>
      </c>
      <c r="H4" s="13">
        <v>0.42773781235782499</v>
      </c>
      <c r="I4" s="13">
        <v>22</v>
      </c>
      <c r="J4" s="14">
        <f>D4*SQRT(I4+1)</f>
        <v>0.74359831183795899</v>
      </c>
      <c r="K4" s="14">
        <f>M4-(1.282*J4)</f>
        <v>1.8494339165646256</v>
      </c>
      <c r="L4" s="14">
        <f>M4+(1.282*J4)</f>
        <v>3.7560199881171528</v>
      </c>
      <c r="M4" s="14">
        <f>C4+((H4*H4)/2)</f>
        <v>2.8027269523408891</v>
      </c>
      <c r="N4" s="14">
        <f>E4+((H4*H4)/2)</f>
        <v>2.2015998973535491</v>
      </c>
      <c r="O4" s="14">
        <f>F4+((H4*H4)/2)</f>
        <v>3.4038540073282291</v>
      </c>
      <c r="P4" s="31">
        <f>1/18</f>
        <v>5.5555555555555552E-2</v>
      </c>
      <c r="Q4" s="14" cm="1">
        <f t="array" ref="Q4">SUM($M$4:$M$21*$P$4:$P$21)</f>
        <v>2.6652949436038651</v>
      </c>
      <c r="R4" s="14">
        <f t="shared" ref="R4:R21" si="0">J4*J4</f>
        <v>0.55293844936826253</v>
      </c>
      <c r="S4" s="14">
        <f>R4+((M4-Q4)^2)</f>
        <v>0.57182600639375591</v>
      </c>
      <c r="T4" s="14">
        <f>SQRT(S4)*P4</f>
        <v>4.2010654380314157E-2</v>
      </c>
      <c r="U4" s="23">
        <f>SUM($T$4:$T$21)</f>
        <v>0.59013306697557033</v>
      </c>
      <c r="V4" s="23">
        <f>U4^2</f>
        <v>0.34825703673799296</v>
      </c>
      <c r="W4" s="14">
        <f>SQRT(V4)</f>
        <v>0.59013306697557033</v>
      </c>
      <c r="X4" s="14">
        <f>Q4-(1.28*W4)</f>
        <v>1.909924617875135</v>
      </c>
      <c r="Y4" s="14">
        <f>Q4+1.28*W4</f>
        <v>3.420665269332595</v>
      </c>
      <c r="Z4" s="15">
        <f>EXP(Q4)</f>
        <v>14.372187905823834</v>
      </c>
      <c r="AA4" s="15">
        <f>EXP(X4)</f>
        <v>6.7525797555348639</v>
      </c>
      <c r="AB4" s="15">
        <f>EXP(Y4)</f>
        <v>30.589758681635519</v>
      </c>
    </row>
    <row r="5" spans="1:28" s="12" customFormat="1" x14ac:dyDescent="0.25">
      <c r="A5" s="10" t="s">
        <v>12</v>
      </c>
      <c r="B5" s="10" t="s">
        <v>19</v>
      </c>
      <c r="C5" s="10">
        <v>2.70182322411776</v>
      </c>
      <c r="D5" s="10">
        <v>0.106226080473006</v>
      </c>
      <c r="E5" s="10">
        <v>2.2894357532537999</v>
      </c>
      <c r="F5" s="10">
        <v>3.1142106949817299</v>
      </c>
      <c r="G5" s="10">
        <v>16.085665331656699</v>
      </c>
      <c r="H5" s="10">
        <v>0.29300045269297698</v>
      </c>
      <c r="I5" s="10">
        <v>21</v>
      </c>
      <c r="J5" s="5">
        <f t="shared" ref="J5:J21" si="1">D5*SQRT(I5+1)</f>
        <v>0.49824448195485921</v>
      </c>
      <c r="K5" s="5">
        <f>C5-(1.282*J5)</f>
        <v>2.0630737982516303</v>
      </c>
      <c r="L5" s="5">
        <f>C5+(1.282*J5)</f>
        <v>3.3405726499838897</v>
      </c>
      <c r="M5" s="5">
        <f t="shared" ref="M5:M21" si="2">C5+((H5*H5)/2)</f>
        <v>2.7447478567569048</v>
      </c>
      <c r="N5" s="5">
        <f t="shared" ref="N5:N21" si="3">E5+((H5*H5)/2)</f>
        <v>2.3323603858929447</v>
      </c>
      <c r="O5" s="5">
        <f t="shared" ref="O5:O21" si="4">F5+((H5*H5)/2)</f>
        <v>3.1571353276208747</v>
      </c>
      <c r="P5" s="32">
        <f t="shared" ref="P5:P21" si="5">1/18</f>
        <v>5.5555555555555552E-2</v>
      </c>
      <c r="Q5" s="5" cm="1">
        <f t="array" ref="Q5">SUM($M$4:$M$21*$P$4:$P$21)</f>
        <v>2.6652949436038651</v>
      </c>
      <c r="R5" s="5">
        <f t="shared" si="0"/>
        <v>0.24824756379846602</v>
      </c>
      <c r="S5" s="5">
        <f t="shared" ref="S5:S21" si="6">R5+((M5-Q5)^2)</f>
        <v>0.25456032920697047</v>
      </c>
      <c r="T5" s="5">
        <f t="shared" ref="T5:T21" si="7">SQRT(S5)*P5</f>
        <v>2.802998445266382E-2</v>
      </c>
      <c r="U5" s="24">
        <f t="shared" ref="U5:U21" si="8">SUM($T$4:$T$21)</f>
        <v>0.59013306697557033</v>
      </c>
      <c r="V5" s="24">
        <f t="shared" ref="V5:V21" si="9">U5^2</f>
        <v>0.34825703673799296</v>
      </c>
      <c r="W5" s="5">
        <f t="shared" ref="W5:W21" si="10">SQRT(V5)</f>
        <v>0.59013306697557033</v>
      </c>
      <c r="X5" s="5">
        <f t="shared" ref="X5:X21" si="11">Q5-1.28*W5</f>
        <v>1.909924617875135</v>
      </c>
      <c r="Y5" s="5">
        <f t="shared" ref="Y5:Y21" si="12">Q5+1.28*W5</f>
        <v>3.420665269332595</v>
      </c>
      <c r="Z5" s="11">
        <f t="shared" ref="Z5:Z21" si="13">EXP(Q5)</f>
        <v>14.372187905823834</v>
      </c>
      <c r="AA5" s="11">
        <f t="shared" ref="AA5:AA21" si="14">EXP(X5)</f>
        <v>6.7525797555348639</v>
      </c>
      <c r="AB5" s="11">
        <f t="shared" ref="AB5:AB21" si="15">EXP(Y5)</f>
        <v>30.589758681635519</v>
      </c>
    </row>
    <row r="6" spans="1:28" s="12" customFormat="1" x14ac:dyDescent="0.25">
      <c r="A6" s="10" t="s">
        <v>13</v>
      </c>
      <c r="B6" s="10" t="s">
        <v>51</v>
      </c>
      <c r="C6" s="10">
        <v>2.7487634979664199</v>
      </c>
      <c r="D6" s="10">
        <v>0.111536226797165</v>
      </c>
      <c r="E6" s="10">
        <v>2.3167002163063102</v>
      </c>
      <c r="F6" s="10">
        <v>3.1808267796265399</v>
      </c>
      <c r="G6" s="10">
        <v>18.309151221931302</v>
      </c>
      <c r="H6" s="10">
        <v>0.30689227086117599</v>
      </c>
      <c r="I6" s="10">
        <v>21</v>
      </c>
      <c r="J6" s="5">
        <f t="shared" si="1"/>
        <v>0.52315127596066302</v>
      </c>
      <c r="K6" s="5">
        <f t="shared" ref="K6:K21" si="16">M6-(1.28*J6)</f>
        <v>2.1262212976939363</v>
      </c>
      <c r="L6" s="5">
        <f t="shared" ref="L6:L21" si="17">M6+(1.28*J6)</f>
        <v>3.4654885641532331</v>
      </c>
      <c r="M6" s="5">
        <f t="shared" si="2"/>
        <v>2.7958549309235847</v>
      </c>
      <c r="N6" s="5">
        <f t="shared" si="3"/>
        <v>2.363791649263475</v>
      </c>
      <c r="O6" s="5">
        <f t="shared" si="4"/>
        <v>3.2279182125837047</v>
      </c>
      <c r="P6" s="32">
        <f t="shared" si="5"/>
        <v>5.5555555555555552E-2</v>
      </c>
      <c r="Q6" s="5" cm="1">
        <f t="array" ref="Q6">SUM($M$4:$M$21*$P$4:$P$21)</f>
        <v>2.6652949436038651</v>
      </c>
      <c r="R6" s="5">
        <f t="shared" si="0"/>
        <v>0.27368725753926981</v>
      </c>
      <c r="S6" s="5">
        <f t="shared" si="6"/>
        <v>0.29073316782819514</v>
      </c>
      <c r="T6" s="5">
        <f t="shared" si="7"/>
        <v>2.9955376680361249E-2</v>
      </c>
      <c r="U6" s="24">
        <f t="shared" si="8"/>
        <v>0.59013306697557033</v>
      </c>
      <c r="V6" s="24">
        <f t="shared" si="9"/>
        <v>0.34825703673799296</v>
      </c>
      <c r="W6" s="5">
        <f t="shared" si="10"/>
        <v>0.59013306697557033</v>
      </c>
      <c r="X6" s="5">
        <f t="shared" si="11"/>
        <v>1.909924617875135</v>
      </c>
      <c r="Y6" s="5">
        <f t="shared" si="12"/>
        <v>3.420665269332595</v>
      </c>
      <c r="Z6" s="11">
        <f t="shared" si="13"/>
        <v>14.372187905823834</v>
      </c>
      <c r="AA6" s="11">
        <f t="shared" si="14"/>
        <v>6.7525797555348639</v>
      </c>
      <c r="AB6" s="11">
        <f t="shared" si="15"/>
        <v>30.589758681635519</v>
      </c>
    </row>
    <row r="7" spans="1:28" s="12" customFormat="1" x14ac:dyDescent="0.25">
      <c r="A7" s="10" t="s">
        <v>14</v>
      </c>
      <c r="B7" s="10" t="s">
        <v>52</v>
      </c>
      <c r="C7" s="10">
        <v>2.5285795418553101</v>
      </c>
      <c r="D7" s="10">
        <v>0.13303474190407399</v>
      </c>
      <c r="E7" s="10">
        <v>2.0445611766301699</v>
      </c>
      <c r="F7" s="10">
        <v>3.0125979070804498</v>
      </c>
      <c r="G7" s="10">
        <v>23.332204304897299</v>
      </c>
      <c r="H7" s="10">
        <v>0.34074817542799102</v>
      </c>
      <c r="I7" s="10">
        <v>21</v>
      </c>
      <c r="J7" s="5">
        <f t="shared" si="1"/>
        <v>0.62398825003091107</v>
      </c>
      <c r="K7" s="5">
        <f t="shared" si="16"/>
        <v>1.7879292413444963</v>
      </c>
      <c r="L7" s="5">
        <f t="shared" si="17"/>
        <v>3.3853391614236283</v>
      </c>
      <c r="M7" s="5">
        <f t="shared" si="2"/>
        <v>2.5866342013840624</v>
      </c>
      <c r="N7" s="5">
        <f t="shared" si="3"/>
        <v>2.1026158361589222</v>
      </c>
      <c r="O7" s="5">
        <f t="shared" si="4"/>
        <v>3.0706525666092022</v>
      </c>
      <c r="P7" s="32">
        <f t="shared" si="5"/>
        <v>5.5555555555555552E-2</v>
      </c>
      <c r="Q7" s="5" cm="1">
        <f t="array" ref="Q7">SUM($M$4:$M$21*$P$4:$P$21)</f>
        <v>2.6652949436038651</v>
      </c>
      <c r="R7" s="5">
        <f t="shared" si="0"/>
        <v>0.38936133617663882</v>
      </c>
      <c r="S7" s="5">
        <f t="shared" si="6"/>
        <v>0.39554884854320904</v>
      </c>
      <c r="T7" s="5">
        <f t="shared" si="7"/>
        <v>3.4940374632427003E-2</v>
      </c>
      <c r="U7" s="24">
        <f t="shared" si="8"/>
        <v>0.59013306697557033</v>
      </c>
      <c r="V7" s="24">
        <f t="shared" si="9"/>
        <v>0.34825703673799296</v>
      </c>
      <c r="W7" s="5">
        <f t="shared" si="10"/>
        <v>0.59013306697557033</v>
      </c>
      <c r="X7" s="5">
        <f t="shared" si="11"/>
        <v>1.909924617875135</v>
      </c>
      <c r="Y7" s="5">
        <f t="shared" si="12"/>
        <v>3.420665269332595</v>
      </c>
      <c r="Z7" s="11">
        <f t="shared" si="13"/>
        <v>14.372187905823834</v>
      </c>
      <c r="AA7" s="11">
        <f t="shared" si="14"/>
        <v>6.7525797555348639</v>
      </c>
      <c r="AB7" s="11">
        <f t="shared" si="15"/>
        <v>30.589758681635519</v>
      </c>
    </row>
    <row r="8" spans="1:28" s="12" customFormat="1" x14ac:dyDescent="0.25">
      <c r="A8" s="10" t="s">
        <v>15</v>
      </c>
      <c r="B8" s="10" t="s">
        <v>53</v>
      </c>
      <c r="C8" s="10">
        <v>2.6494683649057702</v>
      </c>
      <c r="D8" s="10">
        <v>0.111315416116681</v>
      </c>
      <c r="E8" s="10">
        <v>2.2199136024174599</v>
      </c>
      <c r="F8" s="10">
        <v>3.0790231273940698</v>
      </c>
      <c r="G8" s="10">
        <v>18.005195780123401</v>
      </c>
      <c r="H8" s="10">
        <v>0.30495504482257202</v>
      </c>
      <c r="I8" s="10">
        <v>21</v>
      </c>
      <c r="J8" s="5">
        <f t="shared" si="1"/>
        <v>0.52211558206498354</v>
      </c>
      <c r="K8" s="5">
        <f t="shared" si="16"/>
        <v>2.0276592095439598</v>
      </c>
      <c r="L8" s="5">
        <f t="shared" si="17"/>
        <v>3.3642750996303175</v>
      </c>
      <c r="M8" s="5">
        <f t="shared" si="2"/>
        <v>2.6959671545871386</v>
      </c>
      <c r="N8" s="5">
        <f t="shared" si="3"/>
        <v>2.2664123920988284</v>
      </c>
      <c r="O8" s="5">
        <f t="shared" si="4"/>
        <v>3.1255219170754382</v>
      </c>
      <c r="P8" s="32">
        <f t="shared" si="5"/>
        <v>5.5555555555555552E-2</v>
      </c>
      <c r="Q8" s="5" cm="1">
        <f t="array" ref="Q8">SUM($M$4:$M$21*$P$4:$P$21)</f>
        <v>2.6652949436038651</v>
      </c>
      <c r="R8" s="5">
        <f t="shared" si="0"/>
        <v>0.27260468103505658</v>
      </c>
      <c r="S8" s="5">
        <f t="shared" si="6"/>
        <v>0.27354546556165904</v>
      </c>
      <c r="T8" s="5">
        <f t="shared" si="7"/>
        <v>2.9056430067658436E-2</v>
      </c>
      <c r="U8" s="24">
        <f t="shared" si="8"/>
        <v>0.59013306697557033</v>
      </c>
      <c r="V8" s="24">
        <f t="shared" si="9"/>
        <v>0.34825703673799296</v>
      </c>
      <c r="W8" s="5">
        <f t="shared" si="10"/>
        <v>0.59013306697557033</v>
      </c>
      <c r="X8" s="5">
        <f t="shared" si="11"/>
        <v>1.909924617875135</v>
      </c>
      <c r="Y8" s="5">
        <f t="shared" si="12"/>
        <v>3.420665269332595</v>
      </c>
      <c r="Z8" s="11">
        <f t="shared" si="13"/>
        <v>14.372187905823834</v>
      </c>
      <c r="AA8" s="11">
        <f t="shared" si="14"/>
        <v>6.7525797555348639</v>
      </c>
      <c r="AB8" s="11">
        <f t="shared" si="15"/>
        <v>30.589758681635519</v>
      </c>
    </row>
    <row r="9" spans="1:28" s="12" customFormat="1" x14ac:dyDescent="0.25">
      <c r="A9" s="10" t="s">
        <v>16</v>
      </c>
      <c r="B9" s="10" t="s">
        <v>54</v>
      </c>
      <c r="C9" s="10">
        <v>2.5383741438290701</v>
      </c>
      <c r="D9" s="10">
        <v>0.122764287341551</v>
      </c>
      <c r="E9" s="10">
        <v>2.0850577150356102</v>
      </c>
      <c r="F9" s="10">
        <v>2.9916905726225398</v>
      </c>
      <c r="G9" s="10">
        <v>20.293190500077099</v>
      </c>
      <c r="H9" s="10">
        <v>0.31984321684954797</v>
      </c>
      <c r="I9" s="10">
        <v>21</v>
      </c>
      <c r="J9" s="5">
        <f t="shared" si="1"/>
        <v>0.57581554809030278</v>
      </c>
      <c r="K9" s="5">
        <f t="shared" si="16"/>
        <v>1.852480083955816</v>
      </c>
      <c r="L9" s="5">
        <f t="shared" si="17"/>
        <v>3.3265678870669908</v>
      </c>
      <c r="M9" s="5">
        <f t="shared" si="2"/>
        <v>2.5895239855114034</v>
      </c>
      <c r="N9" s="5">
        <f t="shared" si="3"/>
        <v>2.1362075567179435</v>
      </c>
      <c r="O9" s="5">
        <f t="shared" si="4"/>
        <v>3.0428404143048731</v>
      </c>
      <c r="P9" s="32">
        <f t="shared" si="5"/>
        <v>5.5555555555555552E-2</v>
      </c>
      <c r="Q9" s="5" cm="1">
        <f t="array" ref="Q9">SUM($M$4:$M$21*$P$4:$P$21)</f>
        <v>2.6652949436038651</v>
      </c>
      <c r="R9" s="5">
        <f t="shared" si="0"/>
        <v>0.3315635454225358</v>
      </c>
      <c r="S9" s="5">
        <f t="shared" si="6"/>
        <v>0.33730478351278537</v>
      </c>
      <c r="T9" s="5">
        <f t="shared" si="7"/>
        <v>3.2265525668186461E-2</v>
      </c>
      <c r="U9" s="24">
        <f t="shared" si="8"/>
        <v>0.59013306697557033</v>
      </c>
      <c r="V9" s="24">
        <f t="shared" si="9"/>
        <v>0.34825703673799296</v>
      </c>
      <c r="W9" s="5">
        <f t="shared" si="10"/>
        <v>0.59013306697557033</v>
      </c>
      <c r="X9" s="5">
        <f t="shared" si="11"/>
        <v>1.909924617875135</v>
      </c>
      <c r="Y9" s="5">
        <f t="shared" si="12"/>
        <v>3.420665269332595</v>
      </c>
      <c r="Z9" s="11">
        <f t="shared" si="13"/>
        <v>14.372187905823834</v>
      </c>
      <c r="AA9" s="11">
        <f t="shared" si="14"/>
        <v>6.7525797555348639</v>
      </c>
      <c r="AB9" s="11">
        <f t="shared" si="15"/>
        <v>30.589758681635519</v>
      </c>
    </row>
    <row r="10" spans="1:28" s="12" customFormat="1" x14ac:dyDescent="0.25">
      <c r="A10" s="10" t="s">
        <v>17</v>
      </c>
      <c r="B10" s="10" t="s">
        <v>28</v>
      </c>
      <c r="C10" s="10">
        <v>2.7129899220685201</v>
      </c>
      <c r="D10" s="10">
        <v>0.11557153516632999</v>
      </c>
      <c r="E10" s="10">
        <v>2.2642639541580998</v>
      </c>
      <c r="F10" s="10">
        <v>3.1617158899789399</v>
      </c>
      <c r="G10" s="10">
        <v>20.140031656140799</v>
      </c>
      <c r="H10" s="10">
        <v>0.31882428462877799</v>
      </c>
      <c r="I10" s="10">
        <v>21</v>
      </c>
      <c r="J10" s="5">
        <f t="shared" si="1"/>
        <v>0.54207854993114191</v>
      </c>
      <c r="K10" s="5">
        <f t="shared" si="16"/>
        <v>2.0699538403911846</v>
      </c>
      <c r="L10" s="5">
        <f t="shared" si="17"/>
        <v>3.457674928214908</v>
      </c>
      <c r="M10" s="5">
        <f t="shared" si="2"/>
        <v>2.7638143843030463</v>
      </c>
      <c r="N10" s="5">
        <f t="shared" si="3"/>
        <v>2.315088416392626</v>
      </c>
      <c r="O10" s="5">
        <f t="shared" si="4"/>
        <v>3.2125403522134661</v>
      </c>
      <c r="P10" s="32">
        <f t="shared" si="5"/>
        <v>5.5555555555555552E-2</v>
      </c>
      <c r="Q10" s="5" cm="1">
        <f t="array" ref="Q10">SUM($M$4:$M$21*$P$4:$P$21)</f>
        <v>2.6652949436038651</v>
      </c>
      <c r="R10" s="5">
        <f t="shared" si="0"/>
        <v>0.2938491542954495</v>
      </c>
      <c r="S10" s="5">
        <f t="shared" si="6"/>
        <v>0.30355523449112898</v>
      </c>
      <c r="T10" s="5">
        <f t="shared" si="7"/>
        <v>3.0608803829718673E-2</v>
      </c>
      <c r="U10" s="24">
        <f t="shared" si="8"/>
        <v>0.59013306697557033</v>
      </c>
      <c r="V10" s="24">
        <f t="shared" si="9"/>
        <v>0.34825703673799296</v>
      </c>
      <c r="W10" s="5">
        <f t="shared" si="10"/>
        <v>0.59013306697557033</v>
      </c>
      <c r="X10" s="5">
        <f t="shared" si="11"/>
        <v>1.909924617875135</v>
      </c>
      <c r="Y10" s="5">
        <f t="shared" si="12"/>
        <v>3.420665269332595</v>
      </c>
      <c r="Z10" s="11">
        <f t="shared" si="13"/>
        <v>14.372187905823834</v>
      </c>
      <c r="AA10" s="11">
        <f t="shared" si="14"/>
        <v>6.7525797555348639</v>
      </c>
      <c r="AB10" s="11">
        <f t="shared" si="15"/>
        <v>30.589758681635519</v>
      </c>
    </row>
    <row r="11" spans="1:28" s="12" customFormat="1" x14ac:dyDescent="0.25">
      <c r="A11" s="10" t="s">
        <v>18</v>
      </c>
      <c r="B11" s="10" t="s">
        <v>26</v>
      </c>
      <c r="C11" s="10">
        <v>2.5568750669548099</v>
      </c>
      <c r="D11" s="10">
        <v>0.13418559017589399</v>
      </c>
      <c r="E11" s="10">
        <v>2.0618943980702902</v>
      </c>
      <c r="F11" s="10">
        <v>3.0518557358393399</v>
      </c>
      <c r="G11" s="10">
        <v>24.506461478872399</v>
      </c>
      <c r="H11" s="10">
        <v>0.34918693427855202</v>
      </c>
      <c r="I11" s="10">
        <v>21</v>
      </c>
      <c r="J11" s="5">
        <f t="shared" si="1"/>
        <v>0.62938620690222113</v>
      </c>
      <c r="K11" s="5">
        <f t="shared" si="16"/>
        <v>1.8122264796553935</v>
      </c>
      <c r="L11" s="5">
        <f t="shared" si="17"/>
        <v>3.4234551693250799</v>
      </c>
      <c r="M11" s="5">
        <f t="shared" si="2"/>
        <v>2.6178408244902367</v>
      </c>
      <c r="N11" s="5">
        <f t="shared" si="3"/>
        <v>2.1228601556057169</v>
      </c>
      <c r="O11" s="5">
        <f t="shared" si="4"/>
        <v>3.1128214933747667</v>
      </c>
      <c r="P11" s="32">
        <f t="shared" si="5"/>
        <v>5.5555555555555552E-2</v>
      </c>
      <c r="Q11" s="5" cm="1">
        <f t="array" ref="Q11">SUM($M$4:$M$21*$P$4:$P$21)</f>
        <v>2.6652949436038651</v>
      </c>
      <c r="R11" s="5">
        <f t="shared" si="0"/>
        <v>0.3961269974387655</v>
      </c>
      <c r="S11" s="5">
        <f t="shared" si="6"/>
        <v>0.39837889085961592</v>
      </c>
      <c r="T11" s="5">
        <f t="shared" si="7"/>
        <v>3.5065146199064645E-2</v>
      </c>
      <c r="U11" s="24">
        <f t="shared" si="8"/>
        <v>0.59013306697557033</v>
      </c>
      <c r="V11" s="24">
        <f t="shared" si="9"/>
        <v>0.34825703673799296</v>
      </c>
      <c r="W11" s="5">
        <f t="shared" si="10"/>
        <v>0.59013306697557033</v>
      </c>
      <c r="X11" s="5">
        <f t="shared" si="11"/>
        <v>1.909924617875135</v>
      </c>
      <c r="Y11" s="5">
        <f t="shared" si="12"/>
        <v>3.420665269332595</v>
      </c>
      <c r="Z11" s="11">
        <f>EXP(Q11)</f>
        <v>14.372187905823834</v>
      </c>
      <c r="AA11" s="11">
        <f t="shared" si="14"/>
        <v>6.7525797555348639</v>
      </c>
      <c r="AB11" s="11">
        <f t="shared" si="15"/>
        <v>30.589758681635519</v>
      </c>
    </row>
    <row r="12" spans="1:28" s="12" customFormat="1" x14ac:dyDescent="0.25">
      <c r="A12" s="10" t="s">
        <v>20</v>
      </c>
      <c r="B12" s="10" t="s">
        <v>55</v>
      </c>
      <c r="C12" s="10">
        <v>2.6088744140726998</v>
      </c>
      <c r="D12" s="10">
        <v>0.120900107884263</v>
      </c>
      <c r="E12" s="10">
        <v>2.1483968584136499</v>
      </c>
      <c r="F12" s="10">
        <v>3.06935196973174</v>
      </c>
      <c r="G12" s="10">
        <v>21.256988664509802</v>
      </c>
      <c r="H12" s="10">
        <v>0.32633029940962099</v>
      </c>
      <c r="I12" s="10">
        <v>21</v>
      </c>
      <c r="J12" s="5">
        <f t="shared" si="1"/>
        <v>0.56707177138470011</v>
      </c>
      <c r="K12" s="5">
        <f t="shared" si="16"/>
        <v>1.9362682788566703</v>
      </c>
      <c r="L12" s="5">
        <f t="shared" si="17"/>
        <v>3.3879720136015026</v>
      </c>
      <c r="M12" s="5">
        <f t="shared" si="2"/>
        <v>2.6621201462290864</v>
      </c>
      <c r="N12" s="5">
        <f t="shared" si="3"/>
        <v>2.2016425905700365</v>
      </c>
      <c r="O12" s="5">
        <f t="shared" si="4"/>
        <v>3.1225977018881266</v>
      </c>
      <c r="P12" s="32">
        <f t="shared" si="5"/>
        <v>5.5555555555555552E-2</v>
      </c>
      <c r="Q12" s="5" cm="1">
        <f t="array" ref="Q12">SUM($M$4:$M$21*$P$4:$P$21)</f>
        <v>2.6652949436038651</v>
      </c>
      <c r="R12" s="5">
        <f t="shared" si="0"/>
        <v>0.32157039390138159</v>
      </c>
      <c r="S12" s="5">
        <f t="shared" si="6"/>
        <v>0.32158047323975247</v>
      </c>
      <c r="T12" s="5">
        <f t="shared" si="7"/>
        <v>3.1504481027530847E-2</v>
      </c>
      <c r="U12" s="24">
        <f t="shared" si="8"/>
        <v>0.59013306697557033</v>
      </c>
      <c r="V12" s="24">
        <f t="shared" si="9"/>
        <v>0.34825703673799296</v>
      </c>
      <c r="W12" s="5">
        <f t="shared" si="10"/>
        <v>0.59013306697557033</v>
      </c>
      <c r="X12" s="5">
        <f t="shared" si="11"/>
        <v>1.909924617875135</v>
      </c>
      <c r="Y12" s="5">
        <f t="shared" si="12"/>
        <v>3.420665269332595</v>
      </c>
      <c r="Z12" s="11">
        <f t="shared" si="13"/>
        <v>14.372187905823834</v>
      </c>
      <c r="AA12" s="11">
        <f t="shared" si="14"/>
        <v>6.7525797555348639</v>
      </c>
      <c r="AB12" s="11">
        <f t="shared" si="15"/>
        <v>30.589758681635519</v>
      </c>
    </row>
    <row r="13" spans="1:28" s="12" customFormat="1" x14ac:dyDescent="0.25">
      <c r="A13" s="10" t="s">
        <v>21</v>
      </c>
      <c r="B13" s="10" t="s">
        <v>30</v>
      </c>
      <c r="C13" s="10">
        <v>2.5520756596572398</v>
      </c>
      <c r="D13" s="10">
        <v>0.128630121258686</v>
      </c>
      <c r="E13" s="10">
        <v>2.0762128716284498</v>
      </c>
      <c r="F13" s="10">
        <v>3.0279384476860201</v>
      </c>
      <c r="G13" s="10">
        <v>22.636225019422</v>
      </c>
      <c r="H13" s="10">
        <v>0.33584312046039999</v>
      </c>
      <c r="I13" s="10">
        <v>21</v>
      </c>
      <c r="J13" s="5">
        <f t="shared" si="1"/>
        <v>0.60332874793973956</v>
      </c>
      <c r="K13" s="5">
        <f t="shared" si="16"/>
        <v>1.8362101630746626</v>
      </c>
      <c r="L13" s="5">
        <f t="shared" si="17"/>
        <v>3.3807317578003957</v>
      </c>
      <c r="M13" s="5">
        <f t="shared" si="2"/>
        <v>2.6084709604375291</v>
      </c>
      <c r="N13" s="5">
        <f t="shared" si="3"/>
        <v>2.1326081724087391</v>
      </c>
      <c r="O13" s="5">
        <f t="shared" si="4"/>
        <v>3.0843337484663094</v>
      </c>
      <c r="P13" s="32">
        <f t="shared" si="5"/>
        <v>5.5555555555555552E-2</v>
      </c>
      <c r="Q13" s="5" cm="1">
        <f t="array" ref="Q13">SUM($M$4:$M$21*$P$4:$P$21)</f>
        <v>2.6652949436038651</v>
      </c>
      <c r="R13" s="5">
        <f t="shared" si="0"/>
        <v>0.3640055780905338</v>
      </c>
      <c r="S13" s="5">
        <f t="shared" si="6"/>
        <v>0.36723454315342186</v>
      </c>
      <c r="T13" s="5">
        <f t="shared" si="7"/>
        <v>3.3666599887787724E-2</v>
      </c>
      <c r="U13" s="24">
        <f t="shared" si="8"/>
        <v>0.59013306697557033</v>
      </c>
      <c r="V13" s="24">
        <f t="shared" si="9"/>
        <v>0.34825703673799296</v>
      </c>
      <c r="W13" s="5">
        <f t="shared" si="10"/>
        <v>0.59013306697557033</v>
      </c>
      <c r="X13" s="5">
        <f t="shared" si="11"/>
        <v>1.909924617875135</v>
      </c>
      <c r="Y13" s="5">
        <f t="shared" si="12"/>
        <v>3.420665269332595</v>
      </c>
      <c r="Z13" s="11">
        <f t="shared" si="13"/>
        <v>14.372187905823834</v>
      </c>
      <c r="AA13" s="11">
        <f t="shared" si="14"/>
        <v>6.7525797555348639</v>
      </c>
      <c r="AB13" s="11">
        <f t="shared" si="15"/>
        <v>30.589758681635519</v>
      </c>
    </row>
    <row r="14" spans="1:28" s="12" customFormat="1" x14ac:dyDescent="0.25">
      <c r="A14" s="10" t="s">
        <v>22</v>
      </c>
      <c r="B14" s="10" t="s">
        <v>33</v>
      </c>
      <c r="C14" s="10">
        <v>2.7362916373574602</v>
      </c>
      <c r="D14" s="10">
        <v>0.114473923133776</v>
      </c>
      <c r="E14" s="10">
        <v>2.2923083173802699</v>
      </c>
      <c r="F14" s="10">
        <v>3.1802749573346398</v>
      </c>
      <c r="G14" s="10">
        <v>19.623175331024701</v>
      </c>
      <c r="H14" s="10">
        <v>0.31540965280732303</v>
      </c>
      <c r="I14" s="10">
        <v>21</v>
      </c>
      <c r="J14" s="5">
        <f t="shared" si="1"/>
        <v>0.5369302931554788</v>
      </c>
      <c r="K14" s="5">
        <f t="shared" si="16"/>
        <v>2.0987624866604655</v>
      </c>
      <c r="L14" s="5">
        <f t="shared" si="17"/>
        <v>3.4733040371384911</v>
      </c>
      <c r="M14" s="5">
        <f t="shared" si="2"/>
        <v>2.7860332618994783</v>
      </c>
      <c r="N14" s="5">
        <f t="shared" si="3"/>
        <v>2.342049941922288</v>
      </c>
      <c r="O14" s="5">
        <f t="shared" si="4"/>
        <v>3.230016581876658</v>
      </c>
      <c r="P14" s="32">
        <f t="shared" si="5"/>
        <v>5.5555555555555552E-2</v>
      </c>
      <c r="Q14" s="5" cm="1">
        <f t="array" ref="Q14">SUM($M$4:$M$21*$P$4:$P$21)</f>
        <v>2.6652949436038651</v>
      </c>
      <c r="R14" s="5">
        <f t="shared" si="0"/>
        <v>0.28829413970802842</v>
      </c>
      <c r="S14" s="5">
        <f t="shared" si="6"/>
        <v>0.30287188121288122</v>
      </c>
      <c r="T14" s="5">
        <f t="shared" si="7"/>
        <v>3.0574331666119545E-2</v>
      </c>
      <c r="U14" s="24">
        <f t="shared" si="8"/>
        <v>0.59013306697557033</v>
      </c>
      <c r="V14" s="24">
        <f t="shared" si="9"/>
        <v>0.34825703673799296</v>
      </c>
      <c r="W14" s="5">
        <f t="shared" si="10"/>
        <v>0.59013306697557033</v>
      </c>
      <c r="X14" s="5">
        <f t="shared" si="11"/>
        <v>1.909924617875135</v>
      </c>
      <c r="Y14" s="5">
        <f t="shared" si="12"/>
        <v>3.420665269332595</v>
      </c>
      <c r="Z14" s="11">
        <f t="shared" si="13"/>
        <v>14.372187905823834</v>
      </c>
      <c r="AA14" s="11">
        <f t="shared" si="14"/>
        <v>6.7525797555348639</v>
      </c>
      <c r="AB14" s="11">
        <f t="shared" si="15"/>
        <v>30.589758681635519</v>
      </c>
    </row>
    <row r="15" spans="1:28" s="12" customFormat="1" x14ac:dyDescent="0.25">
      <c r="A15" s="10" t="s">
        <v>23</v>
      </c>
      <c r="B15" s="10" t="s">
        <v>31</v>
      </c>
      <c r="C15" s="10">
        <v>2.5173218911272599</v>
      </c>
      <c r="D15" s="10">
        <v>0.13230127850477</v>
      </c>
      <c r="E15" s="10">
        <v>2.0385024393814302</v>
      </c>
      <c r="F15" s="10">
        <v>2.9961413428730901</v>
      </c>
      <c r="G15" s="10">
        <v>22.775041930131501</v>
      </c>
      <c r="H15" s="10">
        <v>0.33681579094958403</v>
      </c>
      <c r="I15" s="10">
        <v>21</v>
      </c>
      <c r="J15" s="5">
        <f t="shared" si="1"/>
        <v>0.62054800174356195</v>
      </c>
      <c r="K15" s="5">
        <f t="shared" si="16"/>
        <v>1.7797428874119976</v>
      </c>
      <c r="L15" s="5">
        <f t="shared" si="17"/>
        <v>3.3683457718755161</v>
      </c>
      <c r="M15" s="5">
        <f t="shared" si="2"/>
        <v>2.574044329643757</v>
      </c>
      <c r="N15" s="5">
        <f t="shared" si="3"/>
        <v>2.0952248778979272</v>
      </c>
      <c r="O15" s="5">
        <f t="shared" si="4"/>
        <v>3.0528637813895871</v>
      </c>
      <c r="P15" s="32">
        <f t="shared" si="5"/>
        <v>5.5555555555555552E-2</v>
      </c>
      <c r="Q15" s="5" cm="1">
        <f t="array" ref="Q15">SUM($M$4:$M$21*$P$4:$P$21)</f>
        <v>2.6652949436038651</v>
      </c>
      <c r="R15" s="5">
        <f t="shared" si="0"/>
        <v>0.38507982246792777</v>
      </c>
      <c r="S15" s="5">
        <f t="shared" si="6"/>
        <v>0.39340649701602443</v>
      </c>
      <c r="T15" s="5">
        <f t="shared" si="7"/>
        <v>3.4845625024998349E-2</v>
      </c>
      <c r="U15" s="24">
        <f t="shared" si="8"/>
        <v>0.59013306697557033</v>
      </c>
      <c r="V15" s="24">
        <f t="shared" si="9"/>
        <v>0.34825703673799296</v>
      </c>
      <c r="W15" s="5">
        <f t="shared" si="10"/>
        <v>0.59013306697557033</v>
      </c>
      <c r="X15" s="5">
        <f t="shared" si="11"/>
        <v>1.909924617875135</v>
      </c>
      <c r="Y15" s="5">
        <f t="shared" si="12"/>
        <v>3.420665269332595</v>
      </c>
      <c r="Z15" s="11">
        <f t="shared" si="13"/>
        <v>14.372187905823834</v>
      </c>
      <c r="AA15" s="11">
        <f t="shared" si="14"/>
        <v>6.7525797555348639</v>
      </c>
      <c r="AB15" s="11">
        <f t="shared" si="15"/>
        <v>30.589758681635519</v>
      </c>
    </row>
    <row r="16" spans="1:28" s="12" customFormat="1" x14ac:dyDescent="0.25">
      <c r="A16" s="10" t="s">
        <v>24</v>
      </c>
      <c r="B16" s="10" t="s">
        <v>56</v>
      </c>
      <c r="C16" s="10">
        <v>2.61176707953517</v>
      </c>
      <c r="D16" s="10">
        <v>0.115378698430513</v>
      </c>
      <c r="E16" s="10">
        <v>2.1711171663422499</v>
      </c>
      <c r="F16" s="10">
        <v>3.0524169927280802</v>
      </c>
      <c r="G16" s="10">
        <v>19.162285753693201</v>
      </c>
      <c r="H16" s="10">
        <v>0.31239562482802402</v>
      </c>
      <c r="I16" s="10">
        <v>21</v>
      </c>
      <c r="J16" s="5">
        <f t="shared" si="1"/>
        <v>0.54117406546639302</v>
      </c>
      <c r="K16" s="5">
        <f t="shared" si="16"/>
        <v>1.9678597889440328</v>
      </c>
      <c r="L16" s="5">
        <f t="shared" si="17"/>
        <v>3.3532653965379993</v>
      </c>
      <c r="M16" s="5">
        <f t="shared" si="2"/>
        <v>2.6605625927410159</v>
      </c>
      <c r="N16" s="5">
        <f t="shared" si="3"/>
        <v>2.2199126795480959</v>
      </c>
      <c r="O16" s="5">
        <f t="shared" si="4"/>
        <v>3.1012125059339262</v>
      </c>
      <c r="P16" s="32">
        <f t="shared" si="5"/>
        <v>5.5555555555555552E-2</v>
      </c>
      <c r="Q16" s="5" cm="1">
        <f t="array" ref="Q16">SUM($M$4:$M$21*$P$4:$P$21)</f>
        <v>2.6652949436038651</v>
      </c>
      <c r="R16" s="5">
        <f t="shared" si="0"/>
        <v>0.29286936913342382</v>
      </c>
      <c r="S16" s="5">
        <f t="shared" si="6"/>
        <v>0.29289176427811292</v>
      </c>
      <c r="T16" s="5">
        <f t="shared" si="7"/>
        <v>3.0066375351616614E-2</v>
      </c>
      <c r="U16" s="24">
        <f t="shared" si="8"/>
        <v>0.59013306697557033</v>
      </c>
      <c r="V16" s="24">
        <f t="shared" si="9"/>
        <v>0.34825703673799296</v>
      </c>
      <c r="W16" s="5">
        <f t="shared" si="10"/>
        <v>0.59013306697557033</v>
      </c>
      <c r="X16" s="5">
        <f t="shared" si="11"/>
        <v>1.909924617875135</v>
      </c>
      <c r="Y16" s="5">
        <f t="shared" si="12"/>
        <v>3.420665269332595</v>
      </c>
      <c r="Z16" s="11">
        <f t="shared" si="13"/>
        <v>14.372187905823834</v>
      </c>
      <c r="AA16" s="11">
        <f t="shared" si="14"/>
        <v>6.7525797555348639</v>
      </c>
      <c r="AB16" s="11">
        <f t="shared" si="15"/>
        <v>30.589758681635519</v>
      </c>
    </row>
    <row r="17" spans="1:28" s="12" customFormat="1" x14ac:dyDescent="0.25">
      <c r="A17" s="10" t="s">
        <v>25</v>
      </c>
      <c r="B17" s="10" t="s">
        <v>34</v>
      </c>
      <c r="C17" s="10">
        <v>2.5229646943501902</v>
      </c>
      <c r="D17" s="10">
        <v>0.125982309045474</v>
      </c>
      <c r="E17" s="10">
        <v>2.06261582255883</v>
      </c>
      <c r="F17" s="10">
        <v>2.9833135661415402</v>
      </c>
      <c r="G17" s="10">
        <v>20.957096455115799</v>
      </c>
      <c r="H17" s="10">
        <v>0.32429782367385601</v>
      </c>
      <c r="I17" s="10">
        <v>21</v>
      </c>
      <c r="J17" s="5">
        <f t="shared" si="1"/>
        <v>0.59090940780583712</v>
      </c>
      <c r="K17" s="5">
        <f t="shared" si="16"/>
        <v>1.8191851915785184</v>
      </c>
      <c r="L17" s="5">
        <f t="shared" si="17"/>
        <v>3.3319132755614618</v>
      </c>
      <c r="M17" s="5">
        <f t="shared" si="2"/>
        <v>2.5755492335699901</v>
      </c>
      <c r="N17" s="5">
        <f t="shared" si="3"/>
        <v>2.1152003617786299</v>
      </c>
      <c r="O17" s="5">
        <f t="shared" si="4"/>
        <v>3.0358981053613401</v>
      </c>
      <c r="P17" s="32">
        <f t="shared" si="5"/>
        <v>5.5555555555555552E-2</v>
      </c>
      <c r="Q17" s="5" cm="1">
        <f t="array" ref="Q17">SUM($M$4:$M$21*$P$4:$P$21)</f>
        <v>2.6652949436038651</v>
      </c>
      <c r="R17" s="5">
        <f t="shared" si="0"/>
        <v>0.34917392823344512</v>
      </c>
      <c r="S17" s="5">
        <f t="shared" si="6"/>
        <v>0.35722822070292948</v>
      </c>
      <c r="T17" s="5">
        <f t="shared" si="7"/>
        <v>3.3204762259914415E-2</v>
      </c>
      <c r="U17" s="24">
        <f t="shared" si="8"/>
        <v>0.59013306697557033</v>
      </c>
      <c r="V17" s="24">
        <f t="shared" si="9"/>
        <v>0.34825703673799296</v>
      </c>
      <c r="W17" s="5">
        <f t="shared" si="10"/>
        <v>0.59013306697557033</v>
      </c>
      <c r="X17" s="5">
        <f t="shared" si="11"/>
        <v>1.909924617875135</v>
      </c>
      <c r="Y17" s="5">
        <f t="shared" si="12"/>
        <v>3.420665269332595</v>
      </c>
      <c r="Z17" s="11">
        <f t="shared" si="13"/>
        <v>14.372187905823834</v>
      </c>
      <c r="AA17" s="11">
        <f t="shared" si="14"/>
        <v>6.7525797555348639</v>
      </c>
      <c r="AB17" s="11">
        <f t="shared" si="15"/>
        <v>30.589758681635519</v>
      </c>
    </row>
    <row r="18" spans="1:28" s="12" customFormat="1" x14ac:dyDescent="0.25">
      <c r="A18" s="10" t="s">
        <v>27</v>
      </c>
      <c r="B18" s="10" t="s">
        <v>36</v>
      </c>
      <c r="C18" s="10">
        <v>2.6980158644976799</v>
      </c>
      <c r="D18" s="10">
        <v>0.119091146571229</v>
      </c>
      <c r="E18" s="10">
        <v>2.2357764970899701</v>
      </c>
      <c r="F18" s="10">
        <v>3.1602552319054</v>
      </c>
      <c r="G18" s="10">
        <v>21.562139219282699</v>
      </c>
      <c r="H18" s="10">
        <v>0.32841148843983597</v>
      </c>
      <c r="I18" s="10">
        <v>21</v>
      </c>
      <c r="J18" s="5">
        <f t="shared" si="1"/>
        <v>0.55858699073313456</v>
      </c>
      <c r="K18" s="5">
        <f t="shared" si="16"/>
        <v>2.036951569228902</v>
      </c>
      <c r="L18" s="5">
        <f t="shared" si="17"/>
        <v>3.4669342655057265</v>
      </c>
      <c r="M18" s="5">
        <f t="shared" si="2"/>
        <v>2.7519429173673142</v>
      </c>
      <c r="N18" s="5">
        <f t="shared" si="3"/>
        <v>2.2897035499596043</v>
      </c>
      <c r="O18" s="5">
        <f t="shared" si="4"/>
        <v>3.2141822847750343</v>
      </c>
      <c r="P18" s="32">
        <f t="shared" si="5"/>
        <v>5.5555555555555552E-2</v>
      </c>
      <c r="Q18" s="5" cm="1">
        <f t="array" ref="Q18">SUM($M$4:$M$21*$P$4:$P$21)</f>
        <v>2.6652949436038651</v>
      </c>
      <c r="R18" s="5">
        <f t="shared" si="0"/>
        <v>0.31201942621629897</v>
      </c>
      <c r="S18" s="5">
        <f t="shared" si="6"/>
        <v>0.31952729757361031</v>
      </c>
      <c r="T18" s="5">
        <f t="shared" si="7"/>
        <v>3.1403747592946819E-2</v>
      </c>
      <c r="U18" s="24">
        <f t="shared" si="8"/>
        <v>0.59013306697557033</v>
      </c>
      <c r="V18" s="24">
        <f t="shared" si="9"/>
        <v>0.34825703673799296</v>
      </c>
      <c r="W18" s="5">
        <f t="shared" si="10"/>
        <v>0.59013306697557033</v>
      </c>
      <c r="X18" s="5">
        <f t="shared" si="11"/>
        <v>1.909924617875135</v>
      </c>
      <c r="Y18" s="5">
        <f t="shared" si="12"/>
        <v>3.420665269332595</v>
      </c>
      <c r="Z18" s="11">
        <f t="shared" si="13"/>
        <v>14.372187905823834</v>
      </c>
      <c r="AA18" s="11">
        <f t="shared" si="14"/>
        <v>6.7525797555348639</v>
      </c>
      <c r="AB18" s="11">
        <f t="shared" si="15"/>
        <v>30.589758681635519</v>
      </c>
    </row>
    <row r="19" spans="1:28" s="12" customFormat="1" x14ac:dyDescent="0.25">
      <c r="A19" s="10" t="s">
        <v>29</v>
      </c>
      <c r="B19" s="10" t="s">
        <v>35</v>
      </c>
      <c r="C19" s="10">
        <v>2.5078022212550701</v>
      </c>
      <c r="D19" s="10">
        <v>0.13786471965177799</v>
      </c>
      <c r="E19" s="10">
        <v>2.01500111097705</v>
      </c>
      <c r="F19" s="10">
        <v>3.0006033315330898</v>
      </c>
      <c r="G19" s="10">
        <v>24.063348313053101</v>
      </c>
      <c r="H19" s="10">
        <v>0.34597823997078098</v>
      </c>
      <c r="I19" s="10">
        <v>21</v>
      </c>
      <c r="J19" s="5">
        <f t="shared" si="1"/>
        <v>0.64664285377833841</v>
      </c>
      <c r="K19" s="5">
        <f t="shared" si="16"/>
        <v>1.7399498396854365</v>
      </c>
      <c r="L19" s="5">
        <f t="shared" si="17"/>
        <v>3.3953555453579827</v>
      </c>
      <c r="M19" s="5">
        <f t="shared" si="2"/>
        <v>2.5676526925217096</v>
      </c>
      <c r="N19" s="5">
        <f t="shared" si="3"/>
        <v>2.0748515822436895</v>
      </c>
      <c r="O19" s="5">
        <f t="shared" si="4"/>
        <v>3.0604538027997292</v>
      </c>
      <c r="P19" s="32">
        <f t="shared" si="5"/>
        <v>5.5555555555555552E-2</v>
      </c>
      <c r="Q19" s="5" cm="1">
        <f t="array" ref="Q19">SUM($M$4:$M$21*$P$4:$P$21)</f>
        <v>2.6652949436038651</v>
      </c>
      <c r="R19" s="5">
        <f t="shared" si="0"/>
        <v>0.41814698034259357</v>
      </c>
      <c r="S19" s="5">
        <f t="shared" si="6"/>
        <v>0.42768098953898426</v>
      </c>
      <c r="T19" s="5">
        <f t="shared" si="7"/>
        <v>3.6331846280263098E-2</v>
      </c>
      <c r="U19" s="24">
        <f t="shared" si="8"/>
        <v>0.59013306697557033</v>
      </c>
      <c r="V19" s="24">
        <f t="shared" si="9"/>
        <v>0.34825703673799296</v>
      </c>
      <c r="W19" s="5">
        <f t="shared" si="10"/>
        <v>0.59013306697557033</v>
      </c>
      <c r="X19" s="5">
        <f t="shared" si="11"/>
        <v>1.909924617875135</v>
      </c>
      <c r="Y19" s="5">
        <f t="shared" si="12"/>
        <v>3.420665269332595</v>
      </c>
      <c r="Z19" s="11">
        <f t="shared" si="13"/>
        <v>14.372187905823834</v>
      </c>
      <c r="AA19" s="11">
        <f t="shared" si="14"/>
        <v>6.7525797555348639</v>
      </c>
      <c r="AB19" s="11">
        <f t="shared" si="15"/>
        <v>30.589758681635519</v>
      </c>
    </row>
    <row r="20" spans="1:28" s="12" customFormat="1" x14ac:dyDescent="0.25">
      <c r="A20" s="10" t="s">
        <v>48</v>
      </c>
      <c r="B20" s="10" t="s">
        <v>57</v>
      </c>
      <c r="C20" s="10">
        <v>2.5766668443837801</v>
      </c>
      <c r="D20" s="10">
        <v>0.12112164988522101</v>
      </c>
      <c r="E20" s="10">
        <v>2.1210759753328001</v>
      </c>
      <c r="F20" s="10">
        <v>3.0322577134347499</v>
      </c>
      <c r="G20" s="10">
        <v>20.6613440909574</v>
      </c>
      <c r="H20" s="10">
        <v>0.32230580339909198</v>
      </c>
      <c r="I20" s="10">
        <v>21</v>
      </c>
      <c r="J20" s="5">
        <f t="shared" si="1"/>
        <v>0.5681108954774563</v>
      </c>
      <c r="K20" s="5">
        <f t="shared" si="16"/>
        <v>1.9014254136250033</v>
      </c>
      <c r="L20" s="5">
        <f t="shared" si="17"/>
        <v>3.3557893060472912</v>
      </c>
      <c r="M20" s="5">
        <f t="shared" si="2"/>
        <v>2.6286073598361472</v>
      </c>
      <c r="N20" s="5">
        <f t="shared" si="3"/>
        <v>2.1730164907851672</v>
      </c>
      <c r="O20" s="5">
        <f t="shared" si="4"/>
        <v>3.084198228887117</v>
      </c>
      <c r="P20" s="32">
        <f t="shared" si="5"/>
        <v>5.5555555555555552E-2</v>
      </c>
      <c r="Q20" s="5" cm="1">
        <f t="array" ref="Q20">SUM($M$4:$M$21*$P$4:$P$21)</f>
        <v>2.6652949436038651</v>
      </c>
      <c r="R20" s="5">
        <f t="shared" si="0"/>
        <v>0.32274998956019729</v>
      </c>
      <c r="S20" s="5">
        <f t="shared" si="6"/>
        <v>0.3240959683629106</v>
      </c>
      <c r="T20" s="5">
        <f t="shared" si="7"/>
        <v>3.1627459566821968E-2</v>
      </c>
      <c r="U20" s="24">
        <f t="shared" si="8"/>
        <v>0.59013306697557033</v>
      </c>
      <c r="V20" s="24">
        <f t="shared" si="9"/>
        <v>0.34825703673799296</v>
      </c>
      <c r="W20" s="5">
        <f t="shared" si="10"/>
        <v>0.59013306697557033</v>
      </c>
      <c r="X20" s="5">
        <f t="shared" si="11"/>
        <v>1.909924617875135</v>
      </c>
      <c r="Y20" s="5">
        <f t="shared" si="12"/>
        <v>3.420665269332595</v>
      </c>
      <c r="Z20" s="11">
        <f t="shared" si="13"/>
        <v>14.372187905823834</v>
      </c>
      <c r="AA20" s="11">
        <f t="shared" si="14"/>
        <v>6.7525797555348639</v>
      </c>
      <c r="AB20" s="11">
        <f t="shared" si="15"/>
        <v>30.589758681635519</v>
      </c>
    </row>
    <row r="21" spans="1:28" s="20" customFormat="1" x14ac:dyDescent="0.25">
      <c r="A21" s="17" t="s">
        <v>32</v>
      </c>
      <c r="B21" s="17" t="s">
        <v>58</v>
      </c>
      <c r="C21" s="17">
        <v>2.50712106108733</v>
      </c>
      <c r="D21" s="17">
        <v>0.132446425123429</v>
      </c>
      <c r="E21" s="17">
        <v>2.03053396394077</v>
      </c>
      <c r="F21" s="17">
        <v>2.98370815823389</v>
      </c>
      <c r="G21" s="17">
        <v>22.507717058859299</v>
      </c>
      <c r="H21" s="17">
        <v>0.33494518727386302</v>
      </c>
      <c r="I21" s="17">
        <v>21</v>
      </c>
      <c r="J21" s="18">
        <f t="shared" si="1"/>
        <v>0.62122879973120526</v>
      </c>
      <c r="K21" s="18">
        <f t="shared" si="16"/>
        <v>1.7680423366703488</v>
      </c>
      <c r="L21" s="18">
        <f t="shared" si="17"/>
        <v>3.3583880639822343</v>
      </c>
      <c r="M21" s="18">
        <f t="shared" si="2"/>
        <v>2.5632152003262916</v>
      </c>
      <c r="N21" s="18">
        <f t="shared" si="3"/>
        <v>2.0866281031797316</v>
      </c>
      <c r="O21" s="18">
        <f t="shared" si="4"/>
        <v>3.0398022974728516</v>
      </c>
      <c r="P21" s="33">
        <f t="shared" si="5"/>
        <v>5.5555555555555552E-2</v>
      </c>
      <c r="Q21" s="18" cm="1">
        <f t="array" ref="Q21">SUM($M$4:$M$21*$P$4:$P$21)</f>
        <v>2.6652949436038651</v>
      </c>
      <c r="R21" s="18">
        <f t="shared" si="0"/>
        <v>0.38592522161547393</v>
      </c>
      <c r="S21" s="18">
        <f t="shared" si="6"/>
        <v>0.39634549560308924</v>
      </c>
      <c r="T21" s="18">
        <f t="shared" si="7"/>
        <v>3.4975542407176492E-2</v>
      </c>
      <c r="U21" s="25">
        <f t="shared" si="8"/>
        <v>0.59013306697557033</v>
      </c>
      <c r="V21" s="25">
        <f t="shared" si="9"/>
        <v>0.34825703673799296</v>
      </c>
      <c r="W21" s="18">
        <f t="shared" si="10"/>
        <v>0.59013306697557033</v>
      </c>
      <c r="X21" s="18">
        <f t="shared" si="11"/>
        <v>1.909924617875135</v>
      </c>
      <c r="Y21" s="18">
        <f t="shared" si="12"/>
        <v>3.420665269332595</v>
      </c>
      <c r="Z21" s="19">
        <f t="shared" si="13"/>
        <v>14.372187905823834</v>
      </c>
      <c r="AA21" s="19">
        <f t="shared" si="14"/>
        <v>6.7525797555348639</v>
      </c>
      <c r="AB21" s="19">
        <f t="shared" si="15"/>
        <v>30.589758681635519</v>
      </c>
    </row>
    <row r="22" spans="1:28" x14ac:dyDescent="0.25">
      <c r="K22" s="1">
        <f>EXP(K4)</f>
        <v>6.3562203529293955</v>
      </c>
      <c r="L22" s="1">
        <f>EXP(L4)</f>
        <v>42.777830444338129</v>
      </c>
    </row>
    <row r="24" spans="1:28" x14ac:dyDescent="0.25">
      <c r="N24" s="1">
        <f>EXP(N4)</f>
        <v>9.0394641513450757</v>
      </c>
      <c r="O24" s="1">
        <f>EXP(O4)</f>
        <v>30.079804728691254</v>
      </c>
    </row>
    <row r="26" spans="1:28" x14ac:dyDescent="0.25">
      <c r="A26" s="6" t="s">
        <v>69</v>
      </c>
      <c r="E26" s="1">
        <f>EXP(C4)</f>
        <v>15.048030732288375</v>
      </c>
    </row>
    <row r="27" spans="1:28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8" x14ac:dyDescent="0.25">
      <c r="A28" s="8" t="s">
        <v>61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28" ht="15.75" x14ac:dyDescent="0.25">
      <c r="A29" s="8" t="s">
        <v>62</v>
      </c>
      <c r="B29" s="8" t="s">
        <v>63</v>
      </c>
      <c r="C29" s="8" t="s">
        <v>64</v>
      </c>
      <c r="D29" s="8" t="s">
        <v>65</v>
      </c>
      <c r="E29" s="8" t="s">
        <v>66</v>
      </c>
      <c r="F29" s="8" t="s">
        <v>67</v>
      </c>
      <c r="G29" s="8" t="s">
        <v>1</v>
      </c>
      <c r="H29" s="35" t="s">
        <v>37</v>
      </c>
      <c r="I29" s="35"/>
      <c r="J29" s="35"/>
      <c r="K29" s="35"/>
      <c r="L29" s="35"/>
    </row>
    <row r="30" spans="1:28" x14ac:dyDescent="0.25">
      <c r="A30" s="8" t="s">
        <v>11</v>
      </c>
      <c r="B30" s="8" t="s">
        <v>68</v>
      </c>
      <c r="C30" s="7">
        <v>2.3342051499999998</v>
      </c>
      <c r="D30" s="7">
        <v>0.21099999999999999</v>
      </c>
      <c r="E30" s="7">
        <v>11.069000000000001</v>
      </c>
      <c r="F30" s="7">
        <v>0</v>
      </c>
      <c r="G30" s="5">
        <f>C30+(C31*B28)</f>
        <v>2.711247131989555</v>
      </c>
      <c r="H30" s="5">
        <f>G30+((H4*H4)/2)</f>
        <v>2.8027269500498839</v>
      </c>
      <c r="I30" s="5">
        <f>EXP(G30)*EXP(0.5*H4*H4)</f>
        <v>16.489551700352312</v>
      </c>
      <c r="J30" s="21">
        <f>EXP(H30)</f>
        <v>16.489551700352308</v>
      </c>
      <c r="K30" s="5">
        <f>LN(I30)</f>
        <v>2.8027269500498839</v>
      </c>
      <c r="L30" s="5">
        <f>EXP(C30+C31*B28+0.5*H4*H4)</f>
        <v>16.489551700352308</v>
      </c>
    </row>
    <row r="31" spans="1:28" x14ac:dyDescent="0.25">
      <c r="A31" s="8" t="s">
        <v>11</v>
      </c>
      <c r="B31" s="8" t="s">
        <v>10</v>
      </c>
      <c r="C31" s="7">
        <v>0.4306816</v>
      </c>
      <c r="D31" s="7">
        <v>7.2999999999999995E-2</v>
      </c>
      <c r="E31" s="7">
        <v>5.907</v>
      </c>
      <c r="F31" s="7">
        <v>0</v>
      </c>
      <c r="G31" s="7"/>
      <c r="H31" s="7"/>
      <c r="I31" s="7"/>
      <c r="J31" s="7"/>
      <c r="K31" s="7"/>
      <c r="L31" s="7"/>
    </row>
    <row r="32" spans="1:28" x14ac:dyDescent="0.25">
      <c r="A32" s="7"/>
      <c r="B32" s="7"/>
      <c r="C32" s="7"/>
      <c r="D32" s="7"/>
      <c r="E32" s="7"/>
      <c r="F32" s="7"/>
      <c r="G32" s="14">
        <f>D4*SQRT(I4+1)</f>
        <v>0.74359831183795899</v>
      </c>
      <c r="H32" s="7"/>
      <c r="I32" s="7"/>
      <c r="J32" s="22"/>
      <c r="K32" s="7"/>
      <c r="L32" s="7"/>
      <c r="M32" s="7"/>
      <c r="O32" s="7"/>
      <c r="P32" s="7"/>
      <c r="Q32" s="7"/>
    </row>
    <row r="33" spans="5:17" x14ac:dyDescent="0.25">
      <c r="Q33" s="7"/>
    </row>
    <row r="34" spans="5:17" x14ac:dyDescent="0.25">
      <c r="Q34" s="7"/>
    </row>
    <row r="35" spans="5:17" x14ac:dyDescent="0.25">
      <c r="E35" s="1">
        <f>EXP(C4)</f>
        <v>15.048030732288375</v>
      </c>
      <c r="G35" s="1">
        <f t="shared" ref="G35:H35" si="18">EXP(E4)</f>
        <v>8.2492317870786565</v>
      </c>
      <c r="H35" s="1">
        <f t="shared" si="18"/>
        <v>27.450220185907387</v>
      </c>
      <c r="K35" s="15"/>
      <c r="L35" s="15"/>
      <c r="Q35" s="7"/>
    </row>
    <row r="36" spans="5:17" x14ac:dyDescent="0.25">
      <c r="E36" s="1">
        <f>EXP(M4)</f>
        <v>16.489551738129958</v>
      </c>
      <c r="Q36" s="7"/>
    </row>
    <row r="37" spans="5:17" x14ac:dyDescent="0.25">
      <c r="Q37" s="7"/>
    </row>
    <row r="38" spans="5:17" x14ac:dyDescent="0.25">
      <c r="Q38" s="7"/>
    </row>
    <row r="39" spans="5:17" x14ac:dyDescent="0.25">
      <c r="Q39" s="7"/>
    </row>
  </sheetData>
  <mergeCells count="6">
    <mergeCell ref="C2:I2"/>
    <mergeCell ref="H29:L29"/>
    <mergeCell ref="AA2:AB2"/>
    <mergeCell ref="K2:L2"/>
    <mergeCell ref="R2:V2"/>
    <mergeCell ref="X2:Y2"/>
  </mergeCells>
  <phoneticPr fontId="2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709D-3D2F-43DF-9AA2-020CF289C4ED}">
  <dimension ref="A1:AB28"/>
  <sheetViews>
    <sheetView tabSelected="1" topLeftCell="M1" workbookViewId="0">
      <selection activeCell="V25" sqref="V25"/>
    </sheetView>
  </sheetViews>
  <sheetFormatPr defaultRowHeight="15" x14ac:dyDescent="0.25"/>
  <cols>
    <col min="1" max="1" width="22.28515625" style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9" width="9.140625" style="1"/>
    <col min="20" max="20" width="12" style="1" bestFit="1" customWidth="1"/>
    <col min="21" max="21" width="9.140625" style="1"/>
    <col min="22" max="22" width="27.85546875" style="1" bestFit="1" customWidth="1"/>
    <col min="23" max="23" width="26.7109375" style="1" bestFit="1" customWidth="1"/>
    <col min="24" max="24" width="22.28515625" style="1" customWidth="1"/>
    <col min="25" max="25" width="35.140625" style="1" customWidth="1"/>
    <col min="26" max="26" width="5.5703125" style="1" bestFit="1" customWidth="1"/>
    <col min="27" max="27" width="19.140625" style="1" customWidth="1"/>
    <col min="28" max="28" width="24.7109375" style="1" customWidth="1"/>
  </cols>
  <sheetData>
    <row r="1" spans="1:28" ht="30" x14ac:dyDescent="0.25">
      <c r="A1" s="27" t="s">
        <v>74</v>
      </c>
      <c r="B1" s="2" t="s">
        <v>60</v>
      </c>
    </row>
    <row r="2" spans="1:28" x14ac:dyDescent="0.25">
      <c r="C2" s="34" t="s">
        <v>59</v>
      </c>
      <c r="D2" s="34"/>
      <c r="E2" s="34"/>
      <c r="F2" s="34"/>
      <c r="G2" s="34"/>
      <c r="H2" s="34"/>
      <c r="I2" s="34"/>
      <c r="K2" s="34" t="s">
        <v>49</v>
      </c>
      <c r="L2" s="34"/>
      <c r="P2" s="26"/>
      <c r="R2" s="34" t="s">
        <v>46</v>
      </c>
      <c r="S2" s="34"/>
      <c r="T2" s="34"/>
      <c r="U2" s="34"/>
      <c r="V2" s="34"/>
      <c r="X2" s="34" t="s">
        <v>50</v>
      </c>
      <c r="Y2" s="34"/>
      <c r="AA2" s="34" t="s">
        <v>50</v>
      </c>
      <c r="AB2" s="34"/>
    </row>
    <row r="3" spans="1:28" s="4" customFormat="1" ht="15.75" x14ac:dyDescent="0.25">
      <c r="A3" s="3" t="s">
        <v>47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43</v>
      </c>
      <c r="L3" s="3" t="s">
        <v>44</v>
      </c>
      <c r="M3" s="3" t="s">
        <v>37</v>
      </c>
      <c r="N3" s="3" t="s">
        <v>71</v>
      </c>
      <c r="O3" s="3" t="s">
        <v>71</v>
      </c>
      <c r="P3" s="3" t="s">
        <v>70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45</v>
      </c>
      <c r="X3" s="3" t="s">
        <v>43</v>
      </c>
      <c r="Y3" s="3" t="s">
        <v>44</v>
      </c>
      <c r="Z3" s="3" t="s">
        <v>1</v>
      </c>
      <c r="AA3" s="3" t="s">
        <v>43</v>
      </c>
      <c r="AB3" s="3" t="s">
        <v>44</v>
      </c>
    </row>
    <row r="4" spans="1:28" s="16" customFormat="1" x14ac:dyDescent="0.25">
      <c r="A4" s="13" t="s">
        <v>12</v>
      </c>
      <c r="B4" s="13" t="s">
        <v>19</v>
      </c>
      <c r="C4" s="13">
        <v>2.70182322411776</v>
      </c>
      <c r="D4" s="13">
        <v>0.106226080473006</v>
      </c>
      <c r="E4" s="13">
        <v>2.2894357532537999</v>
      </c>
      <c r="F4" s="13">
        <v>3.1142106949817299</v>
      </c>
      <c r="G4" s="13">
        <v>16.085665331656699</v>
      </c>
      <c r="H4" s="13">
        <v>0.29300045269297698</v>
      </c>
      <c r="I4" s="13">
        <v>21</v>
      </c>
      <c r="J4" s="14">
        <f t="shared" ref="J4:J17" si="0">D4*SQRT(I4+1)</f>
        <v>0.49824448195485921</v>
      </c>
      <c r="K4" s="14">
        <f t="shared" ref="K4:K17" si="1">M4-(1.28*J4)</f>
        <v>2.1069949198546851</v>
      </c>
      <c r="L4" s="14">
        <f t="shared" ref="L4:L17" si="2">M4+(1.28*J4)</f>
        <v>3.3825007936591245</v>
      </c>
      <c r="M4" s="14">
        <f t="shared" ref="M4:M17" si="3">C4+((H4*H4)/2)</f>
        <v>2.7447478567569048</v>
      </c>
      <c r="N4" s="14">
        <v>0.132690975515799</v>
      </c>
      <c r="O4" s="14">
        <f>IF(N4&lt;0.14, N4,0)</f>
        <v>0.132690975515799</v>
      </c>
      <c r="P4" s="15">
        <f>1/14</f>
        <v>7.1428571428571425E-2</v>
      </c>
      <c r="Q4" s="14" cm="1">
        <f t="array" ref="Q4">SUM($M$4:$M$17*$P$4:$P$17)</f>
        <v>2.6714610224380491</v>
      </c>
      <c r="R4" s="14">
        <f t="shared" ref="R4:R17" si="4">J4*J4</f>
        <v>0.24824756379846602</v>
      </c>
      <c r="S4" s="14">
        <f>R4+((M4-Q4)^2)</f>
        <v>0.25361852388294542</v>
      </c>
      <c r="T4" s="14">
        <f>SQRT(S4)*P4</f>
        <v>3.5971823148504341E-2</v>
      </c>
      <c r="U4" s="23">
        <f>SUM($T$4:$T$17)</f>
        <v>0.56793261027054931</v>
      </c>
      <c r="V4" s="23">
        <f>U4^2</f>
        <v>0.32254744980871963</v>
      </c>
      <c r="W4" s="14">
        <f>SQRT(V4)</f>
        <v>0.56793261027054931</v>
      </c>
      <c r="X4" s="14">
        <f>Q4-1.28*W4</f>
        <v>1.9445072812917459</v>
      </c>
      <c r="Y4" s="14">
        <f t="shared" ref="Y4:Y17" si="5">Q4+1.28*W4</f>
        <v>3.398414763584352</v>
      </c>
      <c r="Z4" s="15">
        <f t="shared" ref="Z4:Z8" si="6">EXP(Q4)</f>
        <v>14.461081730988765</v>
      </c>
      <c r="AA4" s="15">
        <f>EXP(X4)</f>
        <v>6.9901868105679776</v>
      </c>
      <c r="AB4" s="15">
        <f t="shared" ref="AA4:AB17" si="7">EXP(Y4)</f>
        <v>29.916637494462755</v>
      </c>
    </row>
    <row r="5" spans="1:28" s="12" customFormat="1" x14ac:dyDescent="0.25">
      <c r="A5" s="10" t="s">
        <v>13</v>
      </c>
      <c r="B5" s="10" t="s">
        <v>51</v>
      </c>
      <c r="C5" s="10">
        <v>2.7487634979664199</v>
      </c>
      <c r="D5" s="10">
        <v>0.111536226797165</v>
      </c>
      <c r="E5" s="10">
        <v>2.3167002163063102</v>
      </c>
      <c r="F5" s="10">
        <v>3.1808267796265399</v>
      </c>
      <c r="G5" s="10">
        <v>18.309151221931302</v>
      </c>
      <c r="H5" s="10">
        <v>0.30689227086117599</v>
      </c>
      <c r="I5" s="10">
        <v>21</v>
      </c>
      <c r="J5" s="5">
        <f t="shared" si="0"/>
        <v>0.52315127596066302</v>
      </c>
      <c r="K5" s="5">
        <f t="shared" si="1"/>
        <v>2.1262212976939363</v>
      </c>
      <c r="L5" s="5">
        <f t="shared" si="2"/>
        <v>3.4654885641532331</v>
      </c>
      <c r="M5" s="5">
        <f t="shared" si="3"/>
        <v>2.7958549309235847</v>
      </c>
      <c r="N5" s="5">
        <v>0.121898023168894</v>
      </c>
      <c r="O5" s="5">
        <f t="shared" ref="O5:O17" si="8">IF(N5&lt;0.14, N5,0)</f>
        <v>0.121898023168894</v>
      </c>
      <c r="P5" s="11">
        <f t="shared" ref="P5:P17" si="9">1/14</f>
        <v>7.1428571428571425E-2</v>
      </c>
      <c r="Q5" s="5" cm="1">
        <f t="array" ref="Q5">SUM($M$4:$M$17*$P$4:$P$17)</f>
        <v>2.6714610224380491</v>
      </c>
      <c r="R5" s="5">
        <f t="shared" si="4"/>
        <v>0.27368725753926981</v>
      </c>
      <c r="S5" s="5">
        <f t="shared" ref="S5:S17" si="10">R5+((M5-Q5)^2)</f>
        <v>0.28916110200757761</v>
      </c>
      <c r="T5" s="5">
        <f t="shared" ref="T5:T17" si="11">SQRT(S5)*P5</f>
        <v>3.840978709829853E-2</v>
      </c>
      <c r="U5" s="24">
        <f t="shared" ref="U5:U17" si="12">SUM($T$4:$T$17)</f>
        <v>0.56793261027054931</v>
      </c>
      <c r="V5" s="24">
        <f t="shared" ref="V5:V17" si="13">U5^2</f>
        <v>0.32254744980871963</v>
      </c>
      <c r="W5" s="5">
        <f t="shared" ref="W5:W17" si="14">SQRT(V5)</f>
        <v>0.56793261027054931</v>
      </c>
      <c r="X5" s="5">
        <f t="shared" ref="X4:X17" si="15">Q5-1.28*W5</f>
        <v>1.9445072812917459</v>
      </c>
      <c r="Y5" s="5">
        <f t="shared" si="5"/>
        <v>3.398414763584352</v>
      </c>
      <c r="Z5" s="11">
        <f t="shared" si="6"/>
        <v>14.461081730988765</v>
      </c>
      <c r="AA5" s="11">
        <f t="shared" si="7"/>
        <v>6.9901868105679776</v>
      </c>
      <c r="AB5" s="11">
        <f t="shared" si="7"/>
        <v>29.916637494462755</v>
      </c>
    </row>
    <row r="6" spans="1:28" s="12" customFormat="1" x14ac:dyDescent="0.25">
      <c r="A6" s="10" t="s">
        <v>15</v>
      </c>
      <c r="B6" s="10" t="s">
        <v>53</v>
      </c>
      <c r="C6" s="10">
        <v>2.6494683649057702</v>
      </c>
      <c r="D6" s="10">
        <v>0.111315416116681</v>
      </c>
      <c r="E6" s="10">
        <v>2.2199136024174599</v>
      </c>
      <c r="F6" s="10">
        <v>3.0790231273940698</v>
      </c>
      <c r="G6" s="10">
        <v>18.005195780123401</v>
      </c>
      <c r="H6" s="10">
        <v>0.30495504482257202</v>
      </c>
      <c r="I6" s="10">
        <v>21</v>
      </c>
      <c r="J6" s="5">
        <f t="shared" si="0"/>
        <v>0.52211558206498354</v>
      </c>
      <c r="K6" s="5">
        <f t="shared" si="1"/>
        <v>2.0276592095439598</v>
      </c>
      <c r="L6" s="5">
        <f t="shared" si="2"/>
        <v>3.3642750996303175</v>
      </c>
      <c r="M6" s="5">
        <f t="shared" si="3"/>
        <v>2.6959671545871386</v>
      </c>
      <c r="N6" s="5">
        <v>0.112153281584548</v>
      </c>
      <c r="O6" s="5">
        <f t="shared" si="8"/>
        <v>0.112153281584548</v>
      </c>
      <c r="P6" s="11">
        <f t="shared" si="9"/>
        <v>7.1428571428571425E-2</v>
      </c>
      <c r="Q6" s="5" cm="1">
        <f t="array" ref="Q6">SUM($M$4:$M$17*$P$4:$P$17)</f>
        <v>2.6714610224380491</v>
      </c>
      <c r="R6" s="5">
        <f t="shared" si="4"/>
        <v>0.27260468103505658</v>
      </c>
      <c r="S6" s="5">
        <f t="shared" si="10"/>
        <v>0.27320523154796522</v>
      </c>
      <c r="T6" s="5">
        <f t="shared" si="11"/>
        <v>3.7335027020100831E-2</v>
      </c>
      <c r="U6" s="24">
        <f t="shared" si="12"/>
        <v>0.56793261027054931</v>
      </c>
      <c r="V6" s="24">
        <f t="shared" si="13"/>
        <v>0.32254744980871963</v>
      </c>
      <c r="W6" s="5">
        <f t="shared" si="14"/>
        <v>0.56793261027054931</v>
      </c>
      <c r="X6" s="5">
        <f t="shared" si="15"/>
        <v>1.9445072812917459</v>
      </c>
      <c r="Y6" s="5">
        <f t="shared" si="5"/>
        <v>3.398414763584352</v>
      </c>
      <c r="Z6" s="11">
        <f t="shared" si="6"/>
        <v>14.461081730988765</v>
      </c>
      <c r="AA6" s="11">
        <f t="shared" si="7"/>
        <v>6.9901868105679776</v>
      </c>
      <c r="AB6" s="11">
        <f t="shared" si="7"/>
        <v>29.916637494462755</v>
      </c>
    </row>
    <row r="7" spans="1:28" s="12" customFormat="1" x14ac:dyDescent="0.25">
      <c r="A7" s="10" t="s">
        <v>16</v>
      </c>
      <c r="B7" s="10" t="s">
        <v>54</v>
      </c>
      <c r="C7" s="10">
        <v>2.5383741438290701</v>
      </c>
      <c r="D7" s="10">
        <v>0.122764287341551</v>
      </c>
      <c r="E7" s="10">
        <v>2.0850577150356102</v>
      </c>
      <c r="F7" s="10">
        <v>2.9916905726225398</v>
      </c>
      <c r="G7" s="10">
        <v>20.293190500077099</v>
      </c>
      <c r="H7" s="10">
        <v>0.31984321684954797</v>
      </c>
      <c r="I7" s="10">
        <v>21</v>
      </c>
      <c r="J7" s="5">
        <f t="shared" si="0"/>
        <v>0.57581554809030278</v>
      </c>
      <c r="K7" s="5">
        <f t="shared" si="1"/>
        <v>1.852480083955816</v>
      </c>
      <c r="L7" s="5">
        <f t="shared" si="2"/>
        <v>3.3265678870669908</v>
      </c>
      <c r="M7" s="5">
        <f t="shared" si="3"/>
        <v>2.5895239855114034</v>
      </c>
      <c r="N7" s="5">
        <v>0.121796796259368</v>
      </c>
      <c r="O7" s="5">
        <f t="shared" si="8"/>
        <v>0.121796796259368</v>
      </c>
      <c r="P7" s="11">
        <f t="shared" si="9"/>
        <v>7.1428571428571425E-2</v>
      </c>
      <c r="Q7" s="5" cm="1">
        <f t="array" ref="Q7">SUM($M$4:$M$17*$P$4:$P$17)</f>
        <v>2.6714610224380491</v>
      </c>
      <c r="R7" s="5">
        <f t="shared" si="4"/>
        <v>0.3315635454225358</v>
      </c>
      <c r="S7" s="5">
        <f t="shared" si="10"/>
        <v>0.33827722344285427</v>
      </c>
      <c r="T7" s="5">
        <f t="shared" si="11"/>
        <v>4.1544003192266539E-2</v>
      </c>
      <c r="U7" s="24">
        <f t="shared" si="12"/>
        <v>0.56793261027054931</v>
      </c>
      <c r="V7" s="24">
        <f t="shared" si="13"/>
        <v>0.32254744980871963</v>
      </c>
      <c r="W7" s="5">
        <f t="shared" si="14"/>
        <v>0.56793261027054931</v>
      </c>
      <c r="X7" s="5">
        <f t="shared" si="15"/>
        <v>1.9445072812917459</v>
      </c>
      <c r="Y7" s="5">
        <f t="shared" si="5"/>
        <v>3.398414763584352</v>
      </c>
      <c r="Z7" s="11">
        <f t="shared" si="6"/>
        <v>14.461081730988765</v>
      </c>
      <c r="AA7" s="11">
        <f t="shared" si="7"/>
        <v>6.9901868105679776</v>
      </c>
      <c r="AB7" s="11">
        <f t="shared" si="7"/>
        <v>29.916637494462755</v>
      </c>
    </row>
    <row r="8" spans="1:28" s="12" customFormat="1" x14ac:dyDescent="0.25">
      <c r="A8" s="10" t="s">
        <v>17</v>
      </c>
      <c r="B8" s="10" t="s">
        <v>28</v>
      </c>
      <c r="C8" s="10">
        <v>2.7129899220685201</v>
      </c>
      <c r="D8" s="10">
        <v>0.11557153516632999</v>
      </c>
      <c r="E8" s="10">
        <v>2.2642639541580998</v>
      </c>
      <c r="F8" s="10">
        <v>3.1617158899789399</v>
      </c>
      <c r="G8" s="10">
        <v>20.140031656140799</v>
      </c>
      <c r="H8" s="10">
        <v>0.31882428462877799</v>
      </c>
      <c r="I8" s="10">
        <v>21</v>
      </c>
      <c r="J8" s="5">
        <f t="shared" si="0"/>
        <v>0.54207854993114191</v>
      </c>
      <c r="K8" s="5">
        <f t="shared" si="1"/>
        <v>2.0699538403911846</v>
      </c>
      <c r="L8" s="5">
        <f t="shared" si="2"/>
        <v>3.457674928214908</v>
      </c>
      <c r="M8" s="5">
        <f t="shared" si="3"/>
        <v>2.7638143843030463</v>
      </c>
      <c r="N8" s="5">
        <v>0.122631593621034</v>
      </c>
      <c r="O8" s="5">
        <f t="shared" si="8"/>
        <v>0.122631593621034</v>
      </c>
      <c r="P8" s="11">
        <f t="shared" si="9"/>
        <v>7.1428571428571425E-2</v>
      </c>
      <c r="Q8" s="5" cm="1">
        <f t="array" ref="Q8">SUM($M$4:$M$17*$P$4:$P$17)</f>
        <v>2.6714610224380491</v>
      </c>
      <c r="R8" s="5">
        <f t="shared" si="4"/>
        <v>0.2938491542954495</v>
      </c>
      <c r="S8" s="5">
        <f t="shared" si="10"/>
        <v>0.30237829774321662</v>
      </c>
      <c r="T8" s="5">
        <f t="shared" si="11"/>
        <v>3.9277810746746411E-2</v>
      </c>
      <c r="U8" s="24">
        <f t="shared" si="12"/>
        <v>0.56793261027054931</v>
      </c>
      <c r="V8" s="24">
        <f t="shared" si="13"/>
        <v>0.32254744980871963</v>
      </c>
      <c r="W8" s="5">
        <f t="shared" si="14"/>
        <v>0.56793261027054931</v>
      </c>
      <c r="X8" s="5">
        <f t="shared" si="15"/>
        <v>1.9445072812917459</v>
      </c>
      <c r="Y8" s="5">
        <f t="shared" si="5"/>
        <v>3.398414763584352</v>
      </c>
      <c r="Z8" s="11">
        <f t="shared" si="6"/>
        <v>14.461081730988765</v>
      </c>
      <c r="AA8" s="11">
        <f t="shared" si="7"/>
        <v>6.9901868105679776</v>
      </c>
      <c r="AB8" s="11">
        <f t="shared" si="7"/>
        <v>29.916637494462755</v>
      </c>
    </row>
    <row r="9" spans="1:28" s="12" customFormat="1" x14ac:dyDescent="0.25">
      <c r="A9" s="10" t="s">
        <v>20</v>
      </c>
      <c r="B9" s="10" t="s">
        <v>55</v>
      </c>
      <c r="C9" s="10">
        <v>2.6088744140726998</v>
      </c>
      <c r="D9" s="10">
        <v>0.120900107884263</v>
      </c>
      <c r="E9" s="10">
        <v>2.1483968584136499</v>
      </c>
      <c r="F9" s="10">
        <v>3.06935196973174</v>
      </c>
      <c r="G9" s="10">
        <v>21.256988664509802</v>
      </c>
      <c r="H9" s="10">
        <v>0.32633029940962099</v>
      </c>
      <c r="I9" s="10">
        <v>21</v>
      </c>
      <c r="J9" s="5">
        <f t="shared" si="0"/>
        <v>0.56707177138470011</v>
      </c>
      <c r="K9" s="5">
        <f t="shared" si="1"/>
        <v>1.9362682788566703</v>
      </c>
      <c r="L9" s="5">
        <f t="shared" si="2"/>
        <v>3.3879720136015026</v>
      </c>
      <c r="M9" s="5">
        <f t="shared" si="3"/>
        <v>2.6621201462290864</v>
      </c>
      <c r="N9" s="5">
        <v>0.13017964966860901</v>
      </c>
      <c r="O9" s="5">
        <f t="shared" si="8"/>
        <v>0.13017964966860901</v>
      </c>
      <c r="P9" s="11">
        <f t="shared" si="9"/>
        <v>7.1428571428571425E-2</v>
      </c>
      <c r="Q9" s="5" cm="1">
        <f t="array" ref="Q9">SUM($M$4:$M$17*$P$4:$P$17)</f>
        <v>2.6714610224380491</v>
      </c>
      <c r="R9" s="5">
        <f t="shared" si="4"/>
        <v>0.32157039390138159</v>
      </c>
      <c r="S9" s="5">
        <f t="shared" si="10"/>
        <v>0.32165764586973278</v>
      </c>
      <c r="T9" s="5">
        <f t="shared" si="11"/>
        <v>4.0510621299986026E-2</v>
      </c>
      <c r="U9" s="24">
        <f t="shared" si="12"/>
        <v>0.56793261027054931</v>
      </c>
      <c r="V9" s="24">
        <f t="shared" si="13"/>
        <v>0.32254744980871963</v>
      </c>
      <c r="W9" s="5">
        <f t="shared" si="14"/>
        <v>0.56793261027054931</v>
      </c>
      <c r="X9" s="5">
        <f t="shared" si="15"/>
        <v>1.9445072812917459</v>
      </c>
      <c r="Y9" s="5">
        <f t="shared" si="5"/>
        <v>3.398414763584352</v>
      </c>
      <c r="Z9" s="11">
        <f t="shared" ref="Z9:Z17" si="16">EXP(Q9)</f>
        <v>14.461081730988765</v>
      </c>
      <c r="AA9" s="11">
        <f t="shared" si="7"/>
        <v>6.9901868105679776</v>
      </c>
      <c r="AB9" s="11">
        <f t="shared" si="7"/>
        <v>29.916637494462755</v>
      </c>
    </row>
    <row r="10" spans="1:28" s="12" customFormat="1" x14ac:dyDescent="0.25">
      <c r="A10" s="10" t="s">
        <v>21</v>
      </c>
      <c r="B10" s="10" t="s">
        <v>30</v>
      </c>
      <c r="C10" s="10">
        <v>2.5520756596572398</v>
      </c>
      <c r="D10" s="10">
        <v>0.128630121258686</v>
      </c>
      <c r="E10" s="10">
        <v>2.0762128716284498</v>
      </c>
      <c r="F10" s="10">
        <v>3.0279384476860201</v>
      </c>
      <c r="G10" s="10">
        <v>22.636225019422</v>
      </c>
      <c r="H10" s="10">
        <v>0.33584312046039999</v>
      </c>
      <c r="I10" s="10">
        <v>21</v>
      </c>
      <c r="J10" s="5">
        <f t="shared" si="0"/>
        <v>0.60332874793973956</v>
      </c>
      <c r="K10" s="5">
        <f t="shared" si="1"/>
        <v>1.8362101630746626</v>
      </c>
      <c r="L10" s="5">
        <f t="shared" si="2"/>
        <v>3.3807317578003957</v>
      </c>
      <c r="M10" s="5">
        <f t="shared" si="3"/>
        <v>2.6084709604375291</v>
      </c>
      <c r="N10" s="5">
        <v>0.12931939630216999</v>
      </c>
      <c r="O10" s="5">
        <f t="shared" si="8"/>
        <v>0.12931939630216999</v>
      </c>
      <c r="P10" s="11">
        <f t="shared" si="9"/>
        <v>7.1428571428571425E-2</v>
      </c>
      <c r="Q10" s="5" cm="1">
        <f t="array" ref="Q10">SUM($M$4:$M$17*$P$4:$P$17)</f>
        <v>2.6714610224380491</v>
      </c>
      <c r="R10" s="5">
        <f t="shared" si="4"/>
        <v>0.3640055780905338</v>
      </c>
      <c r="S10" s="5">
        <f t="shared" si="10"/>
        <v>0.36797332600136312</v>
      </c>
      <c r="T10" s="5">
        <f t="shared" si="11"/>
        <v>4.3329146409528806E-2</v>
      </c>
      <c r="U10" s="24">
        <f t="shared" si="12"/>
        <v>0.56793261027054931</v>
      </c>
      <c r="V10" s="24">
        <f t="shared" si="13"/>
        <v>0.32254744980871963</v>
      </c>
      <c r="W10" s="5">
        <f t="shared" si="14"/>
        <v>0.56793261027054931</v>
      </c>
      <c r="X10" s="5">
        <f t="shared" si="15"/>
        <v>1.9445072812917459</v>
      </c>
      <c r="Y10" s="5">
        <f t="shared" si="5"/>
        <v>3.398414763584352</v>
      </c>
      <c r="Z10" s="11">
        <f t="shared" si="16"/>
        <v>14.461081730988765</v>
      </c>
      <c r="AA10" s="11">
        <f t="shared" si="7"/>
        <v>6.9901868105679776</v>
      </c>
      <c r="AB10" s="11">
        <f t="shared" si="7"/>
        <v>29.916637494462755</v>
      </c>
    </row>
    <row r="11" spans="1:28" s="12" customFormat="1" x14ac:dyDescent="0.25">
      <c r="A11" s="10" t="s">
        <v>22</v>
      </c>
      <c r="B11" s="10" t="s">
        <v>33</v>
      </c>
      <c r="C11" s="10">
        <v>2.7362916373574602</v>
      </c>
      <c r="D11" s="10">
        <v>0.114473923133776</v>
      </c>
      <c r="E11" s="10">
        <v>2.2923083173802699</v>
      </c>
      <c r="F11" s="10">
        <v>3.1802749573346398</v>
      </c>
      <c r="G11" s="10">
        <v>19.623175331024701</v>
      </c>
      <c r="H11" s="10">
        <v>0.31540965280732303</v>
      </c>
      <c r="I11" s="10">
        <v>21</v>
      </c>
      <c r="J11" s="5">
        <f t="shared" si="0"/>
        <v>0.5369302931554788</v>
      </c>
      <c r="K11" s="5">
        <f t="shared" si="1"/>
        <v>2.0987624866604655</v>
      </c>
      <c r="L11" s="5">
        <f t="shared" si="2"/>
        <v>3.4733040371384911</v>
      </c>
      <c r="M11" s="5">
        <f t="shared" si="3"/>
        <v>2.7860332618994783</v>
      </c>
      <c r="N11" s="5">
        <v>0.11718029649581201</v>
      </c>
      <c r="O11" s="5">
        <f t="shared" si="8"/>
        <v>0.11718029649581201</v>
      </c>
      <c r="P11" s="11">
        <f t="shared" si="9"/>
        <v>7.1428571428571425E-2</v>
      </c>
      <c r="Q11" s="5" cm="1">
        <f t="array" ref="Q11">SUM($M$4:$M$17*$P$4:$P$17)</f>
        <v>2.6714610224380491</v>
      </c>
      <c r="R11" s="5">
        <f t="shared" si="4"/>
        <v>0.28829413970802842</v>
      </c>
      <c r="S11" s="5">
        <f t="shared" si="10"/>
        <v>0.30142093776323553</v>
      </c>
      <c r="T11" s="5">
        <f t="shared" si="11"/>
        <v>3.9215582711002089E-2</v>
      </c>
      <c r="U11" s="24">
        <f t="shared" si="12"/>
        <v>0.56793261027054931</v>
      </c>
      <c r="V11" s="24">
        <f t="shared" si="13"/>
        <v>0.32254744980871963</v>
      </c>
      <c r="W11" s="5">
        <f t="shared" si="14"/>
        <v>0.56793261027054931</v>
      </c>
      <c r="X11" s="5">
        <f t="shared" si="15"/>
        <v>1.9445072812917459</v>
      </c>
      <c r="Y11" s="5">
        <f t="shared" si="5"/>
        <v>3.398414763584352</v>
      </c>
      <c r="Z11" s="11">
        <f t="shared" si="16"/>
        <v>14.461081730988765</v>
      </c>
      <c r="AA11" s="11">
        <f t="shared" si="7"/>
        <v>6.9901868105679776</v>
      </c>
      <c r="AB11" s="11">
        <f t="shared" si="7"/>
        <v>29.916637494462755</v>
      </c>
    </row>
    <row r="12" spans="1:28" s="12" customFormat="1" x14ac:dyDescent="0.25">
      <c r="A12" s="10" t="s">
        <v>23</v>
      </c>
      <c r="B12" s="10" t="s">
        <v>31</v>
      </c>
      <c r="C12" s="10">
        <v>2.5173218911272599</v>
      </c>
      <c r="D12" s="10">
        <v>0.13230127850477</v>
      </c>
      <c r="E12" s="10">
        <v>2.0385024393814302</v>
      </c>
      <c r="F12" s="10">
        <v>2.9961413428730901</v>
      </c>
      <c r="G12" s="10">
        <v>22.775041930131501</v>
      </c>
      <c r="H12" s="10">
        <v>0.33681579094958403</v>
      </c>
      <c r="I12" s="10">
        <v>21</v>
      </c>
      <c r="J12" s="5">
        <f t="shared" si="0"/>
        <v>0.62054800174356195</v>
      </c>
      <c r="K12" s="5">
        <f t="shared" si="1"/>
        <v>1.7797428874119976</v>
      </c>
      <c r="L12" s="5">
        <f t="shared" si="2"/>
        <v>3.3683457718755161</v>
      </c>
      <c r="M12" s="5">
        <f t="shared" si="3"/>
        <v>2.574044329643757</v>
      </c>
      <c r="N12" s="5">
        <v>0.13506497486246799</v>
      </c>
      <c r="O12" s="5">
        <f t="shared" si="8"/>
        <v>0.13506497486246799</v>
      </c>
      <c r="P12" s="11">
        <f t="shared" si="9"/>
        <v>7.1428571428571425E-2</v>
      </c>
      <c r="Q12" s="5" cm="1">
        <f t="array" ref="Q12">SUM($M$4:$M$17*$P$4:$P$17)</f>
        <v>2.6714610224380491</v>
      </c>
      <c r="R12" s="5">
        <f t="shared" si="4"/>
        <v>0.38507982246792777</v>
      </c>
      <c r="S12" s="5">
        <f t="shared" si="10"/>
        <v>0.39456983450290523</v>
      </c>
      <c r="T12" s="5">
        <f t="shared" si="11"/>
        <v>4.4867709998673053E-2</v>
      </c>
      <c r="U12" s="24">
        <f t="shared" si="12"/>
        <v>0.56793261027054931</v>
      </c>
      <c r="V12" s="24">
        <f t="shared" si="13"/>
        <v>0.32254744980871963</v>
      </c>
      <c r="W12" s="5">
        <f t="shared" si="14"/>
        <v>0.56793261027054931</v>
      </c>
      <c r="X12" s="5">
        <f t="shared" si="15"/>
        <v>1.9445072812917459</v>
      </c>
      <c r="Y12" s="5">
        <f t="shared" si="5"/>
        <v>3.398414763584352</v>
      </c>
      <c r="Z12" s="11">
        <f t="shared" si="16"/>
        <v>14.461081730988765</v>
      </c>
      <c r="AA12" s="11">
        <f t="shared" si="7"/>
        <v>6.9901868105679776</v>
      </c>
      <c r="AB12" s="11">
        <f t="shared" si="7"/>
        <v>29.916637494462755</v>
      </c>
    </row>
    <row r="13" spans="1:28" s="12" customFormat="1" x14ac:dyDescent="0.25">
      <c r="A13" s="10" t="s">
        <v>24</v>
      </c>
      <c r="B13" s="10" t="s">
        <v>56</v>
      </c>
      <c r="C13" s="10">
        <v>2.61176707953517</v>
      </c>
      <c r="D13" s="10">
        <v>0.115378698430513</v>
      </c>
      <c r="E13" s="10">
        <v>2.1711171663422499</v>
      </c>
      <c r="F13" s="10">
        <v>3.0524169927280802</v>
      </c>
      <c r="G13" s="10">
        <v>19.162285753693201</v>
      </c>
      <c r="H13" s="10">
        <v>0.31239562482802402</v>
      </c>
      <c r="I13" s="10">
        <v>21</v>
      </c>
      <c r="J13" s="5">
        <f t="shared" si="0"/>
        <v>0.54117406546639302</v>
      </c>
      <c r="K13" s="5">
        <f t="shared" si="1"/>
        <v>1.9678597889440328</v>
      </c>
      <c r="L13" s="5">
        <f t="shared" si="2"/>
        <v>3.3532653965379993</v>
      </c>
      <c r="M13" s="5">
        <f t="shared" si="3"/>
        <v>2.6605625927410159</v>
      </c>
      <c r="N13" s="5">
        <v>0.108100911963951</v>
      </c>
      <c r="O13" s="5">
        <f t="shared" si="8"/>
        <v>0.108100911963951</v>
      </c>
      <c r="P13" s="11">
        <f t="shared" si="9"/>
        <v>7.1428571428571425E-2</v>
      </c>
      <c r="Q13" s="5" cm="1">
        <f t="array" ref="Q13">SUM($M$4:$M$17*$P$4:$P$17)</f>
        <v>2.6714610224380491</v>
      </c>
      <c r="R13" s="5">
        <f t="shared" si="4"/>
        <v>0.29286936913342382</v>
      </c>
      <c r="S13" s="5">
        <f t="shared" si="10"/>
        <v>0.29298814490328501</v>
      </c>
      <c r="T13" s="5">
        <f t="shared" si="11"/>
        <v>3.8663128093784034E-2</v>
      </c>
      <c r="U13" s="24">
        <f t="shared" si="12"/>
        <v>0.56793261027054931</v>
      </c>
      <c r="V13" s="24">
        <f t="shared" si="13"/>
        <v>0.32254744980871963</v>
      </c>
      <c r="W13" s="5">
        <f t="shared" si="14"/>
        <v>0.56793261027054931</v>
      </c>
      <c r="X13" s="5">
        <f t="shared" si="15"/>
        <v>1.9445072812917459</v>
      </c>
      <c r="Y13" s="5">
        <f t="shared" si="5"/>
        <v>3.398414763584352</v>
      </c>
      <c r="Z13" s="11">
        <f t="shared" si="16"/>
        <v>14.461081730988765</v>
      </c>
      <c r="AA13" s="11">
        <f t="shared" si="7"/>
        <v>6.9901868105679776</v>
      </c>
      <c r="AB13" s="11">
        <f t="shared" si="7"/>
        <v>29.916637494462755</v>
      </c>
    </row>
    <row r="14" spans="1:28" s="12" customFormat="1" x14ac:dyDescent="0.25">
      <c r="A14" s="10" t="s">
        <v>25</v>
      </c>
      <c r="B14" s="10" t="s">
        <v>34</v>
      </c>
      <c r="C14" s="10">
        <v>2.5229646943501902</v>
      </c>
      <c r="D14" s="10">
        <v>0.125982309045474</v>
      </c>
      <c r="E14" s="10">
        <v>2.06261582255883</v>
      </c>
      <c r="F14" s="10">
        <v>2.9833135661415402</v>
      </c>
      <c r="G14" s="10">
        <v>20.957096455115799</v>
      </c>
      <c r="H14" s="10">
        <v>0.32429782367385601</v>
      </c>
      <c r="I14" s="10">
        <v>21</v>
      </c>
      <c r="J14" s="5">
        <f t="shared" si="0"/>
        <v>0.59090940780583712</v>
      </c>
      <c r="K14" s="5">
        <f t="shared" si="1"/>
        <v>1.8191851915785184</v>
      </c>
      <c r="L14" s="5">
        <f t="shared" si="2"/>
        <v>3.3319132755614618</v>
      </c>
      <c r="M14" s="5">
        <f t="shared" si="3"/>
        <v>2.5755492335699901</v>
      </c>
      <c r="N14" s="5">
        <v>0.11187405464844601</v>
      </c>
      <c r="O14" s="5">
        <f t="shared" si="8"/>
        <v>0.11187405464844601</v>
      </c>
      <c r="P14" s="11">
        <f t="shared" si="9"/>
        <v>7.1428571428571425E-2</v>
      </c>
      <c r="Q14" s="5" cm="1">
        <f t="array" ref="Q14">SUM($M$4:$M$17*$P$4:$P$17)</f>
        <v>2.6714610224380491</v>
      </c>
      <c r="R14" s="5">
        <f t="shared" si="4"/>
        <v>0.34917392823344512</v>
      </c>
      <c r="S14" s="5">
        <f t="shared" si="10"/>
        <v>0.35837299947731621</v>
      </c>
      <c r="T14" s="5">
        <f t="shared" si="11"/>
        <v>4.2760187918233397E-2</v>
      </c>
      <c r="U14" s="24">
        <f t="shared" si="12"/>
        <v>0.56793261027054931</v>
      </c>
      <c r="V14" s="24">
        <f t="shared" si="13"/>
        <v>0.32254744980871963</v>
      </c>
      <c r="W14" s="5">
        <f t="shared" si="14"/>
        <v>0.56793261027054931</v>
      </c>
      <c r="X14" s="5">
        <f t="shared" si="15"/>
        <v>1.9445072812917459</v>
      </c>
      <c r="Y14" s="5">
        <f t="shared" si="5"/>
        <v>3.398414763584352</v>
      </c>
      <c r="Z14" s="11">
        <f t="shared" si="16"/>
        <v>14.461081730988765</v>
      </c>
      <c r="AA14" s="11">
        <f t="shared" si="7"/>
        <v>6.9901868105679776</v>
      </c>
      <c r="AB14" s="11">
        <f t="shared" si="7"/>
        <v>29.916637494462755</v>
      </c>
    </row>
    <row r="15" spans="1:28" s="12" customFormat="1" x14ac:dyDescent="0.25">
      <c r="A15" s="10" t="s">
        <v>27</v>
      </c>
      <c r="B15" s="10" t="s">
        <v>36</v>
      </c>
      <c r="C15" s="10">
        <v>2.6980158644976799</v>
      </c>
      <c r="D15" s="10">
        <v>0.119091146571229</v>
      </c>
      <c r="E15" s="10">
        <v>2.2357764970899701</v>
      </c>
      <c r="F15" s="10">
        <v>3.1602552319054</v>
      </c>
      <c r="G15" s="10">
        <v>21.562139219282699</v>
      </c>
      <c r="H15" s="10">
        <v>0.32841148843983597</v>
      </c>
      <c r="I15" s="10">
        <v>21</v>
      </c>
      <c r="J15" s="5">
        <f t="shared" si="0"/>
        <v>0.55858699073313456</v>
      </c>
      <c r="K15" s="5">
        <f t="shared" si="1"/>
        <v>2.036951569228902</v>
      </c>
      <c r="L15" s="5">
        <f t="shared" si="2"/>
        <v>3.4669342655057265</v>
      </c>
      <c r="M15" s="5">
        <f t="shared" si="3"/>
        <v>2.7519429173673142</v>
      </c>
      <c r="N15" s="5">
        <v>0.129812120509184</v>
      </c>
      <c r="O15" s="5">
        <f t="shared" si="8"/>
        <v>0.129812120509184</v>
      </c>
      <c r="P15" s="11">
        <f t="shared" si="9"/>
        <v>7.1428571428571425E-2</v>
      </c>
      <c r="Q15" s="5" cm="1">
        <f t="array" ref="Q15">SUM($M$4:$M$17*$P$4:$P$17)</f>
        <v>2.6714610224380491</v>
      </c>
      <c r="R15" s="5">
        <f t="shared" si="4"/>
        <v>0.31201942621629897</v>
      </c>
      <c r="S15" s="5">
        <f t="shared" si="10"/>
        <v>0.31849676162770424</v>
      </c>
      <c r="T15" s="5">
        <f t="shared" si="11"/>
        <v>4.0311083806967636E-2</v>
      </c>
      <c r="U15" s="24">
        <f t="shared" si="12"/>
        <v>0.56793261027054931</v>
      </c>
      <c r="V15" s="24">
        <f t="shared" si="13"/>
        <v>0.32254744980871963</v>
      </c>
      <c r="W15" s="5">
        <f t="shared" si="14"/>
        <v>0.56793261027054931</v>
      </c>
      <c r="X15" s="5">
        <f t="shared" si="15"/>
        <v>1.9445072812917459</v>
      </c>
      <c r="Y15" s="5">
        <f t="shared" si="5"/>
        <v>3.398414763584352</v>
      </c>
      <c r="Z15" s="11">
        <f t="shared" si="16"/>
        <v>14.461081730988765</v>
      </c>
      <c r="AA15" s="11">
        <f t="shared" si="7"/>
        <v>6.9901868105679776</v>
      </c>
      <c r="AB15" s="11">
        <f t="shared" si="7"/>
        <v>29.916637494462755</v>
      </c>
    </row>
    <row r="16" spans="1:28" s="12" customFormat="1" x14ac:dyDescent="0.25">
      <c r="A16" s="10" t="s">
        <v>48</v>
      </c>
      <c r="B16" s="10" t="s">
        <v>57</v>
      </c>
      <c r="C16" s="10">
        <v>2.5766668443837801</v>
      </c>
      <c r="D16" s="10">
        <v>0.12112164988522101</v>
      </c>
      <c r="E16" s="10">
        <v>2.1210759753328001</v>
      </c>
      <c r="F16" s="10">
        <v>3.0322577134347499</v>
      </c>
      <c r="G16" s="10">
        <v>20.6613440909574</v>
      </c>
      <c r="H16" s="10">
        <v>0.32230580339909198</v>
      </c>
      <c r="I16" s="10">
        <v>21</v>
      </c>
      <c r="J16" s="5">
        <f t="shared" si="0"/>
        <v>0.5681108954774563</v>
      </c>
      <c r="K16" s="5">
        <f t="shared" si="1"/>
        <v>1.9014254136250033</v>
      </c>
      <c r="L16" s="5">
        <f t="shared" si="2"/>
        <v>3.3557893060472912</v>
      </c>
      <c r="M16" s="5">
        <f t="shared" si="3"/>
        <v>2.6286073598361472</v>
      </c>
      <c r="N16" s="5">
        <v>0.11405930370541099</v>
      </c>
      <c r="O16" s="5">
        <f t="shared" si="8"/>
        <v>0.11405930370541099</v>
      </c>
      <c r="P16" s="11">
        <f t="shared" si="9"/>
        <v>7.1428571428571425E-2</v>
      </c>
      <c r="Q16" s="5" cm="1">
        <f t="array" ref="Q16">SUM($M$4:$M$17*$P$4:$P$17)</f>
        <v>2.6714610224380491</v>
      </c>
      <c r="R16" s="5">
        <f t="shared" si="4"/>
        <v>0.32274998956019729</v>
      </c>
      <c r="S16" s="5">
        <f t="shared" si="10"/>
        <v>0.32458642595859494</v>
      </c>
      <c r="T16" s="5">
        <f t="shared" si="11"/>
        <v>4.069463347502101E-2</v>
      </c>
      <c r="U16" s="24">
        <f t="shared" si="12"/>
        <v>0.56793261027054931</v>
      </c>
      <c r="V16" s="24">
        <f t="shared" si="13"/>
        <v>0.32254744980871963</v>
      </c>
      <c r="W16" s="5">
        <f t="shared" si="14"/>
        <v>0.56793261027054931</v>
      </c>
      <c r="X16" s="5">
        <f t="shared" si="15"/>
        <v>1.9445072812917459</v>
      </c>
      <c r="Y16" s="5">
        <f t="shared" si="5"/>
        <v>3.398414763584352</v>
      </c>
      <c r="Z16" s="11">
        <f t="shared" si="16"/>
        <v>14.461081730988765</v>
      </c>
      <c r="AA16" s="11">
        <f t="shared" si="7"/>
        <v>6.9901868105679776</v>
      </c>
      <c r="AB16" s="11">
        <f t="shared" si="7"/>
        <v>29.916637494462755</v>
      </c>
    </row>
    <row r="17" spans="1:28" s="20" customFormat="1" x14ac:dyDescent="0.25">
      <c r="A17" s="17" t="s">
        <v>32</v>
      </c>
      <c r="B17" s="17" t="s">
        <v>58</v>
      </c>
      <c r="C17" s="17">
        <v>2.50712106108733</v>
      </c>
      <c r="D17" s="17">
        <v>0.132446425123429</v>
      </c>
      <c r="E17" s="17">
        <v>2.03053396394077</v>
      </c>
      <c r="F17" s="17">
        <v>2.98370815823389</v>
      </c>
      <c r="G17" s="17">
        <v>22.507717058859299</v>
      </c>
      <c r="H17" s="17">
        <v>0.33494518727386302</v>
      </c>
      <c r="I17" s="17">
        <v>21</v>
      </c>
      <c r="J17" s="18">
        <f t="shared" si="0"/>
        <v>0.62122879973120526</v>
      </c>
      <c r="K17" s="18">
        <f t="shared" si="1"/>
        <v>1.7680423366703488</v>
      </c>
      <c r="L17" s="18">
        <f t="shared" si="2"/>
        <v>3.3583880639822343</v>
      </c>
      <c r="M17" s="18">
        <f t="shared" si="3"/>
        <v>2.5632152003262916</v>
      </c>
      <c r="N17" s="18">
        <v>0.122861243847618</v>
      </c>
      <c r="O17" s="18">
        <f t="shared" si="8"/>
        <v>0.122861243847618</v>
      </c>
      <c r="P17" s="19">
        <f t="shared" si="9"/>
        <v>7.1428571428571425E-2</v>
      </c>
      <c r="Q17" s="18" cm="1">
        <f t="array" ref="Q17">SUM($M$4:$M$17*$P$4:$P$17)</f>
        <v>2.6714610224380491</v>
      </c>
      <c r="R17" s="18">
        <f t="shared" si="4"/>
        <v>0.38592522161547393</v>
      </c>
      <c r="S17" s="18">
        <f t="shared" si="10"/>
        <v>0.39764237962012416</v>
      </c>
      <c r="T17" s="18">
        <f t="shared" si="11"/>
        <v>4.5042065351436567E-2</v>
      </c>
      <c r="U17" s="25">
        <f t="shared" si="12"/>
        <v>0.56793261027054931</v>
      </c>
      <c r="V17" s="25">
        <f t="shared" si="13"/>
        <v>0.32254744980871963</v>
      </c>
      <c r="W17" s="18">
        <f t="shared" si="14"/>
        <v>0.56793261027054931</v>
      </c>
      <c r="X17" s="18">
        <f t="shared" si="15"/>
        <v>1.9445072812917459</v>
      </c>
      <c r="Y17" s="18">
        <f t="shared" si="5"/>
        <v>3.398414763584352</v>
      </c>
      <c r="Z17" s="19">
        <f t="shared" si="16"/>
        <v>14.461081730988765</v>
      </c>
      <c r="AA17" s="19">
        <f t="shared" si="7"/>
        <v>6.9901868105679776</v>
      </c>
      <c r="AB17" s="19">
        <f t="shared" si="7"/>
        <v>29.916637494462755</v>
      </c>
    </row>
    <row r="22" spans="1:28" s="29" customFormat="1" x14ac:dyDescent="0.25">
      <c r="A22" s="2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x14ac:dyDescent="0.25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x14ac:dyDescent="0.25">
      <c r="A24" s="8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5.75" x14ac:dyDescent="0.25">
      <c r="A25" s="8"/>
      <c r="B25" s="8"/>
      <c r="C25" s="8"/>
      <c r="D25" s="8"/>
      <c r="E25" s="8"/>
      <c r="F25" s="8"/>
      <c r="G25" s="8"/>
      <c r="H25" s="36"/>
      <c r="I25" s="36"/>
      <c r="J25" s="36"/>
      <c r="K25" s="36"/>
      <c r="L25" s="3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x14ac:dyDescent="0.25">
      <c r="A26" s="8"/>
      <c r="B26" s="8"/>
      <c r="C26" s="7"/>
      <c r="D26" s="7"/>
      <c r="E26" s="7"/>
      <c r="F26" s="7"/>
      <c r="G26" s="7"/>
      <c r="H26" s="7"/>
      <c r="I26" s="7"/>
      <c r="J26" s="22"/>
      <c r="K26" s="7"/>
      <c r="L26" s="7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x14ac:dyDescent="0.25">
      <c r="A27" s="8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22"/>
      <c r="K28" s="7"/>
      <c r="L28" s="7"/>
    </row>
  </sheetData>
  <mergeCells count="6">
    <mergeCell ref="AA2:AB2"/>
    <mergeCell ref="H25:L25"/>
    <mergeCell ref="C2:I2"/>
    <mergeCell ref="K2:L2"/>
    <mergeCell ref="R2:V2"/>
    <mergeCell ref="X2:Y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inverse MAPE</vt:lpstr>
      <vt:lpstr>AICc weights</vt:lpstr>
      <vt:lpstr>equal weighting</vt:lpstr>
      <vt:lpstr>MAPE_weighting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2021-10-06T20:04:33Z</dcterms:modified>
</cp:coreProperties>
</file>