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.murphy\Work\Projects\2021\JTC spring\"/>
    </mc:Choice>
  </mc:AlternateContent>
  <bookViews>
    <workbookView xWindow="0" yWindow="0" windowWidth="16310" windowHeight="683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h+YJu6g0fJdmxPOpoeP54oKzdqjw=="/>
    </ext>
  </extLst>
</workbook>
</file>

<file path=xl/calcChain.xml><?xml version="1.0" encoding="utf-8"?>
<calcChain xmlns="http://schemas.openxmlformats.org/spreadsheetml/2006/main">
  <c r="P24" i="1" l="1"/>
  <c r="L24" i="1"/>
  <c r="P23" i="1"/>
  <c r="L23" i="1"/>
  <c r="J23" i="1"/>
  <c r="I23" i="1"/>
  <c r="H23" i="1"/>
  <c r="P22" i="1"/>
  <c r="L22" i="1"/>
  <c r="J22" i="1"/>
  <c r="I22" i="1"/>
  <c r="H22" i="1"/>
  <c r="P21" i="1"/>
  <c r="L21" i="1"/>
  <c r="J21" i="1"/>
  <c r="I21" i="1"/>
  <c r="H21" i="1"/>
  <c r="P20" i="1"/>
  <c r="L20" i="1"/>
  <c r="J20" i="1"/>
  <c r="I20" i="1"/>
  <c r="H20" i="1"/>
  <c r="P19" i="1"/>
  <c r="L19" i="1"/>
  <c r="J19" i="1"/>
  <c r="I19" i="1"/>
  <c r="H19" i="1"/>
  <c r="P18" i="1"/>
  <c r="L18" i="1"/>
  <c r="J18" i="1"/>
  <c r="I18" i="1"/>
  <c r="H18" i="1"/>
  <c r="P17" i="1"/>
  <c r="L17" i="1"/>
  <c r="J17" i="1"/>
  <c r="I17" i="1"/>
  <c r="H17" i="1"/>
  <c r="P16" i="1"/>
  <c r="L16" i="1"/>
  <c r="J16" i="1"/>
  <c r="I16" i="1"/>
  <c r="H16" i="1"/>
  <c r="P15" i="1"/>
  <c r="P14" i="1"/>
  <c r="P13" i="1"/>
  <c r="L13" i="1"/>
  <c r="J13" i="1"/>
  <c r="I13" i="1"/>
  <c r="H13" i="1"/>
  <c r="P12" i="1"/>
  <c r="L12" i="1"/>
  <c r="J12" i="1"/>
  <c r="I12" i="1"/>
  <c r="H12" i="1"/>
  <c r="P11" i="1"/>
  <c r="L11" i="1"/>
  <c r="J11" i="1"/>
  <c r="J28" i="1" s="1"/>
  <c r="J29" i="1" s="1"/>
  <c r="J30" i="1" s="1"/>
  <c r="I11" i="1"/>
  <c r="H11" i="1"/>
  <c r="H28" i="1" s="1"/>
  <c r="H29" i="1" s="1"/>
  <c r="P10" i="1"/>
  <c r="L10" i="1"/>
  <c r="J10" i="1"/>
  <c r="I10" i="1"/>
  <c r="I28" i="1" s="1"/>
  <c r="I29" i="1" s="1"/>
  <c r="H10" i="1"/>
  <c r="I9" i="1"/>
  <c r="I8" i="1"/>
  <c r="I7" i="1"/>
  <c r="I6" i="1"/>
  <c r="I5" i="1"/>
  <c r="I4" i="1"/>
  <c r="I3" i="1"/>
  <c r="I30" i="1" l="1"/>
  <c r="N20" i="1"/>
  <c r="N12" i="1"/>
  <c r="N17" i="1"/>
  <c r="N22" i="1"/>
  <c r="N14" i="1"/>
  <c r="Q14" i="1" s="1"/>
  <c r="N19" i="1"/>
  <c r="N11" i="1"/>
  <c r="N16" i="1"/>
  <c r="N15" i="1"/>
  <c r="Q15" i="1" s="1"/>
  <c r="N24" i="1"/>
  <c r="N21" i="1"/>
  <c r="N13" i="1"/>
  <c r="N18" i="1"/>
  <c r="N10" i="1"/>
  <c r="N23" i="1"/>
  <c r="M24" i="1" l="1"/>
  <c r="Q24" i="1" s="1"/>
  <c r="M23" i="1"/>
  <c r="Q23" i="1" s="1"/>
  <c r="M20" i="1"/>
  <c r="Q20" i="1" s="1"/>
  <c r="M12" i="1"/>
  <c r="Q12" i="1" s="1"/>
  <c r="K30" i="1"/>
  <c r="M17" i="1"/>
  <c r="Q17" i="1" s="1"/>
  <c r="M10" i="1"/>
  <c r="Q10" i="1" s="1"/>
  <c r="M22" i="1"/>
  <c r="Q22" i="1" s="1"/>
  <c r="M11" i="1"/>
  <c r="Q11" i="1" s="1"/>
  <c r="M19" i="1"/>
  <c r="Q19" i="1" s="1"/>
  <c r="M16" i="1"/>
  <c r="Q16" i="1" s="1"/>
  <c r="M21" i="1"/>
  <c r="Q21" i="1" s="1"/>
  <c r="M13" i="1"/>
  <c r="Q13" i="1" s="1"/>
  <c r="M18" i="1"/>
  <c r="Q18" i="1" s="1"/>
  <c r="U17" i="1" l="1"/>
  <c r="R17" i="1"/>
  <c r="S17" i="1" s="1"/>
  <c r="U10" i="1"/>
  <c r="R10" i="1"/>
  <c r="S10" i="1" s="1"/>
  <c r="U20" i="1"/>
  <c r="R20" i="1"/>
  <c r="S20" i="1" s="1"/>
  <c r="U18" i="1"/>
  <c r="R18" i="1"/>
  <c r="S18" i="1" s="1"/>
  <c r="U13" i="1"/>
  <c r="R13" i="1"/>
  <c r="S13" i="1" s="1"/>
  <c r="U12" i="1"/>
  <c r="R12" i="1"/>
  <c r="S12" i="1" s="1"/>
  <c r="U23" i="1"/>
  <c r="R23" i="1"/>
  <c r="S23" i="1" s="1"/>
  <c r="R22" i="1"/>
  <c r="S22" i="1" s="1"/>
  <c r="U22" i="1"/>
  <c r="U21" i="1"/>
  <c r="R21" i="1"/>
  <c r="S21" i="1" s="1"/>
  <c r="R16" i="1"/>
  <c r="S16" i="1" s="1"/>
  <c r="U16" i="1"/>
  <c r="R19" i="1"/>
  <c r="S19" i="1" s="1"/>
  <c r="U19" i="1"/>
  <c r="R11" i="1"/>
  <c r="S11" i="1" s="1"/>
  <c r="U11" i="1"/>
  <c r="R40" i="1"/>
  <c r="R41" i="1" s="1"/>
  <c r="R31" i="1"/>
  <c r="R32" i="1" s="1"/>
  <c r="R47" i="1"/>
  <c r="R48" i="1" s="1"/>
  <c r="S28" i="1" l="1"/>
  <c r="R50" i="1" s="1"/>
  <c r="R52" i="1" s="1"/>
  <c r="T47" i="1" s="1"/>
  <c r="U28" i="1"/>
  <c r="R42" i="1" l="1"/>
  <c r="R44" i="1" s="1"/>
  <c r="S40" i="1" s="1"/>
  <c r="R43" i="1"/>
  <c r="R45" i="1" s="1"/>
  <c r="T40" i="1" s="1"/>
  <c r="R34" i="1"/>
  <c r="R37" i="1" s="1"/>
  <c r="T31" i="1" s="1"/>
  <c r="R49" i="1"/>
  <c r="R51" i="1" s="1"/>
  <c r="S47" i="1" s="1"/>
  <c r="T48" i="1" s="1"/>
  <c r="R33" i="1"/>
  <c r="R36" i="1" s="1"/>
  <c r="S31" i="1" s="1"/>
  <c r="T41" i="1" l="1"/>
  <c r="T32" i="1"/>
</calcChain>
</file>

<file path=xl/comments1.xml><?xml version="1.0" encoding="utf-8"?>
<comments xmlns="http://schemas.openxmlformats.org/spreadsheetml/2006/main">
  <authors>
    <author/>
  </authors>
  <commentList>
    <comment ref="E2" authorId="0" shapeId="0">
      <text>
        <r>
          <rPr>
            <sz val="12"/>
            <color theme="1"/>
            <rFont val="Arial"/>
          </rPr>
          <t>======
ID#AAAAHkAuoPE
Curry Cunningham    (2021-01-09 22:19:43)
This is the old sibling model</t>
        </r>
      </text>
    </comment>
    <comment ref="H16" authorId="0" shapeId="0">
      <text>
        <r>
          <rPr>
            <sz val="12"/>
            <color theme="1"/>
            <rFont val="Arial"/>
          </rPr>
          <t>======
ID#AAAAHkAuoPI
Curry Cunningham    (2021-01-09 22:19:43)
Common period of reference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3JYjG1KNc1IECXbd9FM3yYf8Lg=="/>
    </ext>
  </extLst>
</comments>
</file>

<file path=xl/sharedStrings.xml><?xml version="1.0" encoding="utf-8"?>
<sst xmlns="http://schemas.openxmlformats.org/spreadsheetml/2006/main" count="76" uniqueCount="55">
  <si>
    <t>Forecasts</t>
  </si>
  <si>
    <t>Difference squared (observed - expected)^2</t>
  </si>
  <si>
    <t>Forecast Contributions: fcst * weight</t>
  </si>
  <si>
    <t>Year</t>
  </si>
  <si>
    <t>Observed (True) Run Size</t>
  </si>
  <si>
    <t>Ricker</t>
  </si>
  <si>
    <t>Sibling</t>
  </si>
  <si>
    <t>Juvenile</t>
  </si>
  <si>
    <t>Weighted Forecast</t>
  </si>
  <si>
    <t>Residuals in Log Space</t>
  </si>
  <si>
    <t>Resid^2</t>
  </si>
  <si>
    <t>SSQ</t>
  </si>
  <si>
    <t>Variance</t>
  </si>
  <si>
    <t>Stdev of Residuals</t>
  </si>
  <si>
    <t>Inverse-Variance</t>
  </si>
  <si>
    <t>Weights</t>
  </si>
  <si>
    <t>LB</t>
  </si>
  <si>
    <t>UB</t>
  </si>
  <si>
    <t>predRicker</t>
  </si>
  <si>
    <t>sigmaRicker</t>
  </si>
  <si>
    <t>2013 - predYear-1</t>
  </si>
  <si>
    <t>5-year average maturity</t>
  </si>
  <si>
    <t xml:space="preserve">2021 Forecast </t>
  </si>
  <si>
    <t>95% CI</t>
  </si>
  <si>
    <t>predJuvi</t>
  </si>
  <si>
    <t>sigmaJuvi</t>
  </si>
  <si>
    <t>3-year average maturity</t>
  </si>
  <si>
    <t>log(2021 fcst)</t>
  </si>
  <si>
    <t>Range</t>
  </si>
  <si>
    <t>predSibling</t>
  </si>
  <si>
    <t>sigmaSibling</t>
  </si>
  <si>
    <t>log(lower bound)</t>
  </si>
  <si>
    <t>log(upper bound)</t>
  </si>
  <si>
    <t>Priors</t>
  </si>
  <si>
    <t>runSize  ~ Uniform(1,1e6)</t>
  </si>
  <si>
    <t>lower bound</t>
  </si>
  <si>
    <r>
      <rPr>
        <sz val="12"/>
        <color theme="1"/>
        <rFont val="Calibri"/>
      </rPr>
      <t xml:space="preserve">predJuvi = </t>
    </r>
    <r>
      <rPr>
        <b/>
        <sz val="12"/>
        <color theme="1"/>
        <rFont val="Calibri"/>
      </rPr>
      <t xml:space="preserve">juviInt </t>
    </r>
    <r>
      <rPr>
        <sz val="12"/>
        <color theme="1"/>
        <rFont val="Calibri"/>
      </rPr>
      <t xml:space="preserve">+ </t>
    </r>
    <r>
      <rPr>
        <b/>
        <sz val="12"/>
        <color theme="1"/>
        <rFont val="Calibri"/>
      </rPr>
      <t>juviSlp</t>
    </r>
    <r>
      <rPr>
        <sz val="12"/>
        <color theme="1"/>
        <rFont val="Calibri"/>
      </rPr>
      <t>*Juvi_Idx</t>
    </r>
  </si>
  <si>
    <t>Regression Relationship</t>
  </si>
  <si>
    <t>upper bound</t>
  </si>
  <si>
    <t>Likelihoods</t>
  </si>
  <si>
    <r>
      <rPr>
        <sz val="12"/>
        <color theme="1"/>
        <rFont val="Calibri"/>
      </rPr>
      <t xml:space="preserve">log(predRicker) ~ </t>
    </r>
    <r>
      <rPr>
        <b/>
        <sz val="12"/>
        <color theme="1"/>
        <rFont val="Calibri"/>
      </rPr>
      <t>normal(</t>
    </r>
    <r>
      <rPr>
        <sz val="12"/>
        <color theme="1"/>
        <rFont val="Calibri"/>
      </rPr>
      <t>log(runSize), sigmaRicker);</t>
    </r>
  </si>
  <si>
    <t>90% CI</t>
  </si>
  <si>
    <r>
      <rPr>
        <sz val="12"/>
        <color theme="1"/>
        <rFont val="Calibri"/>
      </rPr>
      <t xml:space="preserve">log(predJuvi) ~ </t>
    </r>
    <r>
      <rPr>
        <b/>
        <sz val="12"/>
        <color theme="1"/>
        <rFont val="Calibri"/>
      </rPr>
      <t>normal</t>
    </r>
    <r>
      <rPr>
        <sz val="12"/>
        <color theme="1"/>
        <rFont val="Calibri"/>
      </rPr>
      <t>(log(runSize), sigmaJuvi);</t>
    </r>
  </si>
  <si>
    <t>Jim Will Provide Adult Prediction By Year</t>
  </si>
  <si>
    <r>
      <rPr>
        <sz val="12"/>
        <color theme="1"/>
        <rFont val="Calibri"/>
      </rPr>
      <t xml:space="preserve">log(predSibling) ~ </t>
    </r>
    <r>
      <rPr>
        <b/>
        <sz val="12"/>
        <color theme="1"/>
        <rFont val="Calibri"/>
      </rPr>
      <t>normal</t>
    </r>
    <r>
      <rPr>
        <sz val="12"/>
        <color theme="1"/>
        <rFont val="Calibri"/>
      </rPr>
      <t>(log(runSize), sigmaSibling);</t>
    </r>
  </si>
  <si>
    <t>Order Of Operations (additions)</t>
  </si>
  <si>
    <t>Integrated Model</t>
  </si>
  <si>
    <t>Incorporate Juvi Forecast Steps (starting with Juvi Index, including regression)</t>
  </si>
  <si>
    <t>80% CI</t>
  </si>
  <si>
    <t>Dynamic Ricker (alpha)</t>
  </si>
  <si>
    <r>
      <rPr>
        <sz val="12"/>
        <color theme="1"/>
        <rFont val="Calibri"/>
      </rPr>
      <t xml:space="preserve">alpha_broodYear+1 ~ </t>
    </r>
    <r>
      <rPr>
        <b/>
        <sz val="12"/>
        <color theme="1"/>
        <rFont val="Calibri"/>
      </rPr>
      <t>normal</t>
    </r>
    <r>
      <rPr>
        <sz val="12"/>
        <color theme="1"/>
        <rFont val="Calibri"/>
      </rPr>
      <t>(alpha_broodYear, sigma_alpha)</t>
    </r>
  </si>
  <si>
    <t>Set up process to quantify recent uncertainty in integrated forecast (to compare performance +/- new components)</t>
  </si>
  <si>
    <t>3 vs 5-year moving average for maturity</t>
  </si>
  <si>
    <t>Connect maturity schedule to covariates, or juvenile size?</t>
  </si>
  <si>
    <t>Logistic maturity schedule, with a50 and delta as random-walks.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</si>
</sst>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0000_);_(* \(#,##0.0000000\);_(* &quot;-&quot;??.00000_);_(@_)"/>
    <numFmt numFmtId="167" formatCode="0.00000000"/>
  </numFmts>
  <fonts count="15" x14ac:knownFonts="1">
    <font>
      <sz val="12"/>
      <color theme="1"/>
      <name val="Arial"/>
    </font>
    <font>
      <b/>
      <sz val="12"/>
      <color theme="1"/>
      <name val="Calibri"/>
    </font>
    <font>
      <sz val="12"/>
      <color rgb="FF9C0006"/>
      <name val="Calibri"/>
    </font>
    <font>
      <sz val="12"/>
      <color rgb="FF006100"/>
      <name val="Calibri"/>
    </font>
    <font>
      <sz val="12"/>
      <color rgb="FF9C5700"/>
      <name val="Arial"/>
    </font>
    <font>
      <sz val="12"/>
      <color rgb="FF9C5700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3F3F76"/>
      <name val="Calibri"/>
    </font>
    <font>
      <sz val="12"/>
      <color theme="1"/>
      <name val="Calibri"/>
    </font>
    <font>
      <sz val="12"/>
      <color rgb="FF000000"/>
      <name val="Arial"/>
    </font>
    <font>
      <b/>
      <sz val="12"/>
      <color theme="0"/>
      <name val="Calibri"/>
    </font>
    <font>
      <b/>
      <sz val="12"/>
      <color rgb="FFFFFFFF"/>
      <name val="Calibri"/>
    </font>
    <font>
      <sz val="12"/>
      <name val="Arial"/>
    </font>
    <font>
      <b/>
      <sz val="12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599"/>
        <bgColor rgb="FFFFE599"/>
      </patternFill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  <fill>
      <patternFill patternType="solid">
        <fgColor rgb="FFE6B8B7"/>
        <bgColor rgb="FFE6B8B7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3" borderId="2" xfId="0" applyFont="1" applyFill="1" applyBorder="1"/>
    <xf numFmtId="0" fontId="3" fillId="4" borderId="2" xfId="0" applyFont="1" applyFill="1" applyBorder="1"/>
    <xf numFmtId="0" fontId="4" fillId="5" borderId="2" xfId="0" applyFont="1" applyFill="1" applyBorder="1"/>
    <xf numFmtId="0" fontId="5" fillId="6" borderId="2" xfId="0" applyFont="1" applyFill="1" applyBorder="1"/>
    <xf numFmtId="0" fontId="6" fillId="0" borderId="0" xfId="0" applyFont="1"/>
    <xf numFmtId="164" fontId="6" fillId="2" borderId="1" xfId="0" applyNumberFormat="1" applyFont="1" applyFill="1" applyBorder="1"/>
    <xf numFmtId="164" fontId="2" fillId="3" borderId="2" xfId="0" applyNumberFormat="1" applyFont="1" applyFill="1" applyBorder="1"/>
    <xf numFmtId="165" fontId="7" fillId="4" borderId="2" xfId="0" applyNumberFormat="1" applyFont="1" applyFill="1" applyBorder="1"/>
    <xf numFmtId="164" fontId="3" fillId="4" borderId="2" xfId="0" applyNumberFormat="1" applyFont="1" applyFill="1" applyBorder="1"/>
    <xf numFmtId="164" fontId="5" fillId="6" borderId="2" xfId="0" applyNumberFormat="1" applyFont="1" applyFill="1" applyBorder="1"/>
    <xf numFmtId="164" fontId="6" fillId="2" borderId="3" xfId="0" applyNumberFormat="1" applyFont="1" applyFill="1" applyBorder="1"/>
    <xf numFmtId="0" fontId="8" fillId="7" borderId="4" xfId="0" applyFont="1" applyFill="1" applyBorder="1"/>
    <xf numFmtId="0" fontId="9" fillId="0" borderId="0" xfId="0" applyFont="1" applyAlignment="1"/>
    <xf numFmtId="164" fontId="6" fillId="2" borderId="5" xfId="0" applyNumberFormat="1" applyFont="1" applyFill="1" applyBorder="1"/>
    <xf numFmtId="3" fontId="0" fillId="8" borderId="6" xfId="0" applyNumberFormat="1" applyFont="1" applyFill="1" applyBorder="1" applyAlignment="1">
      <alignment horizontal="right" wrapText="1"/>
    </xf>
    <xf numFmtId="165" fontId="7" fillId="4" borderId="7" xfId="0" applyNumberFormat="1" applyFont="1" applyFill="1" applyBorder="1"/>
    <xf numFmtId="1" fontId="10" fillId="5" borderId="8" xfId="0" applyNumberFormat="1" applyFont="1" applyFill="1" applyBorder="1" applyAlignment="1">
      <alignment horizontal="right"/>
    </xf>
    <xf numFmtId="164" fontId="2" fillId="3" borderId="6" xfId="0" applyNumberFormat="1" applyFont="1" applyFill="1" applyBorder="1"/>
    <xf numFmtId="164" fontId="3" fillId="4" borderId="7" xfId="0" applyNumberFormat="1" applyFont="1" applyFill="1" applyBorder="1"/>
    <xf numFmtId="164" fontId="5" fillId="6" borderId="8" xfId="0" applyNumberFormat="1" applyFont="1" applyFill="1" applyBorder="1"/>
    <xf numFmtId="43" fontId="2" fillId="3" borderId="2" xfId="0" applyNumberFormat="1" applyFont="1" applyFill="1" applyBorder="1"/>
    <xf numFmtId="43" fontId="3" fillId="4" borderId="2" xfId="0" applyNumberFormat="1" applyFont="1" applyFill="1" applyBorder="1"/>
    <xf numFmtId="43" fontId="5" fillId="6" borderId="2" xfId="0" applyNumberFormat="1" applyFont="1" applyFill="1" applyBorder="1"/>
    <xf numFmtId="43" fontId="8" fillId="7" borderId="4" xfId="0" applyNumberFormat="1" applyFont="1" applyFill="1" applyBorder="1"/>
    <xf numFmtId="43" fontId="6" fillId="0" borderId="0" xfId="0" applyNumberFormat="1" applyFont="1"/>
    <xf numFmtId="3" fontId="9" fillId="0" borderId="0" xfId="0" applyNumberFormat="1" applyFont="1"/>
    <xf numFmtId="164" fontId="6" fillId="2" borderId="9" xfId="0" applyNumberFormat="1" applyFont="1" applyFill="1" applyBorder="1"/>
    <xf numFmtId="3" fontId="0" fillId="8" borderId="10" xfId="0" applyNumberFormat="1" applyFont="1" applyFill="1" applyBorder="1" applyAlignment="1">
      <alignment horizontal="right" wrapText="1"/>
    </xf>
    <xf numFmtId="1" fontId="10" fillId="5" borderId="11" xfId="0" applyNumberFormat="1" applyFont="1" applyFill="1" applyBorder="1" applyAlignment="1">
      <alignment horizontal="right"/>
    </xf>
    <xf numFmtId="164" fontId="2" fillId="3" borderId="10" xfId="0" applyNumberFormat="1" applyFont="1" applyFill="1" applyBorder="1"/>
    <xf numFmtId="164" fontId="5" fillId="6" borderId="11" xfId="0" applyNumberFormat="1" applyFont="1" applyFill="1" applyBorder="1"/>
    <xf numFmtId="164" fontId="6" fillId="2" borderId="12" xfId="0" applyNumberFormat="1" applyFont="1" applyFill="1" applyBorder="1"/>
    <xf numFmtId="164" fontId="0" fillId="8" borderId="13" xfId="0" applyNumberFormat="1" applyFont="1" applyFill="1" applyBorder="1" applyAlignment="1">
      <alignment horizontal="right"/>
    </xf>
    <xf numFmtId="165" fontId="7" fillId="4" borderId="14" xfId="0" applyNumberFormat="1" applyFont="1" applyFill="1" applyBorder="1"/>
    <xf numFmtId="1" fontId="10" fillId="5" borderId="15" xfId="0" applyNumberFormat="1" applyFont="1" applyFill="1" applyBorder="1" applyAlignment="1">
      <alignment horizontal="right"/>
    </xf>
    <xf numFmtId="164" fontId="2" fillId="3" borderId="13" xfId="0" applyNumberFormat="1" applyFont="1" applyFill="1" applyBorder="1"/>
    <xf numFmtId="164" fontId="3" fillId="4" borderId="14" xfId="0" applyNumberFormat="1" applyFont="1" applyFill="1" applyBorder="1"/>
    <xf numFmtId="164" fontId="5" fillId="6" borderId="15" xfId="0" applyNumberFormat="1" applyFont="1" applyFill="1" applyBorder="1"/>
    <xf numFmtId="164" fontId="6" fillId="2" borderId="16" xfId="0" applyNumberFormat="1" applyFont="1" applyFill="1" applyBorder="1"/>
    <xf numFmtId="164" fontId="0" fillId="8" borderId="2" xfId="0" applyNumberFormat="1" applyFont="1" applyFill="1" applyBorder="1" applyAlignment="1">
      <alignment horizontal="right"/>
    </xf>
    <xf numFmtId="1" fontId="10" fillId="5" borderId="2" xfId="0" applyNumberFormat="1" applyFont="1" applyFill="1" applyBorder="1"/>
    <xf numFmtId="0" fontId="0" fillId="0" borderId="0" xfId="0" applyFont="1"/>
    <xf numFmtId="164" fontId="6" fillId="2" borderId="17" xfId="0" applyNumberFormat="1" applyFont="1" applyFill="1" applyBorder="1"/>
    <xf numFmtId="164" fontId="0" fillId="8" borderId="6" xfId="0" applyNumberFormat="1" applyFont="1" applyFill="1" applyBorder="1" applyAlignment="1">
      <alignment horizontal="right"/>
    </xf>
    <xf numFmtId="164" fontId="2" fillId="3" borderId="18" xfId="0" applyNumberFormat="1" applyFont="1" applyFill="1" applyBorder="1"/>
    <xf numFmtId="164" fontId="3" fillId="4" borderId="19" xfId="0" applyNumberFormat="1" applyFont="1" applyFill="1" applyBorder="1"/>
    <xf numFmtId="164" fontId="5" fillId="6" borderId="20" xfId="0" applyNumberFormat="1" applyFont="1" applyFill="1" applyBorder="1"/>
    <xf numFmtId="164" fontId="6" fillId="2" borderId="21" xfId="0" applyNumberFormat="1" applyFont="1" applyFill="1" applyBorder="1"/>
    <xf numFmtId="164" fontId="0" fillId="8" borderId="10" xfId="0" applyNumberFormat="1" applyFont="1" applyFill="1" applyBorder="1" applyAlignment="1">
      <alignment horizontal="right"/>
    </xf>
    <xf numFmtId="164" fontId="2" fillId="3" borderId="22" xfId="0" applyNumberFormat="1" applyFont="1" applyFill="1" applyBorder="1"/>
    <xf numFmtId="164" fontId="5" fillId="6" borderId="23" xfId="0" applyNumberFormat="1" applyFont="1" applyFill="1" applyBorder="1"/>
    <xf numFmtId="3" fontId="6" fillId="2" borderId="24" xfId="0" applyNumberFormat="1" applyFont="1" applyFill="1" applyBorder="1"/>
    <xf numFmtId="3" fontId="0" fillId="3" borderId="13" xfId="0" applyNumberFormat="1" applyFont="1" applyFill="1" applyBorder="1" applyAlignment="1">
      <alignment horizontal="right"/>
    </xf>
    <xf numFmtId="3" fontId="7" fillId="4" borderId="14" xfId="0" applyNumberFormat="1" applyFont="1" applyFill="1" applyBorder="1"/>
    <xf numFmtId="164" fontId="2" fillId="3" borderId="25" xfId="0" applyNumberFormat="1" applyFont="1" applyFill="1" applyBorder="1"/>
    <xf numFmtId="164" fontId="3" fillId="4" borderId="26" xfId="0" applyNumberFormat="1" applyFont="1" applyFill="1" applyBorder="1"/>
    <xf numFmtId="164" fontId="5" fillId="6" borderId="27" xfId="0" applyNumberFormat="1" applyFont="1" applyFill="1" applyBorder="1"/>
    <xf numFmtId="3" fontId="0" fillId="3" borderId="28" xfId="0" applyNumberFormat="1" applyFont="1" applyFill="1" applyBorder="1" applyAlignment="1">
      <alignment horizontal="right"/>
    </xf>
    <xf numFmtId="3" fontId="7" fillId="4" borderId="2" xfId="0" applyNumberFormat="1" applyFont="1" applyFill="1" applyBorder="1"/>
    <xf numFmtId="1" fontId="10" fillId="5" borderId="2" xfId="0" applyNumberFormat="1" applyFont="1" applyFill="1" applyBorder="1" applyAlignment="1">
      <alignment horizontal="right"/>
    </xf>
    <xf numFmtId="164" fontId="1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0" fontId="11" fillId="9" borderId="29" xfId="0" applyFont="1" applyFill="1" applyBorder="1"/>
    <xf numFmtId="9" fontId="11" fillId="9" borderId="29" xfId="0" applyNumberFormat="1" applyFont="1" applyFill="1" applyBorder="1"/>
    <xf numFmtId="9" fontId="6" fillId="0" borderId="0" xfId="0" applyNumberFormat="1" applyFont="1"/>
    <xf numFmtId="0" fontId="12" fillId="9" borderId="29" xfId="0" applyFont="1" applyFill="1" applyBorder="1"/>
    <xf numFmtId="164" fontId="11" fillId="9" borderId="29" xfId="0" applyNumberFormat="1" applyFont="1" applyFill="1" applyBorder="1"/>
    <xf numFmtId="0" fontId="6" fillId="10" borderId="2" xfId="0" applyFont="1" applyFill="1" applyBorder="1"/>
    <xf numFmtId="0" fontId="13" fillId="0" borderId="0" xfId="0" applyFont="1" applyAlignment="1"/>
    <xf numFmtId="2" fontId="6" fillId="0" borderId="0" xfId="0" applyNumberFormat="1" applyFont="1"/>
    <xf numFmtId="164" fontId="6" fillId="0" borderId="0" xfId="0" applyNumberFormat="1" applyFont="1"/>
    <xf numFmtId="0" fontId="14" fillId="0" borderId="0" xfId="0" applyFont="1" applyAlignment="1"/>
    <xf numFmtId="0" fontId="6" fillId="11" borderId="2" xfId="0" applyFont="1" applyFill="1" applyBorder="1"/>
    <xf numFmtId="0" fontId="6" fillId="12" borderId="2" xfId="0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36</xdr:row>
      <xdr:rowOff>0</xdr:rowOff>
    </xdr:from>
    <xdr:ext cx="314325" cy="304800"/>
    <xdr:sp macro="" textlink="">
      <xdr:nvSpPr>
        <xdr:cNvPr id="3" name="Shape 3" descr="{\displaystyle Var({\overline {X}})={\frac {1}{n^{2}}}\sum _{i}\sigma _{i}^{2}=\left({\frac {\sigma }{\sqrt {n}}}\right)^{2}}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314325</xdr:colOff>
      <xdr:row>26</xdr:row>
      <xdr:rowOff>47625</xdr:rowOff>
    </xdr:from>
    <xdr:ext cx="2105025" cy="3905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2"/>
  <sheetViews>
    <sheetView tabSelected="1" workbookViewId="0"/>
  </sheetViews>
  <sheetFormatPr defaultColWidth="11.23046875" defaultRowHeight="15" customHeight="1" x14ac:dyDescent="0.35"/>
  <cols>
    <col min="1" max="1" width="10.69140625" customWidth="1"/>
    <col min="2" max="2" width="21.84375" customWidth="1"/>
    <col min="3" max="3" width="10.69140625" customWidth="1"/>
    <col min="4" max="4" width="13.69140625" customWidth="1"/>
    <col min="5" max="6" width="11.765625" customWidth="1"/>
    <col min="7" max="7" width="14.765625" customWidth="1"/>
    <col min="8" max="9" width="17" customWidth="1"/>
    <col min="10" max="10" width="15.4609375" customWidth="1"/>
    <col min="11" max="11" width="10.69140625" customWidth="1"/>
    <col min="12" max="12" width="17" customWidth="1"/>
    <col min="13" max="16" width="10.69140625" customWidth="1"/>
    <col min="17" max="17" width="21.765625" customWidth="1"/>
    <col min="18" max="18" width="19.765625" customWidth="1"/>
    <col min="19" max="20" width="10.69140625" customWidth="1"/>
    <col min="21" max="21" width="19.23046875" customWidth="1"/>
    <col min="22" max="26" width="10.69140625" customWidth="1"/>
  </cols>
  <sheetData>
    <row r="1" spans="1:26" x14ac:dyDescent="0.35">
      <c r="D1" s="78" t="s">
        <v>0</v>
      </c>
      <c r="E1" s="79"/>
      <c r="F1" s="79"/>
      <c r="H1" s="78" t="s">
        <v>1</v>
      </c>
      <c r="I1" s="79"/>
      <c r="J1" s="79"/>
      <c r="L1" s="1" t="s">
        <v>2</v>
      </c>
    </row>
    <row r="2" spans="1:26" x14ac:dyDescent="0.35">
      <c r="A2" s="1" t="s">
        <v>3</v>
      </c>
      <c r="B2" s="2" t="s">
        <v>4</v>
      </c>
      <c r="C2" s="1"/>
      <c r="D2" s="3" t="s">
        <v>5</v>
      </c>
      <c r="E2" s="4" t="s">
        <v>6</v>
      </c>
      <c r="F2" s="5" t="s">
        <v>7</v>
      </c>
      <c r="G2" s="1"/>
      <c r="H2" s="3" t="s">
        <v>5</v>
      </c>
      <c r="I2" s="4" t="s">
        <v>6</v>
      </c>
      <c r="J2" s="6" t="s">
        <v>7</v>
      </c>
      <c r="K2" s="1"/>
      <c r="L2" s="3" t="s">
        <v>5</v>
      </c>
      <c r="M2" s="4" t="s">
        <v>6</v>
      </c>
      <c r="N2" s="6" t="s">
        <v>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7">
        <v>2000</v>
      </c>
      <c r="B3" s="8">
        <v>52842.475057742668</v>
      </c>
      <c r="D3" s="9"/>
      <c r="E3" s="10">
        <v>85133</v>
      </c>
      <c r="F3" s="5"/>
      <c r="H3" s="9"/>
      <c r="I3" s="11">
        <f t="shared" ref="I3:I13" si="0">(B3-E3)^2</f>
        <v>1042678001.0465429</v>
      </c>
      <c r="J3" s="12"/>
    </row>
    <row r="4" spans="1:26" x14ac:dyDescent="0.35">
      <c r="A4" s="7">
        <v>2001</v>
      </c>
      <c r="B4" s="8">
        <v>85663.154575907742</v>
      </c>
      <c r="D4" s="9"/>
      <c r="E4" s="10">
        <v>76073</v>
      </c>
      <c r="F4" s="5"/>
      <c r="H4" s="9"/>
      <c r="I4" s="11">
        <f t="shared" si="0"/>
        <v>91971064.78980419</v>
      </c>
      <c r="J4" s="12"/>
    </row>
    <row r="5" spans="1:26" x14ac:dyDescent="0.35">
      <c r="A5" s="7">
        <v>2002</v>
      </c>
      <c r="B5" s="8">
        <v>81486.99617368239</v>
      </c>
      <c r="D5" s="9"/>
      <c r="E5" s="10">
        <v>95778</v>
      </c>
      <c r="F5" s="5"/>
      <c r="H5" s="9"/>
      <c r="I5" s="11">
        <f t="shared" si="0"/>
        <v>204232790.36382458</v>
      </c>
      <c r="J5" s="12"/>
    </row>
    <row r="6" spans="1:26" x14ac:dyDescent="0.35">
      <c r="A6" s="7">
        <v>2003</v>
      </c>
      <c r="B6" s="8">
        <v>149979.00365562402</v>
      </c>
      <c r="D6" s="9"/>
      <c r="E6" s="10">
        <v>101681</v>
      </c>
      <c r="F6" s="5"/>
      <c r="H6" s="9"/>
      <c r="I6" s="11">
        <f t="shared" si="0"/>
        <v>2332697157.1186714</v>
      </c>
      <c r="J6" s="12"/>
    </row>
    <row r="7" spans="1:26" x14ac:dyDescent="0.35">
      <c r="A7" s="7">
        <v>2004</v>
      </c>
      <c r="B7" s="8">
        <v>117247.19547728037</v>
      </c>
      <c r="D7" s="9"/>
      <c r="E7" s="10">
        <v>116166</v>
      </c>
      <c r="F7" s="5"/>
      <c r="H7" s="9"/>
      <c r="I7" s="11">
        <f t="shared" si="0"/>
        <v>1168983.6600915333</v>
      </c>
      <c r="J7" s="12"/>
    </row>
    <row r="8" spans="1:26" x14ac:dyDescent="0.35">
      <c r="A8" s="7">
        <v>2005</v>
      </c>
      <c r="B8" s="8">
        <v>123612.0000552734</v>
      </c>
      <c r="D8" s="9"/>
      <c r="E8" s="10">
        <v>91855</v>
      </c>
      <c r="F8" s="5"/>
      <c r="H8" s="9"/>
      <c r="I8" s="11">
        <f t="shared" si="0"/>
        <v>1008507052.5106347</v>
      </c>
      <c r="J8" s="12"/>
    </row>
    <row r="9" spans="1:26" x14ac:dyDescent="0.35">
      <c r="A9" s="7">
        <v>2006</v>
      </c>
      <c r="B9" s="13">
        <v>119484.9953026696</v>
      </c>
      <c r="D9" s="9"/>
      <c r="E9" s="10">
        <v>88516</v>
      </c>
      <c r="F9" s="5"/>
      <c r="H9" s="9"/>
      <c r="I9" s="11">
        <f t="shared" si="0"/>
        <v>959078670.05677187</v>
      </c>
      <c r="J9" s="12"/>
      <c r="P9" s="14" t="s">
        <v>3</v>
      </c>
      <c r="Q9" s="14" t="s">
        <v>8</v>
      </c>
      <c r="R9" s="7" t="s">
        <v>9</v>
      </c>
      <c r="S9" s="7" t="s">
        <v>10</v>
      </c>
      <c r="U9" s="15" t="s">
        <v>11</v>
      </c>
    </row>
    <row r="10" spans="1:26" x14ac:dyDescent="0.35">
      <c r="A10" s="7">
        <v>2007</v>
      </c>
      <c r="B10" s="16">
        <v>87899.199999999983</v>
      </c>
      <c r="D10" s="17">
        <v>95195</v>
      </c>
      <c r="E10" s="18">
        <v>97646</v>
      </c>
      <c r="F10" s="19">
        <v>95737.495299999995</v>
      </c>
      <c r="H10" s="20">
        <f t="shared" ref="H10:H13" si="1">(B10-D10)^2</f>
        <v>53228697.640000254</v>
      </c>
      <c r="I10" s="21">
        <f t="shared" si="0"/>
        <v>95000110.240000337</v>
      </c>
      <c r="J10" s="22">
        <f t="shared" ref="J10:J13" si="2">(B10-F10)^2</f>
        <v>61438873.210002288</v>
      </c>
      <c r="L10" s="23">
        <f t="shared" ref="L10:N10" si="3">D10*H$30</f>
        <v>0</v>
      </c>
      <c r="M10" s="24">
        <f t="shared" si="3"/>
        <v>51770.162522533254</v>
      </c>
      <c r="N10" s="25">
        <f t="shared" si="3"/>
        <v>44979.187830351846</v>
      </c>
      <c r="P10" s="14">
        <f t="shared" ref="P10:P24" si="4">A10</f>
        <v>2007</v>
      </c>
      <c r="Q10" s="26">
        <f t="shared" ref="Q10:Q24" si="5">SUM(L10:N10)</f>
        <v>96749.3503528851</v>
      </c>
      <c r="R10" s="27">
        <f t="shared" ref="R10:R13" si="6">LN(B10)-LN(Q10)</f>
        <v>-9.5932913790193197E-2</v>
      </c>
      <c r="S10" s="27">
        <f t="shared" ref="S10:S13" si="7">R10^2</f>
        <v>9.2031239482766401E-3</v>
      </c>
      <c r="U10" s="28">
        <f t="shared" ref="U10:U13" si="8">(Q10-B10)^2</f>
        <v>78325161.268672571</v>
      </c>
    </row>
    <row r="11" spans="1:26" x14ac:dyDescent="0.35">
      <c r="A11" s="7">
        <v>2008</v>
      </c>
      <c r="B11" s="29">
        <v>62609.999999999993</v>
      </c>
      <c r="D11" s="30">
        <v>92422</v>
      </c>
      <c r="E11" s="10">
        <v>73080</v>
      </c>
      <c r="F11" s="31">
        <v>78936.739400000006</v>
      </c>
      <c r="H11" s="32">
        <f t="shared" si="1"/>
        <v>888755344.00000048</v>
      </c>
      <c r="I11" s="11">
        <f t="shared" si="0"/>
        <v>109620900.00000015</v>
      </c>
      <c r="J11" s="33">
        <f t="shared" si="2"/>
        <v>266562419.43551278</v>
      </c>
      <c r="L11" s="23">
        <f t="shared" ref="L11:N11" si="9">D11*H$30</f>
        <v>0</v>
      </c>
      <c r="M11" s="24">
        <f t="shared" si="9"/>
        <v>38745.708755573498</v>
      </c>
      <c r="N11" s="25">
        <f t="shared" si="9"/>
        <v>37085.892179050308</v>
      </c>
      <c r="P11" s="14">
        <f t="shared" si="4"/>
        <v>2008</v>
      </c>
      <c r="Q11" s="26">
        <f t="shared" si="5"/>
        <v>75831.600934623799</v>
      </c>
      <c r="R11" s="27">
        <f t="shared" si="6"/>
        <v>-0.19159009488658185</v>
      </c>
      <c r="S11" s="27">
        <f t="shared" si="7"/>
        <v>3.6706764458649441E-2</v>
      </c>
      <c r="U11" s="28">
        <f t="shared" si="8"/>
        <v>174810731.27444512</v>
      </c>
    </row>
    <row r="12" spans="1:26" x14ac:dyDescent="0.35">
      <c r="A12" s="7">
        <v>2009</v>
      </c>
      <c r="B12" s="29">
        <v>87221</v>
      </c>
      <c r="D12" s="30">
        <v>90675</v>
      </c>
      <c r="E12" s="10">
        <v>68727</v>
      </c>
      <c r="F12" s="31">
        <v>60982.763200000001</v>
      </c>
      <c r="H12" s="32">
        <f t="shared" si="1"/>
        <v>11930116</v>
      </c>
      <c r="I12" s="11">
        <f t="shared" si="0"/>
        <v>342028036</v>
      </c>
      <c r="J12" s="33">
        <f t="shared" si="2"/>
        <v>688445070.37287414</v>
      </c>
      <c r="L12" s="23">
        <f t="shared" ref="L12:N12" si="10">D12*H$30</f>
        <v>0</v>
      </c>
      <c r="M12" s="24">
        <f t="shared" si="10"/>
        <v>36437.826021405308</v>
      </c>
      <c r="N12" s="25">
        <f t="shared" si="10"/>
        <v>28650.793002171518</v>
      </c>
      <c r="P12" s="14">
        <f t="shared" si="4"/>
        <v>2009</v>
      </c>
      <c r="Q12" s="26">
        <f t="shared" si="5"/>
        <v>65088.61902357683</v>
      </c>
      <c r="R12" s="27">
        <f t="shared" si="6"/>
        <v>0.29269541666448262</v>
      </c>
      <c r="S12" s="27">
        <f t="shared" si="7"/>
        <v>8.5670606936395097E-2</v>
      </c>
      <c r="U12" s="28">
        <f t="shared" si="8"/>
        <v>489842287.68553823</v>
      </c>
    </row>
    <row r="13" spans="1:26" x14ac:dyDescent="0.35">
      <c r="A13" s="7">
        <v>2010</v>
      </c>
      <c r="B13" s="34">
        <v>59740.965530000001</v>
      </c>
      <c r="D13" s="35">
        <v>94850</v>
      </c>
      <c r="E13" s="36">
        <v>72275</v>
      </c>
      <c r="F13" s="37">
        <v>59483.007400000002</v>
      </c>
      <c r="H13" s="38">
        <f t="shared" si="1"/>
        <v>1232644301.415648</v>
      </c>
      <c r="I13" s="39">
        <f t="shared" si="0"/>
        <v>157102020.09514815</v>
      </c>
      <c r="J13" s="40">
        <f t="shared" si="2"/>
        <v>66542.396833096427</v>
      </c>
      <c r="L13" s="23">
        <f t="shared" ref="L13:N13" si="11">D13*H$30</f>
        <v>0</v>
      </c>
      <c r="M13" s="24">
        <f t="shared" si="11"/>
        <v>38318.912155296588</v>
      </c>
      <c r="N13" s="25">
        <f t="shared" si="11"/>
        <v>27946.180899917581</v>
      </c>
      <c r="P13" s="14">
        <f t="shared" si="4"/>
        <v>2010</v>
      </c>
      <c r="Q13" s="26">
        <f t="shared" si="5"/>
        <v>66265.093055214165</v>
      </c>
      <c r="R13" s="27">
        <f t="shared" si="6"/>
        <v>-0.10364528376047311</v>
      </c>
      <c r="S13" s="27">
        <f t="shared" si="7"/>
        <v>1.074234484578899E-2</v>
      </c>
      <c r="U13" s="28">
        <f t="shared" si="8"/>
        <v>42564239.965257093</v>
      </c>
    </row>
    <row r="14" spans="1:26" x14ac:dyDescent="0.35">
      <c r="A14" s="7">
        <v>2011</v>
      </c>
      <c r="B14" s="41">
        <v>71726</v>
      </c>
      <c r="D14" s="42">
        <v>93631</v>
      </c>
      <c r="E14" s="10">
        <v>69252</v>
      </c>
      <c r="F14" s="43"/>
      <c r="H14" s="9"/>
      <c r="I14" s="11"/>
      <c r="J14" s="12"/>
      <c r="L14" s="23"/>
      <c r="M14" s="24"/>
      <c r="N14" s="25">
        <f t="shared" ref="N14:N15" si="12">F14*J$30</f>
        <v>0</v>
      </c>
      <c r="P14" s="14">
        <f t="shared" si="4"/>
        <v>2011</v>
      </c>
      <c r="Q14" s="26">
        <f t="shared" si="5"/>
        <v>0</v>
      </c>
      <c r="R14" s="27"/>
      <c r="S14" s="27"/>
      <c r="U14" s="28"/>
    </row>
    <row r="15" spans="1:26" x14ac:dyDescent="0.35">
      <c r="A15" s="7">
        <v>2012</v>
      </c>
      <c r="B15" s="13">
        <v>48493.747360000001</v>
      </c>
      <c r="D15" s="42">
        <v>93020</v>
      </c>
      <c r="E15" s="10">
        <v>60679</v>
      </c>
      <c r="F15" s="43"/>
      <c r="H15" s="9"/>
      <c r="I15" s="11"/>
      <c r="J15" s="12"/>
      <c r="K15" s="44"/>
      <c r="L15" s="23"/>
      <c r="M15" s="24"/>
      <c r="N15" s="25">
        <f t="shared" si="12"/>
        <v>0</v>
      </c>
      <c r="P15" s="14">
        <f t="shared" si="4"/>
        <v>2012</v>
      </c>
      <c r="Q15" s="26">
        <f t="shared" si="5"/>
        <v>0</v>
      </c>
      <c r="R15" s="27"/>
      <c r="S15" s="27"/>
      <c r="U15" s="28"/>
    </row>
    <row r="16" spans="1:26" x14ac:dyDescent="0.35">
      <c r="A16" s="7">
        <v>2013</v>
      </c>
      <c r="B16" s="45">
        <v>37176.935858689998</v>
      </c>
      <c r="D16" s="46">
        <v>91152</v>
      </c>
      <c r="E16" s="18">
        <v>56914</v>
      </c>
      <c r="F16" s="19">
        <v>53211.265599999999</v>
      </c>
      <c r="H16" s="47">
        <f t="shared" ref="H16:H23" si="13">(B16-D16)^2</f>
        <v>2913307549.0585289</v>
      </c>
      <c r="I16" s="48">
        <f t="shared" ref="I16:I23" si="14">(B16-E16)^2</f>
        <v>389551700.91818511</v>
      </c>
      <c r="J16" s="49">
        <f t="shared" ref="J16:J23" si="15">(B16-F16)^2</f>
        <v>257099730.25305843</v>
      </c>
      <c r="L16" s="23">
        <f t="shared" ref="L16:N16" si="16">D16*H$30</f>
        <v>0</v>
      </c>
      <c r="M16" s="24">
        <f t="shared" si="16"/>
        <v>30174.784730633692</v>
      </c>
      <c r="N16" s="25">
        <f t="shared" si="16"/>
        <v>24999.604414271114</v>
      </c>
      <c r="P16" s="14">
        <f t="shared" si="4"/>
        <v>2013</v>
      </c>
      <c r="Q16" s="26">
        <f t="shared" si="5"/>
        <v>55174.38914490481</v>
      </c>
      <c r="R16" s="27">
        <f t="shared" ref="R16:R23" si="17">LN(B16)-LN(Q16)</f>
        <v>-0.39481031565326852</v>
      </c>
      <c r="S16" s="27">
        <f t="shared" ref="S16:S23" si="18">R16^2</f>
        <v>0.15587518534623351</v>
      </c>
      <c r="U16" s="28">
        <f t="shared" ref="U16:U23" si="19">(Q16-B16)^2</f>
        <v>323908324.78948432</v>
      </c>
    </row>
    <row r="17" spans="1:21" x14ac:dyDescent="0.35">
      <c r="A17" s="7">
        <v>2014</v>
      </c>
      <c r="B17" s="50">
        <v>64885.695677390948</v>
      </c>
      <c r="D17" s="51">
        <v>91514</v>
      </c>
      <c r="E17" s="10">
        <v>52525</v>
      </c>
      <c r="F17" s="31">
        <v>59430.411</v>
      </c>
      <c r="H17" s="52">
        <f t="shared" si="13"/>
        <v>709066591.09747994</v>
      </c>
      <c r="I17" s="11">
        <f t="shared" si="14"/>
        <v>152786797.62907127</v>
      </c>
      <c r="J17" s="53">
        <f t="shared" si="15"/>
        <v>29760130.911376458</v>
      </c>
      <c r="L17" s="23">
        <f t="shared" ref="L17:N17" si="20">D17*H$30</f>
        <v>0</v>
      </c>
      <c r="M17" s="24">
        <f t="shared" si="20"/>
        <v>27847.815440428272</v>
      </c>
      <c r="N17" s="25">
        <f t="shared" si="20"/>
        <v>27921.470170360815</v>
      </c>
      <c r="P17" s="14">
        <f t="shared" si="4"/>
        <v>2014</v>
      </c>
      <c r="Q17" s="26">
        <f t="shared" si="5"/>
        <v>55769.285610789084</v>
      </c>
      <c r="R17" s="27">
        <f t="shared" si="17"/>
        <v>0.15140391307143908</v>
      </c>
      <c r="S17" s="27">
        <f t="shared" si="18"/>
        <v>2.2923144893343881E-2</v>
      </c>
      <c r="U17" s="28">
        <f t="shared" si="19"/>
        <v>83108932.502439797</v>
      </c>
    </row>
    <row r="18" spans="1:21" x14ac:dyDescent="0.35">
      <c r="A18" s="7">
        <v>2015</v>
      </c>
      <c r="B18" s="50">
        <v>87322.973724954019</v>
      </c>
      <c r="D18" s="51">
        <v>91696</v>
      </c>
      <c r="E18" s="10">
        <v>66268</v>
      </c>
      <c r="F18" s="31">
        <v>65670.444900000002</v>
      </c>
      <c r="H18" s="52">
        <f t="shared" si="13"/>
        <v>19123358.802242525</v>
      </c>
      <c r="I18" s="11">
        <f t="shared" si="14"/>
        <v>443311918.55850416</v>
      </c>
      <c r="J18" s="53">
        <f t="shared" si="15"/>
        <v>468832004.5154646</v>
      </c>
      <c r="L18" s="23">
        <f t="shared" ref="L18:N18" si="21">D18*H$30</f>
        <v>0</v>
      </c>
      <c r="M18" s="24">
        <f t="shared" si="21"/>
        <v>35134.108207640187</v>
      </c>
      <c r="N18" s="25">
        <f t="shared" si="21"/>
        <v>30853.149717400971</v>
      </c>
      <c r="P18" s="14">
        <f t="shared" si="4"/>
        <v>2015</v>
      </c>
      <c r="Q18" s="26">
        <f t="shared" si="5"/>
        <v>65987.257925041165</v>
      </c>
      <c r="R18" s="27">
        <f t="shared" si="17"/>
        <v>0.28015192494110508</v>
      </c>
      <c r="S18" s="27">
        <f t="shared" si="18"/>
        <v>7.8485101048206579E-2</v>
      </c>
      <c r="U18" s="28">
        <f t="shared" si="19"/>
        <v>455212768.69465101</v>
      </c>
    </row>
    <row r="19" spans="1:21" x14ac:dyDescent="0.35">
      <c r="A19" s="7">
        <v>2016</v>
      </c>
      <c r="B19" s="50">
        <v>82765.48947614542</v>
      </c>
      <c r="D19" s="51">
        <v>91855</v>
      </c>
      <c r="E19" s="10">
        <v>75494</v>
      </c>
      <c r="F19" s="31">
        <v>78657.688599999994</v>
      </c>
      <c r="H19" s="52">
        <f t="shared" si="13"/>
        <v>82619201.563263163</v>
      </c>
      <c r="I19" s="11">
        <f t="shared" si="14"/>
        <v>52874559.201693594</v>
      </c>
      <c r="J19" s="53">
        <f t="shared" si="15"/>
        <v>16874028.038061127</v>
      </c>
      <c r="L19" s="23">
        <f t="shared" ref="L19:N19" si="22">D19*H$30</f>
        <v>0</v>
      </c>
      <c r="M19" s="24">
        <f t="shared" si="22"/>
        <v>40025.568374292088</v>
      </c>
      <c r="N19" s="25">
        <f t="shared" si="22"/>
        <v>36954.789121590118</v>
      </c>
      <c r="P19" s="14">
        <f t="shared" si="4"/>
        <v>2016</v>
      </c>
      <c r="Q19" s="26">
        <f t="shared" si="5"/>
        <v>76980.357495882199</v>
      </c>
      <c r="R19" s="27">
        <f t="shared" si="17"/>
        <v>7.2460888887471597E-2</v>
      </c>
      <c r="S19" s="27">
        <f t="shared" si="18"/>
        <v>5.2505804183625047E-3</v>
      </c>
      <c r="U19" s="28">
        <f t="shared" si="19"/>
        <v>33467752.029064253</v>
      </c>
    </row>
    <row r="20" spans="1:21" x14ac:dyDescent="0.35">
      <c r="A20" s="7">
        <v>2017</v>
      </c>
      <c r="B20" s="50">
        <v>93188.129949105612</v>
      </c>
      <c r="D20" s="51">
        <v>92002</v>
      </c>
      <c r="E20" s="10">
        <v>82007</v>
      </c>
      <c r="F20" s="31">
        <v>103307.1925</v>
      </c>
      <c r="H20" s="52">
        <f t="shared" si="13"/>
        <v>1406904.2561652828</v>
      </c>
      <c r="I20" s="11">
        <f t="shared" si="14"/>
        <v>125017666.93878648</v>
      </c>
      <c r="J20" s="53">
        <f t="shared" si="15"/>
        <v>102395426.90891333</v>
      </c>
      <c r="L20" s="23">
        <f t="shared" ref="L20:N20" si="23">D20*H$30</f>
        <v>0</v>
      </c>
      <c r="M20" s="24">
        <f t="shared" si="23"/>
        <v>43478.64447069398</v>
      </c>
      <c r="N20" s="25">
        <f t="shared" si="23"/>
        <v>48535.56698055601</v>
      </c>
      <c r="P20" s="14">
        <f t="shared" si="4"/>
        <v>2017</v>
      </c>
      <c r="Q20" s="26">
        <f t="shared" si="5"/>
        <v>92014.211451249983</v>
      </c>
      <c r="R20" s="27">
        <f t="shared" si="17"/>
        <v>1.2677315103719167E-2</v>
      </c>
      <c r="S20" s="27">
        <f t="shared" si="18"/>
        <v>1.6071431823898611E-4</v>
      </c>
      <c r="U20" s="28">
        <f t="shared" si="19"/>
        <v>1378084.6396076176</v>
      </c>
    </row>
    <row r="21" spans="1:21" x14ac:dyDescent="0.35">
      <c r="A21" s="7">
        <v>2018</v>
      </c>
      <c r="B21" s="50">
        <v>76356.344628084582</v>
      </c>
      <c r="D21" s="51">
        <v>87682</v>
      </c>
      <c r="E21" s="10">
        <v>69205</v>
      </c>
      <c r="F21" s="31">
        <v>89171.458700000003</v>
      </c>
      <c r="H21" s="52">
        <f t="shared" si="13"/>
        <v>128270469.60339656</v>
      </c>
      <c r="I21" s="11">
        <f t="shared" si="14"/>
        <v>51141729.989634208</v>
      </c>
      <c r="J21" s="53">
        <f t="shared" si="15"/>
        <v>164227148.67620465</v>
      </c>
      <c r="L21" s="23">
        <f t="shared" ref="L21:N21" si="24">D21*H$30</f>
        <v>0</v>
      </c>
      <c r="M21" s="24">
        <f t="shared" si="24"/>
        <v>36691.253071010731</v>
      </c>
      <c r="N21" s="25">
        <f t="shared" si="24"/>
        <v>41894.346383362747</v>
      </c>
      <c r="P21" s="14">
        <f t="shared" si="4"/>
        <v>2018</v>
      </c>
      <c r="Q21" s="26">
        <f t="shared" si="5"/>
        <v>78585.599454373471</v>
      </c>
      <c r="R21" s="27">
        <f t="shared" si="17"/>
        <v>-2.8777342134281625E-2</v>
      </c>
      <c r="S21" s="27">
        <f t="shared" si="18"/>
        <v>8.281354203135005E-4</v>
      </c>
      <c r="U21" s="28">
        <f t="shared" si="19"/>
        <v>4969577.0805323031</v>
      </c>
    </row>
    <row r="22" spans="1:21" x14ac:dyDescent="0.35">
      <c r="A22" s="7">
        <v>2019</v>
      </c>
      <c r="B22" s="50">
        <v>72620.430435380331</v>
      </c>
      <c r="D22" s="51">
        <v>89495</v>
      </c>
      <c r="E22" s="10">
        <v>72013</v>
      </c>
      <c r="F22" s="31">
        <v>82395.066000000006</v>
      </c>
      <c r="H22" s="52">
        <f t="shared" si="13"/>
        <v>284751097.99118847</v>
      </c>
      <c r="I22" s="11">
        <f t="shared" si="14"/>
        <v>368971.73382633837</v>
      </c>
      <c r="J22" s="53">
        <f t="shared" si="15"/>
        <v>95543500.421127796</v>
      </c>
      <c r="L22" s="23">
        <f t="shared" ref="L22:N22" si="25">D22*H$30</f>
        <v>0</v>
      </c>
      <c r="M22" s="24">
        <f t="shared" si="25"/>
        <v>38180.004441914542</v>
      </c>
      <c r="N22" s="25">
        <f t="shared" si="25"/>
        <v>38710.675877774273</v>
      </c>
      <c r="P22" s="14">
        <f t="shared" si="4"/>
        <v>2019</v>
      </c>
      <c r="Q22" s="26">
        <f t="shared" si="5"/>
        <v>76890.680319688807</v>
      </c>
      <c r="R22" s="27">
        <f t="shared" si="17"/>
        <v>-5.7138383767757261E-2</v>
      </c>
      <c r="S22" s="27">
        <f t="shared" si="18"/>
        <v>3.2647948995915064E-3</v>
      </c>
      <c r="U22" s="28">
        <f t="shared" si="19"/>
        <v>18235034.074436553</v>
      </c>
    </row>
    <row r="23" spans="1:21" x14ac:dyDescent="0.35">
      <c r="A23" s="7">
        <v>2020</v>
      </c>
      <c r="B23" s="54">
        <v>45501</v>
      </c>
      <c r="D23" s="55">
        <v>89406.36</v>
      </c>
      <c r="E23" s="56">
        <v>67344</v>
      </c>
      <c r="F23" s="37">
        <v>69006.625599999999</v>
      </c>
      <c r="H23" s="57">
        <f t="shared" si="13"/>
        <v>1927680636.7296</v>
      </c>
      <c r="I23" s="58">
        <f t="shared" si="14"/>
        <v>477116649</v>
      </c>
      <c r="J23" s="59">
        <f t="shared" si="15"/>
        <v>552514434.84737527</v>
      </c>
      <c r="L23" s="23">
        <f t="shared" ref="L23:N23" si="26">D23*H$30</f>
        <v>0</v>
      </c>
      <c r="M23" s="24">
        <f t="shared" si="26"/>
        <v>35704.584160308455</v>
      </c>
      <c r="N23" s="25">
        <f t="shared" si="26"/>
        <v>32420.547087376814</v>
      </c>
      <c r="P23" s="14">
        <f t="shared" si="4"/>
        <v>2020</v>
      </c>
      <c r="Q23" s="26">
        <f t="shared" si="5"/>
        <v>68125.131247685262</v>
      </c>
      <c r="R23" s="27">
        <f t="shared" si="17"/>
        <v>-0.40361187581570945</v>
      </c>
      <c r="S23" s="27">
        <f t="shared" si="18"/>
        <v>0.16290254629947568</v>
      </c>
      <c r="U23" s="28">
        <f t="shared" si="19"/>
        <v>511851314.71248865</v>
      </c>
    </row>
    <row r="24" spans="1:21" x14ac:dyDescent="0.35">
      <c r="A24" s="7">
        <v>2021</v>
      </c>
      <c r="D24" s="60">
        <v>89248</v>
      </c>
      <c r="E24" s="61">
        <v>55382</v>
      </c>
      <c r="F24" s="62">
        <v>52293.791100000002</v>
      </c>
      <c r="H24" s="63"/>
      <c r="I24" s="63"/>
      <c r="J24" s="63"/>
      <c r="L24" s="23">
        <f t="shared" ref="L24:N24" si="27">D24*H$30</f>
        <v>0</v>
      </c>
      <c r="M24" s="24">
        <f t="shared" si="27"/>
        <v>29362.545734827196</v>
      </c>
      <c r="N24" s="25">
        <f t="shared" si="27"/>
        <v>24568.558482520504</v>
      </c>
      <c r="P24" s="14">
        <f t="shared" si="4"/>
        <v>2021</v>
      </c>
      <c r="Q24" s="26">
        <f t="shared" si="5"/>
        <v>53931.104217347704</v>
      </c>
    </row>
    <row r="25" spans="1:21" x14ac:dyDescent="0.35">
      <c r="F25" s="62">
        <v>46432.6322</v>
      </c>
      <c r="H25" s="63"/>
      <c r="I25" s="63"/>
      <c r="J25" s="63"/>
    </row>
    <row r="26" spans="1:21" x14ac:dyDescent="0.35">
      <c r="H26" s="63"/>
      <c r="I26" s="63"/>
      <c r="J26" s="63"/>
    </row>
    <row r="27" spans="1:21" x14ac:dyDescent="0.35">
      <c r="H27" s="63"/>
      <c r="I27" s="63"/>
      <c r="J27" s="63"/>
    </row>
    <row r="28" spans="1:21" x14ac:dyDescent="0.35">
      <c r="G28" s="7" t="s">
        <v>12</v>
      </c>
      <c r="H28" s="9">
        <f t="shared" ref="H28:J28" si="28">SUM(H10:H23)/(COUNT(H10:H23)-1)</f>
        <v>750253115.28704655</v>
      </c>
      <c r="I28" s="9">
        <f t="shared" si="28"/>
        <v>217811005.48225906</v>
      </c>
      <c r="J28" s="9">
        <f t="shared" si="28"/>
        <v>245796300.90789127</v>
      </c>
      <c r="R28" s="7" t="s">
        <v>13</v>
      </c>
      <c r="S28" s="64">
        <f>SQRT(SUM(S10:S23)/(COUNT(S10:S23)-1))</f>
        <v>0.22803768485072742</v>
      </c>
      <c r="U28" s="9">
        <f>SUM(U10:U23)/(COUNT(U10:U23)-1)</f>
        <v>201606746.24696523</v>
      </c>
    </row>
    <row r="29" spans="1:21" x14ac:dyDescent="0.35">
      <c r="G29" s="7" t="s">
        <v>14</v>
      </c>
      <c r="H29" s="65">
        <f t="shared" ref="H29:J29" si="29">1/H28</f>
        <v>1.3328835024129162E-9</v>
      </c>
      <c r="I29" s="65">
        <f t="shared" si="29"/>
        <v>4.5911362366005467E-9</v>
      </c>
      <c r="J29" s="65">
        <f t="shared" si="29"/>
        <v>4.0684094768974413E-9</v>
      </c>
    </row>
    <row r="30" spans="1:21" x14ac:dyDescent="0.35">
      <c r="G30" s="66" t="s">
        <v>15</v>
      </c>
      <c r="H30" s="67"/>
      <c r="I30" s="67">
        <f t="shared" ref="I30:J30" si="30">I29/SUM($I29:$J29)</f>
        <v>0.53018211214523125</v>
      </c>
      <c r="J30" s="67">
        <f t="shared" si="30"/>
        <v>0.46981788785476875</v>
      </c>
      <c r="K30" s="68">
        <f>SUM(H30:J30)</f>
        <v>1</v>
      </c>
      <c r="S30" s="7" t="s">
        <v>16</v>
      </c>
      <c r="T30" s="7" t="s">
        <v>17</v>
      </c>
    </row>
    <row r="31" spans="1:21" x14ac:dyDescent="0.35">
      <c r="B31" s="15" t="s">
        <v>18</v>
      </c>
      <c r="C31" s="15" t="s">
        <v>19</v>
      </c>
      <c r="D31" s="15" t="s">
        <v>20</v>
      </c>
      <c r="E31" s="15" t="s">
        <v>21</v>
      </c>
      <c r="Q31" s="69" t="s">
        <v>22</v>
      </c>
      <c r="R31" s="70">
        <f>Q24</f>
        <v>53931.104217347704</v>
      </c>
      <c r="S31" s="70">
        <f>R36</f>
        <v>33607.623428504754</v>
      </c>
      <c r="T31" s="70">
        <f>R37</f>
        <v>82159.349951147407</v>
      </c>
      <c r="U31" s="71" t="s">
        <v>23</v>
      </c>
    </row>
    <row r="32" spans="1:21" x14ac:dyDescent="0.35">
      <c r="B32" s="15" t="s">
        <v>24</v>
      </c>
      <c r="C32" s="15" t="s">
        <v>25</v>
      </c>
      <c r="E32" s="72" t="s">
        <v>26</v>
      </c>
      <c r="Q32" s="7" t="s">
        <v>27</v>
      </c>
      <c r="R32" s="73">
        <f>LN(R31)</f>
        <v>10.895462663132745</v>
      </c>
      <c r="S32" s="7" t="s">
        <v>28</v>
      </c>
      <c r="T32" s="74">
        <f>T31-S31</f>
        <v>48551.726522642653</v>
      </c>
    </row>
    <row r="33" spans="1:21" x14ac:dyDescent="0.35">
      <c r="B33" s="15" t="s">
        <v>29</v>
      </c>
      <c r="C33" s="15" t="s">
        <v>30</v>
      </c>
      <c r="Q33" s="7" t="s">
        <v>31</v>
      </c>
      <c r="R33" s="27">
        <f>R32-1.96*S28</f>
        <v>10.448508800825319</v>
      </c>
    </row>
    <row r="34" spans="1:21" x14ac:dyDescent="0.35">
      <c r="Q34" s="7" t="s">
        <v>32</v>
      </c>
      <c r="R34" s="27">
        <f>R32+1.96*S28</f>
        <v>11.342416525440171</v>
      </c>
    </row>
    <row r="35" spans="1:21" x14ac:dyDescent="0.35">
      <c r="B35" s="75" t="s">
        <v>33</v>
      </c>
      <c r="Q35" s="7"/>
      <c r="R35" s="27"/>
    </row>
    <row r="36" spans="1:21" x14ac:dyDescent="0.35">
      <c r="B36" s="15" t="s">
        <v>34</v>
      </c>
      <c r="Q36" s="7" t="s">
        <v>35</v>
      </c>
      <c r="R36" s="74">
        <f>EXP(R33-(S28^2)/2)</f>
        <v>33607.623428504754</v>
      </c>
    </row>
    <row r="37" spans="1:21" x14ac:dyDescent="0.35">
      <c r="B37" s="15" t="s">
        <v>36</v>
      </c>
      <c r="D37" s="15" t="s">
        <v>37</v>
      </c>
      <c r="Q37" s="7" t="s">
        <v>38</v>
      </c>
      <c r="R37" s="74">
        <f>EXP(R34-(S28^2)/2)</f>
        <v>82159.349951147407</v>
      </c>
    </row>
    <row r="38" spans="1:21" x14ac:dyDescent="0.35">
      <c r="Q38" s="7"/>
      <c r="R38" s="74"/>
    </row>
    <row r="39" spans="1:21" x14ac:dyDescent="0.35">
      <c r="B39" s="75" t="s">
        <v>39</v>
      </c>
    </row>
    <row r="40" spans="1:21" x14ac:dyDescent="0.35">
      <c r="B40" s="15" t="s">
        <v>40</v>
      </c>
      <c r="Q40" s="69" t="s">
        <v>22</v>
      </c>
      <c r="R40" s="70">
        <f>Q24</f>
        <v>53931.104217347704</v>
      </c>
      <c r="S40" s="70">
        <f>R44</f>
        <v>36151.736670889972</v>
      </c>
      <c r="T40" s="70">
        <f>R45</f>
        <v>76377.533932201244</v>
      </c>
      <c r="U40" s="76" t="s">
        <v>41</v>
      </c>
    </row>
    <row r="41" spans="1:21" x14ac:dyDescent="0.35">
      <c r="B41" s="15" t="s">
        <v>42</v>
      </c>
      <c r="E41" s="75" t="s">
        <v>43</v>
      </c>
      <c r="Q41" s="7" t="s">
        <v>27</v>
      </c>
      <c r="R41" s="73">
        <f>LN(R40)</f>
        <v>10.895462663132745</v>
      </c>
      <c r="S41" s="7" t="s">
        <v>28</v>
      </c>
      <c r="T41" s="74">
        <f>T40-S40</f>
        <v>40225.797261311272</v>
      </c>
    </row>
    <row r="42" spans="1:21" x14ac:dyDescent="0.35">
      <c r="B42" s="15" t="s">
        <v>44</v>
      </c>
      <c r="Q42" s="7" t="s">
        <v>31</v>
      </c>
      <c r="R42" s="27">
        <f>R41-1.64*S28</f>
        <v>10.521480859977553</v>
      </c>
    </row>
    <row r="43" spans="1:21" x14ac:dyDescent="0.35">
      <c r="Q43" s="7" t="s">
        <v>32</v>
      </c>
      <c r="R43" s="27">
        <f>R41+1.64*S28</f>
        <v>11.269444466287938</v>
      </c>
    </row>
    <row r="44" spans="1:21" x14ac:dyDescent="0.35">
      <c r="Q44" s="7" t="s">
        <v>35</v>
      </c>
      <c r="R44" s="74">
        <f>EXP(R42-(S28^2)/2)</f>
        <v>36151.736670889972</v>
      </c>
    </row>
    <row r="45" spans="1:21" x14ac:dyDescent="0.35">
      <c r="B45" s="75" t="s">
        <v>45</v>
      </c>
      <c r="Q45" s="7" t="s">
        <v>38</v>
      </c>
      <c r="R45" s="74">
        <f>EXP(R43-(S28^2)/2)</f>
        <v>76377.533932201244</v>
      </c>
    </row>
    <row r="46" spans="1:21" x14ac:dyDescent="0.35">
      <c r="A46" s="75">
        <v>1</v>
      </c>
      <c r="B46" s="15" t="s">
        <v>46</v>
      </c>
    </row>
    <row r="47" spans="1:21" x14ac:dyDescent="0.35">
      <c r="A47" s="75">
        <v>2</v>
      </c>
      <c r="B47" s="72" t="s">
        <v>47</v>
      </c>
      <c r="Q47" s="69" t="s">
        <v>22</v>
      </c>
      <c r="R47" s="70">
        <f>Q24</f>
        <v>53931.104217347704</v>
      </c>
      <c r="S47" s="70">
        <f>R51</f>
        <v>39244.784432000764</v>
      </c>
      <c r="T47" s="70">
        <f>R52</f>
        <v>70357.89683271636</v>
      </c>
      <c r="U47" s="77" t="s">
        <v>48</v>
      </c>
    </row>
    <row r="48" spans="1:21" x14ac:dyDescent="0.35">
      <c r="A48" s="75">
        <v>3</v>
      </c>
      <c r="B48" s="72" t="s">
        <v>49</v>
      </c>
      <c r="C48" s="15" t="s">
        <v>50</v>
      </c>
      <c r="Q48" s="7" t="s">
        <v>27</v>
      </c>
      <c r="R48" s="73">
        <f>LN(R47)</f>
        <v>10.895462663132745</v>
      </c>
      <c r="S48" s="7" t="s">
        <v>28</v>
      </c>
      <c r="T48" s="74">
        <f>T47-S47</f>
        <v>31113.112400715596</v>
      </c>
    </row>
    <row r="49" spans="1:18" x14ac:dyDescent="0.35">
      <c r="A49" s="75">
        <v>4</v>
      </c>
      <c r="B49" s="15" t="s">
        <v>51</v>
      </c>
      <c r="Q49" s="7" t="s">
        <v>31</v>
      </c>
      <c r="R49" s="27">
        <f>R48-1.28*S28</f>
        <v>10.603574426523814</v>
      </c>
    </row>
    <row r="50" spans="1:18" x14ac:dyDescent="0.35">
      <c r="A50" s="75">
        <v>5</v>
      </c>
      <c r="B50" s="15" t="s">
        <v>52</v>
      </c>
      <c r="Q50" s="7" t="s">
        <v>32</v>
      </c>
      <c r="R50" s="27">
        <f>R48+1.28*S28</f>
        <v>11.187350899741677</v>
      </c>
    </row>
    <row r="51" spans="1:18" x14ac:dyDescent="0.35">
      <c r="A51" s="75">
        <v>6</v>
      </c>
      <c r="B51" s="15" t="s">
        <v>53</v>
      </c>
      <c r="Q51" s="7" t="s">
        <v>35</v>
      </c>
      <c r="R51" s="74">
        <f>EXP(R49-(S28^2)/2)</f>
        <v>39244.784432000764</v>
      </c>
    </row>
    <row r="52" spans="1:18" x14ac:dyDescent="0.35">
      <c r="B52" s="15" t="s">
        <v>54</v>
      </c>
      <c r="Q52" s="7" t="s">
        <v>38</v>
      </c>
      <c r="R52" s="74">
        <f>EXP(R50-(S28^2)/2)</f>
        <v>70357.89683271636</v>
      </c>
    </row>
  </sheetData>
  <mergeCells count="2">
    <mergeCell ref="D1:F1"/>
    <mergeCell ref="H1:J1"/>
  </mergeCells>
  <conditionalFormatting sqref="H28:J28 U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Jim.Murphy</cp:lastModifiedBy>
  <dcterms:created xsi:type="dcterms:W3CDTF">2021-01-09T20:58:55Z</dcterms:created>
  <dcterms:modified xsi:type="dcterms:W3CDTF">2021-10-11T22:34:22Z</dcterms:modified>
</cp:coreProperties>
</file>