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eseason_SEAK_pink_salmon_forecast\2022_forecast\results\"/>
    </mc:Choice>
  </mc:AlternateContent>
  <xr:revisionPtr revIDLastSave="0" documentId="8_{7F1A4D27-AAA1-4EC4-83FB-7C6023E646D8}" xr6:coauthVersionLast="46" xr6:coauthVersionMax="46" xr10:uidLastSave="{00000000-0000-0000-0000-000000000000}"/>
  <bookViews>
    <workbookView xWindow="28680" yWindow="-120" windowWidth="29040" windowHeight="15840"/>
  </bookViews>
  <sheets>
    <sheet name="model_summary_table_test" sheetId="1" r:id="rId1"/>
  </sheets>
  <calcPr calcId="0"/>
</workbook>
</file>

<file path=xl/calcChain.xml><?xml version="1.0" encoding="utf-8"?>
<calcChain xmlns="http://schemas.openxmlformats.org/spreadsheetml/2006/main">
  <c r="J3" i="1" l="1"/>
  <c r="K3" i="1" s="1"/>
  <c r="N3" i="1"/>
  <c r="O3" i="1" s="1"/>
  <c r="M3" i="1"/>
  <c r="R3" i="1" l="1"/>
  <c r="N4" i="1"/>
  <c r="O4" i="1" s="1"/>
  <c r="N5" i="1"/>
  <c r="O5" i="1" s="1"/>
  <c r="N6" i="1"/>
  <c r="O6" i="1" s="1"/>
  <c r="P3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J4" i="1"/>
  <c r="K4" i="1" s="1"/>
  <c r="J5" i="1"/>
  <c r="K5" i="1" s="1"/>
  <c r="J6" i="1"/>
  <c r="K6" i="1" s="1"/>
  <c r="J7" i="1"/>
  <c r="K7" i="1" s="1"/>
  <c r="J8" i="1"/>
  <c r="K8" i="1" s="1"/>
  <c r="J9" i="1"/>
  <c r="K9" i="1" s="1"/>
  <c r="J10" i="1"/>
  <c r="K10" i="1" s="1"/>
  <c r="J11" i="1"/>
  <c r="K11" i="1" s="1"/>
  <c r="J12" i="1"/>
  <c r="K12" i="1" s="1"/>
  <c r="J13" i="1"/>
  <c r="K13" i="1" s="1"/>
  <c r="J14" i="1"/>
  <c r="K14" i="1" s="1"/>
  <c r="J15" i="1"/>
  <c r="L15" i="1" s="1"/>
  <c r="J16" i="1"/>
  <c r="K16" i="1" s="1"/>
  <c r="J17" i="1"/>
  <c r="K17" i="1" s="1"/>
  <c r="J18" i="1"/>
  <c r="K18" i="1" s="1"/>
  <c r="J19" i="1"/>
  <c r="K19" i="1" s="1"/>
  <c r="J20" i="1"/>
  <c r="K20" i="1" s="1"/>
  <c r="J21" i="1"/>
  <c r="K21" i="1" s="1"/>
  <c r="J22" i="1"/>
  <c r="K22" i="1" s="1"/>
  <c r="J23" i="1"/>
  <c r="L23" i="1" s="1"/>
  <c r="J24" i="1"/>
  <c r="K24" i="1" s="1"/>
  <c r="J25" i="1"/>
  <c r="K25" i="1" s="1"/>
  <c r="J26" i="1"/>
  <c r="K26" i="1" s="1"/>
  <c r="J27" i="1"/>
  <c r="L27" i="1" s="1"/>
  <c r="J28" i="1"/>
  <c r="K28" i="1" s="1"/>
  <c r="R27" i="1" l="1"/>
  <c r="R11" i="1"/>
  <c r="R23" i="1"/>
  <c r="R7" i="1"/>
  <c r="R19" i="1"/>
  <c r="R15" i="1"/>
  <c r="L3" i="1"/>
  <c r="P27" i="1"/>
  <c r="R26" i="1"/>
  <c r="R22" i="1"/>
  <c r="R18" i="1"/>
  <c r="R14" i="1"/>
  <c r="R10" i="1"/>
  <c r="R6" i="1"/>
  <c r="R25" i="1"/>
  <c r="R21" i="1"/>
  <c r="R17" i="1"/>
  <c r="R13" i="1"/>
  <c r="R9" i="1"/>
  <c r="R5" i="1"/>
  <c r="R28" i="1"/>
  <c r="R24" i="1"/>
  <c r="R20" i="1"/>
  <c r="R16" i="1"/>
  <c r="R12" i="1"/>
  <c r="R8" i="1"/>
  <c r="R4" i="1"/>
  <c r="P19" i="1"/>
  <c r="P11" i="1"/>
  <c r="P26" i="1"/>
  <c r="P18" i="1"/>
  <c r="P10" i="1"/>
  <c r="P25" i="1"/>
  <c r="P21" i="1"/>
  <c r="P17" i="1"/>
  <c r="P13" i="1"/>
  <c r="P9" i="1"/>
  <c r="P5" i="1"/>
  <c r="P23" i="1"/>
  <c r="P15" i="1"/>
  <c r="P7" i="1"/>
  <c r="P28" i="1"/>
  <c r="P24" i="1"/>
  <c r="P20" i="1"/>
  <c r="P16" i="1"/>
  <c r="P12" i="1"/>
  <c r="P8" i="1"/>
  <c r="P4" i="1"/>
  <c r="Q3" i="1" s="1" a="1"/>
  <c r="Q3" i="1" s="1"/>
  <c r="P22" i="1"/>
  <c r="P14" i="1"/>
  <c r="P6" i="1"/>
  <c r="L17" i="1"/>
  <c r="L13" i="1"/>
  <c r="L25" i="1"/>
  <c r="L9" i="1"/>
  <c r="L21" i="1"/>
  <c r="L5" i="1"/>
  <c r="L19" i="1"/>
  <c r="L11" i="1"/>
  <c r="L7" i="1"/>
  <c r="K27" i="1"/>
  <c r="K23" i="1"/>
  <c r="K15" i="1"/>
  <c r="L28" i="1"/>
  <c r="L26" i="1"/>
  <c r="L24" i="1"/>
  <c r="L22" i="1"/>
  <c r="L20" i="1"/>
  <c r="L18" i="1"/>
  <c r="L16" i="1"/>
  <c r="L14" i="1"/>
  <c r="L12" i="1"/>
  <c r="L10" i="1"/>
  <c r="L8" i="1"/>
  <c r="L6" i="1"/>
  <c r="L4" i="1"/>
  <c r="Z3" i="1" l="1"/>
  <c r="S3" i="1"/>
  <c r="Q10" i="1" a="1"/>
  <c r="Q10" i="1" s="1"/>
  <c r="Q13" i="1" a="1"/>
  <c r="Q13" i="1" s="1"/>
  <c r="Z13" i="1" s="1"/>
  <c r="Q21" i="1" a="1"/>
  <c r="Q21" i="1" s="1"/>
  <c r="Q5" i="1" a="1"/>
  <c r="Q5" i="1" s="1"/>
  <c r="Z5" i="1" s="1"/>
  <c r="Q18" i="1" a="1"/>
  <c r="Q18" i="1" s="1"/>
  <c r="Q26" i="1" a="1"/>
  <c r="Q26" i="1" s="1"/>
  <c r="Z26" i="1" s="1"/>
  <c r="Q25" i="1" a="1"/>
  <c r="Q25" i="1" s="1"/>
  <c r="Q23" i="1" a="1"/>
  <c r="Q23" i="1" s="1"/>
  <c r="Z23" i="1" s="1"/>
  <c r="Q24" i="1" a="1"/>
  <c r="Q24" i="1" s="1"/>
  <c r="Q14" i="1" a="1"/>
  <c r="Q14" i="1" s="1"/>
  <c r="Z14" i="1" s="1"/>
  <c r="Q12" i="1" a="1"/>
  <c r="Q12" i="1" s="1"/>
  <c r="Q28" i="1" a="1"/>
  <c r="Q28" i="1" s="1"/>
  <c r="Q19" i="1" a="1"/>
  <c r="Q19" i="1" s="1"/>
  <c r="Q7" i="1" a="1"/>
  <c r="Q7" i="1" s="1"/>
  <c r="Q11" i="1" a="1"/>
  <c r="Q11" i="1" s="1"/>
  <c r="Q27" i="1" a="1"/>
  <c r="Q27" i="1" s="1"/>
  <c r="Z27" i="1" s="1"/>
  <c r="Q17" i="1" a="1"/>
  <c r="Q17" i="1" s="1"/>
  <c r="Q15" i="1" a="1"/>
  <c r="Q15" i="1" s="1"/>
  <c r="Z15" i="1" s="1"/>
  <c r="Q9" i="1" a="1"/>
  <c r="Q9" i="1" s="1"/>
  <c r="Q16" i="1" a="1"/>
  <c r="Q16" i="1" s="1"/>
  <c r="Q6" i="1" a="1"/>
  <c r="Q6" i="1" s="1"/>
  <c r="Q22" i="1" a="1"/>
  <c r="Q22" i="1" s="1"/>
  <c r="Z22" i="1" s="1"/>
  <c r="Q4" i="1" a="1"/>
  <c r="Q4" i="1" s="1"/>
  <c r="Z4" i="1" s="1"/>
  <c r="Q20" i="1" a="1"/>
  <c r="Q20" i="1" s="1"/>
  <c r="Z20" i="1" s="1"/>
  <c r="Q8" i="1" a="1"/>
  <c r="Q8" i="1" s="1"/>
  <c r="S13" i="1" l="1"/>
  <c r="T13" i="1" s="1"/>
  <c r="T3" i="1"/>
  <c r="S4" i="1"/>
  <c r="T4" i="1" s="1"/>
  <c r="S7" i="1"/>
  <c r="T7" i="1" s="1"/>
  <c r="Z7" i="1"/>
  <c r="S8" i="1"/>
  <c r="T8" i="1" s="1"/>
  <c r="Z8" i="1"/>
  <c r="S6" i="1"/>
  <c r="T6" i="1" s="1"/>
  <c r="Z6" i="1"/>
  <c r="S17" i="1"/>
  <c r="T17" i="1" s="1"/>
  <c r="Z17" i="1"/>
  <c r="S19" i="1"/>
  <c r="T19" i="1" s="1"/>
  <c r="Z19" i="1"/>
  <c r="S24" i="1"/>
  <c r="T24" i="1" s="1"/>
  <c r="Z24" i="1"/>
  <c r="S18" i="1"/>
  <c r="T18" i="1" s="1"/>
  <c r="Z18" i="1"/>
  <c r="S10" i="1"/>
  <c r="T10" i="1" s="1"/>
  <c r="Z10" i="1"/>
  <c r="S22" i="1"/>
  <c r="T22" i="1" s="1"/>
  <c r="S16" i="1"/>
  <c r="T16" i="1" s="1"/>
  <c r="Z16" i="1"/>
  <c r="S28" i="1"/>
  <c r="T28" i="1" s="1"/>
  <c r="Z28" i="1"/>
  <c r="S27" i="1"/>
  <c r="T27" i="1" s="1"/>
  <c r="S5" i="1"/>
  <c r="T5" i="1" s="1"/>
  <c r="S9" i="1"/>
  <c r="T9" i="1" s="1"/>
  <c r="Z9" i="1"/>
  <c r="S11" i="1"/>
  <c r="T11" i="1" s="1"/>
  <c r="Z11" i="1"/>
  <c r="S12" i="1"/>
  <c r="T12" i="1" s="1"/>
  <c r="Z12" i="1"/>
  <c r="S25" i="1"/>
  <c r="T25" i="1" s="1"/>
  <c r="Z25" i="1"/>
  <c r="S21" i="1"/>
  <c r="T21" i="1" s="1"/>
  <c r="Z21" i="1"/>
  <c r="S26" i="1"/>
  <c r="T26" i="1" s="1"/>
  <c r="S14" i="1"/>
  <c r="T14" i="1" s="1"/>
  <c r="S15" i="1"/>
  <c r="T15" i="1" s="1"/>
  <c r="S23" i="1"/>
  <c r="T23" i="1" s="1"/>
  <c r="S20" i="1"/>
  <c r="T20" i="1" s="1"/>
  <c r="U11" i="1" l="1"/>
  <c r="V11" i="1" s="1"/>
  <c r="W11" i="1" s="1"/>
  <c r="X11" i="1" s="1"/>
  <c r="AA11" i="1" s="1"/>
  <c r="U9" i="1"/>
  <c r="V9" i="1" s="1"/>
  <c r="W9" i="1" s="1"/>
  <c r="U26" i="1"/>
  <c r="V26" i="1" s="1"/>
  <c r="W26" i="1" s="1"/>
  <c r="Y26" i="1" s="1"/>
  <c r="AB26" i="1" s="1"/>
  <c r="U3" i="1"/>
  <c r="V3" i="1" s="1"/>
  <c r="W3" i="1" s="1"/>
  <c r="U27" i="1"/>
  <c r="V27" i="1" s="1"/>
  <c r="W27" i="1" s="1"/>
  <c r="X27" i="1" s="1"/>
  <c r="AA27" i="1" s="1"/>
  <c r="U12" i="1"/>
  <c r="V12" i="1" s="1"/>
  <c r="W12" i="1" s="1"/>
  <c r="X12" i="1" s="1"/>
  <c r="AA12" i="1" s="1"/>
  <c r="U17" i="1"/>
  <c r="V17" i="1" s="1"/>
  <c r="W17" i="1" s="1"/>
  <c r="Y17" i="1" s="1"/>
  <c r="AB17" i="1" s="1"/>
  <c r="U4" i="1"/>
  <c r="V4" i="1" s="1"/>
  <c r="W4" i="1" s="1"/>
  <c r="U24" i="1"/>
  <c r="V24" i="1" s="1"/>
  <c r="W24" i="1" s="1"/>
  <c r="X24" i="1" s="1"/>
  <c r="AA24" i="1" s="1"/>
  <c r="Y9" i="1"/>
  <c r="AB9" i="1" s="1"/>
  <c r="X9" i="1"/>
  <c r="AA9" i="1" s="1"/>
  <c r="U14" i="1"/>
  <c r="V14" i="1" s="1"/>
  <c r="W14" i="1" s="1"/>
  <c r="U5" i="1"/>
  <c r="V5" i="1" s="1"/>
  <c r="W5" i="1" s="1"/>
  <c r="U16" i="1"/>
  <c r="V16" i="1" s="1"/>
  <c r="W16" i="1" s="1"/>
  <c r="U20" i="1"/>
  <c r="V20" i="1" s="1"/>
  <c r="W20" i="1" s="1"/>
  <c r="U8" i="1"/>
  <c r="V8" i="1" s="1"/>
  <c r="W8" i="1" s="1"/>
  <c r="U10" i="1"/>
  <c r="V10" i="1" s="1"/>
  <c r="W10" i="1" s="1"/>
  <c r="U28" i="1"/>
  <c r="V28" i="1" s="1"/>
  <c r="W28" i="1" s="1"/>
  <c r="U25" i="1"/>
  <c r="V25" i="1" s="1"/>
  <c r="W25" i="1" s="1"/>
  <c r="U22" i="1"/>
  <c r="V22" i="1" s="1"/>
  <c r="W22" i="1" s="1"/>
  <c r="Y22" i="1" s="1"/>
  <c r="AB22" i="1" s="1"/>
  <c r="U15" i="1"/>
  <c r="V15" i="1" s="1"/>
  <c r="W15" i="1" s="1"/>
  <c r="U18" i="1"/>
  <c r="V18" i="1" s="1"/>
  <c r="W18" i="1" s="1"/>
  <c r="U19" i="1"/>
  <c r="V19" i="1" s="1"/>
  <c r="W19" i="1" s="1"/>
  <c r="U7" i="1"/>
  <c r="V7" i="1" s="1"/>
  <c r="W7" i="1" s="1"/>
  <c r="U21" i="1"/>
  <c r="V21" i="1" s="1"/>
  <c r="W21" i="1" s="1"/>
  <c r="U6" i="1"/>
  <c r="V6" i="1" s="1"/>
  <c r="W6" i="1" s="1"/>
  <c r="U23" i="1"/>
  <c r="V23" i="1" s="1"/>
  <c r="W23" i="1" s="1"/>
  <c r="U13" i="1"/>
  <c r="V13" i="1" s="1"/>
  <c r="W13" i="1" s="1"/>
  <c r="Y11" i="1"/>
  <c r="AB11" i="1" s="1"/>
  <c r="Y12" i="1"/>
  <c r="AB12" i="1" s="1"/>
  <c r="X22" i="1"/>
  <c r="AA22" i="1" s="1"/>
  <c r="X26" i="1" l="1"/>
  <c r="AA26" i="1" s="1"/>
  <c r="X3" i="1"/>
  <c r="AA3" i="1" s="1"/>
  <c r="Y3" i="1"/>
  <c r="AB3" i="1" s="1"/>
  <c r="X17" i="1"/>
  <c r="AA17" i="1" s="1"/>
  <c r="Y27" i="1"/>
  <c r="AB27" i="1" s="1"/>
  <c r="X4" i="1"/>
  <c r="AA4" i="1" s="1"/>
  <c r="Y4" i="1"/>
  <c r="AB4" i="1" s="1"/>
  <c r="Y24" i="1"/>
  <c r="AB24" i="1" s="1"/>
  <c r="X19" i="1"/>
  <c r="AA19" i="1" s="1"/>
  <c r="Y19" i="1"/>
  <c r="AB19" i="1" s="1"/>
  <c r="X20" i="1"/>
  <c r="AA20" i="1" s="1"/>
  <c r="Y20" i="1"/>
  <c r="AB20" i="1" s="1"/>
  <c r="Y18" i="1"/>
  <c r="AB18" i="1" s="1"/>
  <c r="X18" i="1"/>
  <c r="AA18" i="1" s="1"/>
  <c r="X16" i="1"/>
  <c r="AA16" i="1" s="1"/>
  <c r="Y16" i="1"/>
  <c r="AB16" i="1" s="1"/>
  <c r="X14" i="1"/>
  <c r="AA14" i="1" s="1"/>
  <c r="Y14" i="1"/>
  <c r="AB14" i="1" s="1"/>
  <c r="Y13" i="1"/>
  <c r="AB13" i="1" s="1"/>
  <c r="X13" i="1"/>
  <c r="AA13" i="1" s="1"/>
  <c r="X7" i="1"/>
  <c r="AA7" i="1" s="1"/>
  <c r="Y7" i="1"/>
  <c r="AB7" i="1" s="1"/>
  <c r="Y8" i="1"/>
  <c r="AB8" i="1" s="1"/>
  <c r="X8" i="1"/>
  <c r="AA8" i="1" s="1"/>
  <c r="X23" i="1"/>
  <c r="AA23" i="1" s="1"/>
  <c r="Y23" i="1"/>
  <c r="AB23" i="1" s="1"/>
  <c r="Y25" i="1"/>
  <c r="AB25" i="1" s="1"/>
  <c r="X25" i="1"/>
  <c r="AA25" i="1" s="1"/>
  <c r="Y6" i="1"/>
  <c r="AB6" i="1" s="1"/>
  <c r="X6" i="1"/>
  <c r="AA6" i="1" s="1"/>
  <c r="X28" i="1"/>
  <c r="AA28" i="1" s="1"/>
  <c r="Y28" i="1"/>
  <c r="AB28" i="1" s="1"/>
  <c r="X21" i="1"/>
  <c r="AA21" i="1" s="1"/>
  <c r="Y21" i="1"/>
  <c r="AB21" i="1" s="1"/>
  <c r="X15" i="1"/>
  <c r="AA15" i="1" s="1"/>
  <c r="Y15" i="1"/>
  <c r="AB15" i="1" s="1"/>
  <c r="X10" i="1"/>
  <c r="AA10" i="1" s="1"/>
  <c r="Y10" i="1"/>
  <c r="AB10" i="1" s="1"/>
  <c r="Y5" i="1"/>
  <c r="AB5" i="1" s="1"/>
  <c r="X5" i="1"/>
  <c r="AA5" i="1" s="1"/>
</calcChain>
</file>

<file path=xl/comments1.xml><?xml version="1.0" encoding="utf-8"?>
<comments xmlns="http://schemas.openxmlformats.org/spreadsheetml/2006/main">
  <authors>
    <author>NA</author>
  </authors>
  <commentList>
    <comment ref="R1" authorId="0" shapeId="0">
      <text>
        <r>
          <rPr>
            <b/>
            <sz val="9"/>
            <color indexed="81"/>
            <rFont val="Tahoma"/>
            <charset val="1"/>
          </rPr>
          <t>Buckland et al. 1997 (equation 9) or equation 6 in Dormann et al. 2018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E2" authorId="0" shapeId="0">
      <text>
        <r>
          <rPr>
            <b/>
            <sz val="9"/>
            <color indexed="81"/>
            <rFont val="Tahoma"/>
            <charset val="1"/>
          </rPr>
          <t>https://stats.stackexchange.com/questions/155305/how-does-r-calculate-prediction-intervals-in-the-forecast-package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2" authorId="0" shapeId="0">
      <text>
        <r>
          <rPr>
            <b/>
            <sz val="9"/>
            <color indexed="81"/>
            <rFont val="Tahoma"/>
            <family val="2"/>
          </rPr>
          <t>derived from output of predict (i.e., from variable se.fit and df)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>
      <text>
        <r>
          <rPr>
            <b/>
            <sz val="9"/>
            <color indexed="81"/>
            <rFont val="Tahoma"/>
            <family val="2"/>
          </rPr>
          <t xml:space="preserve">calculated to make sure the same as predict function in R; 
https://stats.stackexchange.com/questions/155305/how-does-r-calculate-prediction-intervals-in-the-forecast-package
</t>
        </r>
      </text>
    </comment>
    <comment ref="M2" authorId="0" shapeId="0">
      <text>
        <r>
          <rPr>
            <b/>
            <sz val="9"/>
            <color indexed="81"/>
            <rFont val="Tahoma"/>
            <family val="2"/>
          </rPr>
          <t>https://stats.stackexchange.com/questions/359088/correcting-log-transformation-bias-in-a-linear-model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P2" authorId="0" shapeId="0">
      <text>
        <r>
          <rPr>
            <b/>
            <sz val="9"/>
            <color indexed="81"/>
            <rFont val="Tahoma"/>
            <charset val="1"/>
          </rPr>
          <t>http://www.turkupetcentre.net/reports/tpcmod0016.pdf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2" authorId="0" shapeId="0">
      <text>
        <r>
          <rPr>
            <b/>
            <sz val="9"/>
            <color indexed="81"/>
            <rFont val="Tahoma"/>
            <charset val="1"/>
          </rPr>
          <t>https://www.mm218.dev/posts/2021/01/model-averaging/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W2" authorId="0" shapeId="0">
      <text>
        <r>
          <rPr>
            <b/>
            <sz val="9"/>
            <color indexed="81"/>
            <rFont val="Tahoma"/>
            <charset val="1"/>
          </rPr>
          <t>pg. 162 in Burnham and Anderson 2002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X2" authorId="0" shapeId="0">
      <text>
        <r>
          <rPr>
            <b/>
            <sz val="9"/>
            <color indexed="81"/>
            <rFont val="Tahoma"/>
            <charset val="1"/>
          </rPr>
          <t>upper and lower 80% prediction interval for the model_averaged prediction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2" authorId="0" shapeId="0">
      <text>
        <r>
          <rPr>
            <b/>
            <sz val="9"/>
            <color indexed="81"/>
            <rFont val="Tahoma"/>
            <charset val="1"/>
          </rPr>
          <t>upper and lower 80% prediction interval for the model_averaged prediction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<sst xmlns="http://schemas.openxmlformats.org/spreadsheetml/2006/main" count="84" uniqueCount="79">
  <si>
    <t>terms</t>
  </si>
  <si>
    <t>fit</t>
  </si>
  <si>
    <t>se.fit</t>
  </si>
  <si>
    <t>fit_LPI</t>
  </si>
  <si>
    <t>fit_UPI</t>
  </si>
  <si>
    <t>AICc</t>
  </si>
  <si>
    <t>sigma</t>
  </si>
  <si>
    <t>df</t>
  </si>
  <si>
    <t>stdev</t>
  </si>
  <si>
    <t>var_yhat</t>
  </si>
  <si>
    <t>delta</t>
  </si>
  <si>
    <t>relLik</t>
  </si>
  <si>
    <t>aicc_weight</t>
  </si>
  <si>
    <t>CPUE</t>
  </si>
  <si>
    <t>m1</t>
  </si>
  <si>
    <t>CPUE + ISTI3_May</t>
  </si>
  <si>
    <t>m2</t>
  </si>
  <si>
    <t>CPUE + ISTI10_May</t>
  </si>
  <si>
    <t>m3</t>
  </si>
  <si>
    <t>CPUE + ISTI15_May</t>
  </si>
  <si>
    <t>m4</t>
  </si>
  <si>
    <t>CPUE + ISTI20_May</t>
  </si>
  <si>
    <t>m5</t>
  </si>
  <si>
    <t>CPUE + ISTI3_MJJ</t>
  </si>
  <si>
    <t>m6</t>
  </si>
  <si>
    <t>CPUE + ISTI10_MJJ</t>
  </si>
  <si>
    <t>m7</t>
  </si>
  <si>
    <t>CPUE + ISTI15_MJJ</t>
  </si>
  <si>
    <t>m8</t>
  </si>
  <si>
    <t>CPUE + ISTI20_MJJ</t>
  </si>
  <si>
    <t>m9</t>
  </si>
  <si>
    <t>CPUE + IS3_May</t>
  </si>
  <si>
    <t>m10</t>
  </si>
  <si>
    <t>CPUE + IS3_MJJ</t>
  </si>
  <si>
    <t>m11</t>
  </si>
  <si>
    <t>CPUE + Chatham_Strait_SST_MJJ</t>
  </si>
  <si>
    <t>m12</t>
  </si>
  <si>
    <t>CPUE + Chatham_Strait_SST_May</t>
  </si>
  <si>
    <t>m13</t>
  </si>
  <si>
    <t>CPUE + Chatham_Strait_SST_AMJJ</t>
  </si>
  <si>
    <t>m14</t>
  </si>
  <si>
    <t>CPUE + Icy_Strait_SST_MJJ</t>
  </si>
  <si>
    <t>m15</t>
  </si>
  <si>
    <t>CPUE + Icy_Strait_SST_May</t>
  </si>
  <si>
    <t>m16</t>
  </si>
  <si>
    <t>CPUE + Icy_Strait_SST_AMJJ</t>
  </si>
  <si>
    <t>CPUE + NSEAK_SST_MJJ</t>
  </si>
  <si>
    <t>m18</t>
  </si>
  <si>
    <t>CPUE + NSEAK_SST_May</t>
  </si>
  <si>
    <t>m19</t>
  </si>
  <si>
    <t>CPUE + NSEAK_SST_AMJJ</t>
  </si>
  <si>
    <t>m20</t>
  </si>
  <si>
    <t>CPUE + SST_Jordan_MJJ</t>
  </si>
  <si>
    <t>m21</t>
  </si>
  <si>
    <t>CPUE + SST_Jordan_May</t>
  </si>
  <si>
    <t>m22</t>
  </si>
  <si>
    <t>CPUE + SST_Jordan_AMJJ</t>
  </si>
  <si>
    <t>m23</t>
  </si>
  <si>
    <t>CPUE + SEAK_SST_MJJ</t>
  </si>
  <si>
    <t>m24</t>
  </si>
  <si>
    <t>CPUE + SEAK_SST_May</t>
  </si>
  <si>
    <t>m25</t>
  </si>
  <si>
    <t>CPUE + SEAK_SST_AMJJ</t>
  </si>
  <si>
    <t>m26</t>
  </si>
  <si>
    <t>fit_bias_corrected</t>
  </si>
  <si>
    <t>model_averaged_pred</t>
  </si>
  <si>
    <t>step1</t>
  </si>
  <si>
    <t>step2</t>
  </si>
  <si>
    <t>step3</t>
  </si>
  <si>
    <t>var_model_averaged_pred</t>
  </si>
  <si>
    <t>fit_LPI_80</t>
  </si>
  <si>
    <t>fit_UPI_80</t>
  </si>
  <si>
    <t>se_model_averaged_pred</t>
  </si>
  <si>
    <t>variance of model averaged prediction</t>
  </si>
  <si>
    <t>AICc weight calc</t>
  </si>
  <si>
    <t>models</t>
  </si>
  <si>
    <t>m17</t>
  </si>
  <si>
    <t>80% prediction interval of the fit</t>
  </si>
  <si>
    <t>80% prediction interval of the model averaged 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</si>
</sst>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28"/>
  <sheetViews>
    <sheetView tabSelected="1" workbookViewId="0">
      <selection activeCell="V39" sqref="V39"/>
    </sheetView>
  </sheetViews>
  <sheetFormatPr defaultRowHeight="15" x14ac:dyDescent="0.25"/>
  <cols>
    <col min="11" max="11" width="13.42578125" customWidth="1"/>
    <col min="12" max="12" width="17.42578125" customWidth="1"/>
    <col min="13" max="13" width="17.28515625" bestFit="1" customWidth="1"/>
    <col min="15" max="16" width="12" bestFit="1" customWidth="1"/>
    <col min="17" max="17" width="21.42578125" bestFit="1" customWidth="1"/>
    <col min="20" max="20" width="12" bestFit="1" customWidth="1"/>
    <col min="22" max="22" width="25.140625" style="2" bestFit="1" customWidth="1"/>
    <col min="23" max="23" width="24.42578125" style="2" bestFit="1" customWidth="1"/>
    <col min="24" max="24" width="17.7109375" style="2" customWidth="1"/>
    <col min="25" max="25" width="26.5703125" style="2" customWidth="1"/>
    <col min="26" max="26" width="16.140625" style="2" bestFit="1" customWidth="1"/>
    <col min="27" max="28" width="9.140625" style="2"/>
  </cols>
  <sheetData>
    <row r="1" spans="1:28" x14ac:dyDescent="0.25">
      <c r="K1" s="5" t="s">
        <v>77</v>
      </c>
      <c r="L1" s="5"/>
      <c r="N1" s="5" t="s">
        <v>74</v>
      </c>
      <c r="O1" s="5"/>
      <c r="P1" s="5"/>
      <c r="R1" s="5" t="s">
        <v>73</v>
      </c>
      <c r="S1" s="5"/>
      <c r="T1" s="5"/>
      <c r="U1" s="5"/>
      <c r="V1" s="5"/>
      <c r="X1" s="6" t="s">
        <v>78</v>
      </c>
      <c r="Y1" s="6"/>
    </row>
    <row r="2" spans="1:28" x14ac:dyDescent="0.25">
      <c r="A2" t="s">
        <v>75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70</v>
      </c>
      <c r="L2" t="s">
        <v>71</v>
      </c>
      <c r="M2" t="s">
        <v>64</v>
      </c>
      <c r="N2" t="s">
        <v>10</v>
      </c>
      <c r="O2" t="s">
        <v>11</v>
      </c>
      <c r="P2" t="s">
        <v>12</v>
      </c>
      <c r="Q2" t="s">
        <v>65</v>
      </c>
      <c r="R2" t="s">
        <v>9</v>
      </c>
      <c r="S2" t="s">
        <v>66</v>
      </c>
      <c r="T2" t="s">
        <v>67</v>
      </c>
      <c r="U2" t="s">
        <v>68</v>
      </c>
      <c r="V2" s="2" t="s">
        <v>69</v>
      </c>
      <c r="W2" s="2" t="s">
        <v>72</v>
      </c>
      <c r="X2" s="2" t="s">
        <v>70</v>
      </c>
      <c r="Y2" s="2" t="s">
        <v>71</v>
      </c>
      <c r="Z2" s="2" t="s">
        <v>1</v>
      </c>
      <c r="AA2" s="2" t="s">
        <v>70</v>
      </c>
      <c r="AB2" s="2" t="s">
        <v>71</v>
      </c>
    </row>
    <row r="3" spans="1:28" x14ac:dyDescent="0.25">
      <c r="A3" t="s">
        <v>14</v>
      </c>
      <c r="B3" t="s">
        <v>13</v>
      </c>
      <c r="C3">
        <v>3.2297133875031401</v>
      </c>
      <c r="D3">
        <v>9.4075234729464302E-2</v>
      </c>
      <c r="E3">
        <v>2.6640696210922599</v>
      </c>
      <c r="F3">
        <v>3.7953571539140198</v>
      </c>
      <c r="G3">
        <v>30.207836602368101</v>
      </c>
      <c r="H3">
        <v>0.41699999999999998</v>
      </c>
      <c r="I3">
        <v>21</v>
      </c>
      <c r="J3">
        <f>D3*SQRT(I3+1)</f>
        <v>0.44125196358416779</v>
      </c>
      <c r="K3">
        <f>C3+(1.28*J3)</f>
        <v>3.7945159008908749</v>
      </c>
      <c r="L3">
        <f>C3-(1.28*J3)</f>
        <v>2.6649108741154053</v>
      </c>
      <c r="M3">
        <f>C3+((H3*H3)/2)</f>
        <v>3.3166578875031401</v>
      </c>
      <c r="N3">
        <f>G3-MIN($G$3:$G$28)</f>
        <v>23.742360661240539</v>
      </c>
      <c r="O3">
        <f>EXP(-0.5*N3)</f>
        <v>6.9889492799557901E-6</v>
      </c>
      <c r="P3">
        <f>O3/SUM($O$3:$O$28)</f>
        <v>2.6222077807647593E-6</v>
      </c>
      <c r="Q3" cm="1">
        <f t="array" ref="Q3">SUM($M$3:$M$28*$P$3:$P$28)</f>
        <v>2.9028832552893529</v>
      </c>
      <c r="R3">
        <f>J3*J3</f>
        <v>0.19470329536688374</v>
      </c>
      <c r="S3">
        <f>R3+((M3-Q3)^2)</f>
        <v>0.36591274163053861</v>
      </c>
      <c r="T3">
        <f>SQRT(S3)*P3</f>
        <v>1.586192412037525E-6</v>
      </c>
      <c r="U3" s="1">
        <f>SUM($T$3:$T$28)</f>
        <v>0.37872016590899321</v>
      </c>
      <c r="V3" s="3">
        <f>U3^2</f>
        <v>0.14342896406613534</v>
      </c>
      <c r="W3" s="2">
        <f>SQRT(V3)</f>
        <v>0.37872016590899321</v>
      </c>
      <c r="X3" s="2">
        <f>Q3-1.28*W3</f>
        <v>2.4181214429258415</v>
      </c>
      <c r="Y3" s="2">
        <f>Q3+1.28*W3</f>
        <v>3.3876450676528642</v>
      </c>
      <c r="Z3" s="4">
        <f>EXP(Q3)</f>
        <v>18.226621685162741</v>
      </c>
      <c r="AA3" s="4">
        <f>EXP(X3)</f>
        <v>11.224753157078837</v>
      </c>
      <c r="AB3" s="4">
        <f>EXP(Y3)</f>
        <v>29.596173154555135</v>
      </c>
    </row>
    <row r="4" spans="1:28" x14ac:dyDescent="0.25">
      <c r="A4" t="s">
        <v>16</v>
      </c>
      <c r="B4" t="s">
        <v>15</v>
      </c>
      <c r="C4">
        <v>3.1288185590872999</v>
      </c>
      <c r="D4">
        <v>7.4522343084822501E-2</v>
      </c>
      <c r="E4">
        <v>2.7030933451283299</v>
      </c>
      <c r="F4">
        <v>3.5545437730462801</v>
      </c>
      <c r="G4">
        <v>18.7673622726189</v>
      </c>
      <c r="H4">
        <v>0.312</v>
      </c>
      <c r="I4">
        <v>20</v>
      </c>
      <c r="J4">
        <f>D4*SQRT(I4+1)</f>
        <v>0.34150427815166801</v>
      </c>
      <c r="K4">
        <f>C4+(1.28*J4)</f>
        <v>3.5659440351214351</v>
      </c>
      <c r="L4">
        <f>C4-(1.28*J4)</f>
        <v>2.6916930830531647</v>
      </c>
      <c r="M4">
        <f>C4+((H4*H4)/2)</f>
        <v>3.1774905590872997</v>
      </c>
      <c r="N4">
        <f t="shared" ref="N4:N28" si="0">G4-MIN($G$3:$G$28)</f>
        <v>12.301886331491339</v>
      </c>
      <c r="O4">
        <f t="shared" ref="O4:O28" si="1">EXP(-0.5*N4)</f>
        <v>2.1314704917466897E-3</v>
      </c>
      <c r="P4">
        <f t="shared" ref="P4:P28" si="2">O4/SUM($O$3:$O$28)</f>
        <v>7.9971370288210372E-4</v>
      </c>
      <c r="Q4" cm="1">
        <f t="array" ref="Q4">SUM($M$3:$M$28*$P$3:$P$28)</f>
        <v>2.9028832552893529</v>
      </c>
      <c r="R4">
        <f>J4*J4</f>
        <v>0.11662517199589183</v>
      </c>
      <c r="S4">
        <f t="shared" ref="S4:S28" si="3">R4+((M4-Q4)^2)</f>
        <v>0.19203434329506969</v>
      </c>
      <c r="T4">
        <f t="shared" ref="T4:T28" si="4">SQRT(S4)*P4</f>
        <v>3.5044832606634499E-4</v>
      </c>
      <c r="U4" s="1">
        <f t="shared" ref="U4:U28" si="5">SUM($T$3:$T$28)</f>
        <v>0.37872016590899321</v>
      </c>
      <c r="V4" s="3">
        <f t="shared" ref="V4:V28" si="6">U4^2</f>
        <v>0.14342896406613534</v>
      </c>
      <c r="W4" s="2">
        <f t="shared" ref="W4:W28" si="7">SQRT(V4)</f>
        <v>0.37872016590899321</v>
      </c>
      <c r="X4" s="2">
        <f t="shared" ref="X4:X28" si="8">Q4-1.28*W4</f>
        <v>2.4181214429258415</v>
      </c>
      <c r="Y4" s="2">
        <f t="shared" ref="Y4:Y28" si="9">Q4+1.28*W4</f>
        <v>3.3876450676528642</v>
      </c>
      <c r="Z4" s="4">
        <f t="shared" ref="Z4:Z28" si="10">EXP(Q4)</f>
        <v>18.226621685162741</v>
      </c>
      <c r="AA4" s="4">
        <f t="shared" ref="AA4:AA28" si="11">EXP(X4)</f>
        <v>11.224753157078837</v>
      </c>
      <c r="AB4" s="4">
        <f t="shared" ref="AB4:AB28" si="12">EXP(Y4)</f>
        <v>29.596173154555135</v>
      </c>
    </row>
    <row r="5" spans="1:28" x14ac:dyDescent="0.25">
      <c r="A5" t="s">
        <v>18</v>
      </c>
      <c r="B5" t="s">
        <v>17</v>
      </c>
      <c r="C5">
        <v>3.1150052830916199</v>
      </c>
      <c r="D5">
        <v>7.2929068470749106E-2</v>
      </c>
      <c r="E5">
        <v>2.7025844242841899</v>
      </c>
      <c r="F5">
        <v>3.52742614189905</v>
      </c>
      <c r="G5">
        <v>17.280058039268301</v>
      </c>
      <c r="H5">
        <v>0.30299999999999999</v>
      </c>
      <c r="I5">
        <v>20</v>
      </c>
      <c r="J5">
        <f>D5*SQRT(I5+1)</f>
        <v>0.33420297662982512</v>
      </c>
      <c r="K5">
        <f>C5+(1.28*J5)</f>
        <v>3.542785093177796</v>
      </c>
      <c r="L5">
        <f>C5-(1.28*J5)</f>
        <v>2.6872254730054439</v>
      </c>
      <c r="M5">
        <f>C5+((H5*H5)/2)</f>
        <v>3.1609097830916197</v>
      </c>
      <c r="N5">
        <f t="shared" si="0"/>
        <v>10.81458209814074</v>
      </c>
      <c r="O5">
        <f t="shared" si="1"/>
        <v>4.48377008745758E-3</v>
      </c>
      <c r="P5">
        <f t="shared" si="2"/>
        <v>1.6822810324595638E-3</v>
      </c>
      <c r="Q5" cm="1">
        <f t="array" ref="Q5">SUM($M$3:$M$28*$P$3:$P$28)</f>
        <v>2.9028832552893529</v>
      </c>
      <c r="R5">
        <f>J5*J5</f>
        <v>0.11169162958823543</v>
      </c>
      <c r="S5">
        <f t="shared" si="3"/>
        <v>0.17826931863792944</v>
      </c>
      <c r="T5">
        <f t="shared" si="4"/>
        <v>7.1029188120259672E-4</v>
      </c>
      <c r="U5" s="1">
        <f t="shared" si="5"/>
        <v>0.37872016590899321</v>
      </c>
      <c r="V5" s="3">
        <f t="shared" si="6"/>
        <v>0.14342896406613534</v>
      </c>
      <c r="W5" s="2">
        <f t="shared" si="7"/>
        <v>0.37872016590899321</v>
      </c>
      <c r="X5" s="2">
        <f t="shared" si="8"/>
        <v>2.4181214429258415</v>
      </c>
      <c r="Y5" s="2">
        <f t="shared" si="9"/>
        <v>3.3876450676528642</v>
      </c>
      <c r="Z5" s="4">
        <f t="shared" si="10"/>
        <v>18.226621685162741</v>
      </c>
      <c r="AA5" s="4">
        <f t="shared" si="11"/>
        <v>11.224753157078837</v>
      </c>
      <c r="AB5" s="4">
        <f t="shared" si="12"/>
        <v>29.596173154555135</v>
      </c>
    </row>
    <row r="6" spans="1:28" x14ac:dyDescent="0.25">
      <c r="A6" t="s">
        <v>20</v>
      </c>
      <c r="B6" t="s">
        <v>19</v>
      </c>
      <c r="C6">
        <v>3.1168199140086501</v>
      </c>
      <c r="D6">
        <v>7.1454350938763206E-2</v>
      </c>
      <c r="E6">
        <v>2.7112565323857498</v>
      </c>
      <c r="F6">
        <v>3.5223832956315499</v>
      </c>
      <c r="G6">
        <v>16.5185189931065</v>
      </c>
      <c r="H6">
        <v>0.29799999999999999</v>
      </c>
      <c r="I6">
        <v>20</v>
      </c>
      <c r="J6">
        <f>D6*SQRT(I6+1)</f>
        <v>0.32744497191082128</v>
      </c>
      <c r="K6">
        <f>C6+(1.28*J6)</f>
        <v>3.5359494780545013</v>
      </c>
      <c r="L6">
        <f>C6-(1.28*J6)</f>
        <v>2.6976903499627989</v>
      </c>
      <c r="M6">
        <f>C6+((H6*H6)/2)</f>
        <v>3.1612219140086499</v>
      </c>
      <c r="N6">
        <f t="shared" si="0"/>
        <v>10.053043051978939</v>
      </c>
      <c r="O6">
        <f t="shared" si="1"/>
        <v>6.5615952581762364E-3</v>
      </c>
      <c r="P6">
        <f t="shared" si="2"/>
        <v>2.4618673638918888E-3</v>
      </c>
      <c r="Q6" cm="1">
        <f t="array" ref="Q6">SUM($M$3:$M$28*$P$3:$P$28)</f>
        <v>2.9028832552893529</v>
      </c>
      <c r="R6">
        <f>J6*J6</f>
        <v>0.10722020962967854</v>
      </c>
      <c r="S6">
        <f t="shared" si="3"/>
        <v>0.17395907221856399</v>
      </c>
      <c r="T6">
        <f t="shared" si="4"/>
        <v>1.0268055146428203E-3</v>
      </c>
      <c r="U6" s="1">
        <f t="shared" si="5"/>
        <v>0.37872016590899321</v>
      </c>
      <c r="V6" s="3">
        <f t="shared" si="6"/>
        <v>0.14342896406613534</v>
      </c>
      <c r="W6" s="2">
        <f t="shared" si="7"/>
        <v>0.37872016590899321</v>
      </c>
      <c r="X6" s="2">
        <f t="shared" si="8"/>
        <v>2.4181214429258415</v>
      </c>
      <c r="Y6" s="2">
        <f t="shared" si="9"/>
        <v>3.3876450676528642</v>
      </c>
      <c r="Z6" s="4">
        <f t="shared" si="10"/>
        <v>18.226621685162741</v>
      </c>
      <c r="AA6" s="4">
        <f t="shared" si="11"/>
        <v>11.224753157078837</v>
      </c>
      <c r="AB6" s="4">
        <f t="shared" si="12"/>
        <v>29.596173154555135</v>
      </c>
    </row>
    <row r="7" spans="1:28" x14ac:dyDescent="0.25">
      <c r="A7" t="s">
        <v>22</v>
      </c>
      <c r="B7" t="s">
        <v>21</v>
      </c>
      <c r="C7">
        <v>3.1348919965506301</v>
      </c>
      <c r="D7">
        <v>6.8937304848840406E-2</v>
      </c>
      <c r="E7">
        <v>2.73654705601749</v>
      </c>
      <c r="F7">
        <v>3.5332369370837702</v>
      </c>
      <c r="G7">
        <v>15.739015917176401</v>
      </c>
      <c r="H7">
        <v>0.29299999999999998</v>
      </c>
      <c r="I7">
        <v>20</v>
      </c>
      <c r="J7">
        <f>D7*SQRT(I7+1)</f>
        <v>0.31591041767605743</v>
      </c>
      <c r="K7">
        <f>C7+(1.28*J7)</f>
        <v>3.5392573311759836</v>
      </c>
      <c r="L7">
        <f>C7-(1.28*J7)</f>
        <v>2.7305266619252766</v>
      </c>
      <c r="M7">
        <f>C7+((H7*H7)/2)</f>
        <v>3.1778164965506299</v>
      </c>
      <c r="N7">
        <f t="shared" si="0"/>
        <v>9.2735399760488413</v>
      </c>
      <c r="O7">
        <f t="shared" si="1"/>
        <v>9.6889425400873176E-3</v>
      </c>
      <c r="P7">
        <f t="shared" si="2"/>
        <v>3.6352274853195597E-3</v>
      </c>
      <c r="Q7" cm="1">
        <f t="array" ref="Q7">SUM($M$3:$M$28*$P$3:$P$28)</f>
        <v>2.9028832552893529</v>
      </c>
      <c r="R7">
        <f>J7*J7</f>
        <v>9.9799391996261061E-2</v>
      </c>
      <c r="S7">
        <f t="shared" si="3"/>
        <v>0.17538767914669262</v>
      </c>
      <c r="T7">
        <f t="shared" si="4"/>
        <v>1.5224082682440876E-3</v>
      </c>
      <c r="U7" s="1">
        <f t="shared" si="5"/>
        <v>0.37872016590899321</v>
      </c>
      <c r="V7" s="3">
        <f t="shared" si="6"/>
        <v>0.14342896406613534</v>
      </c>
      <c r="W7" s="2">
        <f t="shared" si="7"/>
        <v>0.37872016590899321</v>
      </c>
      <c r="X7" s="2">
        <f t="shared" si="8"/>
        <v>2.4181214429258415</v>
      </c>
      <c r="Y7" s="2">
        <f t="shared" si="9"/>
        <v>3.3876450676528642</v>
      </c>
      <c r="Z7" s="4">
        <f t="shared" si="10"/>
        <v>18.226621685162741</v>
      </c>
      <c r="AA7" s="4">
        <f t="shared" si="11"/>
        <v>11.224753157078837</v>
      </c>
      <c r="AB7" s="4">
        <f t="shared" si="12"/>
        <v>29.596173154555135</v>
      </c>
    </row>
    <row r="8" spans="1:28" x14ac:dyDescent="0.25">
      <c r="A8" t="s">
        <v>24</v>
      </c>
      <c r="B8" t="s">
        <v>23</v>
      </c>
      <c r="C8">
        <v>3.3937738336618199</v>
      </c>
      <c r="D8">
        <v>8.7550839384249193E-2</v>
      </c>
      <c r="E8">
        <v>2.9386091975641699</v>
      </c>
      <c r="F8">
        <v>3.8489384697594802</v>
      </c>
      <c r="G8">
        <v>21.570123773007499</v>
      </c>
      <c r="H8">
        <v>0.33200000000000002</v>
      </c>
      <c r="I8">
        <v>20</v>
      </c>
      <c r="J8">
        <f>D8*SQRT(I8+1)</f>
        <v>0.40120834863524285</v>
      </c>
      <c r="K8">
        <f>C8+(1.28*J8)</f>
        <v>3.907320519914931</v>
      </c>
      <c r="L8">
        <f>C8-(1.28*J8)</f>
        <v>2.8802271474087089</v>
      </c>
      <c r="M8">
        <f>C8+((H8*H8)/2)</f>
        <v>3.4488858336618198</v>
      </c>
      <c r="N8">
        <f t="shared" si="0"/>
        <v>15.104647831879937</v>
      </c>
      <c r="O8">
        <f t="shared" si="1"/>
        <v>5.2488891095693558E-4</v>
      </c>
      <c r="P8">
        <f t="shared" si="2"/>
        <v>1.9693486548769514E-4</v>
      </c>
      <c r="Q8" cm="1">
        <f t="array" ref="Q8">SUM($M$3:$M$28*$P$3:$P$28)</f>
        <v>2.9028832552893529</v>
      </c>
      <c r="R8">
        <f>J8*J8</f>
        <v>0.16096813901461857</v>
      </c>
      <c r="S8">
        <f t="shared" si="3"/>
        <v>0.4590869546040004</v>
      </c>
      <c r="T8">
        <f t="shared" si="4"/>
        <v>1.3343510040981387E-4</v>
      </c>
      <c r="U8" s="1">
        <f t="shared" si="5"/>
        <v>0.37872016590899321</v>
      </c>
      <c r="V8" s="3">
        <f t="shared" si="6"/>
        <v>0.14342896406613534</v>
      </c>
      <c r="W8" s="2">
        <f t="shared" si="7"/>
        <v>0.37872016590899321</v>
      </c>
      <c r="X8" s="2">
        <f t="shared" si="8"/>
        <v>2.4181214429258415</v>
      </c>
      <c r="Y8" s="2">
        <f t="shared" si="9"/>
        <v>3.3876450676528642</v>
      </c>
      <c r="Z8" s="4">
        <f t="shared" si="10"/>
        <v>18.226621685162741</v>
      </c>
      <c r="AA8" s="4">
        <f t="shared" si="11"/>
        <v>11.224753157078837</v>
      </c>
      <c r="AB8" s="4">
        <f t="shared" si="12"/>
        <v>29.596173154555135</v>
      </c>
    </row>
    <row r="9" spans="1:28" x14ac:dyDescent="0.25">
      <c r="A9" t="s">
        <v>26</v>
      </c>
      <c r="B9" t="s">
        <v>25</v>
      </c>
      <c r="C9">
        <v>3.3676683059933601</v>
      </c>
      <c r="D9">
        <v>7.6309241535531605E-2</v>
      </c>
      <c r="E9">
        <v>2.9480885110046402</v>
      </c>
      <c r="F9">
        <v>3.7872481009820902</v>
      </c>
      <c r="G9">
        <v>17.994293354153999</v>
      </c>
      <c r="H9">
        <v>0.307</v>
      </c>
      <c r="I9">
        <v>20</v>
      </c>
      <c r="J9">
        <f>D9*SQRT(I9+1)</f>
        <v>0.34969287556124179</v>
      </c>
      <c r="K9">
        <f>C9+(1.28*J9)</f>
        <v>3.8152751867117498</v>
      </c>
      <c r="L9">
        <f>C9-(1.28*J9)</f>
        <v>2.9200614252749704</v>
      </c>
      <c r="M9">
        <f>C9+((H9*H9)/2)</f>
        <v>3.4147928059933599</v>
      </c>
      <c r="N9">
        <f t="shared" si="0"/>
        <v>11.528817413026438</v>
      </c>
      <c r="O9">
        <f t="shared" si="1"/>
        <v>3.137249850857139E-3</v>
      </c>
      <c r="P9">
        <f t="shared" si="2"/>
        <v>1.1770755001347941E-3</v>
      </c>
      <c r="Q9" cm="1">
        <f t="array" ref="Q9">SUM($M$3:$M$28*$P$3:$P$28)</f>
        <v>2.9028832552893529</v>
      </c>
      <c r="R9">
        <f>J9*J9</f>
        <v>0.12228510721829014</v>
      </c>
      <c r="S9">
        <f t="shared" si="3"/>
        <v>0.38433649532026848</v>
      </c>
      <c r="T9">
        <f t="shared" si="4"/>
        <v>7.2972652549472942E-4</v>
      </c>
      <c r="U9" s="1">
        <f t="shared" si="5"/>
        <v>0.37872016590899321</v>
      </c>
      <c r="V9" s="3">
        <f t="shared" si="6"/>
        <v>0.14342896406613534</v>
      </c>
      <c r="W9" s="2">
        <f t="shared" si="7"/>
        <v>0.37872016590899321</v>
      </c>
      <c r="X9" s="2">
        <f t="shared" si="8"/>
        <v>2.4181214429258415</v>
      </c>
      <c r="Y9" s="2">
        <f t="shared" si="9"/>
        <v>3.3876450676528642</v>
      </c>
      <c r="Z9" s="4">
        <f t="shared" si="10"/>
        <v>18.226621685162741</v>
      </c>
      <c r="AA9" s="4">
        <f t="shared" si="11"/>
        <v>11.224753157078837</v>
      </c>
      <c r="AB9" s="4">
        <f t="shared" si="12"/>
        <v>29.596173154555135</v>
      </c>
    </row>
    <row r="10" spans="1:28" x14ac:dyDescent="0.25">
      <c r="A10" t="s">
        <v>28</v>
      </c>
      <c r="B10" t="s">
        <v>27</v>
      </c>
      <c r="C10">
        <v>3.3323820412866199</v>
      </c>
      <c r="D10">
        <v>6.8356496338749198E-2</v>
      </c>
      <c r="E10">
        <v>2.9396165443159399</v>
      </c>
      <c r="F10">
        <v>3.7251475382572998</v>
      </c>
      <c r="G10">
        <v>15.0756546019447</v>
      </c>
      <c r="H10">
        <v>0.28799999999999998</v>
      </c>
      <c r="I10">
        <v>20</v>
      </c>
      <c r="J10">
        <f>D10*SQRT(I10+1)</f>
        <v>0.31324881871428994</v>
      </c>
      <c r="K10">
        <f>C10+(1.28*J10)</f>
        <v>3.7333405292409108</v>
      </c>
      <c r="L10">
        <f>C10-(1.28*J10)</f>
        <v>2.931423553332329</v>
      </c>
      <c r="M10">
        <f>C10+((H10*H10)/2)</f>
        <v>3.37385404128662</v>
      </c>
      <c r="N10">
        <f t="shared" si="0"/>
        <v>8.6101786608171409</v>
      </c>
      <c r="O10">
        <f t="shared" si="1"/>
        <v>1.3499679556047152E-2</v>
      </c>
      <c r="P10">
        <f t="shared" si="2"/>
        <v>5.0649909380830012E-3</v>
      </c>
      <c r="Q10" cm="1">
        <f t="array" ref="Q10">SUM($M$3:$M$28*$P$3:$P$28)</f>
        <v>2.9028832552893529</v>
      </c>
      <c r="R10">
        <f>J10*J10</f>
        <v>9.8124822425898081E-2</v>
      </c>
      <c r="S10">
        <f t="shared" si="3"/>
        <v>0.31993830368878168</v>
      </c>
      <c r="T10">
        <f t="shared" si="4"/>
        <v>2.8649153320002342E-3</v>
      </c>
      <c r="U10" s="1">
        <f t="shared" si="5"/>
        <v>0.37872016590899321</v>
      </c>
      <c r="V10" s="3">
        <f t="shared" si="6"/>
        <v>0.14342896406613534</v>
      </c>
      <c r="W10" s="2">
        <f t="shared" si="7"/>
        <v>0.37872016590899321</v>
      </c>
      <c r="X10" s="2">
        <f t="shared" si="8"/>
        <v>2.4181214429258415</v>
      </c>
      <c r="Y10" s="2">
        <f t="shared" si="9"/>
        <v>3.3876450676528642</v>
      </c>
      <c r="Z10" s="4">
        <f t="shared" si="10"/>
        <v>18.226621685162741</v>
      </c>
      <c r="AA10" s="4">
        <f t="shared" si="11"/>
        <v>11.224753157078837</v>
      </c>
      <c r="AB10" s="4">
        <f t="shared" si="12"/>
        <v>29.596173154555135</v>
      </c>
    </row>
    <row r="11" spans="1:28" x14ac:dyDescent="0.25">
      <c r="A11" t="s">
        <v>30</v>
      </c>
      <c r="B11" t="s">
        <v>29</v>
      </c>
      <c r="C11">
        <v>3.30436925207345</v>
      </c>
      <c r="D11">
        <v>6.3547784672706303E-2</v>
      </c>
      <c r="E11">
        <v>2.9306170550670698</v>
      </c>
      <c r="F11">
        <v>3.67812144907984</v>
      </c>
      <c r="G11">
        <v>12.8519798906649</v>
      </c>
      <c r="H11">
        <v>0.27500000000000002</v>
      </c>
      <c r="I11">
        <v>20</v>
      </c>
      <c r="J11">
        <f>D11*SQRT(I11+1)</f>
        <v>0.29121253350943116</v>
      </c>
      <c r="K11">
        <f>C11+(1.28*J11)</f>
        <v>3.6771212949655219</v>
      </c>
      <c r="L11">
        <f>C11-(1.28*J11)</f>
        <v>2.9316172091813781</v>
      </c>
      <c r="M11">
        <f>C11+((H11*H11)/2)</f>
        <v>3.3421817520734498</v>
      </c>
      <c r="N11">
        <f t="shared" si="0"/>
        <v>6.3865039495373397</v>
      </c>
      <c r="O11">
        <f t="shared" si="1"/>
        <v>4.1038198521062851E-2</v>
      </c>
      <c r="P11">
        <f t="shared" si="2"/>
        <v>1.5397262043255314E-2</v>
      </c>
      <c r="Q11" cm="1">
        <f t="array" ref="Q11">SUM($M$3:$M$28*$P$3:$P$28)</f>
        <v>2.9028832552893529</v>
      </c>
      <c r="R11">
        <f>J11*J11</f>
        <v>8.4804739672981563E-2</v>
      </c>
      <c r="S11">
        <f t="shared" si="3"/>
        <v>0.27778790894974881</v>
      </c>
      <c r="T11">
        <f t="shared" si="4"/>
        <v>8.1152176171402548E-3</v>
      </c>
      <c r="U11" s="1">
        <f t="shared" si="5"/>
        <v>0.37872016590899321</v>
      </c>
      <c r="V11" s="3">
        <f t="shared" si="6"/>
        <v>0.14342896406613534</v>
      </c>
      <c r="W11" s="2">
        <f t="shared" si="7"/>
        <v>0.37872016590899321</v>
      </c>
      <c r="X11" s="2">
        <f t="shared" si="8"/>
        <v>2.4181214429258415</v>
      </c>
      <c r="Y11" s="2">
        <f t="shared" si="9"/>
        <v>3.3876450676528642</v>
      </c>
      <c r="Z11" s="4">
        <f t="shared" si="10"/>
        <v>18.226621685162741</v>
      </c>
      <c r="AA11" s="4">
        <f t="shared" si="11"/>
        <v>11.224753157078837</v>
      </c>
      <c r="AB11" s="4">
        <f t="shared" si="12"/>
        <v>29.596173154555135</v>
      </c>
    </row>
    <row r="12" spans="1:28" x14ac:dyDescent="0.25">
      <c r="A12" t="s">
        <v>32</v>
      </c>
      <c r="B12" t="s">
        <v>31</v>
      </c>
      <c r="C12">
        <v>3.1079430365415299</v>
      </c>
      <c r="D12">
        <v>7.3160953695371705E-2</v>
      </c>
      <c r="E12">
        <v>2.6970411090697501</v>
      </c>
      <c r="F12">
        <v>3.5188449640133102</v>
      </c>
      <c r="G12">
        <v>17.0918437602956</v>
      </c>
      <c r="H12">
        <v>0.30099999999999999</v>
      </c>
      <c r="I12">
        <v>20</v>
      </c>
      <c r="J12">
        <f>D12*SQRT(I12+1)</f>
        <v>0.33526560822419998</v>
      </c>
      <c r="K12">
        <f>C12+(1.28*J12)</f>
        <v>3.537083015068506</v>
      </c>
      <c r="L12">
        <f>C12-(1.28*J12)</f>
        <v>2.6788030580145539</v>
      </c>
      <c r="M12">
        <f>C12+((H12*H12)/2)</f>
        <v>3.1532435365415301</v>
      </c>
      <c r="N12">
        <f t="shared" si="0"/>
        <v>10.626367819168038</v>
      </c>
      <c r="O12">
        <f t="shared" si="1"/>
        <v>4.9262170921246327E-3</v>
      </c>
      <c r="P12">
        <f t="shared" si="2"/>
        <v>1.8482842371961342E-3</v>
      </c>
      <c r="Q12" cm="1">
        <f t="array" ref="Q12">SUM($M$3:$M$28*$P$3:$P$28)</f>
        <v>2.9028832552893529</v>
      </c>
      <c r="R12">
        <f>J12*J12</f>
        <v>0.11240302805794275</v>
      </c>
      <c r="S12">
        <f t="shared" si="3"/>
        <v>0.17508329848661203</v>
      </c>
      <c r="T12">
        <f t="shared" si="4"/>
        <v>7.7337676411102997E-4</v>
      </c>
      <c r="U12" s="1">
        <f t="shared" si="5"/>
        <v>0.37872016590899321</v>
      </c>
      <c r="V12" s="3">
        <f t="shared" si="6"/>
        <v>0.14342896406613534</v>
      </c>
      <c r="W12" s="2">
        <f t="shared" si="7"/>
        <v>0.37872016590899321</v>
      </c>
      <c r="X12" s="2">
        <f t="shared" si="8"/>
        <v>2.4181214429258415</v>
      </c>
      <c r="Y12" s="2">
        <f t="shared" si="9"/>
        <v>3.3876450676528642</v>
      </c>
      <c r="Z12" s="4">
        <f t="shared" si="10"/>
        <v>18.226621685162741</v>
      </c>
      <c r="AA12" s="4">
        <f t="shared" si="11"/>
        <v>11.224753157078837</v>
      </c>
      <c r="AB12" s="4">
        <f t="shared" si="12"/>
        <v>29.596173154555135</v>
      </c>
    </row>
    <row r="13" spans="1:28" x14ac:dyDescent="0.25">
      <c r="A13" t="s">
        <v>34</v>
      </c>
      <c r="B13" t="s">
        <v>33</v>
      </c>
      <c r="C13">
        <v>3.3938234269178098</v>
      </c>
      <c r="D13">
        <v>9.3602664166943697E-2</v>
      </c>
      <c r="E13">
        <v>2.9170792801091099</v>
      </c>
      <c r="F13">
        <v>3.8705675737265</v>
      </c>
      <c r="G13">
        <v>23.633814113455699</v>
      </c>
      <c r="H13">
        <v>0.34699999999999998</v>
      </c>
      <c r="I13">
        <v>20</v>
      </c>
      <c r="J13">
        <f>D13*SQRT(I13+1)</f>
        <v>0.42894129379455009</v>
      </c>
      <c r="K13">
        <f>C13+(1.28*J13)</f>
        <v>3.942868282974834</v>
      </c>
      <c r="L13">
        <f>C13-(1.28*J13)</f>
        <v>2.8447785708607856</v>
      </c>
      <c r="M13">
        <f>C13+((H13*H13)/2)</f>
        <v>3.45402792691781</v>
      </c>
      <c r="N13">
        <f t="shared" si="0"/>
        <v>17.168338172328138</v>
      </c>
      <c r="O13">
        <f t="shared" si="1"/>
        <v>1.8704354894492751E-4</v>
      </c>
      <c r="P13">
        <f t="shared" si="2"/>
        <v>7.0177508769722467E-5</v>
      </c>
      <c r="Q13" cm="1">
        <f t="array" ref="Q13">SUM($M$3:$M$28*$P$3:$P$28)</f>
        <v>2.9028832552893529</v>
      </c>
      <c r="R13">
        <f>J13*J13</f>
        <v>0.18399063352214254</v>
      </c>
      <c r="S13">
        <f t="shared" si="3"/>
        <v>0.4877510825865824</v>
      </c>
      <c r="T13">
        <f t="shared" si="4"/>
        <v>4.9011395477423754E-5</v>
      </c>
      <c r="U13" s="1">
        <f t="shared" si="5"/>
        <v>0.37872016590899321</v>
      </c>
      <c r="V13" s="3">
        <f t="shared" si="6"/>
        <v>0.14342896406613534</v>
      </c>
      <c r="W13" s="2">
        <f t="shared" si="7"/>
        <v>0.37872016590899321</v>
      </c>
      <c r="X13" s="2">
        <f t="shared" si="8"/>
        <v>2.4181214429258415</v>
      </c>
      <c r="Y13" s="2">
        <f t="shared" si="9"/>
        <v>3.3876450676528642</v>
      </c>
      <c r="Z13" s="4">
        <f t="shared" si="10"/>
        <v>18.226621685162741</v>
      </c>
      <c r="AA13" s="4">
        <f t="shared" si="11"/>
        <v>11.224753157078837</v>
      </c>
      <c r="AB13" s="4">
        <f t="shared" si="12"/>
        <v>29.596173154555135</v>
      </c>
    </row>
    <row r="14" spans="1:28" x14ac:dyDescent="0.25">
      <c r="A14" t="s">
        <v>36</v>
      </c>
      <c r="B14" t="s">
        <v>35</v>
      </c>
      <c r="C14">
        <v>3.11632917464429</v>
      </c>
      <c r="D14">
        <v>7.4428828294670402E-2</v>
      </c>
      <c r="E14">
        <v>2.6958526976672599</v>
      </c>
      <c r="F14">
        <v>3.53680565162131</v>
      </c>
      <c r="G14">
        <v>18.167183625164501</v>
      </c>
      <c r="H14">
        <v>0.308</v>
      </c>
      <c r="I14">
        <v>20</v>
      </c>
      <c r="J14">
        <f>D14*SQRT(I14+1)</f>
        <v>0.34107573954719811</v>
      </c>
      <c r="K14">
        <f>C14+(1.28*J14)</f>
        <v>3.5529061212647037</v>
      </c>
      <c r="L14">
        <f>C14-(1.28*J14)</f>
        <v>2.6797522280238764</v>
      </c>
      <c r="M14">
        <f>C14+((H14*H14)/2)</f>
        <v>3.1637611746442902</v>
      </c>
      <c r="N14">
        <f t="shared" si="0"/>
        <v>11.70170768403694</v>
      </c>
      <c r="O14">
        <f t="shared" si="1"/>
        <v>2.8774412286691471E-3</v>
      </c>
      <c r="P14">
        <f t="shared" si="2"/>
        <v>1.0795970146970754E-3</v>
      </c>
      <c r="Q14" cm="1">
        <f t="array" ref="Q14">SUM($M$3:$M$28*$P$3:$P$28)</f>
        <v>2.9028832552893529</v>
      </c>
      <c r="R14">
        <f>J14*J14</f>
        <v>0.11633266010766811</v>
      </c>
      <c r="S14">
        <f t="shared" si="3"/>
        <v>0.18438994891462929</v>
      </c>
      <c r="T14">
        <f t="shared" si="4"/>
        <v>4.6358598387923706E-4</v>
      </c>
      <c r="U14" s="1">
        <f t="shared" si="5"/>
        <v>0.37872016590899321</v>
      </c>
      <c r="V14" s="3">
        <f t="shared" si="6"/>
        <v>0.14342896406613534</v>
      </c>
      <c r="W14" s="2">
        <f t="shared" si="7"/>
        <v>0.37872016590899321</v>
      </c>
      <c r="X14" s="2">
        <f t="shared" si="8"/>
        <v>2.4181214429258415</v>
      </c>
      <c r="Y14" s="2">
        <f t="shared" si="9"/>
        <v>3.3876450676528642</v>
      </c>
      <c r="Z14" s="4">
        <f t="shared" si="10"/>
        <v>18.226621685162741</v>
      </c>
      <c r="AA14" s="4">
        <f t="shared" si="11"/>
        <v>11.224753157078837</v>
      </c>
      <c r="AB14" s="4">
        <f t="shared" si="12"/>
        <v>29.596173154555135</v>
      </c>
    </row>
    <row r="15" spans="1:28" x14ac:dyDescent="0.25">
      <c r="A15" t="s">
        <v>38</v>
      </c>
      <c r="B15" t="s">
        <v>37</v>
      </c>
      <c r="C15">
        <v>2.9221357736079998</v>
      </c>
      <c r="D15">
        <v>7.2563965021311502E-2</v>
      </c>
      <c r="E15">
        <v>2.5860407298247901</v>
      </c>
      <c r="F15">
        <v>3.2582308173911998</v>
      </c>
      <c r="G15">
        <v>7.2006491332922398</v>
      </c>
      <c r="H15">
        <v>0.24299999999999999</v>
      </c>
      <c r="I15">
        <v>20</v>
      </c>
      <c r="J15">
        <f>D15*SQRT(I15+1)</f>
        <v>0.33252986243628779</v>
      </c>
      <c r="K15">
        <f>C15+(1.28*J15)</f>
        <v>3.3477739975264482</v>
      </c>
      <c r="L15">
        <f>C15-(1.28*J15)</f>
        <v>2.4964975496895514</v>
      </c>
      <c r="M15">
        <f>C15+((H15*H15)/2)</f>
        <v>2.9516602736079998</v>
      </c>
      <c r="N15">
        <f t="shared" si="0"/>
        <v>0.73517319216467936</v>
      </c>
      <c r="O15">
        <f t="shared" si="1"/>
        <v>0.69240336479365316</v>
      </c>
      <c r="P15">
        <f t="shared" si="2"/>
        <v>0.25978518627926034</v>
      </c>
      <c r="Q15" cm="1">
        <f t="array" ref="Q15">SUM($M$3:$M$28*$P$3:$P$28)</f>
        <v>2.9028832552893529</v>
      </c>
      <c r="R15">
        <f>J15*J15</f>
        <v>0.11057610941189648</v>
      </c>
      <c r="S15">
        <f t="shared" si="3"/>
        <v>0.11295530692795409</v>
      </c>
      <c r="T15">
        <f t="shared" si="4"/>
        <v>8.7310746754168458E-2</v>
      </c>
      <c r="U15" s="1">
        <f t="shared" si="5"/>
        <v>0.37872016590899321</v>
      </c>
      <c r="V15" s="3">
        <f t="shared" si="6"/>
        <v>0.14342896406613534</v>
      </c>
      <c r="W15" s="2">
        <f t="shared" si="7"/>
        <v>0.37872016590899321</v>
      </c>
      <c r="X15" s="2">
        <f t="shared" si="8"/>
        <v>2.4181214429258415</v>
      </c>
      <c r="Y15" s="2">
        <f t="shared" si="9"/>
        <v>3.3876450676528642</v>
      </c>
      <c r="Z15" s="4">
        <f t="shared" si="10"/>
        <v>18.226621685162741</v>
      </c>
      <c r="AA15" s="4">
        <f t="shared" si="11"/>
        <v>11.224753157078837</v>
      </c>
      <c r="AB15" s="4">
        <f t="shared" si="12"/>
        <v>29.596173154555135</v>
      </c>
    </row>
    <row r="16" spans="1:28" x14ac:dyDescent="0.25">
      <c r="A16" t="s">
        <v>40</v>
      </c>
      <c r="B16" t="s">
        <v>39</v>
      </c>
      <c r="C16">
        <v>3.1531543320846098</v>
      </c>
      <c r="D16">
        <v>6.6485251271475504E-2</v>
      </c>
      <c r="E16">
        <v>2.7632158042149899</v>
      </c>
      <c r="F16">
        <v>3.5430928599542399</v>
      </c>
      <c r="G16">
        <v>14.7953100290647</v>
      </c>
      <c r="H16">
        <v>0.28699999999999998</v>
      </c>
      <c r="I16">
        <v>20</v>
      </c>
      <c r="J16">
        <f>D16*SQRT(I16+1)</f>
        <v>0.30467369654969551</v>
      </c>
      <c r="K16">
        <f>C16+(1.28*J16)</f>
        <v>3.54313666366822</v>
      </c>
      <c r="L16">
        <f>C16-(1.28*J16)</f>
        <v>2.7631720005009996</v>
      </c>
      <c r="M16">
        <f>C16+((H16*H16)/2)</f>
        <v>3.1943388320846098</v>
      </c>
      <c r="N16">
        <f t="shared" si="0"/>
        <v>8.3298340879371402</v>
      </c>
      <c r="O16">
        <f t="shared" si="1"/>
        <v>1.5531003237059774E-2</v>
      </c>
      <c r="P16">
        <f t="shared" si="2"/>
        <v>5.8271302165693239E-3</v>
      </c>
      <c r="Q16" cm="1">
        <f t="array" ref="Q16">SUM($M$3:$M$28*$P$3:$P$28)</f>
        <v>2.9028832552893529</v>
      </c>
      <c r="R16">
        <f>J16*J16</f>
        <v>9.2826061369255933E-2</v>
      </c>
      <c r="S16">
        <f t="shared" si="3"/>
        <v>0.17777241461431181</v>
      </c>
      <c r="T16">
        <f t="shared" si="4"/>
        <v>2.4568967671496638E-3</v>
      </c>
      <c r="U16" s="1">
        <f t="shared" si="5"/>
        <v>0.37872016590899321</v>
      </c>
      <c r="V16" s="3">
        <f t="shared" si="6"/>
        <v>0.14342896406613534</v>
      </c>
      <c r="W16" s="2">
        <f t="shared" si="7"/>
        <v>0.37872016590899321</v>
      </c>
      <c r="X16" s="2">
        <f t="shared" si="8"/>
        <v>2.4181214429258415</v>
      </c>
      <c r="Y16" s="2">
        <f t="shared" si="9"/>
        <v>3.3876450676528642</v>
      </c>
      <c r="Z16" s="4">
        <f t="shared" si="10"/>
        <v>18.226621685162741</v>
      </c>
      <c r="AA16" s="4">
        <f t="shared" si="11"/>
        <v>11.224753157078837</v>
      </c>
      <c r="AB16" s="4">
        <f t="shared" si="12"/>
        <v>29.596173154555135</v>
      </c>
    </row>
    <row r="17" spans="1:28" x14ac:dyDescent="0.25">
      <c r="A17" t="s">
        <v>42</v>
      </c>
      <c r="B17" t="s">
        <v>41</v>
      </c>
      <c r="C17">
        <v>2.9942677627596699</v>
      </c>
      <c r="D17">
        <v>8.7204706221326103E-2</v>
      </c>
      <c r="E17">
        <v>2.5739987034144201</v>
      </c>
      <c r="F17">
        <v>3.4145368221049202</v>
      </c>
      <c r="G17">
        <v>17.637778069674901</v>
      </c>
      <c r="H17">
        <v>0.30499999999999999</v>
      </c>
      <c r="I17">
        <v>20</v>
      </c>
      <c r="J17">
        <f>D17*SQRT(I17+1)</f>
        <v>0.39962216721561333</v>
      </c>
      <c r="K17">
        <f>C17+(1.28*J17)</f>
        <v>3.505784136795655</v>
      </c>
      <c r="L17">
        <f>C17-(1.28*J17)</f>
        <v>2.4827513887236847</v>
      </c>
      <c r="M17">
        <f>C17+((H17*H17)/2)</f>
        <v>3.0407802627596698</v>
      </c>
      <c r="N17">
        <f t="shared" si="0"/>
        <v>11.17230212854734</v>
      </c>
      <c r="O17">
        <f t="shared" si="1"/>
        <v>3.749431448327544E-3</v>
      </c>
      <c r="P17">
        <f t="shared" si="2"/>
        <v>1.4067620071941285E-3</v>
      </c>
      <c r="Q17" cm="1">
        <f t="array" ref="Q17">SUM($M$3:$M$28*$P$3:$P$28)</f>
        <v>2.9028832552893529</v>
      </c>
      <c r="R17">
        <f>J17*J17</f>
        <v>0.15969787653010362</v>
      </c>
      <c r="S17">
        <f t="shared" si="3"/>
        <v>0.17871346119937226</v>
      </c>
      <c r="T17">
        <f t="shared" si="4"/>
        <v>5.9470181466549966E-4</v>
      </c>
      <c r="U17" s="1">
        <f t="shared" si="5"/>
        <v>0.37872016590899321</v>
      </c>
      <c r="V17" s="3">
        <f t="shared" si="6"/>
        <v>0.14342896406613534</v>
      </c>
      <c r="W17" s="2">
        <f t="shared" si="7"/>
        <v>0.37872016590899321</v>
      </c>
      <c r="X17" s="2">
        <f t="shared" si="8"/>
        <v>2.4181214429258415</v>
      </c>
      <c r="Y17" s="2">
        <f t="shared" si="9"/>
        <v>3.3876450676528642</v>
      </c>
      <c r="Z17" s="4">
        <f t="shared" si="10"/>
        <v>18.226621685162741</v>
      </c>
      <c r="AA17" s="4">
        <f t="shared" si="11"/>
        <v>11.224753157078837</v>
      </c>
      <c r="AB17" s="4">
        <f t="shared" si="12"/>
        <v>29.596173154555135</v>
      </c>
    </row>
    <row r="18" spans="1:28" x14ac:dyDescent="0.25">
      <c r="A18" t="s">
        <v>44</v>
      </c>
      <c r="B18" t="s">
        <v>43</v>
      </c>
      <c r="C18">
        <v>2.7981847937637698</v>
      </c>
      <c r="D18">
        <v>8.8586839666225797E-2</v>
      </c>
      <c r="E18">
        <v>2.4493404388162499</v>
      </c>
      <c r="F18">
        <v>3.1470291487113</v>
      </c>
      <c r="G18">
        <v>8.1130745431805096</v>
      </c>
      <c r="H18">
        <v>0.248</v>
      </c>
      <c r="I18">
        <v>20</v>
      </c>
      <c r="J18">
        <f>D18*SQRT(I18+1)</f>
        <v>0.40595589834739626</v>
      </c>
      <c r="K18">
        <f>C18+(1.28*J18)</f>
        <v>3.3178083436484371</v>
      </c>
      <c r="L18">
        <f>C18-(1.28*J18)</f>
        <v>2.2785612438791025</v>
      </c>
      <c r="M18">
        <f>C18+((H18*H18)/2)</f>
        <v>2.8289367937637699</v>
      </c>
      <c r="N18">
        <f t="shared" si="0"/>
        <v>1.6475986020529492</v>
      </c>
      <c r="O18">
        <f t="shared" si="1"/>
        <v>0.43876149679391435</v>
      </c>
      <c r="P18">
        <f t="shared" si="2"/>
        <v>0.16462042643415378</v>
      </c>
      <c r="Q18" cm="1">
        <f t="array" ref="Q18">SUM($M$3:$M$28*$P$3:$P$28)</f>
        <v>2.9028832552893529</v>
      </c>
      <c r="R18">
        <f>J18*J18</f>
        <v>0.16480019140304153</v>
      </c>
      <c r="S18">
        <f t="shared" si="3"/>
        <v>0.17026827057519606</v>
      </c>
      <c r="T18">
        <f t="shared" si="4"/>
        <v>6.7928274801988903E-2</v>
      </c>
      <c r="U18" s="1">
        <f t="shared" si="5"/>
        <v>0.37872016590899321</v>
      </c>
      <c r="V18" s="3">
        <f t="shared" si="6"/>
        <v>0.14342896406613534</v>
      </c>
      <c r="W18" s="2">
        <f t="shared" si="7"/>
        <v>0.37872016590899321</v>
      </c>
      <c r="X18" s="2">
        <f t="shared" si="8"/>
        <v>2.4181214429258415</v>
      </c>
      <c r="Y18" s="2">
        <f t="shared" si="9"/>
        <v>3.3876450676528642</v>
      </c>
      <c r="Z18" s="4">
        <f t="shared" si="10"/>
        <v>18.226621685162741</v>
      </c>
      <c r="AA18" s="4">
        <f t="shared" si="11"/>
        <v>11.224753157078837</v>
      </c>
      <c r="AB18" s="4">
        <f t="shared" si="12"/>
        <v>29.596173154555135</v>
      </c>
    </row>
    <row r="19" spans="1:28" x14ac:dyDescent="0.25">
      <c r="A19" t="s">
        <v>76</v>
      </c>
      <c r="B19" t="s">
        <v>45</v>
      </c>
      <c r="C19">
        <v>3.0054507420298702</v>
      </c>
      <c r="D19">
        <v>8.0219225602344402E-2</v>
      </c>
      <c r="E19">
        <v>2.6064972633133499</v>
      </c>
      <c r="F19">
        <v>3.40440422074639</v>
      </c>
      <c r="G19">
        <v>15.357876576931901</v>
      </c>
      <c r="H19">
        <v>0.28999999999999998</v>
      </c>
      <c r="I19">
        <v>20</v>
      </c>
      <c r="J19">
        <f>D19*SQRT(I19+1)</f>
        <v>0.3676106735134827</v>
      </c>
      <c r="K19">
        <f>C19+(1.28*J19)</f>
        <v>3.475992404127128</v>
      </c>
      <c r="L19">
        <f>C19-(1.28*J19)</f>
        <v>2.5349090799326124</v>
      </c>
      <c r="M19">
        <f>C19+((H19*H19)/2)</f>
        <v>3.0475007420298703</v>
      </c>
      <c r="N19">
        <f t="shared" si="0"/>
        <v>8.8924006358043393</v>
      </c>
      <c r="O19">
        <f t="shared" si="1"/>
        <v>1.1723026224266339E-2</v>
      </c>
      <c r="P19">
        <f t="shared" si="2"/>
        <v>4.3984022988323886E-3</v>
      </c>
      <c r="Q19" cm="1">
        <f t="array" ref="Q19">SUM($M$3:$M$28*$P$3:$P$28)</f>
        <v>2.9028832552893529</v>
      </c>
      <c r="R19">
        <f>J19*J19</f>
        <v>0.13513760728103638</v>
      </c>
      <c r="S19">
        <f t="shared" si="3"/>
        <v>0.15605182475218013</v>
      </c>
      <c r="T19">
        <f t="shared" si="4"/>
        <v>1.7375182510525572E-3</v>
      </c>
      <c r="U19" s="1">
        <f t="shared" si="5"/>
        <v>0.37872016590899321</v>
      </c>
      <c r="V19" s="3">
        <f t="shared" si="6"/>
        <v>0.14342896406613534</v>
      </c>
      <c r="W19" s="2">
        <f t="shared" si="7"/>
        <v>0.37872016590899321</v>
      </c>
      <c r="X19" s="2">
        <f t="shared" si="8"/>
        <v>2.4181214429258415</v>
      </c>
      <c r="Y19" s="2">
        <f t="shared" si="9"/>
        <v>3.3876450676528642</v>
      </c>
      <c r="Z19" s="4">
        <f t="shared" si="10"/>
        <v>18.226621685162741</v>
      </c>
      <c r="AA19" s="4">
        <f t="shared" si="11"/>
        <v>11.224753157078837</v>
      </c>
      <c r="AB19" s="4">
        <f t="shared" si="12"/>
        <v>29.596173154555135</v>
      </c>
    </row>
    <row r="20" spans="1:28" x14ac:dyDescent="0.25">
      <c r="A20" t="s">
        <v>47</v>
      </c>
      <c r="B20" t="s">
        <v>46</v>
      </c>
      <c r="C20">
        <v>3.0342584238896602</v>
      </c>
      <c r="D20">
        <v>7.8660458540942696E-2</v>
      </c>
      <c r="E20">
        <v>2.6291613096096902</v>
      </c>
      <c r="F20">
        <v>3.4393555381696301</v>
      </c>
      <c r="G20">
        <v>16.1791023939975</v>
      </c>
      <c r="H20">
        <v>0.29499999999999998</v>
      </c>
      <c r="I20">
        <v>20</v>
      </c>
      <c r="J20">
        <f>D20*SQRT(I20+1)</f>
        <v>0.36046750546380552</v>
      </c>
      <c r="K20">
        <f>C20+(1.28*J20)</f>
        <v>3.4956568308833313</v>
      </c>
      <c r="L20">
        <f>C20-(1.28*J20)</f>
        <v>2.572860016895989</v>
      </c>
      <c r="M20">
        <f>C20+((H20*H20)/2)</f>
        <v>3.07777092388966</v>
      </c>
      <c r="N20">
        <f t="shared" si="0"/>
        <v>9.7136264528699385</v>
      </c>
      <c r="O20">
        <f t="shared" si="1"/>
        <v>7.7752223252751619E-3</v>
      </c>
      <c r="P20">
        <f t="shared" si="2"/>
        <v>2.9172122534907511E-3</v>
      </c>
      <c r="Q20" cm="1">
        <f t="array" ref="Q20">SUM($M$3:$M$28*$P$3:$P$28)</f>
        <v>2.9028832552893529</v>
      </c>
      <c r="R20">
        <f>J20*J20</f>
        <v>0.12993682249529867</v>
      </c>
      <c r="S20">
        <f t="shared" si="3"/>
        <v>0.16052251912374951</v>
      </c>
      <c r="T20">
        <f t="shared" si="4"/>
        <v>1.1687887223031902E-3</v>
      </c>
      <c r="U20" s="1">
        <f t="shared" si="5"/>
        <v>0.37872016590899321</v>
      </c>
      <c r="V20" s="3">
        <f t="shared" si="6"/>
        <v>0.14342896406613534</v>
      </c>
      <c r="W20" s="2">
        <f t="shared" si="7"/>
        <v>0.37872016590899321</v>
      </c>
      <c r="X20" s="2">
        <f t="shared" si="8"/>
        <v>2.4181214429258415</v>
      </c>
      <c r="Y20" s="2">
        <f t="shared" si="9"/>
        <v>3.3876450676528642</v>
      </c>
      <c r="Z20" s="4">
        <f t="shared" si="10"/>
        <v>18.226621685162741</v>
      </c>
      <c r="AA20" s="4">
        <f t="shared" si="11"/>
        <v>11.224753157078837</v>
      </c>
      <c r="AB20" s="4">
        <f t="shared" si="12"/>
        <v>29.596173154555135</v>
      </c>
    </row>
    <row r="21" spans="1:28" x14ac:dyDescent="0.25">
      <c r="A21" t="s">
        <v>49</v>
      </c>
      <c r="B21" t="s">
        <v>48</v>
      </c>
      <c r="C21">
        <v>2.83737642777028</v>
      </c>
      <c r="D21">
        <v>8.0125491589283296E-2</v>
      </c>
      <c r="E21">
        <v>2.5031230699120299</v>
      </c>
      <c r="F21">
        <v>3.17162978562853</v>
      </c>
      <c r="G21">
        <v>6.4654759411275604</v>
      </c>
      <c r="H21">
        <v>0.23899999999999999</v>
      </c>
      <c r="I21">
        <v>20</v>
      </c>
      <c r="J21">
        <f>D21*SQRT(I21+1)</f>
        <v>0.36718113030343819</v>
      </c>
      <c r="K21">
        <f>C21+(1.28*J21)</f>
        <v>3.307368274558681</v>
      </c>
      <c r="L21">
        <f>C21-(1.28*J21)</f>
        <v>2.367384580981879</v>
      </c>
      <c r="M21">
        <f>C21+((H21*H21)/2)</f>
        <v>2.8659369277702802</v>
      </c>
      <c r="N21">
        <f t="shared" si="0"/>
        <v>0</v>
      </c>
      <c r="O21">
        <f t="shared" si="1"/>
        <v>1</v>
      </c>
      <c r="P21">
        <f t="shared" si="2"/>
        <v>0.37519341974411158</v>
      </c>
      <c r="Q21" cm="1">
        <f t="array" ref="Q21">SUM($M$3:$M$28*$P$3:$P$28)</f>
        <v>2.9028832552893529</v>
      </c>
      <c r="R21">
        <f>J21*J21</f>
        <v>0.13482198245091045</v>
      </c>
      <c r="S21">
        <f t="shared" si="3"/>
        <v>0.13618701356805704</v>
      </c>
      <c r="T21">
        <f t="shared" si="4"/>
        <v>0.13845959634822722</v>
      </c>
      <c r="U21" s="1">
        <f t="shared" si="5"/>
        <v>0.37872016590899321</v>
      </c>
      <c r="V21" s="3">
        <f t="shared" si="6"/>
        <v>0.14342896406613534</v>
      </c>
      <c r="W21" s="2">
        <f t="shared" si="7"/>
        <v>0.37872016590899321</v>
      </c>
      <c r="X21" s="2">
        <f t="shared" si="8"/>
        <v>2.4181214429258415</v>
      </c>
      <c r="Y21" s="2">
        <f t="shared" si="9"/>
        <v>3.3876450676528642</v>
      </c>
      <c r="Z21" s="4">
        <f t="shared" si="10"/>
        <v>18.226621685162741</v>
      </c>
      <c r="AA21" s="4">
        <f t="shared" si="11"/>
        <v>11.224753157078837</v>
      </c>
      <c r="AB21" s="4">
        <f t="shared" si="12"/>
        <v>29.596173154555135</v>
      </c>
    </row>
    <row r="22" spans="1:28" x14ac:dyDescent="0.25">
      <c r="A22" t="s">
        <v>51</v>
      </c>
      <c r="B22" t="s">
        <v>50</v>
      </c>
      <c r="C22">
        <v>3.0456718439112298</v>
      </c>
      <c r="D22">
        <v>7.3079122065971905E-2</v>
      </c>
      <c r="E22">
        <v>2.6599636494517802</v>
      </c>
      <c r="F22">
        <v>3.4313800383706701</v>
      </c>
      <c r="G22">
        <v>14.001036501874401</v>
      </c>
      <c r="H22">
        <v>0.28199999999999997</v>
      </c>
      <c r="I22">
        <v>20</v>
      </c>
      <c r="J22">
        <f>D22*SQRT(I22+1)</f>
        <v>0.33489060858823383</v>
      </c>
      <c r="K22">
        <f>C22+(1.28*J22)</f>
        <v>3.4743318229041691</v>
      </c>
      <c r="L22">
        <f>C22-(1.28*J22)</f>
        <v>2.6170118649182905</v>
      </c>
      <c r="M22">
        <f>C22+((H22*H22)/2)</f>
        <v>3.0854338439112299</v>
      </c>
      <c r="N22">
        <f t="shared" si="0"/>
        <v>7.5355605607468403</v>
      </c>
      <c r="O22">
        <f t="shared" si="1"/>
        <v>2.3103289237127397E-2</v>
      </c>
      <c r="P22">
        <f t="shared" si="2"/>
        <v>8.6682020962151555E-3</v>
      </c>
      <c r="Q22" cm="1">
        <f t="array" ref="Q22">SUM($M$3:$M$28*$P$3:$P$28)</f>
        <v>2.9028832552893529</v>
      </c>
      <c r="R22">
        <f>J22*J22</f>
        <v>0.11215171972059763</v>
      </c>
      <c r="S22">
        <f t="shared" si="3"/>
        <v>0.1454764371267914</v>
      </c>
      <c r="T22">
        <f t="shared" si="4"/>
        <v>3.3061713358902654E-3</v>
      </c>
      <c r="U22" s="1">
        <f t="shared" si="5"/>
        <v>0.37872016590899321</v>
      </c>
      <c r="V22" s="3">
        <f t="shared" si="6"/>
        <v>0.14342896406613534</v>
      </c>
      <c r="W22" s="2">
        <f t="shared" si="7"/>
        <v>0.37872016590899321</v>
      </c>
      <c r="X22" s="2">
        <f t="shared" si="8"/>
        <v>2.4181214429258415</v>
      </c>
      <c r="Y22" s="2">
        <f t="shared" si="9"/>
        <v>3.3876450676528642</v>
      </c>
      <c r="Z22" s="4">
        <f t="shared" si="10"/>
        <v>18.226621685162741</v>
      </c>
      <c r="AA22" s="4">
        <f t="shared" si="11"/>
        <v>11.224753157078837</v>
      </c>
      <c r="AB22" s="4">
        <f t="shared" si="12"/>
        <v>29.596173154555135</v>
      </c>
    </row>
    <row r="23" spans="1:28" x14ac:dyDescent="0.25">
      <c r="A23" t="s">
        <v>53</v>
      </c>
      <c r="B23" t="s">
        <v>52</v>
      </c>
      <c r="C23">
        <v>3.0042410340982499</v>
      </c>
      <c r="D23">
        <v>8.8788297480901099E-2</v>
      </c>
      <c r="E23">
        <v>2.5738469184067001</v>
      </c>
      <c r="F23">
        <v>3.4346351497897998</v>
      </c>
      <c r="G23">
        <v>18.754591677935998</v>
      </c>
      <c r="H23">
        <v>0.312</v>
      </c>
      <c r="I23">
        <v>20</v>
      </c>
      <c r="J23">
        <f>D23*SQRT(I23+1)</f>
        <v>0.40687909403248618</v>
      </c>
      <c r="K23">
        <f>C23+(1.28*J23)</f>
        <v>3.5250462744598323</v>
      </c>
      <c r="L23">
        <f>C23-(1.28*J23)</f>
        <v>2.4834357937366676</v>
      </c>
      <c r="M23">
        <f>C23+((H23*H23)/2)</f>
        <v>3.0529130340982498</v>
      </c>
      <c r="N23">
        <f t="shared" si="0"/>
        <v>12.289115736808437</v>
      </c>
      <c r="O23">
        <f t="shared" si="1"/>
        <v>2.1451241094249166E-3</v>
      </c>
      <c r="P23">
        <f t="shared" si="2"/>
        <v>8.0483645039067632E-4</v>
      </c>
      <c r="Q23" cm="1">
        <f t="array" ref="Q23">SUM($M$3:$M$28*$P$3:$P$28)</f>
        <v>2.9028832552893529</v>
      </c>
      <c r="R23">
        <f>J23*J23</f>
        <v>0.16555059716069673</v>
      </c>
      <c r="S23">
        <f t="shared" si="3"/>
        <v>0.18805953169014325</v>
      </c>
      <c r="T23">
        <f t="shared" si="4"/>
        <v>3.490240166270529E-4</v>
      </c>
      <c r="U23" s="1">
        <f t="shared" si="5"/>
        <v>0.37872016590899321</v>
      </c>
      <c r="V23" s="3">
        <f t="shared" si="6"/>
        <v>0.14342896406613534</v>
      </c>
      <c r="W23" s="2">
        <f t="shared" si="7"/>
        <v>0.37872016590899321</v>
      </c>
      <c r="X23" s="2">
        <f t="shared" si="8"/>
        <v>2.4181214429258415</v>
      </c>
      <c r="Y23" s="2">
        <f t="shared" si="9"/>
        <v>3.3876450676528642</v>
      </c>
      <c r="Z23" s="4">
        <f t="shared" si="10"/>
        <v>18.226621685162741</v>
      </c>
      <c r="AA23" s="4">
        <f t="shared" si="11"/>
        <v>11.224753157078837</v>
      </c>
      <c r="AB23" s="4">
        <f t="shared" si="12"/>
        <v>29.596173154555135</v>
      </c>
    </row>
    <row r="24" spans="1:28" x14ac:dyDescent="0.25">
      <c r="A24" t="s">
        <v>55</v>
      </c>
      <c r="B24" t="s">
        <v>54</v>
      </c>
      <c r="C24">
        <v>2.8193838788160899</v>
      </c>
      <c r="D24">
        <v>9.0455852266125306E-2</v>
      </c>
      <c r="E24">
        <v>2.4575567966089</v>
      </c>
      <c r="F24">
        <v>3.1812109610232802</v>
      </c>
      <c r="G24">
        <v>9.8843698377703504</v>
      </c>
      <c r="H24">
        <v>0.25800000000000001</v>
      </c>
      <c r="I24">
        <v>20</v>
      </c>
      <c r="J24">
        <f>D24*SQRT(I24+1)</f>
        <v>0.41452079006126197</v>
      </c>
      <c r="K24">
        <f>C24+(1.28*J24)</f>
        <v>3.3499704900945053</v>
      </c>
      <c r="L24">
        <f>C24-(1.28*J24)</f>
        <v>2.2887972675376744</v>
      </c>
      <c r="M24">
        <f>C24+((H24*H24)/2)</f>
        <v>2.8526658788160897</v>
      </c>
      <c r="N24">
        <f t="shared" si="0"/>
        <v>3.41889389664279</v>
      </c>
      <c r="O24">
        <f t="shared" si="1"/>
        <v>0.18096584841279378</v>
      </c>
      <c r="P24">
        <f t="shared" si="2"/>
        <v>6.7897195522890613E-2</v>
      </c>
      <c r="Q24" cm="1">
        <f t="array" ref="Q24">SUM($M$3:$M$28*$P$3:$P$28)</f>
        <v>2.9028832552893529</v>
      </c>
      <c r="R24">
        <f>J24*J24</f>
        <v>0.17182748539301282</v>
      </c>
      <c r="S24">
        <f t="shared" si="3"/>
        <v>0.17434927029287026</v>
      </c>
      <c r="T24">
        <f t="shared" si="4"/>
        <v>2.8350577067368883E-2</v>
      </c>
      <c r="U24" s="1">
        <f t="shared" si="5"/>
        <v>0.37872016590899321</v>
      </c>
      <c r="V24" s="3">
        <f t="shared" si="6"/>
        <v>0.14342896406613534</v>
      </c>
      <c r="W24" s="2">
        <f t="shared" si="7"/>
        <v>0.37872016590899321</v>
      </c>
      <c r="X24" s="2">
        <f t="shared" si="8"/>
        <v>2.4181214429258415</v>
      </c>
      <c r="Y24" s="2">
        <f t="shared" si="9"/>
        <v>3.3876450676528642</v>
      </c>
      <c r="Z24" s="4">
        <f t="shared" si="10"/>
        <v>18.226621685162741</v>
      </c>
      <c r="AA24" s="4">
        <f t="shared" si="11"/>
        <v>11.224753157078837</v>
      </c>
      <c r="AB24" s="4">
        <f t="shared" si="12"/>
        <v>29.596173154555135</v>
      </c>
    </row>
    <row r="25" spans="1:28" x14ac:dyDescent="0.25">
      <c r="A25" t="s">
        <v>57</v>
      </c>
      <c r="B25" t="s">
        <v>56</v>
      </c>
      <c r="C25">
        <v>3.0107486363378402</v>
      </c>
      <c r="D25">
        <v>8.1659419621454898E-2</v>
      </c>
      <c r="E25">
        <v>2.6038462270871499</v>
      </c>
      <c r="F25">
        <v>3.4176510455885198</v>
      </c>
      <c r="G25">
        <v>16.272179313968898</v>
      </c>
      <c r="H25">
        <v>0.29599999999999999</v>
      </c>
      <c r="I25">
        <v>20</v>
      </c>
      <c r="J25">
        <f>D25*SQRT(I25+1)</f>
        <v>0.37421047162147925</v>
      </c>
      <c r="K25">
        <f>C25+(1.28*J25)</f>
        <v>3.4897380400133335</v>
      </c>
      <c r="L25">
        <f>C25-(1.28*J25)</f>
        <v>2.5317592326623468</v>
      </c>
      <c r="M25">
        <f>C25+((H25*H25)/2)</f>
        <v>3.05455663633784</v>
      </c>
      <c r="N25">
        <f t="shared" si="0"/>
        <v>9.8067033728413371</v>
      </c>
      <c r="O25">
        <f t="shared" si="1"/>
        <v>7.421666239593643E-3</v>
      </c>
      <c r="P25">
        <f t="shared" si="2"/>
        <v>2.7845603366325601E-3</v>
      </c>
      <c r="Q25" cm="1">
        <f t="array" ref="Q25">SUM($M$3:$M$28*$P$3:$P$28)</f>
        <v>2.9028832552893529</v>
      </c>
      <c r="R25">
        <f>J25*J25</f>
        <v>0.14003347707116992</v>
      </c>
      <c r="S25">
        <f t="shared" si="3"/>
        <v>0.1630382915898495</v>
      </c>
      <c r="T25">
        <f t="shared" si="4"/>
        <v>1.1243497837244653E-3</v>
      </c>
      <c r="U25" s="1">
        <f t="shared" si="5"/>
        <v>0.37872016590899321</v>
      </c>
      <c r="V25" s="3">
        <f t="shared" si="6"/>
        <v>0.14342896406613534</v>
      </c>
      <c r="W25" s="2">
        <f t="shared" si="7"/>
        <v>0.37872016590899321</v>
      </c>
      <c r="X25" s="2">
        <f t="shared" si="8"/>
        <v>2.4181214429258415</v>
      </c>
      <c r="Y25" s="2">
        <f t="shared" si="9"/>
        <v>3.3876450676528642</v>
      </c>
      <c r="Z25" s="4">
        <f t="shared" si="10"/>
        <v>18.226621685162741</v>
      </c>
      <c r="AA25" s="4">
        <f t="shared" si="11"/>
        <v>11.224753157078837</v>
      </c>
      <c r="AB25" s="4">
        <f t="shared" si="12"/>
        <v>29.596173154555135</v>
      </c>
    </row>
    <row r="26" spans="1:28" x14ac:dyDescent="0.25">
      <c r="A26" t="s">
        <v>59</v>
      </c>
      <c r="B26" t="s">
        <v>58</v>
      </c>
      <c r="C26">
        <v>3.06723327928092</v>
      </c>
      <c r="D26">
        <v>7.9698606097820104E-2</v>
      </c>
      <c r="E26">
        <v>2.64315954686449</v>
      </c>
      <c r="F26">
        <v>3.4913070116973599</v>
      </c>
      <c r="G26">
        <v>18.3879544296306</v>
      </c>
      <c r="H26">
        <v>0.31</v>
      </c>
      <c r="I26">
        <v>20</v>
      </c>
      <c r="J26">
        <f>D26*SQRT(I26+1)</f>
        <v>0.36522489522572971</v>
      </c>
      <c r="K26">
        <f>C26+(1.28*J26)</f>
        <v>3.5347211451698541</v>
      </c>
      <c r="L26">
        <f>C26-(1.28*J26)</f>
        <v>2.5997454133919859</v>
      </c>
      <c r="M26">
        <f>C26+((H26*H26)/2)</f>
        <v>3.11528327928092</v>
      </c>
      <c r="N26">
        <f t="shared" si="0"/>
        <v>11.922478488503039</v>
      </c>
      <c r="O26">
        <f t="shared" si="1"/>
        <v>2.576716811147703E-3</v>
      </c>
      <c r="P26">
        <f t="shared" si="2"/>
        <v>9.6676719208664888E-4</v>
      </c>
      <c r="Q26" cm="1">
        <f t="array" ref="Q26">SUM($M$3:$M$28*$P$3:$P$28)</f>
        <v>2.9028832552893529</v>
      </c>
      <c r="R26">
        <f>J26*J26</f>
        <v>0.13338922409264525</v>
      </c>
      <c r="S26">
        <f t="shared" si="3"/>
        <v>0.17850299428426353</v>
      </c>
      <c r="T26">
        <f t="shared" si="4"/>
        <v>4.0845541376487832E-4</v>
      </c>
      <c r="U26" s="1">
        <f t="shared" si="5"/>
        <v>0.37872016590899321</v>
      </c>
      <c r="V26" s="3">
        <f t="shared" si="6"/>
        <v>0.14342896406613534</v>
      </c>
      <c r="W26" s="2">
        <f t="shared" si="7"/>
        <v>0.37872016590899321</v>
      </c>
      <c r="X26" s="2">
        <f t="shared" si="8"/>
        <v>2.4181214429258415</v>
      </c>
      <c r="Y26" s="2">
        <f t="shared" si="9"/>
        <v>3.3876450676528642</v>
      </c>
      <c r="Z26" s="4">
        <f t="shared" si="10"/>
        <v>18.226621685162741</v>
      </c>
      <c r="AA26" s="4">
        <f t="shared" si="11"/>
        <v>11.224753157078837</v>
      </c>
      <c r="AB26" s="4">
        <f t="shared" si="12"/>
        <v>29.596173154555135</v>
      </c>
    </row>
    <row r="27" spans="1:28" x14ac:dyDescent="0.25">
      <c r="A27" t="s">
        <v>61</v>
      </c>
      <c r="B27" t="s">
        <v>60</v>
      </c>
      <c r="C27">
        <v>2.8394337325650598</v>
      </c>
      <c r="D27">
        <v>8.7839408646482306E-2</v>
      </c>
      <c r="E27">
        <v>2.47887317266358</v>
      </c>
      <c r="F27">
        <v>3.1999942924665499</v>
      </c>
      <c r="G27">
        <v>9.8655154259353903</v>
      </c>
      <c r="H27">
        <v>0.25700000000000001</v>
      </c>
      <c r="I27">
        <v>20</v>
      </c>
      <c r="J27">
        <f>D27*SQRT(I27+1)</f>
        <v>0.40253073912266368</v>
      </c>
      <c r="K27">
        <f>C27+(1.28*J27)</f>
        <v>3.3546730786420693</v>
      </c>
      <c r="L27">
        <f>C27-(1.28*J27)</f>
        <v>2.3241943864880503</v>
      </c>
      <c r="M27">
        <f>C27+((H27*H27)/2)</f>
        <v>2.8724582325650596</v>
      </c>
      <c r="N27">
        <f t="shared" si="0"/>
        <v>3.4000394848078299</v>
      </c>
      <c r="O27">
        <f t="shared" si="1"/>
        <v>0.18267991747641554</v>
      </c>
      <c r="P27">
        <f t="shared" si="2"/>
        <v>6.8540302956548449E-2</v>
      </c>
      <c r="Q27" cm="1">
        <f t="array" ref="Q27">SUM($M$3:$M$28*$P$3:$P$28)</f>
        <v>2.9028832552893529</v>
      </c>
      <c r="R27">
        <f>J27*J27</f>
        <v>0.16203099593863793</v>
      </c>
      <c r="S27">
        <f t="shared" si="3"/>
        <v>0.16295667794641169</v>
      </c>
      <c r="T27">
        <f t="shared" si="4"/>
        <v>2.7668276110176089E-2</v>
      </c>
      <c r="U27" s="1">
        <f t="shared" si="5"/>
        <v>0.37872016590899321</v>
      </c>
      <c r="V27" s="3">
        <f t="shared" si="6"/>
        <v>0.14342896406613534</v>
      </c>
      <c r="W27" s="2">
        <f t="shared" si="7"/>
        <v>0.37872016590899321</v>
      </c>
      <c r="X27" s="2">
        <f t="shared" si="8"/>
        <v>2.4181214429258415</v>
      </c>
      <c r="Y27" s="2">
        <f t="shared" si="9"/>
        <v>3.3876450676528642</v>
      </c>
      <c r="Z27" s="4">
        <f t="shared" si="10"/>
        <v>18.226621685162741</v>
      </c>
      <c r="AA27" s="4">
        <f t="shared" si="11"/>
        <v>11.224753157078837</v>
      </c>
      <c r="AB27" s="4">
        <f t="shared" si="12"/>
        <v>29.596173154555135</v>
      </c>
    </row>
    <row r="28" spans="1:28" x14ac:dyDescent="0.25">
      <c r="A28" t="s">
        <v>63</v>
      </c>
      <c r="B28" t="s">
        <v>62</v>
      </c>
      <c r="C28">
        <v>3.0596468301649602</v>
      </c>
      <c r="D28">
        <v>7.6116235704180094E-2</v>
      </c>
      <c r="E28">
        <v>2.6545711548775399</v>
      </c>
      <c r="F28">
        <v>3.4647225054523898</v>
      </c>
      <c r="G28">
        <v>16.280094244974499</v>
      </c>
      <c r="H28">
        <v>0.29599999999999999</v>
      </c>
      <c r="I28">
        <v>20</v>
      </c>
      <c r="J28">
        <f>D28*SQRT(I28+1)</f>
        <v>0.34880841172950561</v>
      </c>
      <c r="K28">
        <f>C28+(1.28*J28)</f>
        <v>3.5061215971787272</v>
      </c>
      <c r="L28">
        <f>C28-(1.28*J28)</f>
        <v>2.6131720631511932</v>
      </c>
      <c r="M28">
        <f>C28+((H28*H28)/2)</f>
        <v>3.10345483016496</v>
      </c>
      <c r="N28">
        <f t="shared" si="0"/>
        <v>9.8146183038469381</v>
      </c>
      <c r="O28">
        <f t="shared" si="1"/>
        <v>7.3923532922232854E-3</v>
      </c>
      <c r="P28">
        <f t="shared" si="2"/>
        <v>2.7735623116658965E-3</v>
      </c>
      <c r="Q28" cm="1">
        <f t="array" ref="Q28">SUM($M$3:$M$28*$P$3:$P$28)</f>
        <v>2.9028832552893529</v>
      </c>
      <c r="R28">
        <f>J28*J28</f>
        <v>0.1216673080932603</v>
      </c>
      <c r="S28">
        <f t="shared" si="3"/>
        <v>0.16189626474134161</v>
      </c>
      <c r="T28">
        <f t="shared" si="4"/>
        <v>1.1159798208054709E-3</v>
      </c>
      <c r="U28" s="1">
        <f t="shared" si="5"/>
        <v>0.37872016590899321</v>
      </c>
      <c r="V28" s="3">
        <f t="shared" si="6"/>
        <v>0.14342896406613534</v>
      </c>
      <c r="W28" s="2">
        <f t="shared" si="7"/>
        <v>0.37872016590899321</v>
      </c>
      <c r="X28" s="2">
        <f t="shared" si="8"/>
        <v>2.4181214429258415</v>
      </c>
      <c r="Y28" s="2">
        <f t="shared" si="9"/>
        <v>3.3876450676528642</v>
      </c>
      <c r="Z28" s="4">
        <f t="shared" si="10"/>
        <v>18.226621685162741</v>
      </c>
      <c r="AA28" s="4">
        <f t="shared" si="11"/>
        <v>11.224753157078837</v>
      </c>
      <c r="AB28" s="4">
        <f t="shared" si="12"/>
        <v>29.596173154555135</v>
      </c>
    </row>
  </sheetData>
  <mergeCells count="4">
    <mergeCell ref="K1:L1"/>
    <mergeCell ref="N1:P1"/>
    <mergeCell ref="R1:V1"/>
    <mergeCell ref="X1:Y1"/>
  </mergeCells>
  <phoneticPr fontId="2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model_summary_table_test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Miller, Sara E (DFG)</dc:creator>
  <cp:lastModifiedBy>NA</cp:lastModifiedBy>
  <dcterms:created xsi:type="dcterms:W3CDTF">2021-06-02T18:53:13Z</dcterms:created>
  <dcterms:modified xsi:type="dcterms:W3CDTF">2021-06-02T18:53:14Z</dcterms:modified>
</cp:coreProperties>
</file>