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ason_SEAK_pink_salmon_forecast\2022_forecast\text\model_averaging\"/>
    </mc:Choice>
  </mc:AlternateContent>
  <xr:revisionPtr revIDLastSave="0" documentId="8_{B36B3EE0-27BD-4ADE-B84A-AE6BAEF03A8D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model averag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" l="1"/>
  <c r="J37" i="1"/>
  <c r="K37" i="1"/>
  <c r="G37" i="1"/>
  <c r="L37" i="1"/>
  <c r="H37" i="1"/>
  <c r="M4" i="1"/>
  <c r="I37" i="1"/>
  <c r="P4" i="1" l="1" a="1"/>
  <c r="P4" i="1" s="1"/>
  <c r="K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L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J4" i="1"/>
  <c r="Q4" i="1" s="1"/>
  <c r="M9" i="1"/>
  <c r="M5" i="1" l="1"/>
  <c r="M6" i="1"/>
  <c r="M7" i="1"/>
  <c r="M8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Y4" i="1" l="1"/>
  <c r="Q28" i="1"/>
  <c r="Q12" i="1"/>
  <c r="Q24" i="1"/>
  <c r="Q8" i="1"/>
  <c r="Q20" i="1"/>
  <c r="Q16" i="1"/>
  <c r="Q27" i="1"/>
  <c r="Q23" i="1"/>
  <c r="Q19" i="1"/>
  <c r="Q15" i="1"/>
  <c r="Q11" i="1"/>
  <c r="Q7" i="1"/>
  <c r="Q26" i="1"/>
  <c r="Q22" i="1"/>
  <c r="Q18" i="1"/>
  <c r="Q14" i="1"/>
  <c r="Q10" i="1"/>
  <c r="Q6" i="1"/>
  <c r="Q25" i="1"/>
  <c r="Q21" i="1"/>
  <c r="Q17" i="1"/>
  <c r="Q13" i="1"/>
  <c r="Q9" i="1"/>
  <c r="Q5" i="1"/>
  <c r="R4" i="1" l="1"/>
  <c r="S4" i="1" s="1"/>
  <c r="P12" i="1" a="1"/>
  <c r="P12" i="1" s="1"/>
  <c r="P11" i="1" a="1"/>
  <c r="P11" i="1" s="1"/>
  <c r="P14" i="1" a="1"/>
  <c r="P14" i="1" s="1"/>
  <c r="Y14" i="1" s="1"/>
  <c r="P22" i="1" a="1"/>
  <c r="P22" i="1" s="1"/>
  <c r="P6" i="1" a="1"/>
  <c r="P6" i="1" s="1"/>
  <c r="Y6" i="1" s="1"/>
  <c r="P19" i="1" a="1"/>
  <c r="P19" i="1" s="1"/>
  <c r="P27" i="1" a="1"/>
  <c r="P27" i="1" s="1"/>
  <c r="Y27" i="1" s="1"/>
  <c r="P26" i="1" a="1"/>
  <c r="P26" i="1" s="1"/>
  <c r="P24" i="1" a="1"/>
  <c r="P24" i="1" s="1"/>
  <c r="Y24" i="1" s="1"/>
  <c r="P25" i="1" a="1"/>
  <c r="P25" i="1" s="1"/>
  <c r="P15" i="1" a="1"/>
  <c r="P15" i="1" s="1"/>
  <c r="Y15" i="1" s="1"/>
  <c r="P13" i="1" a="1"/>
  <c r="P13" i="1" s="1"/>
  <c r="P20" i="1" a="1"/>
  <c r="P20" i="1" s="1"/>
  <c r="P8" i="1" a="1"/>
  <c r="P8" i="1" s="1"/>
  <c r="P28" i="1" a="1"/>
  <c r="P28" i="1" s="1"/>
  <c r="Y28" i="1" s="1"/>
  <c r="P18" i="1" a="1"/>
  <c r="P18" i="1" s="1"/>
  <c r="Y18" i="1" s="1"/>
  <c r="P16" i="1" a="1"/>
  <c r="P16" i="1" s="1"/>
  <c r="Y16" i="1" s="1"/>
  <c r="P10" i="1" a="1"/>
  <c r="P10" i="1" s="1"/>
  <c r="P17" i="1" a="1"/>
  <c r="P17" i="1" s="1"/>
  <c r="P7" i="1" a="1"/>
  <c r="P7" i="1" s="1"/>
  <c r="P23" i="1" a="1"/>
  <c r="P23" i="1" s="1"/>
  <c r="Y23" i="1" s="1"/>
  <c r="P5" i="1" a="1"/>
  <c r="P5" i="1" s="1"/>
  <c r="Y5" i="1" s="1"/>
  <c r="P21" i="1" a="1"/>
  <c r="P21" i="1" s="1"/>
  <c r="Y21" i="1" s="1"/>
  <c r="P9" i="1" a="1"/>
  <c r="P9" i="1" s="1"/>
  <c r="R14" i="1" l="1"/>
  <c r="S14" i="1" s="1"/>
  <c r="R5" i="1"/>
  <c r="S5" i="1" s="1"/>
  <c r="R8" i="1"/>
  <c r="S8" i="1" s="1"/>
  <c r="Y8" i="1"/>
  <c r="R9" i="1"/>
  <c r="S9" i="1" s="1"/>
  <c r="Y9" i="1"/>
  <c r="R7" i="1"/>
  <c r="S7" i="1" s="1"/>
  <c r="Y7" i="1"/>
  <c r="R18" i="1"/>
  <c r="S18" i="1" s="1"/>
  <c r="R20" i="1"/>
  <c r="S20" i="1" s="1"/>
  <c r="Y20" i="1"/>
  <c r="R25" i="1"/>
  <c r="S25" i="1" s="1"/>
  <c r="Y25" i="1"/>
  <c r="R19" i="1"/>
  <c r="S19" i="1" s="1"/>
  <c r="Y19" i="1"/>
  <c r="R11" i="1"/>
  <c r="S11" i="1" s="1"/>
  <c r="Y11" i="1"/>
  <c r="R23" i="1"/>
  <c r="S23" i="1" s="1"/>
  <c r="R17" i="1"/>
  <c r="S17" i="1" s="1"/>
  <c r="Y17" i="1"/>
  <c r="R28" i="1"/>
  <c r="S28" i="1" s="1"/>
  <c r="R6" i="1"/>
  <c r="S6" i="1" s="1"/>
  <c r="R10" i="1"/>
  <c r="S10" i="1" s="1"/>
  <c r="Y10" i="1"/>
  <c r="R12" i="1"/>
  <c r="S12" i="1" s="1"/>
  <c r="Y12" i="1"/>
  <c r="R13" i="1"/>
  <c r="S13" i="1" s="1"/>
  <c r="Y13" i="1"/>
  <c r="R26" i="1"/>
  <c r="S26" i="1" s="1"/>
  <c r="Y26" i="1"/>
  <c r="R22" i="1"/>
  <c r="S22" i="1" s="1"/>
  <c r="Y22" i="1"/>
  <c r="R27" i="1"/>
  <c r="S27" i="1" s="1"/>
  <c r="R15" i="1"/>
  <c r="S15" i="1" s="1"/>
  <c r="R16" i="1"/>
  <c r="S16" i="1" s="1"/>
  <c r="R24" i="1"/>
  <c r="S24" i="1" s="1"/>
  <c r="R21" i="1"/>
  <c r="S21" i="1" s="1"/>
  <c r="T4" i="1" l="1"/>
  <c r="U4" i="1" s="1"/>
  <c r="V4" i="1" s="1"/>
  <c r="T12" i="1"/>
  <c r="U12" i="1" s="1"/>
  <c r="V12" i="1" s="1"/>
  <c r="W12" i="1" s="1"/>
  <c r="Z12" i="1" s="1"/>
  <c r="T10" i="1"/>
  <c r="U10" i="1" s="1"/>
  <c r="V10" i="1" s="1"/>
  <c r="W10" i="1" s="1"/>
  <c r="Z10" i="1" s="1"/>
  <c r="T27" i="1"/>
  <c r="U27" i="1" s="1"/>
  <c r="V27" i="1" s="1"/>
  <c r="X27" i="1" s="1"/>
  <c r="AA27" i="1" s="1"/>
  <c r="T28" i="1"/>
  <c r="U28" i="1" s="1"/>
  <c r="V28" i="1" s="1"/>
  <c r="W28" i="1" s="1"/>
  <c r="Z28" i="1" s="1"/>
  <c r="T13" i="1"/>
  <c r="U13" i="1" s="1"/>
  <c r="V13" i="1" s="1"/>
  <c r="W13" i="1" s="1"/>
  <c r="Z13" i="1" s="1"/>
  <c r="T18" i="1"/>
  <c r="U18" i="1" s="1"/>
  <c r="V18" i="1" s="1"/>
  <c r="X18" i="1" s="1"/>
  <c r="AA18" i="1" s="1"/>
  <c r="T5" i="1"/>
  <c r="U5" i="1" s="1"/>
  <c r="V5" i="1" s="1"/>
  <c r="T25" i="1"/>
  <c r="U25" i="1" s="1"/>
  <c r="V25" i="1" s="1"/>
  <c r="W25" i="1" s="1"/>
  <c r="Z25" i="1" s="1"/>
  <c r="T15" i="1"/>
  <c r="U15" i="1" s="1"/>
  <c r="V15" i="1" s="1"/>
  <c r="T6" i="1"/>
  <c r="U6" i="1" s="1"/>
  <c r="V6" i="1" s="1"/>
  <c r="T17" i="1"/>
  <c r="U17" i="1" s="1"/>
  <c r="V17" i="1" s="1"/>
  <c r="T21" i="1"/>
  <c r="U21" i="1" s="1"/>
  <c r="V21" i="1" s="1"/>
  <c r="T9" i="1"/>
  <c r="U9" i="1" s="1"/>
  <c r="V9" i="1" s="1"/>
  <c r="T11" i="1"/>
  <c r="U11" i="1" s="1"/>
  <c r="V11" i="1" s="1"/>
  <c r="T26" i="1"/>
  <c r="U26" i="1" s="1"/>
  <c r="V26" i="1" s="1"/>
  <c r="T23" i="1"/>
  <c r="U23" i="1" s="1"/>
  <c r="V23" i="1" s="1"/>
  <c r="X23" i="1" s="1"/>
  <c r="AA23" i="1" s="1"/>
  <c r="T16" i="1"/>
  <c r="U16" i="1" s="1"/>
  <c r="V16" i="1" s="1"/>
  <c r="T19" i="1"/>
  <c r="U19" i="1" s="1"/>
  <c r="V19" i="1" s="1"/>
  <c r="T20" i="1"/>
  <c r="U20" i="1" s="1"/>
  <c r="V20" i="1" s="1"/>
  <c r="T8" i="1"/>
  <c r="U8" i="1" s="1"/>
  <c r="V8" i="1" s="1"/>
  <c r="T22" i="1"/>
  <c r="U22" i="1" s="1"/>
  <c r="V22" i="1" s="1"/>
  <c r="T7" i="1"/>
  <c r="U7" i="1" s="1"/>
  <c r="V7" i="1" s="1"/>
  <c r="T24" i="1"/>
  <c r="U24" i="1" s="1"/>
  <c r="V24" i="1" s="1"/>
  <c r="T14" i="1"/>
  <c r="U14" i="1" s="1"/>
  <c r="V14" i="1" s="1"/>
  <c r="W4" i="1" l="1"/>
  <c r="Z4" i="1" s="1"/>
  <c r="X10" i="1"/>
  <c r="AA10" i="1" s="1"/>
  <c r="X13" i="1"/>
  <c r="AA13" i="1" s="1"/>
  <c r="X12" i="1"/>
  <c r="AA12" i="1" s="1"/>
  <c r="W23" i="1"/>
  <c r="Z23" i="1" s="1"/>
  <c r="W27" i="1"/>
  <c r="Z27" i="1" s="1"/>
  <c r="X4" i="1"/>
  <c r="AA4" i="1" s="1"/>
  <c r="W18" i="1"/>
  <c r="Z18" i="1" s="1"/>
  <c r="X28" i="1"/>
  <c r="AA28" i="1" s="1"/>
  <c r="W5" i="1"/>
  <c r="Z5" i="1" s="1"/>
  <c r="X5" i="1"/>
  <c r="AA5" i="1" s="1"/>
  <c r="X25" i="1"/>
  <c r="AA25" i="1" s="1"/>
  <c r="W20" i="1"/>
  <c r="Z20" i="1" s="1"/>
  <c r="X20" i="1"/>
  <c r="AA20" i="1" s="1"/>
  <c r="W21" i="1"/>
  <c r="Z21" i="1" s="1"/>
  <c r="X21" i="1"/>
  <c r="AA21" i="1" s="1"/>
  <c r="X19" i="1"/>
  <c r="AA19" i="1" s="1"/>
  <c r="W19" i="1"/>
  <c r="Z19" i="1" s="1"/>
  <c r="W17" i="1"/>
  <c r="Z17" i="1" s="1"/>
  <c r="X17" i="1"/>
  <c r="AA17" i="1" s="1"/>
  <c r="W15" i="1"/>
  <c r="Z15" i="1" s="1"/>
  <c r="X15" i="1"/>
  <c r="AA15" i="1" s="1"/>
  <c r="X14" i="1"/>
  <c r="AA14" i="1" s="1"/>
  <c r="W14" i="1"/>
  <c r="Z14" i="1" s="1"/>
  <c r="W8" i="1"/>
  <c r="Z8" i="1" s="1"/>
  <c r="X8" i="1"/>
  <c r="AA8" i="1" s="1"/>
  <c r="X9" i="1"/>
  <c r="AA9" i="1" s="1"/>
  <c r="W9" i="1"/>
  <c r="Z9" i="1" s="1"/>
  <c r="W24" i="1"/>
  <c r="Z24" i="1" s="1"/>
  <c r="X24" i="1"/>
  <c r="AA24" i="1" s="1"/>
  <c r="X26" i="1"/>
  <c r="AA26" i="1" s="1"/>
  <c r="W26" i="1"/>
  <c r="Z26" i="1" s="1"/>
  <c r="X7" i="1"/>
  <c r="AA7" i="1" s="1"/>
  <c r="W7" i="1"/>
  <c r="Z7" i="1" s="1"/>
  <c r="W22" i="1"/>
  <c r="Z22" i="1" s="1"/>
  <c r="X22" i="1"/>
  <c r="AA22" i="1" s="1"/>
  <c r="W16" i="1"/>
  <c r="Z16" i="1" s="1"/>
  <c r="X16" i="1"/>
  <c r="AA16" i="1" s="1"/>
  <c r="W11" i="1"/>
  <c r="Z11" i="1" s="1"/>
  <c r="X11" i="1"/>
  <c r="AA11" i="1" s="1"/>
  <c r="X6" i="1"/>
  <c r="AA6" i="1" s="1"/>
  <c r="W6" i="1"/>
  <c r="Z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N2" authorId="0" shapeId="0" xr:uid="{199AC618-EFC2-4711-93F3-7FE03652158A}">
      <text>
        <r>
          <rPr>
            <b/>
            <sz val="16"/>
            <color indexed="10"/>
            <rFont val="Tahoma"/>
            <family val="2"/>
          </rPr>
          <t>How to use MAPE to weight the models since the lower the MAPE, the more weight the model should get? Needs to sum to one...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Buckland et al. 1997 (equation 9) or equation 6 in Dormann et al. 2018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" authorId="0" shapeId="0" xr:uid="{9FBC757A-4953-4E38-A7A1-A14036A26E02}">
      <text>
        <r>
          <rPr>
            <b/>
            <sz val="20"/>
            <color indexed="10"/>
            <rFont val="Tahoma"/>
            <family val="2"/>
          </rPr>
          <t>Is this correct?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M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http://www.turkupetcentre.net/reports/tpcmod0016.pdf; should add to one; Turkheimer et al. 2003 and Buckland et al. 1997 equation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pg. 162 in Burnham and Anderson 2002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<sst xmlns="http://schemas.openxmlformats.org/spreadsheetml/2006/main" count="99" uniqueCount="87">
  <si>
    <t>terms</t>
  </si>
  <si>
    <t>fit</t>
  </si>
  <si>
    <t>se.fit</t>
  </si>
  <si>
    <t>fit_LPI</t>
  </si>
  <si>
    <t>fit_UPI</t>
  </si>
  <si>
    <t>AICc</t>
  </si>
  <si>
    <t>sigma</t>
  </si>
  <si>
    <t>df</t>
  </si>
  <si>
    <t>stdev</t>
  </si>
  <si>
    <t>var_yhat</t>
  </si>
  <si>
    <t>CPUE</t>
  </si>
  <si>
    <t>m1</t>
  </si>
  <si>
    <t>CPUE + ISTI3_May</t>
  </si>
  <si>
    <t>m2</t>
  </si>
  <si>
    <t>CPUE + ISTI10_May</t>
  </si>
  <si>
    <t>m3</t>
  </si>
  <si>
    <t>CPUE + ISTI15_May</t>
  </si>
  <si>
    <t>m4</t>
  </si>
  <si>
    <t>CPUE + ISTI20_May</t>
  </si>
  <si>
    <t>m5</t>
  </si>
  <si>
    <t>CPUE + ISTI3_MJJ</t>
  </si>
  <si>
    <t>m6</t>
  </si>
  <si>
    <t>CPUE + ISTI10_MJJ</t>
  </si>
  <si>
    <t>m7</t>
  </si>
  <si>
    <t>CPUE + ISTI15_MJJ</t>
  </si>
  <si>
    <t>m8</t>
  </si>
  <si>
    <t>CPUE + ISTI20_MJJ</t>
  </si>
  <si>
    <t>m9</t>
  </si>
  <si>
    <t>m10</t>
  </si>
  <si>
    <t>m11</t>
  </si>
  <si>
    <t>m12</t>
  </si>
  <si>
    <t>m13</t>
  </si>
  <si>
    <t>m14</t>
  </si>
  <si>
    <t>CPUE + Icy_Strait_SST_MJJ</t>
  </si>
  <si>
    <t>m15</t>
  </si>
  <si>
    <t>CPUE + Icy_Strait_SST_May</t>
  </si>
  <si>
    <t>m16</t>
  </si>
  <si>
    <t>CPUE + Icy_Strait_SST_AMJJ</t>
  </si>
  <si>
    <t>CPUE + NSEAK_SST_MJJ</t>
  </si>
  <si>
    <t>m18</t>
  </si>
  <si>
    <t>CPUE + NSEAK_SST_May</t>
  </si>
  <si>
    <t>m19</t>
  </si>
  <si>
    <t>CPUE + NSEAK_SST_AMJJ</t>
  </si>
  <si>
    <t>m20</t>
  </si>
  <si>
    <t>m21</t>
  </si>
  <si>
    <t>m22</t>
  </si>
  <si>
    <t>m23</t>
  </si>
  <si>
    <t>CPUE + SEAK_SST_MJJ</t>
  </si>
  <si>
    <t>m24</t>
  </si>
  <si>
    <t>CPUE + SEAK_SST_May</t>
  </si>
  <si>
    <t>m25</t>
  </si>
  <si>
    <t>fit_bias_corrected</t>
  </si>
  <si>
    <t>model_averaged_pred</t>
  </si>
  <si>
    <t>step1</t>
  </si>
  <si>
    <t>step2</t>
  </si>
  <si>
    <t>step3</t>
  </si>
  <si>
    <t>var_model_averaged_pred</t>
  </si>
  <si>
    <t>fit_LPI_80</t>
  </si>
  <si>
    <t>fit_UPI_80</t>
  </si>
  <si>
    <t>se_model_averaged_pred</t>
  </si>
  <si>
    <t>variance of model averaged prediction</t>
  </si>
  <si>
    <t>models</t>
  </si>
  <si>
    <t>m17</t>
  </si>
  <si>
    <t>80% prediction interval of the fit</t>
  </si>
  <si>
    <t>80% prediction interval of the model averaged fit</t>
  </si>
  <si>
    <t>CPUE + Chatham_SST_May</t>
  </si>
  <si>
    <t>CPUE + Chatham_SST_MJJ</t>
  </si>
  <si>
    <t>CPUE + Chatham_SST_AMJ</t>
  </si>
  <si>
    <t>CPUE + Chatham_SST_AMJJ</t>
  </si>
  <si>
    <t>CPUE + Icy_Strait_SST_AMJ</t>
  </si>
  <si>
    <t>CPUE + NSEAK_SST_AMJ</t>
  </si>
  <si>
    <t>CPUE + SEAK_SST_AMJ</t>
  </si>
  <si>
    <t>CPUE + SEAK_SST_AMJJ</t>
  </si>
  <si>
    <t>MAPE weight calc</t>
  </si>
  <si>
    <t>MAPE_one_step_ahead</t>
  </si>
  <si>
    <t>MAPE_one_step_ahead_weight</t>
  </si>
  <si>
    <t>output from R</t>
  </si>
  <si>
    <t>calculations</t>
  </si>
  <si>
    <t>data</t>
  </si>
  <si>
    <t>model</t>
  </si>
  <si>
    <t>term</t>
  </si>
  <si>
    <t>estimate</t>
  </si>
  <si>
    <t>std.error</t>
  </si>
  <si>
    <t>statistic</t>
  </si>
  <si>
    <t>p.value</t>
  </si>
  <si>
    <t>(Intercept)</t>
  </si>
  <si>
    <t>Log-bias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</si>
</sst>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6"/>
      <color indexed="10"/>
      <name val="Tahoma"/>
      <family val="2"/>
    </font>
    <font>
      <b/>
      <sz val="12"/>
      <color theme="1"/>
      <name val="Calibri"/>
      <family val="2"/>
      <scheme val="minor"/>
    </font>
    <font>
      <b/>
      <sz val="20"/>
      <color indexed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11" fontId="0" fillId="34" borderId="10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34" borderId="11" xfId="0" applyNumberFormat="1" applyFill="1" applyBorder="1" applyAlignment="1">
      <alignment horizontal="center" vertical="center"/>
    </xf>
    <xf numFmtId="11" fontId="0" fillId="34" borderId="11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34" borderId="12" xfId="0" applyNumberFormat="1" applyFill="1" applyBorder="1" applyAlignment="1">
      <alignment horizontal="center" vertical="center"/>
    </xf>
    <xf numFmtId="11" fontId="0" fillId="34" borderId="12" xfId="0" applyNumberForma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0" fillId="33" borderId="0" xfId="0" applyFill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topLeftCell="P1" workbookViewId="0">
      <selection activeCell="AB38" sqref="AB38"/>
    </sheetView>
  </sheetViews>
  <sheetFormatPr defaultRowHeight="14.5" x14ac:dyDescent="0.35"/>
  <cols>
    <col min="1" max="1" width="8.7265625" style="1"/>
    <col min="2" max="2" width="25.54296875" style="1" bestFit="1" customWidth="1"/>
    <col min="3" max="10" width="8.7265625" style="1"/>
    <col min="11" max="11" width="13.453125" style="1" customWidth="1"/>
    <col min="12" max="12" width="17.453125" style="1" customWidth="1"/>
    <col min="13" max="13" width="17.6328125" style="1" bestFit="1" customWidth="1"/>
    <col min="14" max="14" width="22.90625" style="1" bestFit="1" customWidth="1"/>
    <col min="15" max="15" width="30.36328125" style="1" bestFit="1" customWidth="1"/>
    <col min="16" max="16" width="21.7265625" style="1" bestFit="1" customWidth="1"/>
    <col min="17" max="18" width="8.7265625" style="1"/>
    <col min="19" max="19" width="12" style="1" bestFit="1" customWidth="1"/>
    <col min="20" max="20" width="8.7265625" style="1"/>
    <col min="21" max="21" width="25.1796875" style="1" bestFit="1" customWidth="1"/>
    <col min="22" max="22" width="24.453125" style="1" bestFit="1" customWidth="1"/>
    <col min="23" max="23" width="22.26953125" style="1" customWidth="1"/>
    <col min="24" max="24" width="35.08984375" style="1" customWidth="1"/>
    <col min="25" max="25" width="5.36328125" style="1" bestFit="1" customWidth="1"/>
    <col min="26" max="26" width="19.08984375" style="1" customWidth="1"/>
    <col min="27" max="27" width="24.7265625" style="1" customWidth="1"/>
  </cols>
  <sheetData>
    <row r="1" spans="1:27" x14ac:dyDescent="0.35">
      <c r="B1" s="2" t="s">
        <v>77</v>
      </c>
    </row>
    <row r="2" spans="1:27" x14ac:dyDescent="0.35">
      <c r="C2" s="20" t="s">
        <v>76</v>
      </c>
      <c r="D2" s="20"/>
      <c r="E2" s="20"/>
      <c r="F2" s="20"/>
      <c r="G2" s="20"/>
      <c r="H2" s="20"/>
      <c r="I2" s="20"/>
      <c r="K2" s="20" t="s">
        <v>63</v>
      </c>
      <c r="L2" s="20"/>
      <c r="N2" s="20" t="s">
        <v>73</v>
      </c>
      <c r="O2" s="20"/>
      <c r="Q2" s="20" t="s">
        <v>60</v>
      </c>
      <c r="R2" s="20"/>
      <c r="S2" s="20"/>
      <c r="T2" s="20"/>
      <c r="U2" s="20"/>
      <c r="W2" s="20" t="s">
        <v>64</v>
      </c>
      <c r="X2" s="20"/>
      <c r="Z2" s="20" t="s">
        <v>64</v>
      </c>
      <c r="AA2" s="20"/>
    </row>
    <row r="3" spans="1:27" s="19" customFormat="1" ht="15.5" x14ac:dyDescent="0.35">
      <c r="A3" s="18" t="s">
        <v>61</v>
      </c>
      <c r="B3" s="18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57</v>
      </c>
      <c r="L3" s="18" t="s">
        <v>58</v>
      </c>
      <c r="M3" s="18" t="s">
        <v>51</v>
      </c>
      <c r="N3" s="18" t="s">
        <v>74</v>
      </c>
      <c r="O3" s="18" t="s">
        <v>75</v>
      </c>
      <c r="P3" s="18" t="s">
        <v>52</v>
      </c>
      <c r="Q3" s="18" t="s">
        <v>9</v>
      </c>
      <c r="R3" s="18" t="s">
        <v>53</v>
      </c>
      <c r="S3" s="18" t="s">
        <v>54</v>
      </c>
      <c r="T3" s="18" t="s">
        <v>55</v>
      </c>
      <c r="U3" s="18" t="s">
        <v>56</v>
      </c>
      <c r="V3" s="18" t="s">
        <v>59</v>
      </c>
      <c r="W3" s="18" t="s">
        <v>57</v>
      </c>
      <c r="X3" s="18" t="s">
        <v>58</v>
      </c>
      <c r="Y3" s="18" t="s">
        <v>1</v>
      </c>
      <c r="Z3" s="18" t="s">
        <v>57</v>
      </c>
      <c r="AA3" s="18" t="s">
        <v>58</v>
      </c>
    </row>
    <row r="4" spans="1:27" x14ac:dyDescent="0.35">
      <c r="A4" s="3" t="s">
        <v>11</v>
      </c>
      <c r="B4" s="3" t="s">
        <v>10</v>
      </c>
      <c r="C4" s="3">
        <v>3.2297133875031401</v>
      </c>
      <c r="D4" s="3">
        <v>9.4075234729464302E-2</v>
      </c>
      <c r="E4" s="3">
        <v>2.6640696210922599</v>
      </c>
      <c r="F4" s="3">
        <v>3.7953571539140198</v>
      </c>
      <c r="G4" s="3">
        <v>30.207836602368101</v>
      </c>
      <c r="H4" s="3">
        <v>0.41699999999999998</v>
      </c>
      <c r="I4" s="3">
        <v>21</v>
      </c>
      <c r="J4" s="21">
        <f>D4*SQRT(I4+1)</f>
        <v>0.44125196358416779</v>
      </c>
      <c r="K4" s="21">
        <f>M4-(1.28*J4)</f>
        <v>2.7518553741154053</v>
      </c>
      <c r="L4" s="4">
        <f>M4+(1.28*J4)</f>
        <v>3.8814604008908749</v>
      </c>
      <c r="M4" s="24">
        <f>C4+((H4*H4)/2)</f>
        <v>3.3166578875031401</v>
      </c>
      <c r="N4" s="5">
        <v>0.20799999999999999</v>
      </c>
      <c r="O4" s="6">
        <f>N4/SUM($N$4:$N$28)</f>
        <v>7.3394495412844027E-2</v>
      </c>
      <c r="P4" s="4" cm="1">
        <f t="array" ref="P4">SUM($M$4:$M$28*$O$4:$O$28)</f>
        <v>3.1630544634523456</v>
      </c>
      <c r="Q4" s="4">
        <f t="shared" ref="Q4:Q28" si="0">J4*J4</f>
        <v>0.19470329536688374</v>
      </c>
      <c r="R4" s="4">
        <f t="shared" ref="R4:R28" si="1">Q4+((M4-P4)^2)</f>
        <v>0.21829730724701191</v>
      </c>
      <c r="S4" s="4">
        <f t="shared" ref="S4:S28" si="2">SQRT(R4)*O4</f>
        <v>3.4291594407378438E-2</v>
      </c>
      <c r="T4" s="7">
        <f t="shared" ref="T4:T28" si="3">SUM($S$4:$S$28)</f>
        <v>0.38241695903268952</v>
      </c>
      <c r="U4" s="7">
        <f>T4^2</f>
        <v>0.14624273055580975</v>
      </c>
      <c r="V4" s="4">
        <f>SQRT(U4)</f>
        <v>0.38241695903268952</v>
      </c>
      <c r="W4" s="4">
        <f>P4-1.28*V4</f>
        <v>2.6735607558905032</v>
      </c>
      <c r="X4" s="4">
        <f>P4+1.28*V4</f>
        <v>3.652548171014188</v>
      </c>
      <c r="Y4" s="6">
        <f>EXP(P4)</f>
        <v>23.642701518767126</v>
      </c>
      <c r="Z4" s="6">
        <f>EXP(W4)</f>
        <v>14.491478048973038</v>
      </c>
      <c r="AA4" s="6">
        <f>EXP(X4)</f>
        <v>38.572831095384792</v>
      </c>
    </row>
    <row r="5" spans="1:27" x14ac:dyDescent="0.35">
      <c r="A5" s="8" t="s">
        <v>13</v>
      </c>
      <c r="B5" s="8" t="s">
        <v>12</v>
      </c>
      <c r="C5" s="8">
        <v>3.1288185590872999</v>
      </c>
      <c r="D5" s="8">
        <v>7.4522343084822501E-2</v>
      </c>
      <c r="E5" s="8">
        <v>2.7030933451283299</v>
      </c>
      <c r="F5" s="8">
        <v>3.5545437730462801</v>
      </c>
      <c r="G5" s="8">
        <v>18.7673622726189</v>
      </c>
      <c r="H5" s="8">
        <v>0.312</v>
      </c>
      <c r="I5" s="8">
        <v>20</v>
      </c>
      <c r="J5" s="22">
        <f t="shared" ref="J5:J28" si="4">D5*SQRT(I5+1)</f>
        <v>0.34150427815166801</v>
      </c>
      <c r="K5" s="22">
        <f t="shared" ref="K5:K28" si="5">M5-(1.28*J5)</f>
        <v>2.7403650830531645</v>
      </c>
      <c r="L5" s="9">
        <f t="shared" ref="L5:L28" si="6">M5+(1.28*J5)</f>
        <v>3.6146160351214349</v>
      </c>
      <c r="M5" s="25">
        <f t="shared" ref="M5:M28" si="7">C5+((H5*H5)/2)</f>
        <v>3.1774905590872997</v>
      </c>
      <c r="N5" s="10">
        <v>0.14499999999999999</v>
      </c>
      <c r="O5" s="11">
        <f t="shared" ref="O4:O28" si="8">N5/SUM($N$4:$N$28)</f>
        <v>5.1164431898376848E-2</v>
      </c>
      <c r="P5" s="9" cm="1">
        <f t="array" ref="P5">SUM($M$4:$M$28*$O$4:$O$28)</f>
        <v>3.1630544634523456</v>
      </c>
      <c r="Q5" s="9">
        <f t="shared" si="0"/>
        <v>0.11662517199589183</v>
      </c>
      <c r="R5" s="9">
        <f t="shared" si="1"/>
        <v>0.11683357285307337</v>
      </c>
      <c r="S5" s="9">
        <f t="shared" si="2"/>
        <v>1.7488476802442327E-2</v>
      </c>
      <c r="T5" s="12">
        <f t="shared" si="3"/>
        <v>0.38241695903268952</v>
      </c>
      <c r="U5" s="12">
        <f t="shared" ref="U5:U28" si="9">T5^2</f>
        <v>0.14624273055580975</v>
      </c>
      <c r="V5" s="9">
        <f t="shared" ref="V5:V28" si="10">SQRT(U5)</f>
        <v>0.38241695903268952</v>
      </c>
      <c r="W5" s="9">
        <f t="shared" ref="W5:W28" si="11">P5-1.28*V5</f>
        <v>2.6735607558905032</v>
      </c>
      <c r="X5" s="9">
        <f t="shared" ref="X5:X28" si="12">P5+1.28*V5</f>
        <v>3.652548171014188</v>
      </c>
      <c r="Y5" s="11">
        <f t="shared" ref="Y5:Y28" si="13">EXP(P5)</f>
        <v>23.642701518767126</v>
      </c>
      <c r="Z5" s="11">
        <f t="shared" ref="Z5:Z28" si="14">EXP(W5)</f>
        <v>14.491478048973038</v>
      </c>
      <c r="AA5" s="11">
        <f t="shared" ref="AA5:AA28" si="15">EXP(X5)</f>
        <v>38.572831095384792</v>
      </c>
    </row>
    <row r="6" spans="1:27" x14ac:dyDescent="0.35">
      <c r="A6" s="8" t="s">
        <v>15</v>
      </c>
      <c r="B6" s="8" t="s">
        <v>14</v>
      </c>
      <c r="C6" s="8">
        <v>3.1150052830916199</v>
      </c>
      <c r="D6" s="8">
        <v>7.2929068470749106E-2</v>
      </c>
      <c r="E6" s="8">
        <v>2.7025844242841899</v>
      </c>
      <c r="F6" s="8">
        <v>3.52742614189905</v>
      </c>
      <c r="G6" s="8">
        <v>17.280058039268301</v>
      </c>
      <c r="H6" s="8">
        <v>0.30299999999999999</v>
      </c>
      <c r="I6" s="8">
        <v>20</v>
      </c>
      <c r="J6" s="22">
        <f t="shared" si="4"/>
        <v>0.33420297662982512</v>
      </c>
      <c r="K6" s="22">
        <f t="shared" si="5"/>
        <v>2.7331299730054437</v>
      </c>
      <c r="L6" s="9">
        <f t="shared" si="6"/>
        <v>3.5886895931777958</v>
      </c>
      <c r="M6" s="25">
        <f t="shared" si="7"/>
        <v>3.1609097830916197</v>
      </c>
      <c r="N6" s="10">
        <v>0.13900000000000001</v>
      </c>
      <c r="O6" s="11">
        <f t="shared" si="8"/>
        <v>4.9047282992237123E-2</v>
      </c>
      <c r="P6" s="9" cm="1">
        <f t="array" ref="P6">SUM($M$4:$M$28*$O$4:$O$28)</f>
        <v>3.1630544634523456</v>
      </c>
      <c r="Q6" s="9">
        <f t="shared" si="0"/>
        <v>0.11169162958823543</v>
      </c>
      <c r="R6" s="9">
        <f t="shared" si="1"/>
        <v>0.11169622924208511</v>
      </c>
      <c r="S6" s="9">
        <f t="shared" si="2"/>
        <v>1.6392085488355655E-2</v>
      </c>
      <c r="T6" s="12">
        <f t="shared" si="3"/>
        <v>0.38241695903268952</v>
      </c>
      <c r="U6" s="12">
        <f t="shared" si="9"/>
        <v>0.14624273055580975</v>
      </c>
      <c r="V6" s="9">
        <f t="shared" si="10"/>
        <v>0.38241695903268952</v>
      </c>
      <c r="W6" s="9">
        <f t="shared" si="11"/>
        <v>2.6735607558905032</v>
      </c>
      <c r="X6" s="9">
        <f t="shared" si="12"/>
        <v>3.652548171014188</v>
      </c>
      <c r="Y6" s="11">
        <f t="shared" si="13"/>
        <v>23.642701518767126</v>
      </c>
      <c r="Z6" s="11">
        <f t="shared" si="14"/>
        <v>14.491478048973038</v>
      </c>
      <c r="AA6" s="11">
        <f t="shared" si="15"/>
        <v>38.572831095384792</v>
      </c>
    </row>
    <row r="7" spans="1:27" x14ac:dyDescent="0.35">
      <c r="A7" s="8" t="s">
        <v>17</v>
      </c>
      <c r="B7" s="8" t="s">
        <v>16</v>
      </c>
      <c r="C7" s="8">
        <v>3.1168199140086501</v>
      </c>
      <c r="D7" s="8">
        <v>7.1454350938763206E-2</v>
      </c>
      <c r="E7" s="8">
        <v>2.7112565323857498</v>
      </c>
      <c r="F7" s="8">
        <v>3.5223832956315499</v>
      </c>
      <c r="G7" s="8">
        <v>16.5185189931065</v>
      </c>
      <c r="H7" s="8">
        <v>0.29799999999999999</v>
      </c>
      <c r="I7" s="8">
        <v>20</v>
      </c>
      <c r="J7" s="22">
        <f t="shared" si="4"/>
        <v>0.32744497191082128</v>
      </c>
      <c r="K7" s="22">
        <f t="shared" si="5"/>
        <v>2.7420923499627987</v>
      </c>
      <c r="L7" s="9">
        <f t="shared" si="6"/>
        <v>3.5803514780545012</v>
      </c>
      <c r="M7" s="25">
        <f t="shared" si="7"/>
        <v>3.1612219140086499</v>
      </c>
      <c r="N7" s="10">
        <v>0.13100000000000001</v>
      </c>
      <c r="O7" s="11">
        <f t="shared" si="8"/>
        <v>4.6224417784050814E-2</v>
      </c>
      <c r="P7" s="9" cm="1">
        <f t="array" ref="P7">SUM($M$4:$M$28*$O$4:$O$28)</f>
        <v>3.1630544634523456</v>
      </c>
      <c r="Q7" s="9">
        <f t="shared" si="0"/>
        <v>0.10722020962967854</v>
      </c>
      <c r="R7" s="9">
        <f t="shared" si="1"/>
        <v>0.10722356786714213</v>
      </c>
      <c r="S7" s="9">
        <f t="shared" si="2"/>
        <v>1.513619021715691E-2</v>
      </c>
      <c r="T7" s="12">
        <f t="shared" si="3"/>
        <v>0.38241695903268952</v>
      </c>
      <c r="U7" s="12">
        <f t="shared" si="9"/>
        <v>0.14624273055580975</v>
      </c>
      <c r="V7" s="9">
        <f t="shared" si="10"/>
        <v>0.38241695903268952</v>
      </c>
      <c r="W7" s="9">
        <f t="shared" si="11"/>
        <v>2.6735607558905032</v>
      </c>
      <c r="X7" s="9">
        <f t="shared" si="12"/>
        <v>3.652548171014188</v>
      </c>
      <c r="Y7" s="11">
        <f t="shared" si="13"/>
        <v>23.642701518767126</v>
      </c>
      <c r="Z7" s="11">
        <f t="shared" si="14"/>
        <v>14.491478048973038</v>
      </c>
      <c r="AA7" s="11">
        <f t="shared" si="15"/>
        <v>38.572831095384792</v>
      </c>
    </row>
    <row r="8" spans="1:27" x14ac:dyDescent="0.35">
      <c r="A8" s="8" t="s">
        <v>19</v>
      </c>
      <c r="B8" s="8" t="s">
        <v>18</v>
      </c>
      <c r="C8" s="8">
        <v>3.1348919965506301</v>
      </c>
      <c r="D8" s="8">
        <v>6.8937304848840406E-2</v>
      </c>
      <c r="E8" s="8">
        <v>2.73654705601749</v>
      </c>
      <c r="F8" s="8">
        <v>3.5332369370837702</v>
      </c>
      <c r="G8" s="8">
        <v>15.739015917176401</v>
      </c>
      <c r="H8" s="8">
        <v>0.29299999999999998</v>
      </c>
      <c r="I8" s="8">
        <v>20</v>
      </c>
      <c r="J8" s="22">
        <f t="shared" si="4"/>
        <v>0.31591041767605743</v>
      </c>
      <c r="K8" s="22">
        <f t="shared" si="5"/>
        <v>2.7734511619252764</v>
      </c>
      <c r="L8" s="9">
        <f t="shared" si="6"/>
        <v>3.5821818311759834</v>
      </c>
      <c r="M8" s="25">
        <f t="shared" si="7"/>
        <v>3.1778164965506299</v>
      </c>
      <c r="N8" s="10">
        <v>0.121</v>
      </c>
      <c r="O8" s="11">
        <f t="shared" si="8"/>
        <v>4.2695836273817921E-2</v>
      </c>
      <c r="P8" s="9" cm="1">
        <f t="array" ref="P8">SUM($M$4:$M$28*$O$4:$O$28)</f>
        <v>3.1630544634523456</v>
      </c>
      <c r="Q8" s="9">
        <f t="shared" si="0"/>
        <v>9.9799391996261061E-2</v>
      </c>
      <c r="R8" s="9">
        <f t="shared" si="1"/>
        <v>0.1000173096174559</v>
      </c>
      <c r="S8" s="9">
        <f t="shared" si="2"/>
        <v>1.3502777410954599E-2</v>
      </c>
      <c r="T8" s="12">
        <f t="shared" si="3"/>
        <v>0.38241695903268952</v>
      </c>
      <c r="U8" s="12">
        <f t="shared" si="9"/>
        <v>0.14624273055580975</v>
      </c>
      <c r="V8" s="9">
        <f t="shared" si="10"/>
        <v>0.38241695903268952</v>
      </c>
      <c r="W8" s="9">
        <f t="shared" si="11"/>
        <v>2.6735607558905032</v>
      </c>
      <c r="X8" s="9">
        <f t="shared" si="12"/>
        <v>3.652548171014188</v>
      </c>
      <c r="Y8" s="11">
        <f t="shared" si="13"/>
        <v>23.642701518767126</v>
      </c>
      <c r="Z8" s="11">
        <f t="shared" si="14"/>
        <v>14.491478048973038</v>
      </c>
      <c r="AA8" s="11">
        <f t="shared" si="15"/>
        <v>38.572831095384792</v>
      </c>
    </row>
    <row r="9" spans="1:27" x14ac:dyDescent="0.35">
      <c r="A9" s="8" t="s">
        <v>21</v>
      </c>
      <c r="B9" s="8" t="s">
        <v>20</v>
      </c>
      <c r="C9" s="8">
        <v>3.3937738336618199</v>
      </c>
      <c r="D9" s="8">
        <v>8.7550839384249193E-2</v>
      </c>
      <c r="E9" s="8">
        <v>2.9386091975641699</v>
      </c>
      <c r="F9" s="8">
        <v>3.8489384697594802</v>
      </c>
      <c r="G9" s="8">
        <v>21.570123773007499</v>
      </c>
      <c r="H9" s="8">
        <v>0.33200000000000002</v>
      </c>
      <c r="I9" s="8">
        <v>20</v>
      </c>
      <c r="J9" s="22">
        <f t="shared" si="4"/>
        <v>0.40120834863524285</v>
      </c>
      <c r="K9" s="22">
        <f t="shared" si="5"/>
        <v>2.9353391474087092</v>
      </c>
      <c r="L9" s="9">
        <f t="shared" si="6"/>
        <v>3.9624325199149304</v>
      </c>
      <c r="M9" s="25">
        <f>C9+((H9*H9)/2)</f>
        <v>3.4488858336618198</v>
      </c>
      <c r="N9" s="10">
        <v>0.16</v>
      </c>
      <c r="O9" s="11">
        <f t="shared" si="8"/>
        <v>5.6457304163726185E-2</v>
      </c>
      <c r="P9" s="9" cm="1">
        <f t="array" ref="P9">SUM($M$4:$M$28*$O$4:$O$28)</f>
        <v>3.1630544634523456</v>
      </c>
      <c r="Q9" s="9">
        <f t="shared" si="0"/>
        <v>0.16096813901461857</v>
      </c>
      <c r="R9" s="9">
        <f t="shared" si="1"/>
        <v>0.242667711210444</v>
      </c>
      <c r="S9" s="9">
        <f t="shared" si="2"/>
        <v>2.7811610195760339E-2</v>
      </c>
      <c r="T9" s="12">
        <f t="shared" si="3"/>
        <v>0.38241695903268952</v>
      </c>
      <c r="U9" s="12">
        <f t="shared" si="9"/>
        <v>0.14624273055580975</v>
      </c>
      <c r="V9" s="9">
        <f t="shared" si="10"/>
        <v>0.38241695903268952</v>
      </c>
      <c r="W9" s="9">
        <f t="shared" si="11"/>
        <v>2.6735607558905032</v>
      </c>
      <c r="X9" s="9">
        <f t="shared" si="12"/>
        <v>3.652548171014188</v>
      </c>
      <c r="Y9" s="11">
        <f t="shared" si="13"/>
        <v>23.642701518767126</v>
      </c>
      <c r="Z9" s="11">
        <f t="shared" si="14"/>
        <v>14.491478048973038</v>
      </c>
      <c r="AA9" s="11">
        <f t="shared" si="15"/>
        <v>38.572831095384792</v>
      </c>
    </row>
    <row r="10" spans="1:27" x14ac:dyDescent="0.35">
      <c r="A10" s="8" t="s">
        <v>23</v>
      </c>
      <c r="B10" s="8" t="s">
        <v>22</v>
      </c>
      <c r="C10" s="8">
        <v>3.3676683059933601</v>
      </c>
      <c r="D10" s="8">
        <v>7.6309241535531605E-2</v>
      </c>
      <c r="E10" s="8">
        <v>2.9480885110046402</v>
      </c>
      <c r="F10" s="8">
        <v>3.7872481009820902</v>
      </c>
      <c r="G10" s="8">
        <v>17.994293354153999</v>
      </c>
      <c r="H10" s="8">
        <v>0.307</v>
      </c>
      <c r="I10" s="8">
        <v>20</v>
      </c>
      <c r="J10" s="22">
        <f t="shared" si="4"/>
        <v>0.34969287556124179</v>
      </c>
      <c r="K10" s="22">
        <f t="shared" si="5"/>
        <v>2.9671859252749702</v>
      </c>
      <c r="L10" s="9">
        <f t="shared" si="6"/>
        <v>3.8623996867117496</v>
      </c>
      <c r="M10" s="25">
        <f t="shared" si="7"/>
        <v>3.4147928059933599</v>
      </c>
      <c r="N10" s="10">
        <v>0.14899999999999999</v>
      </c>
      <c r="O10" s="11">
        <f t="shared" si="8"/>
        <v>5.2575864502470003E-2</v>
      </c>
      <c r="P10" s="9" cm="1">
        <f t="array" ref="P10">SUM($M$4:$M$28*$O$4:$O$28)</f>
        <v>3.1630544634523456</v>
      </c>
      <c r="Q10" s="9">
        <f t="shared" si="0"/>
        <v>0.12228510721829014</v>
      </c>
      <c r="R10" s="9">
        <f t="shared" si="1"/>
        <v>0.18565730032358715</v>
      </c>
      <c r="S10" s="9">
        <f t="shared" si="2"/>
        <v>2.2653871775452125E-2</v>
      </c>
      <c r="T10" s="12">
        <f t="shared" si="3"/>
        <v>0.38241695903268952</v>
      </c>
      <c r="U10" s="12">
        <f t="shared" si="9"/>
        <v>0.14624273055580975</v>
      </c>
      <c r="V10" s="9">
        <f t="shared" si="10"/>
        <v>0.38241695903268952</v>
      </c>
      <c r="W10" s="9">
        <f t="shared" si="11"/>
        <v>2.6735607558905032</v>
      </c>
      <c r="X10" s="9">
        <f t="shared" si="12"/>
        <v>3.652548171014188</v>
      </c>
      <c r="Y10" s="11">
        <f t="shared" si="13"/>
        <v>23.642701518767126</v>
      </c>
      <c r="Z10" s="11">
        <f t="shared" si="14"/>
        <v>14.491478048973038</v>
      </c>
      <c r="AA10" s="11">
        <f t="shared" si="15"/>
        <v>38.572831095384792</v>
      </c>
    </row>
    <row r="11" spans="1:27" x14ac:dyDescent="0.35">
      <c r="A11" s="8" t="s">
        <v>25</v>
      </c>
      <c r="B11" s="8" t="s">
        <v>24</v>
      </c>
      <c r="C11" s="8">
        <v>3.3323820412866199</v>
      </c>
      <c r="D11" s="8">
        <v>6.8356496338749198E-2</v>
      </c>
      <c r="E11" s="8">
        <v>2.9396165443159399</v>
      </c>
      <c r="F11" s="8">
        <v>3.7251475382572998</v>
      </c>
      <c r="G11" s="8">
        <v>15.0756546019447</v>
      </c>
      <c r="H11" s="8">
        <v>0.28799999999999998</v>
      </c>
      <c r="I11" s="8">
        <v>20</v>
      </c>
      <c r="J11" s="22">
        <f t="shared" si="4"/>
        <v>0.31324881871428994</v>
      </c>
      <c r="K11" s="22">
        <f t="shared" si="5"/>
        <v>2.9728955533323287</v>
      </c>
      <c r="L11" s="9">
        <f t="shared" si="6"/>
        <v>3.7748125292409114</v>
      </c>
      <c r="M11" s="25">
        <f t="shared" si="7"/>
        <v>3.37385404128662</v>
      </c>
      <c r="N11" s="10">
        <v>0.13500000000000001</v>
      </c>
      <c r="O11" s="11">
        <f t="shared" si="8"/>
        <v>4.7635850388143969E-2</v>
      </c>
      <c r="P11" s="9" cm="1">
        <f t="array" ref="P11">SUM($M$4:$M$28*$O$4:$O$28)</f>
        <v>3.1630544634523456</v>
      </c>
      <c r="Q11" s="9">
        <f t="shared" si="0"/>
        <v>9.8124822425898081E-2</v>
      </c>
      <c r="R11" s="9">
        <f t="shared" si="1"/>
        <v>0.14256128444100638</v>
      </c>
      <c r="S11" s="9">
        <f t="shared" si="2"/>
        <v>1.7986005520646116E-2</v>
      </c>
      <c r="T11" s="12">
        <f t="shared" si="3"/>
        <v>0.38241695903268952</v>
      </c>
      <c r="U11" s="12">
        <f t="shared" si="9"/>
        <v>0.14624273055580975</v>
      </c>
      <c r="V11" s="9">
        <f t="shared" si="10"/>
        <v>0.38241695903268952</v>
      </c>
      <c r="W11" s="9">
        <f t="shared" si="11"/>
        <v>2.6735607558905032</v>
      </c>
      <c r="X11" s="9">
        <f t="shared" si="12"/>
        <v>3.652548171014188</v>
      </c>
      <c r="Y11" s="11">
        <f t="shared" si="13"/>
        <v>23.642701518767126</v>
      </c>
      <c r="Z11" s="11">
        <f t="shared" si="14"/>
        <v>14.491478048973038</v>
      </c>
      <c r="AA11" s="11">
        <f t="shared" si="15"/>
        <v>38.572831095384792</v>
      </c>
    </row>
    <row r="12" spans="1:27" x14ac:dyDescent="0.35">
      <c r="A12" s="8" t="s">
        <v>27</v>
      </c>
      <c r="B12" s="8" t="s">
        <v>26</v>
      </c>
      <c r="C12" s="8">
        <v>3.30436925207345</v>
      </c>
      <c r="D12" s="8">
        <v>6.3547784672706303E-2</v>
      </c>
      <c r="E12" s="8">
        <v>2.9306170550670698</v>
      </c>
      <c r="F12" s="8">
        <v>3.67812144907984</v>
      </c>
      <c r="G12" s="8">
        <v>12.8519798906649</v>
      </c>
      <c r="H12" s="8">
        <v>0.27500000000000002</v>
      </c>
      <c r="I12" s="8">
        <v>20</v>
      </c>
      <c r="J12" s="22">
        <f t="shared" si="4"/>
        <v>0.29121253350943116</v>
      </c>
      <c r="K12" s="22">
        <f t="shared" si="5"/>
        <v>2.9694297091813779</v>
      </c>
      <c r="L12" s="9">
        <f t="shared" si="6"/>
        <v>3.7149337949655217</v>
      </c>
      <c r="M12" s="25">
        <f t="shared" si="7"/>
        <v>3.3421817520734498</v>
      </c>
      <c r="N12" s="10">
        <v>0.122</v>
      </c>
      <c r="O12" s="11">
        <f t="shared" si="8"/>
        <v>4.3048694424841209E-2</v>
      </c>
      <c r="P12" s="9" cm="1">
        <f t="array" ref="P12">SUM($M$4:$M$28*$O$4:$O$28)</f>
        <v>3.1630544634523456</v>
      </c>
      <c r="Q12" s="9">
        <f t="shared" si="0"/>
        <v>8.4804739672981563E-2</v>
      </c>
      <c r="R12" s="9">
        <f t="shared" si="1"/>
        <v>0.11689132520172991</v>
      </c>
      <c r="S12" s="9">
        <f t="shared" si="2"/>
        <v>1.4718078871496194E-2</v>
      </c>
      <c r="T12" s="12">
        <f t="shared" si="3"/>
        <v>0.38241695903268952</v>
      </c>
      <c r="U12" s="12">
        <f t="shared" si="9"/>
        <v>0.14624273055580975</v>
      </c>
      <c r="V12" s="9">
        <f t="shared" si="10"/>
        <v>0.38241695903268952</v>
      </c>
      <c r="W12" s="9">
        <f t="shared" si="11"/>
        <v>2.6735607558905032</v>
      </c>
      <c r="X12" s="9">
        <f t="shared" si="12"/>
        <v>3.652548171014188</v>
      </c>
      <c r="Y12" s="11">
        <f t="shared" si="13"/>
        <v>23.642701518767126</v>
      </c>
      <c r="Z12" s="11">
        <f t="shared" si="14"/>
        <v>14.491478048973038</v>
      </c>
      <c r="AA12" s="11">
        <f t="shared" si="15"/>
        <v>38.572831095384792</v>
      </c>
    </row>
    <row r="13" spans="1:27" x14ac:dyDescent="0.35">
      <c r="A13" s="8" t="s">
        <v>28</v>
      </c>
      <c r="B13" s="8" t="s">
        <v>65</v>
      </c>
      <c r="C13" s="8">
        <v>2.9161712315599502</v>
      </c>
      <c r="D13" s="8">
        <v>7.2337457856782597E-2</v>
      </c>
      <c r="E13" s="8">
        <v>2.5830799600927601</v>
      </c>
      <c r="F13" s="8">
        <v>3.24926250302713</v>
      </c>
      <c r="G13" s="8">
        <v>6.7635297915377199</v>
      </c>
      <c r="H13" s="8">
        <v>0.24099999999999999</v>
      </c>
      <c r="I13" s="8">
        <v>20</v>
      </c>
      <c r="J13" s="22">
        <f t="shared" si="4"/>
        <v>0.33149187620938431</v>
      </c>
      <c r="K13" s="22">
        <f t="shared" si="5"/>
        <v>2.5209021300119381</v>
      </c>
      <c r="L13" s="9">
        <f t="shared" si="6"/>
        <v>3.3695213331079619</v>
      </c>
      <c r="M13" s="25">
        <f t="shared" si="7"/>
        <v>2.94521173155995</v>
      </c>
      <c r="N13" s="10">
        <v>8.4000000000000005E-2</v>
      </c>
      <c r="O13" s="11">
        <f t="shared" si="8"/>
        <v>2.9640084685956247E-2</v>
      </c>
      <c r="P13" s="9" cm="1">
        <f t="array" ref="P13">SUM($M$4:$M$28*$O$4:$O$28)</f>
        <v>3.1630544634523456</v>
      </c>
      <c r="Q13" s="9">
        <f t="shared" si="0"/>
        <v>0.10988686399281777</v>
      </c>
      <c r="R13" s="9">
        <f t="shared" si="1"/>
        <v>0.15734231983115995</v>
      </c>
      <c r="S13" s="9">
        <f t="shared" si="2"/>
        <v>1.1757154213192287E-2</v>
      </c>
      <c r="T13" s="12">
        <f t="shared" si="3"/>
        <v>0.38241695903268952</v>
      </c>
      <c r="U13" s="12">
        <f t="shared" si="9"/>
        <v>0.14624273055580975</v>
      </c>
      <c r="V13" s="9">
        <f t="shared" si="10"/>
        <v>0.38241695903268952</v>
      </c>
      <c r="W13" s="9">
        <f t="shared" si="11"/>
        <v>2.6735607558905032</v>
      </c>
      <c r="X13" s="9">
        <f t="shared" si="12"/>
        <v>3.652548171014188</v>
      </c>
      <c r="Y13" s="11">
        <f t="shared" si="13"/>
        <v>23.642701518767126</v>
      </c>
      <c r="Z13" s="11">
        <f t="shared" si="14"/>
        <v>14.491478048973038</v>
      </c>
      <c r="AA13" s="11">
        <f t="shared" si="15"/>
        <v>38.572831095384792</v>
      </c>
    </row>
    <row r="14" spans="1:27" x14ac:dyDescent="0.35">
      <c r="A14" s="8" t="s">
        <v>29</v>
      </c>
      <c r="B14" s="8" t="s">
        <v>66</v>
      </c>
      <c r="C14" s="8">
        <v>3.1123525597226598</v>
      </c>
      <c r="D14" s="8">
        <v>7.4983630303387297E-2</v>
      </c>
      <c r="E14" s="8">
        <v>2.6906819929111698</v>
      </c>
      <c r="F14" s="8">
        <v>3.53402312653416</v>
      </c>
      <c r="G14" s="8">
        <v>18.2852725382097</v>
      </c>
      <c r="H14" s="8">
        <v>0.309</v>
      </c>
      <c r="I14" s="8">
        <v>20</v>
      </c>
      <c r="J14" s="22">
        <f t="shared" si="4"/>
        <v>0.34361816174785681</v>
      </c>
      <c r="K14" s="22">
        <f t="shared" si="5"/>
        <v>2.7202618126854032</v>
      </c>
      <c r="L14" s="9">
        <f t="shared" si="6"/>
        <v>3.5999243067599167</v>
      </c>
      <c r="M14" s="25">
        <f t="shared" si="7"/>
        <v>3.16009305972266</v>
      </c>
      <c r="N14" s="10">
        <v>0.124</v>
      </c>
      <c r="O14" s="11">
        <f t="shared" si="8"/>
        <v>4.3754410726887787E-2</v>
      </c>
      <c r="P14" s="9" cm="1">
        <f t="array" ref="P14">SUM($M$4:$M$28*$O$4:$O$28)</f>
        <v>3.1630544634523456</v>
      </c>
      <c r="Q14" s="9">
        <f t="shared" si="0"/>
        <v>0.11807344108297628</v>
      </c>
      <c r="R14" s="9">
        <f t="shared" si="1"/>
        <v>0.11808221099502647</v>
      </c>
      <c r="S14" s="9">
        <f t="shared" si="2"/>
        <v>1.5035368527688723E-2</v>
      </c>
      <c r="T14" s="12">
        <f t="shared" si="3"/>
        <v>0.38241695903268952</v>
      </c>
      <c r="U14" s="12">
        <f t="shared" si="9"/>
        <v>0.14624273055580975</v>
      </c>
      <c r="V14" s="9">
        <f t="shared" si="10"/>
        <v>0.38241695903268952</v>
      </c>
      <c r="W14" s="9">
        <f t="shared" si="11"/>
        <v>2.6735607558905032</v>
      </c>
      <c r="X14" s="9">
        <f t="shared" si="12"/>
        <v>3.652548171014188</v>
      </c>
      <c r="Y14" s="11">
        <f t="shared" si="13"/>
        <v>23.642701518767126</v>
      </c>
      <c r="Z14" s="11">
        <f t="shared" si="14"/>
        <v>14.491478048973038</v>
      </c>
      <c r="AA14" s="11">
        <f t="shared" si="15"/>
        <v>38.572831095384792</v>
      </c>
    </row>
    <row r="15" spans="1:27" x14ac:dyDescent="0.35">
      <c r="A15" s="8" t="s">
        <v>30</v>
      </c>
      <c r="B15" s="8" t="s">
        <v>67</v>
      </c>
      <c r="C15" s="8">
        <v>3.0953152053127302</v>
      </c>
      <c r="D15" s="8">
        <v>6.4381000651337894E-2</v>
      </c>
      <c r="E15" s="8">
        <v>2.7336391842541898</v>
      </c>
      <c r="F15" s="8">
        <v>3.4569912263712701</v>
      </c>
      <c r="G15" s="8">
        <v>11.2226246534861</v>
      </c>
      <c r="H15" s="8">
        <v>0.26500000000000001</v>
      </c>
      <c r="I15" s="8">
        <v>20</v>
      </c>
      <c r="J15" s="22">
        <f t="shared" si="4"/>
        <v>0.29503080880175714</v>
      </c>
      <c r="K15" s="22">
        <f t="shared" si="5"/>
        <v>2.752788270046481</v>
      </c>
      <c r="L15" s="9">
        <f t="shared" si="6"/>
        <v>3.5080671405789792</v>
      </c>
      <c r="M15" s="25">
        <f t="shared" si="7"/>
        <v>3.1304277053127301</v>
      </c>
      <c r="N15" s="10">
        <v>0.09</v>
      </c>
      <c r="O15" s="11">
        <f t="shared" si="8"/>
        <v>3.1757233592095972E-2</v>
      </c>
      <c r="P15" s="9" cm="1">
        <f t="array" ref="P15">SUM($M$4:$M$28*$O$4:$O$28)</f>
        <v>3.1630544634523456</v>
      </c>
      <c r="Q15" s="9">
        <f t="shared" si="0"/>
        <v>8.7043178142218972E-2</v>
      </c>
      <c r="R15" s="9">
        <f t="shared" si="1"/>
        <v>8.8107683488919938E-2</v>
      </c>
      <c r="S15" s="9">
        <f t="shared" si="2"/>
        <v>9.4264800998301555E-3</v>
      </c>
      <c r="T15" s="12">
        <f t="shared" si="3"/>
        <v>0.38241695903268952</v>
      </c>
      <c r="U15" s="12">
        <f t="shared" si="9"/>
        <v>0.14624273055580975</v>
      </c>
      <c r="V15" s="9">
        <f t="shared" si="10"/>
        <v>0.38241695903268952</v>
      </c>
      <c r="W15" s="9">
        <f t="shared" si="11"/>
        <v>2.6735607558905032</v>
      </c>
      <c r="X15" s="9">
        <f t="shared" si="12"/>
        <v>3.652548171014188</v>
      </c>
      <c r="Y15" s="11">
        <f t="shared" si="13"/>
        <v>23.642701518767126</v>
      </c>
      <c r="Z15" s="11">
        <f t="shared" si="14"/>
        <v>14.491478048973038</v>
      </c>
      <c r="AA15" s="11">
        <f t="shared" si="15"/>
        <v>38.572831095384792</v>
      </c>
    </row>
    <row r="16" spans="1:27" x14ac:dyDescent="0.35">
      <c r="A16" s="8" t="s">
        <v>31</v>
      </c>
      <c r="B16" s="8" t="s">
        <v>68</v>
      </c>
      <c r="C16" s="8">
        <v>3.1354340564544199</v>
      </c>
      <c r="D16" s="8">
        <v>6.7650767483517504E-2</v>
      </c>
      <c r="E16" s="8">
        <v>2.7439036246322601</v>
      </c>
      <c r="F16" s="8">
        <v>3.52696448827658</v>
      </c>
      <c r="G16" s="8">
        <v>14.9493211426797</v>
      </c>
      <c r="H16" s="8">
        <v>0.28799999999999998</v>
      </c>
      <c r="I16" s="8">
        <v>20</v>
      </c>
      <c r="J16" s="22">
        <f t="shared" si="4"/>
        <v>0.31001476281507617</v>
      </c>
      <c r="K16" s="22">
        <f t="shared" si="5"/>
        <v>2.7800871600511226</v>
      </c>
      <c r="L16" s="9">
        <f t="shared" si="6"/>
        <v>3.5737249528577175</v>
      </c>
      <c r="M16" s="25">
        <f t="shared" si="7"/>
        <v>3.17690605645442</v>
      </c>
      <c r="N16" s="10">
        <v>9.7000000000000003E-2</v>
      </c>
      <c r="O16" s="11">
        <f t="shared" si="8"/>
        <v>3.4227240649259E-2</v>
      </c>
      <c r="P16" s="9" cm="1">
        <f t="array" ref="P16">SUM($M$4:$M$28*$O$4:$O$28)</f>
        <v>3.1630544634523456</v>
      </c>
      <c r="Q16" s="9">
        <f t="shared" si="0"/>
        <v>9.6109153163287941E-2</v>
      </c>
      <c r="R16" s="9">
        <f t="shared" si="1"/>
        <v>9.6301019791983064E-2</v>
      </c>
      <c r="S16" s="9">
        <f t="shared" si="2"/>
        <v>1.0621536147257991E-2</v>
      </c>
      <c r="T16" s="12">
        <f t="shared" si="3"/>
        <v>0.38241695903268952</v>
      </c>
      <c r="U16" s="12">
        <f t="shared" si="9"/>
        <v>0.14624273055580975</v>
      </c>
      <c r="V16" s="9">
        <f t="shared" si="10"/>
        <v>0.38241695903268952</v>
      </c>
      <c r="W16" s="9">
        <f t="shared" si="11"/>
        <v>2.6735607558905032</v>
      </c>
      <c r="X16" s="9">
        <f t="shared" si="12"/>
        <v>3.652548171014188</v>
      </c>
      <c r="Y16" s="11">
        <f t="shared" si="13"/>
        <v>23.642701518767126</v>
      </c>
      <c r="Z16" s="11">
        <f t="shared" si="14"/>
        <v>14.491478048973038</v>
      </c>
      <c r="AA16" s="11">
        <f t="shared" si="15"/>
        <v>38.572831095384792</v>
      </c>
    </row>
    <row r="17" spans="1:27" x14ac:dyDescent="0.35">
      <c r="A17" s="8" t="s">
        <v>32</v>
      </c>
      <c r="B17" s="8" t="s">
        <v>35</v>
      </c>
      <c r="C17" s="8">
        <v>2.8713940674829801</v>
      </c>
      <c r="D17" s="8">
        <v>8.0513962590828395E-2</v>
      </c>
      <c r="E17" s="8">
        <v>2.5240551892314702</v>
      </c>
      <c r="F17" s="8">
        <v>3.2187329457345002</v>
      </c>
      <c r="G17" s="8">
        <v>8.3989932973760109</v>
      </c>
      <c r="H17" s="8">
        <v>0.249</v>
      </c>
      <c r="I17" s="8">
        <v>20</v>
      </c>
      <c r="J17" s="22">
        <f t="shared" si="4"/>
        <v>0.36896132807331394</v>
      </c>
      <c r="K17" s="22">
        <f t="shared" si="5"/>
        <v>2.4301240675491385</v>
      </c>
      <c r="L17" s="9">
        <f t="shared" si="6"/>
        <v>3.3746650674168222</v>
      </c>
      <c r="M17" s="25">
        <f t="shared" si="7"/>
        <v>2.9023945674829803</v>
      </c>
      <c r="N17" s="10">
        <v>7.2999999999999995E-2</v>
      </c>
      <c r="O17" s="11">
        <f t="shared" si="8"/>
        <v>2.5758645024700069E-2</v>
      </c>
      <c r="P17" s="9" cm="1">
        <f t="array" ref="P17">SUM($M$4:$M$28*$O$4:$O$28)</f>
        <v>3.1630544634523456</v>
      </c>
      <c r="Q17" s="9">
        <f t="shared" si="0"/>
        <v>0.13613246161362361</v>
      </c>
      <c r="R17" s="9">
        <f t="shared" si="1"/>
        <v>0.20407604298038395</v>
      </c>
      <c r="S17" s="9">
        <f t="shared" si="2"/>
        <v>1.1636410313574435E-2</v>
      </c>
      <c r="T17" s="12">
        <f t="shared" si="3"/>
        <v>0.38241695903268952</v>
      </c>
      <c r="U17" s="12">
        <f t="shared" si="9"/>
        <v>0.14624273055580975</v>
      </c>
      <c r="V17" s="9">
        <f t="shared" si="10"/>
        <v>0.38241695903268952</v>
      </c>
      <c r="W17" s="9">
        <f t="shared" si="11"/>
        <v>2.6735607558905032</v>
      </c>
      <c r="X17" s="9">
        <f t="shared" si="12"/>
        <v>3.652548171014188</v>
      </c>
      <c r="Y17" s="11">
        <f t="shared" si="13"/>
        <v>23.642701518767126</v>
      </c>
      <c r="Z17" s="11">
        <f t="shared" si="14"/>
        <v>14.491478048973038</v>
      </c>
      <c r="AA17" s="11">
        <f t="shared" si="15"/>
        <v>38.572831095384792</v>
      </c>
    </row>
    <row r="18" spans="1:27" x14ac:dyDescent="0.35">
      <c r="A18" s="8" t="s">
        <v>34</v>
      </c>
      <c r="B18" s="8" t="s">
        <v>33</v>
      </c>
      <c r="C18" s="8">
        <v>3.04528424851024</v>
      </c>
      <c r="D18" s="8">
        <v>8.2937736876238399E-2</v>
      </c>
      <c r="E18" s="8">
        <v>2.6178051170359802</v>
      </c>
      <c r="F18" s="8">
        <v>3.4727633799844999</v>
      </c>
      <c r="G18" s="8">
        <v>18.655622630106901</v>
      </c>
      <c r="H18" s="8">
        <v>0.312</v>
      </c>
      <c r="I18" s="8">
        <v>20</v>
      </c>
      <c r="J18" s="22">
        <f t="shared" si="4"/>
        <v>0.38006845720369276</v>
      </c>
      <c r="K18" s="22">
        <f t="shared" si="5"/>
        <v>2.6074686232895132</v>
      </c>
      <c r="L18" s="9">
        <f t="shared" si="6"/>
        <v>3.5804438737309665</v>
      </c>
      <c r="M18" s="25">
        <f t="shared" si="7"/>
        <v>3.0939562485102399</v>
      </c>
      <c r="N18" s="10">
        <v>0.123</v>
      </c>
      <c r="O18" s="11">
        <f t="shared" si="8"/>
        <v>4.3401552575864498E-2</v>
      </c>
      <c r="P18" s="9" cm="1">
        <f t="array" ref="P18">SUM($M$4:$M$28*$O$4:$O$28)</f>
        <v>3.1630544634523456</v>
      </c>
      <c r="Q18" s="9">
        <f t="shared" si="0"/>
        <v>0.14445203216119523</v>
      </c>
      <c r="R18" s="9">
        <f t="shared" si="1"/>
        <v>0.14922659546938069</v>
      </c>
      <c r="S18" s="9">
        <f t="shared" si="2"/>
        <v>1.6765958273627091E-2</v>
      </c>
      <c r="T18" s="12">
        <f t="shared" si="3"/>
        <v>0.38241695903268952</v>
      </c>
      <c r="U18" s="12">
        <f t="shared" si="9"/>
        <v>0.14624273055580975</v>
      </c>
      <c r="V18" s="9">
        <f t="shared" si="10"/>
        <v>0.38241695903268952</v>
      </c>
      <c r="W18" s="9">
        <f t="shared" si="11"/>
        <v>2.6735607558905032</v>
      </c>
      <c r="X18" s="9">
        <f t="shared" si="12"/>
        <v>3.652548171014188</v>
      </c>
      <c r="Y18" s="11">
        <f>EXP(P18)</f>
        <v>23.642701518767126</v>
      </c>
      <c r="Z18" s="11">
        <f t="shared" si="14"/>
        <v>14.491478048973038</v>
      </c>
      <c r="AA18" s="11">
        <f t="shared" si="15"/>
        <v>38.572831095384792</v>
      </c>
    </row>
    <row r="19" spans="1:27" x14ac:dyDescent="0.35">
      <c r="A19" s="8" t="s">
        <v>36</v>
      </c>
      <c r="B19" s="8" t="s">
        <v>69</v>
      </c>
      <c r="C19" s="8">
        <v>2.9737195728617301</v>
      </c>
      <c r="D19" s="8">
        <v>7.8467583718088998E-2</v>
      </c>
      <c r="E19" s="8">
        <v>2.5948915610155598</v>
      </c>
      <c r="F19" s="8">
        <v>3.35254758470791</v>
      </c>
      <c r="G19" s="8">
        <v>12.8689992655903</v>
      </c>
      <c r="H19" s="8">
        <v>0.27500000000000002</v>
      </c>
      <c r="I19" s="8">
        <v>20</v>
      </c>
      <c r="J19" s="22">
        <f t="shared" si="4"/>
        <v>0.35958364198842724</v>
      </c>
      <c r="K19" s="22">
        <f t="shared" si="5"/>
        <v>2.5512650111165431</v>
      </c>
      <c r="L19" s="9">
        <f t="shared" si="6"/>
        <v>3.4717991346069166</v>
      </c>
      <c r="M19" s="25">
        <f t="shared" si="7"/>
        <v>3.0115320728617299</v>
      </c>
      <c r="N19" s="10">
        <v>9.1999999999999998E-2</v>
      </c>
      <c r="O19" s="11">
        <f t="shared" si="8"/>
        <v>3.2462949894142556E-2</v>
      </c>
      <c r="P19" s="9" cm="1">
        <f t="array" ref="P19">SUM($M$4:$M$28*$O$4:$O$28)</f>
        <v>3.1630544634523456</v>
      </c>
      <c r="Q19" s="9">
        <f t="shared" si="0"/>
        <v>0.12930039558566142</v>
      </c>
      <c r="R19" s="9">
        <f t="shared" si="1"/>
        <v>0.15225943043595655</v>
      </c>
      <c r="S19" s="9">
        <f t="shared" si="2"/>
        <v>1.2667184082702447E-2</v>
      </c>
      <c r="T19" s="12">
        <f t="shared" si="3"/>
        <v>0.38241695903268952</v>
      </c>
      <c r="U19" s="12">
        <f t="shared" si="9"/>
        <v>0.14624273055580975</v>
      </c>
      <c r="V19" s="9">
        <f t="shared" si="10"/>
        <v>0.38241695903268952</v>
      </c>
      <c r="W19" s="9">
        <f t="shared" si="11"/>
        <v>2.6735607558905032</v>
      </c>
      <c r="X19" s="9">
        <f t="shared" si="12"/>
        <v>3.652548171014188</v>
      </c>
      <c r="Y19" s="11">
        <f t="shared" si="13"/>
        <v>23.642701518767126</v>
      </c>
      <c r="Z19" s="11">
        <f t="shared" si="14"/>
        <v>14.491478048973038</v>
      </c>
      <c r="AA19" s="11">
        <f t="shared" si="15"/>
        <v>38.572831095384792</v>
      </c>
    </row>
    <row r="20" spans="1:27" x14ac:dyDescent="0.35">
      <c r="A20" s="8" t="s">
        <v>62</v>
      </c>
      <c r="B20" s="8" t="s">
        <v>37</v>
      </c>
      <c r="C20" s="8">
        <v>3.0462800769354499</v>
      </c>
      <c r="D20" s="8">
        <v>7.7496247296307205E-2</v>
      </c>
      <c r="E20" s="8">
        <v>2.64089797145532</v>
      </c>
      <c r="F20" s="8">
        <v>3.45166218241557</v>
      </c>
      <c r="G20" s="8">
        <v>16.261554559713002</v>
      </c>
      <c r="H20" s="8">
        <v>0.29599999999999999</v>
      </c>
      <c r="I20" s="8">
        <v>20</v>
      </c>
      <c r="J20" s="22">
        <f t="shared" si="4"/>
        <v>0.35513241931034462</v>
      </c>
      <c r="K20" s="22">
        <f t="shared" si="5"/>
        <v>2.6355185802182088</v>
      </c>
      <c r="L20" s="9">
        <f t="shared" si="6"/>
        <v>3.5446575736526906</v>
      </c>
      <c r="M20" s="25">
        <f t="shared" si="7"/>
        <v>3.0900880769354497</v>
      </c>
      <c r="N20" s="10">
        <v>0.105</v>
      </c>
      <c r="O20" s="11">
        <f t="shared" si="8"/>
        <v>3.7050105857445302E-2</v>
      </c>
      <c r="P20" s="9" cm="1">
        <f t="array" ref="P20">SUM($M$4:$M$28*$O$4:$O$28)</f>
        <v>3.1630544634523456</v>
      </c>
      <c r="Q20" s="9">
        <f t="shared" si="0"/>
        <v>0.12611903524521842</v>
      </c>
      <c r="R20" s="9">
        <f t="shared" si="1"/>
        <v>0.13144312880655146</v>
      </c>
      <c r="S20" s="9">
        <f t="shared" si="2"/>
        <v>1.3432547880680495E-2</v>
      </c>
      <c r="T20" s="12">
        <f t="shared" si="3"/>
        <v>0.38241695903268952</v>
      </c>
      <c r="U20" s="12">
        <f t="shared" si="9"/>
        <v>0.14624273055580975</v>
      </c>
      <c r="V20" s="9">
        <f t="shared" si="10"/>
        <v>0.38241695903268952</v>
      </c>
      <c r="W20" s="9">
        <f t="shared" si="11"/>
        <v>2.6735607558905032</v>
      </c>
      <c r="X20" s="9">
        <f t="shared" si="12"/>
        <v>3.652548171014188</v>
      </c>
      <c r="Y20" s="11">
        <f t="shared" si="13"/>
        <v>23.642701518767126</v>
      </c>
      <c r="Z20" s="11">
        <f t="shared" si="14"/>
        <v>14.491478048973038</v>
      </c>
      <c r="AA20" s="11">
        <f t="shared" si="15"/>
        <v>38.572831095384792</v>
      </c>
    </row>
    <row r="21" spans="1:27" x14ac:dyDescent="0.35">
      <c r="A21" s="8" t="s">
        <v>39</v>
      </c>
      <c r="B21" s="8" t="s">
        <v>40</v>
      </c>
      <c r="C21" s="8">
        <v>2.83737642777028</v>
      </c>
      <c r="D21" s="8">
        <v>8.0125491589283296E-2</v>
      </c>
      <c r="E21" s="8">
        <v>2.5031230699120299</v>
      </c>
      <c r="F21" s="8">
        <v>3.17162978562853</v>
      </c>
      <c r="G21" s="8">
        <v>6.4654759411275604</v>
      </c>
      <c r="H21" s="8">
        <v>0.23899999999999999</v>
      </c>
      <c r="I21" s="8">
        <v>20</v>
      </c>
      <c r="J21" s="22">
        <f t="shared" si="4"/>
        <v>0.36718113030343819</v>
      </c>
      <c r="K21" s="22">
        <f t="shared" si="5"/>
        <v>2.3959450809818792</v>
      </c>
      <c r="L21" s="9">
        <f t="shared" si="6"/>
        <v>3.3359287745586812</v>
      </c>
      <c r="M21" s="25">
        <f t="shared" si="7"/>
        <v>2.8659369277702802</v>
      </c>
      <c r="N21" s="10">
        <v>7.8E-2</v>
      </c>
      <c r="O21" s="11">
        <f t="shared" si="8"/>
        <v>2.7522935779816512E-2</v>
      </c>
      <c r="P21" s="9" cm="1">
        <f t="array" ref="P21">SUM($M$4:$M$28*$O$4:$O$28)</f>
        <v>3.1630544634523456</v>
      </c>
      <c r="Q21" s="9">
        <f t="shared" si="0"/>
        <v>0.13482198245091045</v>
      </c>
      <c r="R21" s="9">
        <f t="shared" si="1"/>
        <v>0.22310081246069391</v>
      </c>
      <c r="S21" s="9">
        <f t="shared" si="2"/>
        <v>1.3000059280507639E-2</v>
      </c>
      <c r="T21" s="12">
        <f t="shared" si="3"/>
        <v>0.38241695903268952</v>
      </c>
      <c r="U21" s="12">
        <f t="shared" si="9"/>
        <v>0.14624273055580975</v>
      </c>
      <c r="V21" s="9">
        <f t="shared" si="10"/>
        <v>0.38241695903268952</v>
      </c>
      <c r="W21" s="9">
        <f t="shared" si="11"/>
        <v>2.6735607558905032</v>
      </c>
      <c r="X21" s="9">
        <f t="shared" si="12"/>
        <v>3.652548171014188</v>
      </c>
      <c r="Y21" s="11">
        <f t="shared" si="13"/>
        <v>23.642701518767126</v>
      </c>
      <c r="Z21" s="11">
        <f t="shared" si="14"/>
        <v>14.491478048973038</v>
      </c>
      <c r="AA21" s="11">
        <f t="shared" si="15"/>
        <v>38.572831095384792</v>
      </c>
    </row>
    <row r="22" spans="1:27" x14ac:dyDescent="0.35">
      <c r="A22" s="8" t="s">
        <v>41</v>
      </c>
      <c r="B22" s="8" t="s">
        <v>38</v>
      </c>
      <c r="C22" s="8">
        <v>3.0342584238896602</v>
      </c>
      <c r="D22" s="8">
        <v>7.8660458540942696E-2</v>
      </c>
      <c r="E22" s="8">
        <v>2.6291613096096902</v>
      </c>
      <c r="F22" s="8">
        <v>3.4393555381696301</v>
      </c>
      <c r="G22" s="8">
        <v>16.1791023939975</v>
      </c>
      <c r="H22" s="8">
        <v>0.29499999999999998</v>
      </c>
      <c r="I22" s="8">
        <v>20</v>
      </c>
      <c r="J22" s="22">
        <f t="shared" si="4"/>
        <v>0.36046750546380552</v>
      </c>
      <c r="K22" s="22">
        <f t="shared" si="5"/>
        <v>2.6163725168959888</v>
      </c>
      <c r="L22" s="9">
        <f t="shared" si="6"/>
        <v>3.5391693308833312</v>
      </c>
      <c r="M22" s="25">
        <f t="shared" si="7"/>
        <v>3.07777092388966</v>
      </c>
      <c r="N22" s="10">
        <v>0.1</v>
      </c>
      <c r="O22" s="11">
        <f t="shared" si="8"/>
        <v>3.5285815102328866E-2</v>
      </c>
      <c r="P22" s="9" cm="1">
        <f t="array" ref="P22">SUM($M$4:$M$28*$O$4:$O$28)</f>
        <v>3.1630544634523456</v>
      </c>
      <c r="Q22" s="9">
        <f t="shared" si="0"/>
        <v>0.12993682249529867</v>
      </c>
      <c r="R22" s="9">
        <f t="shared" si="1"/>
        <v>0.13721010461563884</v>
      </c>
      <c r="S22" s="9">
        <f t="shared" si="2"/>
        <v>1.3070530107513337E-2</v>
      </c>
      <c r="T22" s="12">
        <f t="shared" si="3"/>
        <v>0.38241695903268952</v>
      </c>
      <c r="U22" s="12">
        <f t="shared" si="9"/>
        <v>0.14624273055580975</v>
      </c>
      <c r="V22" s="9">
        <f t="shared" si="10"/>
        <v>0.38241695903268952</v>
      </c>
      <c r="W22" s="9">
        <f t="shared" si="11"/>
        <v>2.6735607558905032</v>
      </c>
      <c r="X22" s="9">
        <f t="shared" si="12"/>
        <v>3.652548171014188</v>
      </c>
      <c r="Y22" s="11">
        <f t="shared" si="13"/>
        <v>23.642701518767126</v>
      </c>
      <c r="Z22" s="11">
        <f t="shared" si="14"/>
        <v>14.491478048973038</v>
      </c>
      <c r="AA22" s="11">
        <f t="shared" si="15"/>
        <v>38.572831095384792</v>
      </c>
    </row>
    <row r="23" spans="1:27" x14ac:dyDescent="0.35">
      <c r="A23" s="8" t="s">
        <v>43</v>
      </c>
      <c r="B23" s="8" t="s">
        <v>70</v>
      </c>
      <c r="C23" s="8">
        <v>2.9956593778892202</v>
      </c>
      <c r="D23" s="8">
        <v>7.1205950928276696E-2</v>
      </c>
      <c r="E23" s="8">
        <v>2.63783943263206</v>
      </c>
      <c r="F23" s="8">
        <v>3.3534793231463902</v>
      </c>
      <c r="G23" s="8">
        <v>10.388460539532099</v>
      </c>
      <c r="H23" s="8">
        <v>0.26</v>
      </c>
      <c r="I23" s="8">
        <v>20</v>
      </c>
      <c r="J23" s="22">
        <f t="shared" si="4"/>
        <v>0.32630666006013903</v>
      </c>
      <c r="K23" s="22">
        <f t="shared" si="5"/>
        <v>2.6117868530122421</v>
      </c>
      <c r="L23" s="9">
        <f t="shared" si="6"/>
        <v>3.447131902766198</v>
      </c>
      <c r="M23" s="25">
        <f t="shared" si="7"/>
        <v>3.02945937788922</v>
      </c>
      <c r="N23" s="10">
        <v>8.7999999999999995E-2</v>
      </c>
      <c r="O23" s="11">
        <f t="shared" si="8"/>
        <v>3.1051517290049398E-2</v>
      </c>
      <c r="P23" s="9" cm="1">
        <f t="array" ref="P23">SUM($M$4:$M$28*$O$4:$O$28)</f>
        <v>3.1630544634523456</v>
      </c>
      <c r="Q23" s="9">
        <f t="shared" si="0"/>
        <v>0.10647603639960314</v>
      </c>
      <c r="R23" s="9">
        <f t="shared" si="1"/>
        <v>0.12432368328622198</v>
      </c>
      <c r="S23" s="9">
        <f t="shared" si="2"/>
        <v>1.094862952111387E-2</v>
      </c>
      <c r="T23" s="12">
        <f t="shared" si="3"/>
        <v>0.38241695903268952</v>
      </c>
      <c r="U23" s="12">
        <f t="shared" si="9"/>
        <v>0.14624273055580975</v>
      </c>
      <c r="V23" s="9">
        <f t="shared" si="10"/>
        <v>0.38241695903268952</v>
      </c>
      <c r="W23" s="9">
        <f t="shared" si="11"/>
        <v>2.6735607558905032</v>
      </c>
      <c r="X23" s="9">
        <f t="shared" si="12"/>
        <v>3.652548171014188</v>
      </c>
      <c r="Y23" s="11">
        <f t="shared" si="13"/>
        <v>23.642701518767126</v>
      </c>
      <c r="Z23" s="11">
        <f t="shared" si="14"/>
        <v>14.491478048973038</v>
      </c>
      <c r="AA23" s="11">
        <f t="shared" si="15"/>
        <v>38.572831095384792</v>
      </c>
    </row>
    <row r="24" spans="1:27" x14ac:dyDescent="0.35">
      <c r="A24" s="8" t="s">
        <v>44</v>
      </c>
      <c r="B24" s="8" t="s">
        <v>42</v>
      </c>
      <c r="C24" s="8">
        <v>3.0456718439112298</v>
      </c>
      <c r="D24" s="8">
        <v>7.3079122065971905E-2</v>
      </c>
      <c r="E24" s="8">
        <v>2.6599636494517802</v>
      </c>
      <c r="F24" s="8">
        <v>3.4313800383706701</v>
      </c>
      <c r="G24" s="8">
        <v>14.001036501874401</v>
      </c>
      <c r="H24" s="8">
        <v>0.28199999999999997</v>
      </c>
      <c r="I24" s="8">
        <v>20</v>
      </c>
      <c r="J24" s="22">
        <f t="shared" si="4"/>
        <v>0.33489060858823383</v>
      </c>
      <c r="K24" s="22">
        <f t="shared" si="5"/>
        <v>2.6567738649182906</v>
      </c>
      <c r="L24" s="9">
        <f t="shared" si="6"/>
        <v>3.5140938229041692</v>
      </c>
      <c r="M24" s="25">
        <f t="shared" si="7"/>
        <v>3.0854338439112299</v>
      </c>
      <c r="N24" s="10">
        <v>8.1000000000000003E-2</v>
      </c>
      <c r="O24" s="11">
        <f t="shared" si="8"/>
        <v>2.8581510232886381E-2</v>
      </c>
      <c r="P24" s="9" cm="1">
        <f t="array" ref="P24">SUM($M$4:$M$28*$O$4:$O$28)</f>
        <v>3.1630544634523456</v>
      </c>
      <c r="Q24" s="9">
        <f t="shared" si="0"/>
        <v>0.11215171972059763</v>
      </c>
      <c r="R24" s="9">
        <f t="shared" si="1"/>
        <v>0.11817668029854428</v>
      </c>
      <c r="S24" s="9">
        <f t="shared" si="2"/>
        <v>9.8254186896257773E-3</v>
      </c>
      <c r="T24" s="12">
        <f t="shared" si="3"/>
        <v>0.38241695903268952</v>
      </c>
      <c r="U24" s="12">
        <f t="shared" si="9"/>
        <v>0.14624273055580975</v>
      </c>
      <c r="V24" s="9">
        <f t="shared" si="10"/>
        <v>0.38241695903268952</v>
      </c>
      <c r="W24" s="9">
        <f t="shared" si="11"/>
        <v>2.6735607558905032</v>
      </c>
      <c r="X24" s="9">
        <f t="shared" si="12"/>
        <v>3.652548171014188</v>
      </c>
      <c r="Y24" s="11">
        <f t="shared" si="13"/>
        <v>23.642701518767126</v>
      </c>
      <c r="Z24" s="11">
        <f t="shared" si="14"/>
        <v>14.491478048973038</v>
      </c>
      <c r="AA24" s="11">
        <f t="shared" si="15"/>
        <v>38.572831095384792</v>
      </c>
    </row>
    <row r="25" spans="1:27" x14ac:dyDescent="0.35">
      <c r="A25" s="8" t="s">
        <v>45</v>
      </c>
      <c r="B25" s="8" t="s">
        <v>49</v>
      </c>
      <c r="C25" s="8">
        <v>2.8394337325650598</v>
      </c>
      <c r="D25" s="8">
        <v>8.7839408646482306E-2</v>
      </c>
      <c r="E25" s="8">
        <v>2.47887317266358</v>
      </c>
      <c r="F25" s="8">
        <v>3.1999942924665499</v>
      </c>
      <c r="G25" s="8">
        <v>9.8655154259353903</v>
      </c>
      <c r="H25" s="8">
        <v>0.25700000000000001</v>
      </c>
      <c r="I25" s="8">
        <v>20</v>
      </c>
      <c r="J25" s="22">
        <f t="shared" si="4"/>
        <v>0.40253073912266368</v>
      </c>
      <c r="K25" s="22">
        <f t="shared" si="5"/>
        <v>2.3572188864880501</v>
      </c>
      <c r="L25" s="9">
        <f t="shared" si="6"/>
        <v>3.3876975786420691</v>
      </c>
      <c r="M25" s="25">
        <f t="shared" si="7"/>
        <v>2.8724582325650596</v>
      </c>
      <c r="N25" s="10">
        <v>9.5000000000000001E-2</v>
      </c>
      <c r="O25" s="11">
        <f t="shared" si="8"/>
        <v>3.3521524347212422E-2</v>
      </c>
      <c r="P25" s="9" cm="1">
        <f t="array" ref="P25">SUM($M$4:$M$28*$O$4:$O$28)</f>
        <v>3.1630544634523456</v>
      </c>
      <c r="Q25" s="9">
        <f t="shared" si="0"/>
        <v>0.16203099593863793</v>
      </c>
      <c r="R25" s="9">
        <f t="shared" si="1"/>
        <v>0.24647716534453479</v>
      </c>
      <c r="S25" s="9">
        <f t="shared" si="2"/>
        <v>1.6642252414441398E-2</v>
      </c>
      <c r="T25" s="12">
        <f t="shared" si="3"/>
        <v>0.38241695903268952</v>
      </c>
      <c r="U25" s="12">
        <f t="shared" si="9"/>
        <v>0.14624273055580975</v>
      </c>
      <c r="V25" s="9">
        <f t="shared" si="10"/>
        <v>0.38241695903268952</v>
      </c>
      <c r="W25" s="9">
        <f t="shared" si="11"/>
        <v>2.6735607558905032</v>
      </c>
      <c r="X25" s="9">
        <f t="shared" si="12"/>
        <v>3.652548171014188</v>
      </c>
      <c r="Y25" s="11">
        <f t="shared" si="13"/>
        <v>23.642701518767126</v>
      </c>
      <c r="Z25" s="11">
        <f t="shared" si="14"/>
        <v>14.491478048973038</v>
      </c>
      <c r="AA25" s="11">
        <f t="shared" si="15"/>
        <v>38.572831095384792</v>
      </c>
    </row>
    <row r="26" spans="1:27" x14ac:dyDescent="0.35">
      <c r="A26" s="8" t="s">
        <v>46</v>
      </c>
      <c r="B26" s="8" t="s">
        <v>47</v>
      </c>
      <c r="C26" s="8">
        <v>3.06723327928092</v>
      </c>
      <c r="D26" s="8">
        <v>7.9698606097820104E-2</v>
      </c>
      <c r="E26" s="8">
        <v>2.64315954686449</v>
      </c>
      <c r="F26" s="8">
        <v>3.4913070116973599</v>
      </c>
      <c r="G26" s="8">
        <v>18.3879544296306</v>
      </c>
      <c r="H26" s="8">
        <v>0.31</v>
      </c>
      <c r="I26" s="8">
        <v>20</v>
      </c>
      <c r="J26" s="22">
        <f t="shared" si="4"/>
        <v>0.36522489522572971</v>
      </c>
      <c r="K26" s="22">
        <f t="shared" si="5"/>
        <v>2.6477954133919859</v>
      </c>
      <c r="L26" s="9">
        <f t="shared" si="6"/>
        <v>3.5827711451698541</v>
      </c>
      <c r="M26" s="25">
        <f t="shared" si="7"/>
        <v>3.11528327928092</v>
      </c>
      <c r="N26" s="10">
        <v>0.11</v>
      </c>
      <c r="O26" s="11">
        <f t="shared" si="8"/>
        <v>3.8814396612561752E-2</v>
      </c>
      <c r="P26" s="9" cm="1">
        <f t="array" ref="P26">SUM($M$4:$M$28*$O$4:$O$28)</f>
        <v>3.1630544634523456</v>
      </c>
      <c r="Q26" s="9">
        <f t="shared" si="0"/>
        <v>0.13338922409264525</v>
      </c>
      <c r="R26" s="9">
        <f t="shared" si="1"/>
        <v>0.13567131012978553</v>
      </c>
      <c r="S26" s="9">
        <f t="shared" si="2"/>
        <v>1.4296734386805862E-2</v>
      </c>
      <c r="T26" s="12">
        <f t="shared" si="3"/>
        <v>0.38241695903268952</v>
      </c>
      <c r="U26" s="12">
        <f t="shared" si="9"/>
        <v>0.14624273055580975</v>
      </c>
      <c r="V26" s="9">
        <f t="shared" si="10"/>
        <v>0.38241695903268952</v>
      </c>
      <c r="W26" s="9">
        <f t="shared" si="11"/>
        <v>2.6735607558905032</v>
      </c>
      <c r="X26" s="9">
        <f t="shared" si="12"/>
        <v>3.652548171014188</v>
      </c>
      <c r="Y26" s="11">
        <f t="shared" si="13"/>
        <v>23.642701518767126</v>
      </c>
      <c r="Z26" s="11">
        <f t="shared" si="14"/>
        <v>14.491478048973038</v>
      </c>
      <c r="AA26" s="11">
        <f t="shared" si="15"/>
        <v>38.572831095384792</v>
      </c>
    </row>
    <row r="27" spans="1:27" x14ac:dyDescent="0.35">
      <c r="A27" s="8" t="s">
        <v>48</v>
      </c>
      <c r="B27" s="8" t="s">
        <v>71</v>
      </c>
      <c r="C27" s="8">
        <v>3.0033452638474398</v>
      </c>
      <c r="D27" s="8">
        <v>7.4815856291891802E-2</v>
      </c>
      <c r="E27" s="8">
        <v>2.6272309416606698</v>
      </c>
      <c r="F27" s="8">
        <v>3.3794595860342098</v>
      </c>
      <c r="G27" s="8">
        <v>12.6835778126331</v>
      </c>
      <c r="H27" s="8">
        <v>0.27400000000000002</v>
      </c>
      <c r="I27" s="8">
        <v>20</v>
      </c>
      <c r="J27" s="22">
        <f t="shared" si="4"/>
        <v>0.3428493246405323</v>
      </c>
      <c r="K27" s="22">
        <f t="shared" si="5"/>
        <v>2.6020361283075584</v>
      </c>
      <c r="L27" s="9">
        <f t="shared" si="6"/>
        <v>3.4797303993873214</v>
      </c>
      <c r="M27" s="25">
        <f t="shared" si="7"/>
        <v>3.0408832638474399</v>
      </c>
      <c r="N27" s="10">
        <v>9.4E-2</v>
      </c>
      <c r="O27" s="11">
        <f t="shared" si="8"/>
        <v>3.3168666196189134E-2</v>
      </c>
      <c r="P27" s="9" cm="1">
        <f t="array" ref="P27">SUM($M$4:$M$28*$O$4:$O$28)</f>
        <v>3.1630544634523456</v>
      </c>
      <c r="Q27" s="9">
        <f t="shared" si="0"/>
        <v>0.11754565940646911</v>
      </c>
      <c r="R27" s="9">
        <f t="shared" si="1"/>
        <v>0.13247146141937083</v>
      </c>
      <c r="S27" s="9">
        <f t="shared" si="2"/>
        <v>1.2072276432668441E-2</v>
      </c>
      <c r="T27" s="12">
        <f t="shared" si="3"/>
        <v>0.38241695903268952</v>
      </c>
      <c r="U27" s="12">
        <f t="shared" si="9"/>
        <v>0.14624273055580975</v>
      </c>
      <c r="V27" s="9">
        <f t="shared" si="10"/>
        <v>0.38241695903268952</v>
      </c>
      <c r="W27" s="9">
        <f t="shared" si="11"/>
        <v>2.6735607558905032</v>
      </c>
      <c r="X27" s="9">
        <f t="shared" si="12"/>
        <v>3.652548171014188</v>
      </c>
      <c r="Y27" s="11">
        <f t="shared" si="13"/>
        <v>23.642701518767126</v>
      </c>
      <c r="Z27" s="11">
        <f t="shared" si="14"/>
        <v>14.491478048973038</v>
      </c>
      <c r="AA27" s="11">
        <f t="shared" si="15"/>
        <v>38.572831095384792</v>
      </c>
    </row>
    <row r="28" spans="1:27" x14ac:dyDescent="0.35">
      <c r="A28" s="13" t="s">
        <v>50</v>
      </c>
      <c r="B28" s="13" t="s">
        <v>72</v>
      </c>
      <c r="C28" s="13">
        <v>3.0596468301649602</v>
      </c>
      <c r="D28" s="13">
        <v>7.6116235704180094E-2</v>
      </c>
      <c r="E28" s="13">
        <v>2.6545711548775399</v>
      </c>
      <c r="F28" s="13">
        <v>3.4647225054523898</v>
      </c>
      <c r="G28" s="13">
        <v>16.280094244974499</v>
      </c>
      <c r="H28" s="13">
        <v>0.29599999999999999</v>
      </c>
      <c r="I28" s="13">
        <v>20</v>
      </c>
      <c r="J28" s="23">
        <f t="shared" si="4"/>
        <v>0.34880841172950561</v>
      </c>
      <c r="K28" s="23">
        <f t="shared" si="5"/>
        <v>2.6569800631511926</v>
      </c>
      <c r="L28" s="14">
        <f t="shared" si="6"/>
        <v>3.5499295971787275</v>
      </c>
      <c r="M28" s="26">
        <f t="shared" si="7"/>
        <v>3.10345483016496</v>
      </c>
      <c r="N28" s="15">
        <v>0.09</v>
      </c>
      <c r="O28" s="16">
        <f t="shared" si="8"/>
        <v>3.1757233592095972E-2</v>
      </c>
      <c r="P28" s="14" cm="1">
        <f t="array" ref="P28">SUM($M$4:$M$28*$O$4:$O$28)</f>
        <v>3.1630544634523456</v>
      </c>
      <c r="Q28" s="14">
        <f t="shared" si="0"/>
        <v>0.1216673080932603</v>
      </c>
      <c r="R28" s="14">
        <f t="shared" si="1"/>
        <v>0.12521942438125114</v>
      </c>
      <c r="S28" s="14">
        <f t="shared" si="2"/>
        <v>1.123772797181689E-2</v>
      </c>
      <c r="T28" s="17">
        <f t="shared" si="3"/>
        <v>0.38241695903268952</v>
      </c>
      <c r="U28" s="17">
        <f t="shared" si="9"/>
        <v>0.14624273055580975</v>
      </c>
      <c r="V28" s="14">
        <f t="shared" si="10"/>
        <v>0.38241695903268952</v>
      </c>
      <c r="W28" s="14">
        <f t="shared" si="11"/>
        <v>2.6735607558905032</v>
      </c>
      <c r="X28" s="14">
        <f t="shared" si="12"/>
        <v>3.652548171014188</v>
      </c>
      <c r="Y28" s="16">
        <f t="shared" si="13"/>
        <v>23.642701518767126</v>
      </c>
      <c r="Z28" s="16">
        <f t="shared" si="14"/>
        <v>14.491478048973038</v>
      </c>
      <c r="AA28" s="16">
        <f t="shared" si="15"/>
        <v>38.572831095384792</v>
      </c>
    </row>
    <row r="33" spans="1:12" x14ac:dyDescent="0.35">
      <c r="A33" s="28" t="s">
        <v>86</v>
      </c>
    </row>
    <row r="34" spans="1:12" x14ac:dyDescent="0.35">
      <c r="A34" s="29"/>
      <c r="B34" s="31" t="s">
        <v>10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spans="1:12" x14ac:dyDescent="0.35">
      <c r="A35" s="31" t="s">
        <v>78</v>
      </c>
      <c r="B35" s="32">
        <v>2.1475022560000001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spans="1:12" ht="15.5" x14ac:dyDescent="0.35">
      <c r="A36" s="31" t="s">
        <v>79</v>
      </c>
      <c r="B36" s="31" t="s">
        <v>80</v>
      </c>
      <c r="C36" s="31" t="s">
        <v>81</v>
      </c>
      <c r="D36" s="31" t="s">
        <v>82</v>
      </c>
      <c r="E36" s="31" t="s">
        <v>83</v>
      </c>
      <c r="F36" s="31" t="s">
        <v>84</v>
      </c>
      <c r="G36" s="31" t="s">
        <v>1</v>
      </c>
      <c r="H36" s="30" t="s">
        <v>51</v>
      </c>
      <c r="I36" s="30"/>
      <c r="J36" s="30"/>
      <c r="K36" s="30"/>
      <c r="L36" s="30"/>
    </row>
    <row r="37" spans="1:12" x14ac:dyDescent="0.35">
      <c r="A37" s="31" t="s">
        <v>11</v>
      </c>
      <c r="B37" s="31" t="s">
        <v>85</v>
      </c>
      <c r="C37" s="29">
        <v>2.2891817900000002</v>
      </c>
      <c r="D37" s="29">
        <v>0.20799999999999999</v>
      </c>
      <c r="E37" s="29">
        <v>11.019</v>
      </c>
      <c r="F37" s="29">
        <v>0</v>
      </c>
      <c r="G37" s="27">
        <f>C37+(C38*B35)</f>
        <v>3.2297133886498526</v>
      </c>
      <c r="H37" s="27">
        <f>G37+((H4*H4)/2)</f>
        <v>3.3166578886498526</v>
      </c>
      <c r="I37" s="27">
        <f>EXP(G37)*EXP(0.5*H4*H4)</f>
        <v>27.568060894037693</v>
      </c>
      <c r="J37" s="27">
        <f>EXP(H37)</f>
        <v>27.568060894037689</v>
      </c>
      <c r="K37" s="27">
        <f>LN(I37)</f>
        <v>3.3166578886498526</v>
      </c>
      <c r="L37" s="27">
        <f>EXP(C37+C38*B35+0.5*H4*H4)</f>
        <v>27.568060894037689</v>
      </c>
    </row>
    <row r="38" spans="1:12" x14ac:dyDescent="0.35">
      <c r="A38" s="31" t="s">
        <v>11</v>
      </c>
      <c r="B38" s="31" t="s">
        <v>10</v>
      </c>
      <c r="C38" s="29">
        <v>0.43796536000000003</v>
      </c>
      <c r="D38" s="29">
        <v>7.0999999999999994E-2</v>
      </c>
      <c r="E38" s="29">
        <v>6.157</v>
      </c>
      <c r="F38" s="29">
        <v>0</v>
      </c>
      <c r="G38" s="29"/>
      <c r="H38" s="29"/>
      <c r="I38" s="29"/>
      <c r="J38" s="29"/>
      <c r="K38" s="29"/>
      <c r="L38" s="29"/>
    </row>
    <row r="39" spans="1:12" x14ac:dyDescent="0.3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</sheetData>
  <mergeCells count="7">
    <mergeCell ref="C2:I2"/>
    <mergeCell ref="H36:L36"/>
    <mergeCell ref="Z2:AA2"/>
    <mergeCell ref="K2:L2"/>
    <mergeCell ref="Q2:U2"/>
    <mergeCell ref="W2:X2"/>
    <mergeCell ref="N2:O2"/>
  </mergeCells>
  <phoneticPr fontId="20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averaging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NA</cp:lastModifiedBy>
  <dcterms:created xsi:type="dcterms:W3CDTF">2021-06-02T18:53:13Z</dcterms:created>
  <dcterms:modified xsi:type="dcterms:W3CDTF">2021-07-22T17:45:52Z</dcterms:modified>
</cp:coreProperties>
</file>