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ason_SEAK_pink_salmon_forecast\FMS_writeup\code\model_averaging_process\"/>
    </mc:Choice>
  </mc:AlternateContent>
  <xr:revisionPtr revIDLastSave="0" documentId="13_ncr:1_{BF9C6D1E-9F20-403E-9A7F-F6052A26B454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equal-weighting--2008 CI (hind)" sheetId="5" r:id="rId1"/>
    <sheet name="equal-weighting--2008 CI (Buck)" sheetId="7" r:id="rId2"/>
    <sheet name="inverse variance-Buckland CI" sheetId="2" r:id="rId3"/>
    <sheet name="hindcasts" sheetId="6" r:id="rId4"/>
    <sheet name="inverse variance" sheetId="4" r:id="rId5"/>
    <sheet name="ISTI model" sheetId="8" r:id="rId6"/>
  </sheets>
  <definedNames>
    <definedName name="solver_adj" localSheetId="2" hidden="1">'inverse variance-Buckland CI'!$F$38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'inverse variance-Buckland CI'!$H$40</definedName>
    <definedName name="solver_pre" localSheetId="2" hidden="1">0.000001</definedName>
    <definedName name="solver_rbv" localSheetId="2" hidden="1">2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6" i="4" l="1"/>
  <c r="G95" i="4"/>
  <c r="E96" i="4"/>
  <c r="E95" i="4"/>
  <c r="G117" i="4"/>
  <c r="G99" i="4"/>
  <c r="I443" i="4"/>
  <c r="I503" i="4"/>
  <c r="I531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J118" i="4"/>
  <c r="I374" i="4"/>
  <c r="H374" i="4"/>
  <c r="J374" i="4"/>
  <c r="I389" i="4"/>
  <c r="H389" i="4"/>
  <c r="J389" i="4"/>
  <c r="I401" i="4"/>
  <c r="H401" i="4"/>
  <c r="J401" i="4"/>
  <c r="I422" i="4"/>
  <c r="H422" i="4"/>
  <c r="J422" i="4"/>
  <c r="I442" i="4"/>
  <c r="H442" i="4"/>
  <c r="J442" i="4"/>
  <c r="I466" i="4"/>
  <c r="H466" i="4"/>
  <c r="J466" i="4"/>
  <c r="I489" i="4"/>
  <c r="H489" i="4"/>
  <c r="J489" i="4"/>
  <c r="H503" i="4"/>
  <c r="J503" i="4"/>
  <c r="H531" i="4"/>
  <c r="J531" i="4"/>
  <c r="I348" i="4"/>
  <c r="H348" i="4"/>
  <c r="J348" i="4"/>
  <c r="I373" i="4"/>
  <c r="H373" i="4"/>
  <c r="J373" i="4"/>
  <c r="I390" i="4"/>
  <c r="H390" i="4"/>
  <c r="J390" i="4"/>
  <c r="I402" i="4"/>
  <c r="H402" i="4"/>
  <c r="J402" i="4"/>
  <c r="I418" i="4"/>
  <c r="H418" i="4"/>
  <c r="J418" i="4"/>
  <c r="H443" i="4"/>
  <c r="J443" i="4"/>
  <c r="I468" i="4"/>
  <c r="H468" i="4"/>
  <c r="J468" i="4"/>
  <c r="I490" i="4"/>
  <c r="H490" i="4"/>
  <c r="J490" i="4"/>
  <c r="I505" i="4"/>
  <c r="H505" i="4"/>
  <c r="J505" i="4"/>
  <c r="I529" i="4"/>
  <c r="H529" i="4"/>
  <c r="J529" i="4"/>
  <c r="J349" i="4"/>
  <c r="H349" i="4"/>
  <c r="I349" i="4"/>
  <c r="J117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H117" i="4"/>
  <c r="E39" i="4"/>
  <c r="G87" i="4"/>
  <c r="G86" i="4"/>
  <c r="G85" i="4"/>
  <c r="E86" i="4"/>
  <c r="E85" i="4"/>
  <c r="G18" i="4"/>
  <c r="F117" i="4"/>
  <c r="U24" i="6"/>
  <c r="E21" i="4"/>
  <c r="E13" i="4"/>
  <c r="E29" i="4"/>
  <c r="AE50" i="6"/>
  <c r="AE51" i="6"/>
  <c r="AD51" i="6"/>
  <c r="AC47" i="6"/>
  <c r="AE47" i="6"/>
  <c r="AD47" i="6"/>
  <c r="AE48" i="6"/>
  <c r="AE49" i="6"/>
  <c r="AC51" i="6"/>
  <c r="AC50" i="6"/>
  <c r="AC49" i="6"/>
  <c r="AC48" i="6"/>
  <c r="AD48" i="6"/>
  <c r="AD49" i="6"/>
  <c r="AD50" i="6"/>
  <c r="AD52" i="6"/>
  <c r="G88" i="4"/>
  <c r="G89" i="4"/>
  <c r="G90" i="4"/>
  <c r="G91" i="4"/>
  <c r="G92" i="4"/>
  <c r="G93" i="4"/>
  <c r="G94" i="4"/>
  <c r="E94" i="4"/>
  <c r="E87" i="4"/>
  <c r="E88" i="4"/>
  <c r="E89" i="4"/>
  <c r="E90" i="4"/>
  <c r="E91" i="4"/>
  <c r="E92" i="4"/>
  <c r="E93" i="4"/>
  <c r="Q4" i="2"/>
  <c r="W24" i="6"/>
  <c r="V24" i="6"/>
  <c r="AB49" i="6"/>
  <c r="AE53" i="6" l="1"/>
  <c r="Z24" i="6"/>
  <c r="AC52" i="6" l="1"/>
  <c r="E55" i="4"/>
  <c r="G13" i="4"/>
  <c r="Q4" i="5" a="1"/>
  <c r="Q4" i="5" s="1"/>
  <c r="Q5" i="5" a="1"/>
  <c r="Q5" i="5" s="1"/>
  <c r="Q6" i="5" a="1"/>
  <c r="Q6" i="5"/>
  <c r="Q7" i="5" a="1"/>
  <c r="Q7" i="5" s="1"/>
  <c r="Q8" i="5" a="1"/>
  <c r="Q8" i="5"/>
  <c r="Q9" i="5" a="1"/>
  <c r="Q9" i="5" s="1"/>
  <c r="Q10" i="5" a="1"/>
  <c r="Q10" i="5"/>
  <c r="Q11" i="5" a="1"/>
  <c r="Q11" i="5" s="1"/>
  <c r="Q12" i="5" a="1"/>
  <c r="Q12" i="5"/>
  <c r="Q13" i="5" a="1"/>
  <c r="Q13" i="5" s="1"/>
  <c r="Q14" i="5" a="1"/>
  <c r="Q14" i="5"/>
  <c r="Q15" i="5" a="1"/>
  <c r="Q15" i="5" s="1"/>
  <c r="Q16" i="5" a="1"/>
  <c r="Q16" i="5"/>
  <c r="Q17" i="5" a="1"/>
  <c r="Q17" i="5" s="1"/>
  <c r="Q18" i="5" a="1"/>
  <c r="Q18" i="5"/>
  <c r="Q19" i="5" a="1"/>
  <c r="Q19" i="5" s="1"/>
  <c r="Q20" i="5" a="1"/>
  <c r="Q20" i="5"/>
  <c r="Q21" i="5" a="1"/>
  <c r="Q21" i="5" s="1"/>
  <c r="Q24" i="2"/>
  <c r="Q23" i="2"/>
  <c r="W4" i="7"/>
  <c r="V4" i="7"/>
  <c r="U4" i="7"/>
  <c r="T4" i="7"/>
  <c r="S4" i="7"/>
  <c r="R4" i="7" a="1"/>
  <c r="R4" i="7" s="1"/>
  <c r="Y4" i="7" s="1"/>
  <c r="Y4" i="2"/>
  <c r="AB4" i="2"/>
  <c r="AA4" i="2"/>
  <c r="T4" i="2" a="1"/>
  <c r="T4" i="2" s="1"/>
  <c r="G30" i="2"/>
  <c r="H43" i="2"/>
  <c r="I43" i="2"/>
  <c r="L4" i="2"/>
  <c r="H34" i="2"/>
  <c r="K34" i="2" s="1"/>
  <c r="I34" i="2"/>
  <c r="L34" i="2" s="1"/>
  <c r="H38" i="2"/>
  <c r="H40" i="2" s="1"/>
  <c r="I38" i="2"/>
  <c r="I40" i="2" s="1"/>
  <c r="M4" i="2"/>
  <c r="K30" i="2"/>
  <c r="L33" i="2"/>
  <c r="K33" i="2"/>
  <c r="P4" i="2"/>
  <c r="S4" i="2"/>
  <c r="BU55" i="4"/>
  <c r="AC55" i="4"/>
  <c r="I55" i="4"/>
  <c r="BW27" i="4"/>
  <c r="F296" i="4" s="1"/>
  <c r="H296" i="4" s="1"/>
  <c r="BW26" i="4"/>
  <c r="F295" i="4" s="1"/>
  <c r="H295" i="4" s="1"/>
  <c r="BW25" i="4"/>
  <c r="F294" i="4" s="1"/>
  <c r="H294" i="4" s="1"/>
  <c r="BW24" i="4"/>
  <c r="F293" i="4" s="1"/>
  <c r="H293" i="4" s="1"/>
  <c r="BW23" i="4"/>
  <c r="F292" i="4" s="1"/>
  <c r="H292" i="4" s="1"/>
  <c r="BW22" i="4"/>
  <c r="F291" i="4" s="1"/>
  <c r="H291" i="4" s="1"/>
  <c r="BW21" i="4"/>
  <c r="F290" i="4" s="1"/>
  <c r="H290" i="4" s="1"/>
  <c r="BW20" i="4"/>
  <c r="F289" i="4" s="1"/>
  <c r="H289" i="4" s="1"/>
  <c r="BW19" i="4"/>
  <c r="F288" i="4" s="1"/>
  <c r="H288" i="4" s="1"/>
  <c r="BW18" i="4"/>
  <c r="F287" i="4" s="1"/>
  <c r="H287" i="4" s="1"/>
  <c r="BW17" i="4"/>
  <c r="BW16" i="4"/>
  <c r="BW15" i="4"/>
  <c r="BW14" i="4"/>
  <c r="BW13" i="4"/>
  <c r="BS13" i="4"/>
  <c r="BS27" i="4"/>
  <c r="F286" i="4" s="1"/>
  <c r="H286" i="4" s="1"/>
  <c r="BS26" i="4"/>
  <c r="F285" i="4" s="1"/>
  <c r="H285" i="4" s="1"/>
  <c r="BS25" i="4"/>
  <c r="F284" i="4" s="1"/>
  <c r="H284" i="4" s="1"/>
  <c r="BS24" i="4"/>
  <c r="F283" i="4" s="1"/>
  <c r="H283" i="4" s="1"/>
  <c r="BS23" i="4"/>
  <c r="F282" i="4" s="1"/>
  <c r="H282" i="4" s="1"/>
  <c r="BS22" i="4"/>
  <c r="F281" i="4" s="1"/>
  <c r="H281" i="4" s="1"/>
  <c r="BS21" i="4"/>
  <c r="F280" i="4" s="1"/>
  <c r="H280" i="4" s="1"/>
  <c r="BS20" i="4"/>
  <c r="F279" i="4" s="1"/>
  <c r="H279" i="4" s="1"/>
  <c r="BS19" i="4"/>
  <c r="F278" i="4" s="1"/>
  <c r="H278" i="4" s="1"/>
  <c r="BS18" i="4"/>
  <c r="F277" i="4" s="1"/>
  <c r="H277" i="4" s="1"/>
  <c r="BS17" i="4"/>
  <c r="BS16" i="4"/>
  <c r="BS15" i="4"/>
  <c r="BS14" i="4"/>
  <c r="BO27" i="4"/>
  <c r="F276" i="4" s="1"/>
  <c r="H276" i="4" s="1"/>
  <c r="BO26" i="4"/>
  <c r="F275" i="4" s="1"/>
  <c r="H275" i="4" s="1"/>
  <c r="BO25" i="4"/>
  <c r="F274" i="4" s="1"/>
  <c r="H274" i="4" s="1"/>
  <c r="BO24" i="4"/>
  <c r="F273" i="4" s="1"/>
  <c r="H273" i="4" s="1"/>
  <c r="BO23" i="4"/>
  <c r="F272" i="4" s="1"/>
  <c r="H272" i="4" s="1"/>
  <c r="BO22" i="4"/>
  <c r="F271" i="4" s="1"/>
  <c r="H271" i="4" s="1"/>
  <c r="BO21" i="4"/>
  <c r="F270" i="4" s="1"/>
  <c r="H270" i="4" s="1"/>
  <c r="BO20" i="4"/>
  <c r="F269" i="4" s="1"/>
  <c r="H269" i="4" s="1"/>
  <c r="BO19" i="4"/>
  <c r="F268" i="4" s="1"/>
  <c r="H268" i="4" s="1"/>
  <c r="BO18" i="4"/>
  <c r="F267" i="4" s="1"/>
  <c r="H267" i="4" s="1"/>
  <c r="BO17" i="4"/>
  <c r="BO16" i="4"/>
  <c r="BO15" i="4"/>
  <c r="BO14" i="4"/>
  <c r="BO13" i="4"/>
  <c r="BK27" i="4"/>
  <c r="F266" i="4" s="1"/>
  <c r="H266" i="4" s="1"/>
  <c r="BK26" i="4"/>
  <c r="F265" i="4" s="1"/>
  <c r="H265" i="4" s="1"/>
  <c r="BK25" i="4"/>
  <c r="F264" i="4" s="1"/>
  <c r="H264" i="4" s="1"/>
  <c r="BK24" i="4"/>
  <c r="F263" i="4" s="1"/>
  <c r="H263" i="4" s="1"/>
  <c r="BK23" i="4"/>
  <c r="F262" i="4" s="1"/>
  <c r="H262" i="4" s="1"/>
  <c r="BK22" i="4"/>
  <c r="F261" i="4" s="1"/>
  <c r="H261" i="4" s="1"/>
  <c r="BK21" i="4"/>
  <c r="F260" i="4" s="1"/>
  <c r="H260" i="4" s="1"/>
  <c r="BK20" i="4"/>
  <c r="F259" i="4" s="1"/>
  <c r="H259" i="4" s="1"/>
  <c r="BK19" i="4"/>
  <c r="F258" i="4" s="1"/>
  <c r="H258" i="4" s="1"/>
  <c r="BK18" i="4"/>
  <c r="F257" i="4" s="1"/>
  <c r="H257" i="4" s="1"/>
  <c r="BK17" i="4"/>
  <c r="BK16" i="4"/>
  <c r="BK15" i="4"/>
  <c r="BK14" i="4"/>
  <c r="BK13" i="4"/>
  <c r="BG27" i="4"/>
  <c r="F256" i="4" s="1"/>
  <c r="H256" i="4" s="1"/>
  <c r="BG26" i="4"/>
  <c r="F255" i="4" s="1"/>
  <c r="H255" i="4" s="1"/>
  <c r="BG25" i="4"/>
  <c r="F254" i="4" s="1"/>
  <c r="H254" i="4" s="1"/>
  <c r="BG24" i="4"/>
  <c r="F253" i="4" s="1"/>
  <c r="H253" i="4" s="1"/>
  <c r="BG23" i="4"/>
  <c r="F252" i="4" s="1"/>
  <c r="H252" i="4" s="1"/>
  <c r="BG22" i="4"/>
  <c r="F251" i="4" s="1"/>
  <c r="H251" i="4" s="1"/>
  <c r="BG21" i="4"/>
  <c r="F250" i="4" s="1"/>
  <c r="H250" i="4" s="1"/>
  <c r="BG20" i="4"/>
  <c r="F249" i="4" s="1"/>
  <c r="H249" i="4" s="1"/>
  <c r="BG19" i="4"/>
  <c r="F248" i="4" s="1"/>
  <c r="H248" i="4" s="1"/>
  <c r="BG18" i="4"/>
  <c r="F247" i="4" s="1"/>
  <c r="H247" i="4" s="1"/>
  <c r="BG17" i="4"/>
  <c r="BG16" i="4"/>
  <c r="BG15" i="4"/>
  <c r="BG14" i="4"/>
  <c r="BG13" i="4"/>
  <c r="BC27" i="4"/>
  <c r="F246" i="4" s="1"/>
  <c r="H246" i="4" s="1"/>
  <c r="BC26" i="4"/>
  <c r="F245" i="4" s="1"/>
  <c r="H245" i="4" s="1"/>
  <c r="BC25" i="4"/>
  <c r="F244" i="4" s="1"/>
  <c r="H244" i="4" s="1"/>
  <c r="BC24" i="4"/>
  <c r="F243" i="4" s="1"/>
  <c r="H243" i="4" s="1"/>
  <c r="BC23" i="4"/>
  <c r="F242" i="4" s="1"/>
  <c r="H242" i="4" s="1"/>
  <c r="BC22" i="4"/>
  <c r="F241" i="4" s="1"/>
  <c r="H241" i="4" s="1"/>
  <c r="BC21" i="4"/>
  <c r="F240" i="4" s="1"/>
  <c r="H240" i="4" s="1"/>
  <c r="BC20" i="4"/>
  <c r="F239" i="4" s="1"/>
  <c r="H239" i="4" s="1"/>
  <c r="BC19" i="4"/>
  <c r="F238" i="4" s="1"/>
  <c r="H238" i="4" s="1"/>
  <c r="BC18" i="4"/>
  <c r="F237" i="4" s="1"/>
  <c r="H237" i="4" s="1"/>
  <c r="BC17" i="4"/>
  <c r="BC16" i="4"/>
  <c r="BC15" i="4"/>
  <c r="BC14" i="4"/>
  <c r="BC13" i="4"/>
  <c r="AY13" i="4"/>
  <c r="AY27" i="4"/>
  <c r="F236" i="4" s="1"/>
  <c r="H236" i="4" s="1"/>
  <c r="AY26" i="4"/>
  <c r="F235" i="4" s="1"/>
  <c r="H235" i="4" s="1"/>
  <c r="AY25" i="4"/>
  <c r="F234" i="4" s="1"/>
  <c r="H234" i="4" s="1"/>
  <c r="AY24" i="4"/>
  <c r="F233" i="4" s="1"/>
  <c r="H233" i="4" s="1"/>
  <c r="AY23" i="4"/>
  <c r="F232" i="4" s="1"/>
  <c r="H232" i="4" s="1"/>
  <c r="AY22" i="4"/>
  <c r="F231" i="4" s="1"/>
  <c r="H231" i="4" s="1"/>
  <c r="AY21" i="4"/>
  <c r="F230" i="4" s="1"/>
  <c r="H230" i="4" s="1"/>
  <c r="AY20" i="4"/>
  <c r="F229" i="4" s="1"/>
  <c r="H229" i="4" s="1"/>
  <c r="AY19" i="4"/>
  <c r="F228" i="4" s="1"/>
  <c r="H228" i="4" s="1"/>
  <c r="AY18" i="4"/>
  <c r="F227" i="4" s="1"/>
  <c r="H227" i="4" s="1"/>
  <c r="AY17" i="4"/>
  <c r="AY16" i="4"/>
  <c r="AY15" i="4"/>
  <c r="AY14" i="4"/>
  <c r="AU13" i="4"/>
  <c r="AU27" i="4"/>
  <c r="F226" i="4" s="1"/>
  <c r="H226" i="4" s="1"/>
  <c r="AU26" i="4"/>
  <c r="F225" i="4" s="1"/>
  <c r="H225" i="4" s="1"/>
  <c r="AU25" i="4"/>
  <c r="F224" i="4" s="1"/>
  <c r="H224" i="4" s="1"/>
  <c r="AU24" i="4"/>
  <c r="F223" i="4" s="1"/>
  <c r="H223" i="4" s="1"/>
  <c r="AU23" i="4"/>
  <c r="F222" i="4" s="1"/>
  <c r="H222" i="4" s="1"/>
  <c r="AU22" i="4"/>
  <c r="F221" i="4" s="1"/>
  <c r="H221" i="4" s="1"/>
  <c r="AU21" i="4"/>
  <c r="F220" i="4" s="1"/>
  <c r="H220" i="4" s="1"/>
  <c r="AU20" i="4"/>
  <c r="F219" i="4" s="1"/>
  <c r="H219" i="4" s="1"/>
  <c r="AU19" i="4"/>
  <c r="F218" i="4" s="1"/>
  <c r="H218" i="4" s="1"/>
  <c r="AU18" i="4"/>
  <c r="F217" i="4" s="1"/>
  <c r="H217" i="4" s="1"/>
  <c r="AU17" i="4"/>
  <c r="AU16" i="4"/>
  <c r="AU15" i="4"/>
  <c r="AU14" i="4"/>
  <c r="AQ27" i="4"/>
  <c r="F216" i="4" s="1"/>
  <c r="H216" i="4" s="1"/>
  <c r="AQ26" i="4"/>
  <c r="F215" i="4" s="1"/>
  <c r="H215" i="4" s="1"/>
  <c r="AQ25" i="4"/>
  <c r="F214" i="4" s="1"/>
  <c r="H214" i="4" s="1"/>
  <c r="AQ24" i="4"/>
  <c r="F213" i="4" s="1"/>
  <c r="H213" i="4" s="1"/>
  <c r="AQ23" i="4"/>
  <c r="F212" i="4" s="1"/>
  <c r="H212" i="4" s="1"/>
  <c r="AQ22" i="4"/>
  <c r="F211" i="4" s="1"/>
  <c r="H211" i="4" s="1"/>
  <c r="AQ21" i="4"/>
  <c r="AQ20" i="4"/>
  <c r="F209" i="4" s="1"/>
  <c r="H209" i="4" s="1"/>
  <c r="AQ19" i="4"/>
  <c r="F208" i="4" s="1"/>
  <c r="H208" i="4" s="1"/>
  <c r="AQ18" i="4"/>
  <c r="F207" i="4" s="1"/>
  <c r="H207" i="4" s="1"/>
  <c r="AQ17" i="4"/>
  <c r="AQ16" i="4"/>
  <c r="AQ15" i="4"/>
  <c r="AQ14" i="4"/>
  <c r="AQ13" i="4"/>
  <c r="AM27" i="4"/>
  <c r="F206" i="4" s="1"/>
  <c r="H206" i="4" s="1"/>
  <c r="AM26" i="4"/>
  <c r="F205" i="4" s="1"/>
  <c r="J205" i="4" s="1"/>
  <c r="AM25" i="4"/>
  <c r="F204" i="4" s="1"/>
  <c r="H204" i="4" s="1"/>
  <c r="AM24" i="4"/>
  <c r="F203" i="4" s="1"/>
  <c r="H203" i="4" s="1"/>
  <c r="AM23" i="4"/>
  <c r="F202" i="4" s="1"/>
  <c r="H202" i="4" s="1"/>
  <c r="AM22" i="4"/>
  <c r="F201" i="4" s="1"/>
  <c r="H201" i="4" s="1"/>
  <c r="AM21" i="4"/>
  <c r="F200" i="4" s="1"/>
  <c r="H200" i="4" s="1"/>
  <c r="AM20" i="4"/>
  <c r="F199" i="4" s="1"/>
  <c r="H199" i="4" s="1"/>
  <c r="AM19" i="4"/>
  <c r="F198" i="4" s="1"/>
  <c r="H198" i="4" s="1"/>
  <c r="AM18" i="4"/>
  <c r="F197" i="4" s="1"/>
  <c r="H197" i="4" s="1"/>
  <c r="AM17" i="4"/>
  <c r="AM16" i="4"/>
  <c r="AM15" i="4"/>
  <c r="AM14" i="4"/>
  <c r="AM13" i="4"/>
  <c r="AI27" i="4"/>
  <c r="F196" i="4" s="1"/>
  <c r="H196" i="4" s="1"/>
  <c r="AI26" i="4"/>
  <c r="F195" i="4" s="1"/>
  <c r="H195" i="4" s="1"/>
  <c r="AI25" i="4"/>
  <c r="F194" i="4" s="1"/>
  <c r="H194" i="4" s="1"/>
  <c r="AI24" i="4"/>
  <c r="F193" i="4" s="1"/>
  <c r="H193" i="4" s="1"/>
  <c r="AI23" i="4"/>
  <c r="F192" i="4" s="1"/>
  <c r="H192" i="4" s="1"/>
  <c r="AI22" i="4"/>
  <c r="F191" i="4" s="1"/>
  <c r="H191" i="4" s="1"/>
  <c r="AI21" i="4"/>
  <c r="F190" i="4" s="1"/>
  <c r="H190" i="4" s="1"/>
  <c r="AI20" i="4"/>
  <c r="F189" i="4" s="1"/>
  <c r="J189" i="4" s="1"/>
  <c r="AI19" i="4"/>
  <c r="F188" i="4" s="1"/>
  <c r="H188" i="4" s="1"/>
  <c r="AI18" i="4"/>
  <c r="F187" i="4" s="1"/>
  <c r="H187" i="4" s="1"/>
  <c r="AI17" i="4"/>
  <c r="AI16" i="4"/>
  <c r="AI15" i="4"/>
  <c r="AI14" i="4"/>
  <c r="AI13" i="4"/>
  <c r="AE27" i="4"/>
  <c r="F186" i="4" s="1"/>
  <c r="H186" i="4" s="1"/>
  <c r="AE26" i="4"/>
  <c r="F185" i="4" s="1"/>
  <c r="H185" i="4" s="1"/>
  <c r="AE25" i="4"/>
  <c r="F184" i="4" s="1"/>
  <c r="H184" i="4" s="1"/>
  <c r="AE24" i="4"/>
  <c r="F183" i="4" s="1"/>
  <c r="J183" i="4" s="1"/>
  <c r="AE23" i="4"/>
  <c r="F182" i="4" s="1"/>
  <c r="H182" i="4" s="1"/>
  <c r="AE22" i="4"/>
  <c r="F181" i="4" s="1"/>
  <c r="H181" i="4" s="1"/>
  <c r="AE21" i="4"/>
  <c r="F180" i="4" s="1"/>
  <c r="J180" i="4" s="1"/>
  <c r="AE20" i="4"/>
  <c r="F179" i="4" s="1"/>
  <c r="H179" i="4" s="1"/>
  <c r="AE19" i="4"/>
  <c r="F178" i="4" s="1"/>
  <c r="H178" i="4" s="1"/>
  <c r="AE18" i="4"/>
  <c r="F177" i="4" s="1"/>
  <c r="J177" i="4" s="1"/>
  <c r="AE17" i="4"/>
  <c r="AE16" i="4"/>
  <c r="AE15" i="4"/>
  <c r="AE14" i="4"/>
  <c r="AE13" i="4"/>
  <c r="AA27" i="4"/>
  <c r="F176" i="4" s="1"/>
  <c r="H176" i="4" s="1"/>
  <c r="AA26" i="4"/>
  <c r="F175" i="4" s="1"/>
  <c r="J175" i="4" s="1"/>
  <c r="AA25" i="4"/>
  <c r="F174" i="4" s="1"/>
  <c r="H174" i="4" s="1"/>
  <c r="AA24" i="4"/>
  <c r="F173" i="4" s="1"/>
  <c r="H173" i="4" s="1"/>
  <c r="AA23" i="4"/>
  <c r="F172" i="4" s="1"/>
  <c r="H172" i="4" s="1"/>
  <c r="AA22" i="4"/>
  <c r="F171" i="4" s="1"/>
  <c r="H171" i="4" s="1"/>
  <c r="AA21" i="4"/>
  <c r="F170" i="4" s="1"/>
  <c r="H170" i="4" s="1"/>
  <c r="AA20" i="4"/>
  <c r="F169" i="4" s="1"/>
  <c r="H169" i="4" s="1"/>
  <c r="AA19" i="4"/>
  <c r="F168" i="4" s="1"/>
  <c r="J168" i="4" s="1"/>
  <c r="AA18" i="4"/>
  <c r="AA17" i="4"/>
  <c r="AA16" i="4"/>
  <c r="AA15" i="4"/>
  <c r="AA14" i="4"/>
  <c r="AA13" i="4"/>
  <c r="W13" i="4"/>
  <c r="W27" i="4"/>
  <c r="F166" i="4" s="1"/>
  <c r="J166" i="4" s="1"/>
  <c r="W26" i="4"/>
  <c r="F165" i="4" s="1"/>
  <c r="H165" i="4" s="1"/>
  <c r="W25" i="4"/>
  <c r="F164" i="4" s="1"/>
  <c r="H164" i="4" s="1"/>
  <c r="W24" i="4"/>
  <c r="F163" i="4" s="1"/>
  <c r="J163" i="4" s="1"/>
  <c r="W23" i="4"/>
  <c r="F162" i="4" s="1"/>
  <c r="H162" i="4" s="1"/>
  <c r="W22" i="4"/>
  <c r="F161" i="4" s="1"/>
  <c r="J161" i="4" s="1"/>
  <c r="W21" i="4"/>
  <c r="F160" i="4" s="1"/>
  <c r="J160" i="4" s="1"/>
  <c r="W20" i="4"/>
  <c r="F159" i="4" s="1"/>
  <c r="H159" i="4" s="1"/>
  <c r="W19" i="4"/>
  <c r="F158" i="4" s="1"/>
  <c r="J158" i="4" s="1"/>
  <c r="W18" i="4"/>
  <c r="F157" i="4" s="1"/>
  <c r="H157" i="4" s="1"/>
  <c r="W17" i="4"/>
  <c r="W16" i="4"/>
  <c r="W15" i="4"/>
  <c r="W14" i="4"/>
  <c r="S27" i="4"/>
  <c r="F156" i="4" s="1"/>
  <c r="J156" i="4" s="1"/>
  <c r="S26" i="4"/>
  <c r="F155" i="4" s="1"/>
  <c r="H155" i="4" s="1"/>
  <c r="S25" i="4"/>
  <c r="F154" i="4" s="1"/>
  <c r="J154" i="4" s="1"/>
  <c r="S24" i="4"/>
  <c r="F153" i="4" s="1"/>
  <c r="H153" i="4" s="1"/>
  <c r="S23" i="4"/>
  <c r="F152" i="4" s="1"/>
  <c r="J152" i="4" s="1"/>
  <c r="S22" i="4"/>
  <c r="F151" i="4" s="1"/>
  <c r="H151" i="4" s="1"/>
  <c r="S21" i="4"/>
  <c r="F150" i="4" s="1"/>
  <c r="J150" i="4" s="1"/>
  <c r="S20" i="4"/>
  <c r="F149" i="4" s="1"/>
  <c r="H149" i="4" s="1"/>
  <c r="S19" i="4"/>
  <c r="F148" i="4" s="1"/>
  <c r="J148" i="4" s="1"/>
  <c r="S18" i="4"/>
  <c r="F147" i="4" s="1"/>
  <c r="H147" i="4" s="1"/>
  <c r="S17" i="4"/>
  <c r="S16" i="4"/>
  <c r="S15" i="4"/>
  <c r="S14" i="4"/>
  <c r="S13" i="4"/>
  <c r="O27" i="4"/>
  <c r="F146" i="4" s="1"/>
  <c r="H146" i="4" s="1"/>
  <c r="O26" i="4"/>
  <c r="F145" i="4" s="1"/>
  <c r="O25" i="4"/>
  <c r="F144" i="4" s="1"/>
  <c r="O24" i="4"/>
  <c r="F143" i="4" s="1"/>
  <c r="O23" i="4"/>
  <c r="F142" i="4" s="1"/>
  <c r="O22" i="4"/>
  <c r="F141" i="4" s="1"/>
  <c r="O21" i="4"/>
  <c r="F140" i="4" s="1"/>
  <c r="O20" i="4"/>
  <c r="F139" i="4" s="1"/>
  <c r="O19" i="4"/>
  <c r="F138" i="4" s="1"/>
  <c r="O18" i="4"/>
  <c r="F137" i="4" s="1"/>
  <c r="O17" i="4"/>
  <c r="O16" i="4"/>
  <c r="O15" i="4"/>
  <c r="O14" i="4"/>
  <c r="O13" i="4"/>
  <c r="K13" i="4"/>
  <c r="K27" i="4"/>
  <c r="F136" i="4" s="1"/>
  <c r="K26" i="4"/>
  <c r="F135" i="4" s="1"/>
  <c r="K25" i="4"/>
  <c r="F134" i="4" s="1"/>
  <c r="K24" i="4"/>
  <c r="F133" i="4" s="1"/>
  <c r="K23" i="4"/>
  <c r="F132" i="4" s="1"/>
  <c r="K22" i="4"/>
  <c r="F131" i="4" s="1"/>
  <c r="K21" i="4"/>
  <c r="F130" i="4" s="1"/>
  <c r="K20" i="4"/>
  <c r="F129" i="4" s="1"/>
  <c r="J129" i="4" s="1"/>
  <c r="K19" i="4"/>
  <c r="F128" i="4" s="1"/>
  <c r="K18" i="4"/>
  <c r="F127" i="4" s="1"/>
  <c r="K17" i="4"/>
  <c r="K16" i="4"/>
  <c r="K15" i="4"/>
  <c r="K14" i="4"/>
  <c r="E56" i="4"/>
  <c r="E57" i="4"/>
  <c r="E58" i="4"/>
  <c r="E59" i="4"/>
  <c r="E60" i="4"/>
  <c r="E61" i="4"/>
  <c r="E62" i="4"/>
  <c r="E63" i="4"/>
  <c r="E64" i="4"/>
  <c r="E65" i="4"/>
  <c r="G14" i="4"/>
  <c r="G15" i="4"/>
  <c r="G16" i="4"/>
  <c r="G17" i="4"/>
  <c r="G19" i="4"/>
  <c r="F118" i="4" s="1"/>
  <c r="H118" i="4" s="1"/>
  <c r="G20" i="4"/>
  <c r="F119" i="4" s="1"/>
  <c r="H119" i="4" s="1"/>
  <c r="G21" i="4"/>
  <c r="F120" i="4" s="1"/>
  <c r="H120" i="4" s="1"/>
  <c r="G22" i="4"/>
  <c r="F121" i="4" s="1"/>
  <c r="H121" i="4" s="1"/>
  <c r="G23" i="4"/>
  <c r="F122" i="4" s="1"/>
  <c r="H122" i="4" s="1"/>
  <c r="G24" i="4"/>
  <c r="F123" i="4" s="1"/>
  <c r="H123" i="4" s="1"/>
  <c r="G25" i="4"/>
  <c r="F124" i="4" s="1"/>
  <c r="H124" i="4" s="1"/>
  <c r="G26" i="4"/>
  <c r="G27" i="4"/>
  <c r="F126" i="4" s="1"/>
  <c r="H126" i="4" s="1"/>
  <c r="F210" i="4" l="1"/>
  <c r="H210" i="4" s="1"/>
  <c r="J132" i="4"/>
  <c r="H132" i="4"/>
  <c r="H133" i="4"/>
  <c r="J133" i="4"/>
  <c r="J139" i="4"/>
  <c r="H139" i="4"/>
  <c r="H143" i="4"/>
  <c r="J143" i="4"/>
  <c r="F125" i="4"/>
  <c r="H125" i="4" s="1"/>
  <c r="F167" i="4"/>
  <c r="H167" i="4" s="1"/>
  <c r="H128" i="4"/>
  <c r="J128" i="4"/>
  <c r="J138" i="4"/>
  <c r="H138" i="4"/>
  <c r="H130" i="4"/>
  <c r="J130" i="4"/>
  <c r="H134" i="4"/>
  <c r="J134" i="4"/>
  <c r="H140" i="4"/>
  <c r="J140" i="4"/>
  <c r="J144" i="4"/>
  <c r="H144" i="4"/>
  <c r="H129" i="4"/>
  <c r="H136" i="4"/>
  <c r="J136" i="4"/>
  <c r="J142" i="4"/>
  <c r="H142" i="4"/>
  <c r="J127" i="4"/>
  <c r="H127" i="4"/>
  <c r="H131" i="4"/>
  <c r="J131" i="4"/>
  <c r="J135" i="4"/>
  <c r="H135" i="4"/>
  <c r="J137" i="4"/>
  <c r="J141" i="4"/>
  <c r="H141" i="4"/>
  <c r="H145" i="4"/>
  <c r="J145" i="4"/>
  <c r="J14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178" i="4"/>
  <c r="J179" i="4"/>
  <c r="J181" i="4"/>
  <c r="J182" i="4"/>
  <c r="J184" i="4"/>
  <c r="J185" i="4"/>
  <c r="J186" i="4"/>
  <c r="J187" i="4"/>
  <c r="J188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6" i="4"/>
  <c r="H177" i="4"/>
  <c r="H180" i="4"/>
  <c r="H183" i="4"/>
  <c r="H189" i="4"/>
  <c r="H205" i="4"/>
  <c r="J147" i="4"/>
  <c r="J149" i="4"/>
  <c r="J151" i="4"/>
  <c r="J153" i="4"/>
  <c r="J155" i="4"/>
  <c r="J157" i="4"/>
  <c r="J159" i="4"/>
  <c r="J162" i="4"/>
  <c r="J164" i="4"/>
  <c r="J165" i="4"/>
  <c r="J167" i="4"/>
  <c r="J169" i="4"/>
  <c r="J170" i="4"/>
  <c r="J171" i="4"/>
  <c r="J172" i="4"/>
  <c r="J173" i="4"/>
  <c r="J174" i="4"/>
  <c r="J176" i="4"/>
  <c r="H148" i="4"/>
  <c r="H150" i="4"/>
  <c r="H152" i="4"/>
  <c r="H154" i="4"/>
  <c r="H156" i="4"/>
  <c r="H158" i="4"/>
  <c r="H160" i="4"/>
  <c r="H161" i="4"/>
  <c r="H163" i="4"/>
  <c r="H166" i="4"/>
  <c r="H168" i="4"/>
  <c r="H175" i="4"/>
  <c r="H137" i="4"/>
  <c r="J119" i="4"/>
  <c r="J120" i="4"/>
  <c r="J121" i="4"/>
  <c r="J122" i="4"/>
  <c r="J123" i="4"/>
  <c r="J124" i="4"/>
  <c r="J126" i="4"/>
  <c r="J125" i="4" l="1"/>
  <c r="B7" i="8" l="1"/>
  <c r="B6" i="8"/>
  <c r="BU56" i="4"/>
  <c r="BQ55" i="4"/>
  <c r="BQ56" i="4"/>
  <c r="BM55" i="4"/>
  <c r="BM56" i="4"/>
  <c r="BI55" i="4"/>
  <c r="BI56" i="4"/>
  <c r="BE55" i="4"/>
  <c r="BE56" i="4"/>
  <c r="BA55" i="4"/>
  <c r="BA56" i="4"/>
  <c r="AW55" i="4"/>
  <c r="AW56" i="4"/>
  <c r="AS55" i="4"/>
  <c r="AS56" i="4"/>
  <c r="AO55" i="4"/>
  <c r="AO56" i="4"/>
  <c r="AK55" i="4"/>
  <c r="AK56" i="4"/>
  <c r="AG55" i="4"/>
  <c r="AG56" i="4"/>
  <c r="AC56" i="4"/>
  <c r="Y55" i="4"/>
  <c r="Y56" i="4"/>
  <c r="U55" i="4"/>
  <c r="U56" i="4"/>
  <c r="Q55" i="4"/>
  <c r="Q56" i="4"/>
  <c r="Q57" i="4"/>
  <c r="M55" i="4"/>
  <c r="M56" i="4"/>
  <c r="I56" i="4"/>
  <c r="I57" i="4"/>
  <c r="BU57" i="4"/>
  <c r="BU65" i="4"/>
  <c r="BU64" i="4"/>
  <c r="BU63" i="4"/>
  <c r="BU62" i="4"/>
  <c r="BU61" i="4"/>
  <c r="BU60" i="4"/>
  <c r="BU59" i="4"/>
  <c r="BU58" i="4"/>
  <c r="BQ65" i="4"/>
  <c r="BQ64" i="4"/>
  <c r="BQ63" i="4"/>
  <c r="BQ62" i="4"/>
  <c r="BQ61" i="4"/>
  <c r="BQ60" i="4"/>
  <c r="BQ59" i="4"/>
  <c r="BQ58" i="4"/>
  <c r="BQ57" i="4"/>
  <c r="BM65" i="4"/>
  <c r="BM64" i="4"/>
  <c r="BM63" i="4"/>
  <c r="BM62" i="4"/>
  <c r="BM61" i="4"/>
  <c r="BM60" i="4"/>
  <c r="BM59" i="4"/>
  <c r="BM58" i="4"/>
  <c r="BM57" i="4"/>
  <c r="BI65" i="4"/>
  <c r="BI64" i="4"/>
  <c r="BI63" i="4"/>
  <c r="BI62" i="4"/>
  <c r="BI61" i="4"/>
  <c r="BI60" i="4"/>
  <c r="BI59" i="4"/>
  <c r="BI58" i="4"/>
  <c r="BI57" i="4"/>
  <c r="BE65" i="4"/>
  <c r="BE64" i="4"/>
  <c r="BE63" i="4"/>
  <c r="BE62" i="4"/>
  <c r="BE61" i="4"/>
  <c r="BE60" i="4"/>
  <c r="BE59" i="4"/>
  <c r="BE58" i="4"/>
  <c r="BE57" i="4"/>
  <c r="BA65" i="4"/>
  <c r="BA64" i="4"/>
  <c r="BA63" i="4"/>
  <c r="BA62" i="4"/>
  <c r="BA61" i="4"/>
  <c r="BA60" i="4"/>
  <c r="BA59" i="4"/>
  <c r="BA58" i="4"/>
  <c r="BA57" i="4"/>
  <c r="AW65" i="4"/>
  <c r="AW64" i="4"/>
  <c r="AW63" i="4"/>
  <c r="AW62" i="4"/>
  <c r="AW61" i="4"/>
  <c r="AW60" i="4"/>
  <c r="AW59" i="4"/>
  <c r="AW58" i="4"/>
  <c r="AW57" i="4"/>
  <c r="AS65" i="4"/>
  <c r="AS64" i="4"/>
  <c r="AS63" i="4"/>
  <c r="AS62" i="4"/>
  <c r="AS61" i="4"/>
  <c r="AS60" i="4"/>
  <c r="AS59" i="4"/>
  <c r="AS58" i="4"/>
  <c r="AS57" i="4"/>
  <c r="AO65" i="4"/>
  <c r="AO64" i="4"/>
  <c r="AO63" i="4"/>
  <c r="AO62" i="4"/>
  <c r="AO61" i="4"/>
  <c r="AO60" i="4"/>
  <c r="AO59" i="4"/>
  <c r="AO58" i="4"/>
  <c r="AO57" i="4"/>
  <c r="AK65" i="4"/>
  <c r="AK64" i="4"/>
  <c r="AK63" i="4"/>
  <c r="AK62" i="4"/>
  <c r="AK61" i="4"/>
  <c r="AK60" i="4"/>
  <c r="AK59" i="4"/>
  <c r="AK58" i="4"/>
  <c r="AK57" i="4"/>
  <c r="AG65" i="4"/>
  <c r="AG64" i="4"/>
  <c r="AG63" i="4"/>
  <c r="AG62" i="4"/>
  <c r="AG61" i="4"/>
  <c r="AG60" i="4"/>
  <c r="AG59" i="4"/>
  <c r="AG58" i="4"/>
  <c r="AG57" i="4"/>
  <c r="AC65" i="4"/>
  <c r="AC64" i="4"/>
  <c r="AC63" i="4"/>
  <c r="AC62" i="4"/>
  <c r="AC61" i="4"/>
  <c r="AC60" i="4"/>
  <c r="AC59" i="4"/>
  <c r="AC58" i="4"/>
  <c r="AC57" i="4"/>
  <c r="Y65" i="4"/>
  <c r="Y64" i="4"/>
  <c r="Y63" i="4"/>
  <c r="Y62" i="4"/>
  <c r="Y61" i="4"/>
  <c r="Y60" i="4"/>
  <c r="Y59" i="4"/>
  <c r="Y58" i="4"/>
  <c r="Y57" i="4"/>
  <c r="U65" i="4"/>
  <c r="U64" i="4"/>
  <c r="U63" i="4"/>
  <c r="U62" i="4"/>
  <c r="U61" i="4"/>
  <c r="U60" i="4"/>
  <c r="U59" i="4"/>
  <c r="U58" i="4"/>
  <c r="U57" i="4"/>
  <c r="Q65" i="4"/>
  <c r="Q64" i="4"/>
  <c r="Q63" i="4"/>
  <c r="Q62" i="4"/>
  <c r="Q61" i="4"/>
  <c r="Q60" i="4"/>
  <c r="Q59" i="4"/>
  <c r="Q58" i="4"/>
  <c r="M65" i="4"/>
  <c r="M64" i="4"/>
  <c r="M63" i="4"/>
  <c r="M62" i="4"/>
  <c r="M61" i="4"/>
  <c r="M60" i="4"/>
  <c r="M59" i="4"/>
  <c r="M58" i="4"/>
  <c r="M57" i="4"/>
  <c r="I65" i="4"/>
  <c r="I64" i="4"/>
  <c r="I63" i="4"/>
  <c r="I62" i="4"/>
  <c r="I61" i="4"/>
  <c r="I60" i="4"/>
  <c r="I59" i="4"/>
  <c r="I58" i="4"/>
  <c r="AB48" i="6"/>
  <c r="C4" i="4"/>
  <c r="E68" i="4"/>
  <c r="C6" i="8"/>
  <c r="S24" i="6"/>
  <c r="U23" i="6" a="1"/>
  <c r="U23" i="6" s="1"/>
  <c r="Q44" i="2" l="1"/>
  <c r="F6" i="8"/>
  <c r="F7" i="8" s="1"/>
  <c r="E6" i="8"/>
  <c r="E7" i="8" s="1"/>
  <c r="D6" i="8"/>
  <c r="D7" i="8" s="1"/>
  <c r="C7" i="8"/>
  <c r="AB52" i="6"/>
  <c r="AB53" i="6"/>
  <c r="X57" i="6"/>
  <c r="BU68" i="4"/>
  <c r="BQ68" i="4"/>
  <c r="BM68" i="4"/>
  <c r="BI68" i="4"/>
  <c r="BE68" i="4"/>
  <c r="BA68" i="4"/>
  <c r="AW68" i="4"/>
  <c r="AS68" i="4"/>
  <c r="AO68" i="4"/>
  <c r="AK68" i="4"/>
  <c r="AG68" i="4"/>
  <c r="AC68" i="4"/>
  <c r="Y68" i="4"/>
  <c r="U68" i="4"/>
  <c r="Q68" i="4"/>
  <c r="M68" i="4"/>
  <c r="G72" i="4" s="1" a="1"/>
  <c r="G72" i="4" s="1"/>
  <c r="H72" i="4" s="1"/>
  <c r="J99" i="4" s="1"/>
  <c r="I68" i="4"/>
  <c r="G73" i="4" s="1" a="1"/>
  <c r="G73" i="4" s="1"/>
  <c r="P23" i="7"/>
  <c r="AB51" i="6"/>
  <c r="AA52" i="6"/>
  <c r="G81" i="4" l="1" a="1"/>
  <c r="G81" i="4" s="1"/>
  <c r="G77" i="4" a="1"/>
  <c r="G77" i="4" s="1"/>
  <c r="G75" i="4" a="1"/>
  <c r="G75" i="4" s="1"/>
  <c r="H30" i="2"/>
  <c r="I30" i="2"/>
  <c r="Q43" i="2"/>
  <c r="G74" i="4" a="1"/>
  <c r="G74" i="4" s="1"/>
  <c r="H74" i="4" s="1"/>
  <c r="J101" i="4" s="1"/>
  <c r="H75" i="4"/>
  <c r="J102" i="4" s="1"/>
  <c r="G78" i="4" a="1"/>
  <c r="G78" i="4" s="1"/>
  <c r="H78" i="4" s="1"/>
  <c r="J105" i="4" s="1"/>
  <c r="G76" i="4" a="1"/>
  <c r="G76" i="4" s="1"/>
  <c r="H76" i="4" s="1"/>
  <c r="J103" i="4" s="1"/>
  <c r="H73" i="4"/>
  <c r="J100" i="4" s="1"/>
  <c r="G79" i="4" a="1"/>
  <c r="G79" i="4" s="1"/>
  <c r="H79" i="4" s="1"/>
  <c r="J106" i="4" s="1"/>
  <c r="H81" i="4"/>
  <c r="J108" i="4" s="1"/>
  <c r="G80" i="4" a="1"/>
  <c r="G80" i="4" s="1"/>
  <c r="H80" i="4" s="1"/>
  <c r="J107" i="4" s="1"/>
  <c r="H77" i="4"/>
  <c r="J104" i="4" s="1"/>
  <c r="BV68" i="4"/>
  <c r="K107" i="4" l="1"/>
  <c r="M107" i="4" s="1"/>
  <c r="L107" i="4"/>
  <c r="K103" i="4"/>
  <c r="M103" i="4" s="1"/>
  <c r="L103" i="4"/>
  <c r="K108" i="4"/>
  <c r="M108" i="4" s="1"/>
  <c r="L108" i="4"/>
  <c r="K105" i="4"/>
  <c r="M105" i="4" s="1"/>
  <c r="L105" i="4"/>
  <c r="K106" i="4"/>
  <c r="M106" i="4" s="1"/>
  <c r="L106" i="4"/>
  <c r="L99" i="4"/>
  <c r="K99" i="4"/>
  <c r="M99" i="4" s="1"/>
  <c r="K104" i="4"/>
  <c r="M104" i="4" s="1"/>
  <c r="L104" i="4"/>
  <c r="K101" i="4"/>
  <c r="M101" i="4" s="1"/>
  <c r="L101" i="4"/>
  <c r="K100" i="4"/>
  <c r="M100" i="4" s="1"/>
  <c r="L100" i="4"/>
  <c r="K102" i="4"/>
  <c r="M102" i="4" s="1"/>
  <c r="L102" i="4"/>
  <c r="U26" i="6" l="1"/>
  <c r="Q21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4" i="7"/>
  <c r="G30" i="7"/>
  <c r="V28" i="7"/>
  <c r="P21" i="7"/>
  <c r="I21" i="7"/>
  <c r="H21" i="7"/>
  <c r="G21" i="7"/>
  <c r="F21" i="7"/>
  <c r="E21" i="7"/>
  <c r="D21" i="7"/>
  <c r="C21" i="7"/>
  <c r="P20" i="7"/>
  <c r="I20" i="7"/>
  <c r="H20" i="7"/>
  <c r="G20" i="7"/>
  <c r="F20" i="7"/>
  <c r="E20" i="7"/>
  <c r="D20" i="7"/>
  <c r="C20" i="7"/>
  <c r="P19" i="7"/>
  <c r="I19" i="7"/>
  <c r="H19" i="7"/>
  <c r="G19" i="7"/>
  <c r="F19" i="7"/>
  <c r="E19" i="7"/>
  <c r="D19" i="7"/>
  <c r="C19" i="7"/>
  <c r="P18" i="7"/>
  <c r="I18" i="7"/>
  <c r="H18" i="7"/>
  <c r="G18" i="7"/>
  <c r="F18" i="7"/>
  <c r="E18" i="7"/>
  <c r="D18" i="7"/>
  <c r="C18" i="7"/>
  <c r="P17" i="7"/>
  <c r="I17" i="7"/>
  <c r="H17" i="7"/>
  <c r="G17" i="7"/>
  <c r="F17" i="7"/>
  <c r="E17" i="7"/>
  <c r="D17" i="7"/>
  <c r="C17" i="7"/>
  <c r="P16" i="7"/>
  <c r="I16" i="7"/>
  <c r="H16" i="7"/>
  <c r="G16" i="7"/>
  <c r="F16" i="7"/>
  <c r="E16" i="7"/>
  <c r="D16" i="7"/>
  <c r="C16" i="7"/>
  <c r="P15" i="7"/>
  <c r="I15" i="7"/>
  <c r="H15" i="7"/>
  <c r="G15" i="7"/>
  <c r="F15" i="7"/>
  <c r="E15" i="7"/>
  <c r="D15" i="7"/>
  <c r="C15" i="7"/>
  <c r="P14" i="7"/>
  <c r="I14" i="7"/>
  <c r="H14" i="7"/>
  <c r="G14" i="7"/>
  <c r="F14" i="7"/>
  <c r="E14" i="7"/>
  <c r="D14" i="7"/>
  <c r="C14" i="7"/>
  <c r="P13" i="7"/>
  <c r="I13" i="7"/>
  <c r="H13" i="7"/>
  <c r="G13" i="7"/>
  <c r="F13" i="7"/>
  <c r="E13" i="7"/>
  <c r="D13" i="7"/>
  <c r="C13" i="7"/>
  <c r="P12" i="7"/>
  <c r="I12" i="7"/>
  <c r="H12" i="7"/>
  <c r="G12" i="7"/>
  <c r="F12" i="7"/>
  <c r="E12" i="7"/>
  <c r="D12" i="7"/>
  <c r="C12" i="7"/>
  <c r="P11" i="7"/>
  <c r="I11" i="7"/>
  <c r="H11" i="7"/>
  <c r="G11" i="7"/>
  <c r="F11" i="7"/>
  <c r="E11" i="7"/>
  <c r="D11" i="7"/>
  <c r="C11" i="7"/>
  <c r="P10" i="7"/>
  <c r="I10" i="7"/>
  <c r="H10" i="7"/>
  <c r="G10" i="7"/>
  <c r="F10" i="7"/>
  <c r="E10" i="7"/>
  <c r="D10" i="7"/>
  <c r="C10" i="7"/>
  <c r="P9" i="7"/>
  <c r="I9" i="7"/>
  <c r="H9" i="7"/>
  <c r="G9" i="7"/>
  <c r="F9" i="7"/>
  <c r="E9" i="7"/>
  <c r="D9" i="7"/>
  <c r="C9" i="7"/>
  <c r="P8" i="7"/>
  <c r="I8" i="7"/>
  <c r="H8" i="7"/>
  <c r="G8" i="7"/>
  <c r="F8" i="7"/>
  <c r="E8" i="7"/>
  <c r="D8" i="7"/>
  <c r="C8" i="7"/>
  <c r="P7" i="7"/>
  <c r="I7" i="7"/>
  <c r="H7" i="7"/>
  <c r="G7" i="7"/>
  <c r="F7" i="7"/>
  <c r="E7" i="7"/>
  <c r="D7" i="7"/>
  <c r="C7" i="7"/>
  <c r="P6" i="7"/>
  <c r="I6" i="7"/>
  <c r="H6" i="7"/>
  <c r="G6" i="7"/>
  <c r="F6" i="7"/>
  <c r="E6" i="7"/>
  <c r="D6" i="7"/>
  <c r="C6" i="7"/>
  <c r="P5" i="7"/>
  <c r="I5" i="7"/>
  <c r="H5" i="7"/>
  <c r="G5" i="7"/>
  <c r="F5" i="7"/>
  <c r="E5" i="7"/>
  <c r="D5" i="7"/>
  <c r="C5" i="7"/>
  <c r="P4" i="7"/>
  <c r="I4" i="7"/>
  <c r="H4" i="7"/>
  <c r="M30" i="7" s="1"/>
  <c r="G4" i="7"/>
  <c r="F4" i="7"/>
  <c r="E4" i="7"/>
  <c r="D4" i="7"/>
  <c r="J4" i="7" s="1"/>
  <c r="C4" i="7"/>
  <c r="Y19" i="5"/>
  <c r="Y18" i="5"/>
  <c r="AB50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29" i="6"/>
  <c r="R6" i="7" l="1" a="1"/>
  <c r="R6" i="7" s="1"/>
  <c r="R11" i="7" a="1"/>
  <c r="R11" i="7" s="1"/>
  <c r="R14" i="7" a="1"/>
  <c r="R14" i="7" s="1"/>
  <c r="R19" i="7" a="1"/>
  <c r="R19" i="7" s="1"/>
  <c r="R9" i="7" a="1"/>
  <c r="R9" i="7" s="1"/>
  <c r="R12" i="7" a="1"/>
  <c r="R12" i="7" s="1"/>
  <c r="R17" i="7" a="1"/>
  <c r="R17" i="7" s="1"/>
  <c r="R20" i="7" a="1"/>
  <c r="R20" i="7" s="1"/>
  <c r="R18" i="7" a="1"/>
  <c r="R18" i="7" s="1"/>
  <c r="R7" i="7" a="1"/>
  <c r="R7" i="7" s="1"/>
  <c r="R5" i="7" a="1"/>
  <c r="R5" i="7" s="1"/>
  <c r="R8" i="7" a="1"/>
  <c r="R8" i="7" s="1"/>
  <c r="R13" i="7" a="1"/>
  <c r="R13" i="7" s="1"/>
  <c r="R16" i="7" a="1"/>
  <c r="R16" i="7" s="1"/>
  <c r="R21" i="7" a="1"/>
  <c r="R21" i="7" s="1"/>
  <c r="R10" i="7" a="1"/>
  <c r="R10" i="7" s="1"/>
  <c r="R15" i="7" a="1"/>
  <c r="R15" i="7" s="1"/>
  <c r="R4" i="5"/>
  <c r="N5" i="7"/>
  <c r="N9" i="7"/>
  <c r="M9" i="7" s="1"/>
  <c r="N13" i="7"/>
  <c r="M13" i="7" s="1"/>
  <c r="N17" i="7"/>
  <c r="M17" i="7" s="1"/>
  <c r="N19" i="7"/>
  <c r="M19" i="7" s="1"/>
  <c r="N20" i="7"/>
  <c r="M20" i="7" s="1"/>
  <c r="N21" i="7"/>
  <c r="O21" i="7" s="1"/>
  <c r="J6" i="7"/>
  <c r="S6" i="7" s="1"/>
  <c r="J8" i="7"/>
  <c r="S8" i="7" s="1"/>
  <c r="T8" i="7" s="1"/>
  <c r="J9" i="7"/>
  <c r="S9" i="7" s="1"/>
  <c r="T9" i="7" s="1"/>
  <c r="J11" i="7"/>
  <c r="S11" i="7" s="1"/>
  <c r="T11" i="7" s="1"/>
  <c r="J12" i="7"/>
  <c r="S12" i="7" s="1"/>
  <c r="J15" i="7"/>
  <c r="S15" i="7" s="1"/>
  <c r="J16" i="7"/>
  <c r="S16" i="7" s="1"/>
  <c r="J21" i="7"/>
  <c r="S21" i="7" s="1"/>
  <c r="J5" i="7"/>
  <c r="S5" i="7" s="1"/>
  <c r="J10" i="7"/>
  <c r="S10" i="7" s="1"/>
  <c r="T10" i="7" s="1"/>
  <c r="J14" i="7"/>
  <c r="S14" i="7" s="1"/>
  <c r="N6" i="7"/>
  <c r="O6" i="7" s="1"/>
  <c r="N11" i="7"/>
  <c r="O11" i="7" s="1"/>
  <c r="J19" i="7"/>
  <c r="S19" i="7" s="1"/>
  <c r="T19" i="7" s="1"/>
  <c r="J13" i="7"/>
  <c r="S13" i="7" s="1"/>
  <c r="N7" i="7"/>
  <c r="M7" i="7" s="1"/>
  <c r="N10" i="7"/>
  <c r="L10" i="7" s="1"/>
  <c r="N12" i="7"/>
  <c r="O12" i="7" s="1"/>
  <c r="N14" i="7"/>
  <c r="N16" i="7"/>
  <c r="L16" i="7" s="1"/>
  <c r="J17" i="7"/>
  <c r="S17" i="7" s="1"/>
  <c r="J18" i="7"/>
  <c r="S18" i="7" s="1"/>
  <c r="N18" i="7"/>
  <c r="O18" i="7" s="1"/>
  <c r="M5" i="7"/>
  <c r="O5" i="7"/>
  <c r="L19" i="7"/>
  <c r="O20" i="7"/>
  <c r="J7" i="7"/>
  <c r="S7" i="7" s="1"/>
  <c r="N8" i="7"/>
  <c r="N15" i="7"/>
  <c r="O19" i="7"/>
  <c r="J20" i="7"/>
  <c r="S20" i="7" s="1"/>
  <c r="T20" i="7" s="1"/>
  <c r="H30" i="7"/>
  <c r="J30" i="7" s="1"/>
  <c r="N4" i="7"/>
  <c r="I30" i="7"/>
  <c r="L30" i="7" s="1"/>
  <c r="T5" i="7" l="1"/>
  <c r="O7" i="7"/>
  <c r="O13" i="7"/>
  <c r="M11" i="7"/>
  <c r="T17" i="7"/>
  <c r="M21" i="7"/>
  <c r="T7" i="7"/>
  <c r="T12" i="7"/>
  <c r="U12" i="7" s="1"/>
  <c r="L21" i="7"/>
  <c r="T16" i="7"/>
  <c r="M12" i="7"/>
  <c r="T14" i="7"/>
  <c r="T13" i="7"/>
  <c r="T6" i="7"/>
  <c r="L17" i="7"/>
  <c r="L11" i="7"/>
  <c r="L5" i="7"/>
  <c r="T18" i="7"/>
  <c r="T21" i="7"/>
  <c r="U21" i="7" s="1"/>
  <c r="L9" i="7"/>
  <c r="L13" i="7"/>
  <c r="O9" i="7"/>
  <c r="T15" i="7"/>
  <c r="O17" i="7"/>
  <c r="O4" i="7"/>
  <c r="L4" i="7"/>
  <c r="M4" i="7"/>
  <c r="M10" i="7"/>
  <c r="U16" i="7"/>
  <c r="L6" i="7"/>
  <c r="O10" i="7"/>
  <c r="M6" i="7"/>
  <c r="L14" i="7"/>
  <c r="L18" i="7"/>
  <c r="M14" i="7"/>
  <c r="M18" i="7"/>
  <c r="O14" i="7"/>
  <c r="L20" i="7"/>
  <c r="L12" i="7"/>
  <c r="L7" i="7"/>
  <c r="M16" i="7"/>
  <c r="O16" i="7"/>
  <c r="Y17" i="7"/>
  <c r="Y13" i="7"/>
  <c r="Y9" i="7"/>
  <c r="Y5" i="7"/>
  <c r="Y19" i="7"/>
  <c r="Y16" i="7"/>
  <c r="Y18" i="7"/>
  <c r="Y15" i="7"/>
  <c r="Y7" i="7"/>
  <c r="Y20" i="7"/>
  <c r="Y11" i="7"/>
  <c r="Y6" i="7"/>
  <c r="Y10" i="7"/>
  <c r="Y8" i="7"/>
  <c r="Y21" i="7"/>
  <c r="Y14" i="7"/>
  <c r="Y12" i="7"/>
  <c r="O8" i="7"/>
  <c r="M8" i="7"/>
  <c r="L8" i="7"/>
  <c r="O15" i="7"/>
  <c r="M15" i="7"/>
  <c r="L15" i="7"/>
  <c r="U15" i="7" l="1"/>
  <c r="U5" i="7"/>
  <c r="U14" i="7"/>
  <c r="U18" i="7"/>
  <c r="U13" i="7"/>
  <c r="U17" i="7"/>
  <c r="U10" i="7"/>
  <c r="U6" i="7"/>
  <c r="U8" i="7"/>
  <c r="U9" i="7"/>
  <c r="U7" i="7"/>
  <c r="U11" i="7"/>
  <c r="U19" i="7"/>
  <c r="U20" i="7"/>
  <c r="V12" i="7" l="1"/>
  <c r="V13" i="7"/>
  <c r="V17" i="7"/>
  <c r="V8" i="7"/>
  <c r="V16" i="7"/>
  <c r="V20" i="7"/>
  <c r="V15" i="7"/>
  <c r="V5" i="7"/>
  <c r="V9" i="7"/>
  <c r="V14" i="7"/>
  <c r="V19" i="7"/>
  <c r="V6" i="7"/>
  <c r="V7" i="7"/>
  <c r="V10" i="7"/>
  <c r="V21" i="7"/>
  <c r="V11" i="7"/>
  <c r="V18" i="7"/>
  <c r="J4" i="2"/>
  <c r="U4" i="2" s="1"/>
  <c r="U5" i="2"/>
  <c r="U8" i="2"/>
  <c r="U9" i="2"/>
  <c r="U12" i="2"/>
  <c r="U13" i="2"/>
  <c r="U16" i="2"/>
  <c r="U17" i="2"/>
  <c r="U20" i="2"/>
  <c r="U21" i="2"/>
  <c r="C5" i="5"/>
  <c r="D5" i="5"/>
  <c r="E5" i="5"/>
  <c r="F5" i="5"/>
  <c r="G5" i="5"/>
  <c r="H5" i="5"/>
  <c r="I5" i="5"/>
  <c r="C6" i="5"/>
  <c r="D6" i="5"/>
  <c r="E6" i="5"/>
  <c r="F6" i="5"/>
  <c r="G6" i="5"/>
  <c r="H6" i="5"/>
  <c r="I6" i="5"/>
  <c r="C7" i="5"/>
  <c r="D7" i="5"/>
  <c r="E7" i="5"/>
  <c r="F7" i="5"/>
  <c r="G7" i="5"/>
  <c r="H7" i="5"/>
  <c r="I7" i="5"/>
  <c r="C8" i="5"/>
  <c r="D8" i="5"/>
  <c r="E8" i="5"/>
  <c r="F8" i="5"/>
  <c r="G8" i="5"/>
  <c r="H8" i="5"/>
  <c r="I8" i="5"/>
  <c r="C9" i="5"/>
  <c r="D9" i="5"/>
  <c r="E9" i="5"/>
  <c r="F9" i="5"/>
  <c r="G9" i="5"/>
  <c r="H9" i="5"/>
  <c r="I9" i="5"/>
  <c r="C10" i="5"/>
  <c r="D10" i="5"/>
  <c r="E10" i="5"/>
  <c r="F10" i="5"/>
  <c r="G10" i="5"/>
  <c r="H10" i="5"/>
  <c r="I10" i="5"/>
  <c r="C11" i="5"/>
  <c r="D11" i="5"/>
  <c r="E11" i="5"/>
  <c r="F11" i="5"/>
  <c r="G11" i="5"/>
  <c r="H11" i="5"/>
  <c r="I11" i="5"/>
  <c r="C12" i="5"/>
  <c r="D12" i="5"/>
  <c r="E12" i="5"/>
  <c r="F12" i="5"/>
  <c r="G12" i="5"/>
  <c r="H12" i="5"/>
  <c r="N12" i="5" s="1"/>
  <c r="I12" i="5"/>
  <c r="C13" i="5"/>
  <c r="D13" i="5"/>
  <c r="E13" i="5"/>
  <c r="F13" i="5"/>
  <c r="G13" i="5"/>
  <c r="H13" i="5"/>
  <c r="I13" i="5"/>
  <c r="C14" i="5"/>
  <c r="D14" i="5"/>
  <c r="E14" i="5"/>
  <c r="F14" i="5"/>
  <c r="G14" i="5"/>
  <c r="H14" i="5"/>
  <c r="I14" i="5"/>
  <c r="C15" i="5"/>
  <c r="D15" i="5"/>
  <c r="E15" i="5"/>
  <c r="F15" i="5"/>
  <c r="G15" i="5"/>
  <c r="H15" i="5"/>
  <c r="I15" i="5"/>
  <c r="C16" i="5"/>
  <c r="D16" i="5"/>
  <c r="E16" i="5"/>
  <c r="F16" i="5"/>
  <c r="G16" i="5"/>
  <c r="H16" i="5"/>
  <c r="I16" i="5"/>
  <c r="C17" i="5"/>
  <c r="D17" i="5"/>
  <c r="E17" i="5"/>
  <c r="F17" i="5"/>
  <c r="G17" i="5"/>
  <c r="H17" i="5"/>
  <c r="I17" i="5"/>
  <c r="C18" i="5"/>
  <c r="D18" i="5"/>
  <c r="E18" i="5"/>
  <c r="F18" i="5"/>
  <c r="G18" i="5"/>
  <c r="H18" i="5"/>
  <c r="I18" i="5"/>
  <c r="C19" i="5"/>
  <c r="D19" i="5"/>
  <c r="E19" i="5"/>
  <c r="F19" i="5"/>
  <c r="G19" i="5"/>
  <c r="H19" i="5"/>
  <c r="I19" i="5"/>
  <c r="C20" i="5"/>
  <c r="D20" i="5"/>
  <c r="E20" i="5"/>
  <c r="F20" i="5"/>
  <c r="G20" i="5"/>
  <c r="H20" i="5"/>
  <c r="I20" i="5"/>
  <c r="C21" i="5"/>
  <c r="D21" i="5"/>
  <c r="E21" i="5"/>
  <c r="F21" i="5"/>
  <c r="G21" i="5"/>
  <c r="H21" i="5"/>
  <c r="I21" i="5"/>
  <c r="D4" i="5"/>
  <c r="J4" i="5" s="1"/>
  <c r="E4" i="5"/>
  <c r="F4" i="5"/>
  <c r="G4" i="5"/>
  <c r="H4" i="5"/>
  <c r="I4" i="5"/>
  <c r="C4" i="5"/>
  <c r="J5" i="2"/>
  <c r="J6" i="2"/>
  <c r="U6" i="2" s="1"/>
  <c r="J7" i="2"/>
  <c r="U7" i="2" s="1"/>
  <c r="J8" i="2"/>
  <c r="J9" i="2"/>
  <c r="J10" i="2"/>
  <c r="U10" i="2" s="1"/>
  <c r="J11" i="2"/>
  <c r="U11" i="2" s="1"/>
  <c r="J12" i="2"/>
  <c r="J13" i="2"/>
  <c r="J14" i="2"/>
  <c r="U14" i="2" s="1"/>
  <c r="J15" i="2"/>
  <c r="U15" i="2" s="1"/>
  <c r="J16" i="2"/>
  <c r="J17" i="2"/>
  <c r="J18" i="2"/>
  <c r="U18" i="2" s="1"/>
  <c r="J19" i="2"/>
  <c r="U19" i="2" s="1"/>
  <c r="J20" i="2"/>
  <c r="J21" i="2"/>
  <c r="J30" i="2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4" i="5"/>
  <c r="N15" i="5" l="1"/>
  <c r="O15" i="5" s="1"/>
  <c r="N11" i="5"/>
  <c r="O11" i="5" s="1"/>
  <c r="N7" i="5"/>
  <c r="M7" i="5" s="1"/>
  <c r="N4" i="5"/>
  <c r="M4" i="5" s="1"/>
  <c r="Q22" i="5" a="1"/>
  <c r="Q22" i="5" s="1"/>
  <c r="N19" i="5"/>
  <c r="O19" i="5" s="1"/>
  <c r="N10" i="5"/>
  <c r="O10" i="5" s="1"/>
  <c r="Z4" i="7"/>
  <c r="X4" i="7"/>
  <c r="AA4" i="7" s="1"/>
  <c r="M12" i="5"/>
  <c r="O12" i="5"/>
  <c r="O7" i="5"/>
  <c r="W15" i="7"/>
  <c r="Z15" i="7" s="1"/>
  <c r="X15" i="7"/>
  <c r="AA15" i="7" s="1"/>
  <c r="J21" i="5"/>
  <c r="J17" i="5"/>
  <c r="N16" i="5"/>
  <c r="J13" i="5"/>
  <c r="J9" i="5"/>
  <c r="N8" i="5"/>
  <c r="J5" i="5"/>
  <c r="L5" i="5" s="1"/>
  <c r="X10" i="7"/>
  <c r="AA10" i="7" s="1"/>
  <c r="W10" i="7"/>
  <c r="Z10" i="7" s="1"/>
  <c r="W14" i="7"/>
  <c r="Z14" i="7" s="1"/>
  <c r="X14" i="7"/>
  <c r="AA14" i="7" s="1"/>
  <c r="W20" i="7"/>
  <c r="Z20" i="7" s="1"/>
  <c r="X20" i="7"/>
  <c r="AA20" i="7" s="1"/>
  <c r="X13" i="7"/>
  <c r="AA13" i="7" s="1"/>
  <c r="W13" i="7"/>
  <c r="Z13" i="7" s="1"/>
  <c r="X21" i="7"/>
  <c r="AA21" i="7" s="1"/>
  <c r="W21" i="7"/>
  <c r="Z21" i="7" s="1"/>
  <c r="X17" i="7"/>
  <c r="AA17" i="7" s="1"/>
  <c r="W17" i="7"/>
  <c r="Z17" i="7" s="1"/>
  <c r="N20" i="5"/>
  <c r="N21" i="5"/>
  <c r="L21" i="5" s="1"/>
  <c r="J18" i="5"/>
  <c r="N17" i="5"/>
  <c r="J14" i="5"/>
  <c r="N13" i="5"/>
  <c r="J10" i="5"/>
  <c r="L10" i="5" s="1"/>
  <c r="N9" i="5"/>
  <c r="J6" i="5"/>
  <c r="N5" i="5"/>
  <c r="W18" i="7"/>
  <c r="Z18" i="7" s="1"/>
  <c r="X18" i="7"/>
  <c r="AA18" i="7" s="1"/>
  <c r="X7" i="7"/>
  <c r="AA7" i="7" s="1"/>
  <c r="W7" i="7"/>
  <c r="Z7" i="7" s="1"/>
  <c r="X9" i="7"/>
  <c r="AA9" i="7" s="1"/>
  <c r="W9" i="7"/>
  <c r="Z9" i="7" s="1"/>
  <c r="W16" i="7"/>
  <c r="Z16" i="7" s="1"/>
  <c r="X16" i="7"/>
  <c r="AA16" i="7" s="1"/>
  <c r="W12" i="7"/>
  <c r="Z12" i="7" s="1"/>
  <c r="X12" i="7"/>
  <c r="AA12" i="7" s="1"/>
  <c r="W19" i="7"/>
  <c r="Z19" i="7" s="1"/>
  <c r="X19" i="7"/>
  <c r="AA19" i="7" s="1"/>
  <c r="N18" i="5"/>
  <c r="O18" i="5" s="1"/>
  <c r="N14" i="5"/>
  <c r="O14" i="5" s="1"/>
  <c r="N6" i="5"/>
  <c r="O6" i="5" s="1"/>
  <c r="W11" i="7"/>
  <c r="Z11" i="7" s="1"/>
  <c r="X11" i="7"/>
  <c r="AA11" i="7" s="1"/>
  <c r="W6" i="7"/>
  <c r="Z6" i="7" s="1"/>
  <c r="X6" i="7"/>
  <c r="AA6" i="7" s="1"/>
  <c r="X5" i="7"/>
  <c r="AA5" i="7" s="1"/>
  <c r="W5" i="7"/>
  <c r="Z5" i="7" s="1"/>
  <c r="X8" i="7"/>
  <c r="AA8" i="7" s="1"/>
  <c r="W8" i="7"/>
  <c r="Z8" i="7" s="1"/>
  <c r="M10" i="5"/>
  <c r="M11" i="5"/>
  <c r="J19" i="5"/>
  <c r="J15" i="5"/>
  <c r="L15" i="5" s="1"/>
  <c r="J11" i="5"/>
  <c r="L11" i="5" s="1"/>
  <c r="J7" i="5"/>
  <c r="J20" i="5"/>
  <c r="L20" i="5" s="1"/>
  <c r="J16" i="5"/>
  <c r="J12" i="5"/>
  <c r="L12" i="5" s="1"/>
  <c r="J8" i="5"/>
  <c r="V26" i="6"/>
  <c r="W26" i="6"/>
  <c r="X26" i="6"/>
  <c r="Y26" i="6"/>
  <c r="X23" i="6" a="1"/>
  <c r="X23" i="6" s="1"/>
  <c r="W23" i="6" a="1"/>
  <c r="W23" i="6" s="1"/>
  <c r="V23" i="6" a="1"/>
  <c r="V23" i="6" s="1"/>
  <c r="AF2" i="6"/>
  <c r="L7" i="5" l="1"/>
  <c r="M14" i="5"/>
  <c r="L4" i="5"/>
  <c r="L16" i="5"/>
  <c r="L18" i="5"/>
  <c r="L14" i="5"/>
  <c r="M18" i="5"/>
  <c r="O4" i="5"/>
  <c r="L17" i="5"/>
  <c r="L9" i="5"/>
  <c r="U4" i="5"/>
  <c r="S4" i="5"/>
  <c r="T4" i="5"/>
  <c r="L19" i="5"/>
  <c r="M15" i="5"/>
  <c r="M19" i="5"/>
  <c r="L6" i="5"/>
  <c r="M13" i="5"/>
  <c r="O13" i="5"/>
  <c r="M8" i="5"/>
  <c r="O8" i="5"/>
  <c r="M20" i="5"/>
  <c r="O20" i="5"/>
  <c r="M5" i="5"/>
  <c r="O5" i="5"/>
  <c r="L8" i="5"/>
  <c r="L13" i="5"/>
  <c r="M6" i="5"/>
  <c r="M9" i="5"/>
  <c r="O9" i="5"/>
  <c r="M17" i="5"/>
  <c r="O17" i="5"/>
  <c r="M21" i="5"/>
  <c r="O21" i="5"/>
  <c r="M16" i="5"/>
  <c r="O16" i="5"/>
  <c r="Y23" i="6" a="1"/>
  <c r="Y23" i="6" s="1"/>
  <c r="Y24" i="6" s="1"/>
  <c r="X24" i="6"/>
  <c r="AF3" i="6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M30" i="5"/>
  <c r="G30" i="5"/>
  <c r="I30" i="5" s="1"/>
  <c r="L30" i="5" s="1"/>
  <c r="V28" i="5"/>
  <c r="AB28" i="2"/>
  <c r="U5" i="5" l="1"/>
  <c r="U13" i="5"/>
  <c r="U9" i="5"/>
  <c r="H30" i="5"/>
  <c r="J30" i="5" s="1"/>
  <c r="R5" i="5" l="1"/>
  <c r="R6" i="5" s="1"/>
  <c r="R7" i="5" s="1"/>
  <c r="R8" i="5" s="1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W4" i="5"/>
  <c r="V4" i="5"/>
  <c r="U11" i="5"/>
  <c r="U8" i="5"/>
  <c r="U21" i="5"/>
  <c r="U6" i="5"/>
  <c r="U15" i="5"/>
  <c r="U10" i="5"/>
  <c r="U12" i="5"/>
  <c r="U14" i="5"/>
  <c r="U19" i="5"/>
  <c r="U16" i="5"/>
  <c r="U18" i="5"/>
  <c r="U7" i="5"/>
  <c r="U17" i="5"/>
  <c r="U20" i="5"/>
  <c r="S17" i="5" l="1"/>
  <c r="V17" i="5" s="1"/>
  <c r="T21" i="5"/>
  <c r="W21" i="5" s="1"/>
  <c r="S21" i="5"/>
  <c r="V21" i="5" s="1"/>
  <c r="C5" i="4"/>
  <c r="C6" i="4"/>
  <c r="C7" i="4"/>
  <c r="C8" i="4"/>
  <c r="C9" i="4"/>
  <c r="C10" i="4"/>
  <c r="C11" i="4"/>
  <c r="C12" i="4"/>
  <c r="C13" i="4"/>
  <c r="C14" i="4"/>
  <c r="C15" i="4"/>
  <c r="E15" i="4" s="1"/>
  <c r="C16" i="4"/>
  <c r="C17" i="4"/>
  <c r="C18" i="4"/>
  <c r="C19" i="4"/>
  <c r="C20" i="4"/>
  <c r="C21" i="4"/>
  <c r="C22" i="4"/>
  <c r="Y22" i="4" s="1"/>
  <c r="C23" i="4"/>
  <c r="E23" i="4" s="1"/>
  <c r="C24" i="4"/>
  <c r="C25" i="4"/>
  <c r="C26" i="4"/>
  <c r="C27" i="4"/>
  <c r="BU13" i="4" l="1"/>
  <c r="BM13" i="4"/>
  <c r="BE13" i="4"/>
  <c r="AW13" i="4"/>
  <c r="AO13" i="4"/>
  <c r="AG13" i="4"/>
  <c r="Y13" i="4"/>
  <c r="Q13" i="4"/>
  <c r="I13" i="4"/>
  <c r="BQ13" i="4"/>
  <c r="BI13" i="4"/>
  <c r="BA13" i="4"/>
  <c r="AS13" i="4"/>
  <c r="AK13" i="4"/>
  <c r="AC13" i="4"/>
  <c r="U13" i="4"/>
  <c r="M13" i="4"/>
  <c r="BQ14" i="4"/>
  <c r="BI14" i="4"/>
  <c r="BA14" i="4"/>
  <c r="AS14" i="4"/>
  <c r="AK14" i="4"/>
  <c r="AC14" i="4"/>
  <c r="U14" i="4"/>
  <c r="M14" i="4"/>
  <c r="M30" i="4" s="1"/>
  <c r="BU14" i="4"/>
  <c r="BU30" i="4" s="1"/>
  <c r="BM14" i="4"/>
  <c r="BE14" i="4"/>
  <c r="AW14" i="4"/>
  <c r="AO14" i="4"/>
  <c r="AG14" i="4"/>
  <c r="Y14" i="4"/>
  <c r="Q14" i="4"/>
  <c r="I14" i="4"/>
  <c r="E14" i="4"/>
  <c r="BM19" i="4"/>
  <c r="BQ19" i="4"/>
  <c r="BM15" i="4"/>
  <c r="BA15" i="4"/>
  <c r="AG15" i="4"/>
  <c r="Y15" i="4"/>
  <c r="U15" i="4"/>
  <c r="I15" i="4"/>
  <c r="BQ15" i="4"/>
  <c r="AW15" i="4"/>
  <c r="BI15" i="4"/>
  <c r="BE15" i="4"/>
  <c r="AK15" i="4"/>
  <c r="AS15" i="4"/>
  <c r="AC15" i="4"/>
  <c r="Q15" i="4"/>
  <c r="M15" i="4"/>
  <c r="BU15" i="4"/>
  <c r="AO15" i="4"/>
  <c r="BI18" i="4"/>
  <c r="BU18" i="4"/>
  <c r="BQ18" i="4"/>
  <c r="AW18" i="4"/>
  <c r="AS18" i="4"/>
  <c r="BM18" i="4"/>
  <c r="BE17" i="4"/>
  <c r="AK17" i="4"/>
  <c r="BU17" i="4"/>
  <c r="BQ17" i="4"/>
  <c r="AW17" i="4"/>
  <c r="AS17" i="4"/>
  <c r="E17" i="4"/>
  <c r="BI17" i="4"/>
  <c r="BM17" i="4"/>
  <c r="BA17" i="4"/>
  <c r="BU16" i="4"/>
  <c r="BQ16" i="4"/>
  <c r="AW16" i="4"/>
  <c r="AS16" i="4"/>
  <c r="AO16" i="4"/>
  <c r="Q16" i="4"/>
  <c r="BM16" i="4"/>
  <c r="BA16" i="4"/>
  <c r="AG16" i="4"/>
  <c r="Y16" i="4"/>
  <c r="U16" i="4"/>
  <c r="I16" i="4"/>
  <c r="AC16" i="4"/>
  <c r="M16" i="4"/>
  <c r="BI16" i="4"/>
  <c r="BE16" i="4"/>
  <c r="AK16" i="4"/>
  <c r="E16" i="4"/>
  <c r="E31" i="4" s="1"/>
  <c r="E27" i="4"/>
  <c r="I27" i="4"/>
  <c r="BM25" i="4"/>
  <c r="AW25" i="4"/>
  <c r="AG25" i="4"/>
  <c r="Q25" i="4"/>
  <c r="I25" i="4"/>
  <c r="E25" i="4"/>
  <c r="BA25" i="4"/>
  <c r="AK25" i="4"/>
  <c r="U25" i="4"/>
  <c r="BQ25" i="4"/>
  <c r="BE25" i="4"/>
  <c r="AO25" i="4"/>
  <c r="Y25" i="4"/>
  <c r="BU25" i="4"/>
  <c r="M25" i="4"/>
  <c r="BI25" i="4"/>
  <c r="AC25" i="4"/>
  <c r="AS25" i="4"/>
  <c r="AG17" i="4"/>
  <c r="Q17" i="4"/>
  <c r="I17" i="4"/>
  <c r="U17" i="4"/>
  <c r="AO17" i="4"/>
  <c r="Y17" i="4"/>
  <c r="M17" i="4"/>
  <c r="AC17" i="4"/>
  <c r="BU20" i="4"/>
  <c r="BI20" i="4"/>
  <c r="AS20" i="4"/>
  <c r="AC20" i="4"/>
  <c r="M20" i="4"/>
  <c r="E20" i="4"/>
  <c r="BM20" i="4"/>
  <c r="AW20" i="4"/>
  <c r="AG20" i="4"/>
  <c r="Q20" i="4"/>
  <c r="BQ20" i="4"/>
  <c r="BA20" i="4"/>
  <c r="AK20" i="4"/>
  <c r="U20" i="4"/>
  <c r="AO20" i="4"/>
  <c r="I20" i="4"/>
  <c r="Y20" i="4"/>
  <c r="BE20" i="4"/>
  <c r="BQ27" i="4"/>
  <c r="BE27" i="4"/>
  <c r="AO27" i="4"/>
  <c r="Y27" i="4"/>
  <c r="BU27" i="4"/>
  <c r="BI27" i="4"/>
  <c r="AS27" i="4"/>
  <c r="AC27" i="4"/>
  <c r="M27" i="4"/>
  <c r="BM27" i="4"/>
  <c r="AW27" i="4"/>
  <c r="AG27" i="4"/>
  <c r="Q27" i="4"/>
  <c r="BA27" i="4"/>
  <c r="AK27" i="4"/>
  <c r="U27" i="4"/>
  <c r="BE23" i="4"/>
  <c r="AO23" i="4"/>
  <c r="Y23" i="4"/>
  <c r="BU23" i="4"/>
  <c r="BI23" i="4"/>
  <c r="AS23" i="4"/>
  <c r="AC23" i="4"/>
  <c r="M23" i="4"/>
  <c r="BQ23" i="4"/>
  <c r="BM23" i="4"/>
  <c r="AW23" i="4"/>
  <c r="AW39" i="4" s="1"/>
  <c r="AG23" i="4"/>
  <c r="Q23" i="4"/>
  <c r="I23" i="4"/>
  <c r="AK23" i="4"/>
  <c r="U23" i="4"/>
  <c r="BA23" i="4"/>
  <c r="BE19" i="4"/>
  <c r="AO19" i="4"/>
  <c r="Y19" i="4"/>
  <c r="BU19" i="4"/>
  <c r="BI19" i="4"/>
  <c r="AS19" i="4"/>
  <c r="AC19" i="4"/>
  <c r="M19" i="4"/>
  <c r="AW19" i="4"/>
  <c r="AG19" i="4"/>
  <c r="Q19" i="4"/>
  <c r="I19" i="4"/>
  <c r="U19" i="4"/>
  <c r="BA19" i="4"/>
  <c r="AK19" i="4"/>
  <c r="E19" i="4"/>
  <c r="BM21" i="4"/>
  <c r="AW21" i="4"/>
  <c r="AG21" i="4"/>
  <c r="Q21" i="4"/>
  <c r="I21" i="4"/>
  <c r="BQ21" i="4"/>
  <c r="BA21" i="4"/>
  <c r="AK21" i="4"/>
  <c r="U21" i="4"/>
  <c r="BE21" i="4"/>
  <c r="AO21" i="4"/>
  <c r="Y21" i="4"/>
  <c r="BU21" i="4"/>
  <c r="BI21" i="4"/>
  <c r="AC21" i="4"/>
  <c r="M21" i="4"/>
  <c r="AS21" i="4"/>
  <c r="BU24" i="4"/>
  <c r="BI24" i="4"/>
  <c r="AS24" i="4"/>
  <c r="AC24" i="4"/>
  <c r="M24" i="4"/>
  <c r="BM24" i="4"/>
  <c r="AW24" i="4"/>
  <c r="AG24" i="4"/>
  <c r="Q24" i="4"/>
  <c r="BQ24" i="4"/>
  <c r="BA24" i="4"/>
  <c r="AK24" i="4"/>
  <c r="U24" i="4"/>
  <c r="E24" i="4"/>
  <c r="Y24" i="4"/>
  <c r="I24" i="4"/>
  <c r="AO24" i="4"/>
  <c r="BE24" i="4"/>
  <c r="BA26" i="4"/>
  <c r="AK26" i="4"/>
  <c r="U26" i="4"/>
  <c r="BQ26" i="4"/>
  <c r="BE26" i="4"/>
  <c r="AO26" i="4"/>
  <c r="Y26" i="4"/>
  <c r="I26" i="4"/>
  <c r="E26" i="4"/>
  <c r="BU26" i="4"/>
  <c r="BI26" i="4"/>
  <c r="AS26" i="4"/>
  <c r="AC26" i="4"/>
  <c r="M26" i="4"/>
  <c r="BM26" i="4"/>
  <c r="AW26" i="4"/>
  <c r="Q26" i="4"/>
  <c r="AG26" i="4"/>
  <c r="BQ22" i="4"/>
  <c r="BA22" i="4"/>
  <c r="AK22" i="4"/>
  <c r="U22" i="4"/>
  <c r="BE22" i="4"/>
  <c r="AO22" i="4"/>
  <c r="I22" i="4"/>
  <c r="BU22" i="4"/>
  <c r="BI22" i="4"/>
  <c r="AS22" i="4"/>
  <c r="AC22" i="4"/>
  <c r="M22" i="4"/>
  <c r="E22" i="4"/>
  <c r="AW22" i="4"/>
  <c r="Q22" i="4"/>
  <c r="AG22" i="4"/>
  <c r="BM22" i="4"/>
  <c r="BA18" i="4"/>
  <c r="AK18" i="4"/>
  <c r="U18" i="4"/>
  <c r="BE18" i="4"/>
  <c r="AO18" i="4"/>
  <c r="Y18" i="4"/>
  <c r="I18" i="4"/>
  <c r="E18" i="4"/>
  <c r="AC18" i="4"/>
  <c r="M18" i="4"/>
  <c r="AG18" i="4"/>
  <c r="Q18" i="4"/>
  <c r="T17" i="5"/>
  <c r="W17" i="5" s="1"/>
  <c r="S18" i="5"/>
  <c r="V18" i="5" s="1"/>
  <c r="T18" i="5"/>
  <c r="W18" i="5" s="1"/>
  <c r="S14" i="5"/>
  <c r="V14" i="5" s="1"/>
  <c r="T14" i="5"/>
  <c r="W14" i="5" s="1"/>
  <c r="S10" i="5"/>
  <c r="V10" i="5" s="1"/>
  <c r="T10" i="5"/>
  <c r="W10" i="5" s="1"/>
  <c r="S6" i="5"/>
  <c r="V6" i="5" s="1"/>
  <c r="T6" i="5"/>
  <c r="W6" i="5" s="1"/>
  <c r="T9" i="5"/>
  <c r="W9" i="5" s="1"/>
  <c r="S9" i="5"/>
  <c r="V9" i="5" s="1"/>
  <c r="S20" i="5"/>
  <c r="V20" i="5" s="1"/>
  <c r="T20" i="5"/>
  <c r="W20" i="5" s="1"/>
  <c r="S16" i="5"/>
  <c r="V16" i="5" s="1"/>
  <c r="T16" i="5"/>
  <c r="W16" i="5" s="1"/>
  <c r="S12" i="5"/>
  <c r="V12" i="5" s="1"/>
  <c r="T12" i="5"/>
  <c r="W12" i="5" s="1"/>
  <c r="T13" i="5"/>
  <c r="W13" i="5" s="1"/>
  <c r="S13" i="5"/>
  <c r="V13" i="5" s="1"/>
  <c r="T19" i="5"/>
  <c r="W19" i="5" s="1"/>
  <c r="S19" i="5"/>
  <c r="V19" i="5" s="1"/>
  <c r="T8" i="5"/>
  <c r="W8" i="5" s="1"/>
  <c r="S8" i="5"/>
  <c r="V8" i="5" s="1"/>
  <c r="T15" i="5"/>
  <c r="W15" i="5" s="1"/>
  <c r="S15" i="5"/>
  <c r="V15" i="5" s="1"/>
  <c r="S11" i="5"/>
  <c r="V11" i="5" s="1"/>
  <c r="T11" i="5"/>
  <c r="W11" i="5" s="1"/>
  <c r="T7" i="5"/>
  <c r="W7" i="5" s="1"/>
  <c r="S7" i="5"/>
  <c r="V7" i="5" s="1"/>
  <c r="T5" i="5"/>
  <c r="W5" i="5" s="1"/>
  <c r="S5" i="5"/>
  <c r="V5" i="5" s="1"/>
  <c r="M39" i="4" l="1"/>
  <c r="I30" i="4"/>
  <c r="AW30" i="4"/>
  <c r="M29" i="4"/>
  <c r="I29" i="4"/>
  <c r="I39" i="4"/>
  <c r="AW29" i="4"/>
  <c r="BU39" i="4"/>
  <c r="BU29" i="4"/>
  <c r="E30" i="4"/>
  <c r="BU38" i="4"/>
  <c r="BU36" i="4"/>
  <c r="AS30" i="4"/>
  <c r="AS29" i="4"/>
  <c r="BU34" i="4"/>
  <c r="BU37" i="4"/>
  <c r="AS31" i="4"/>
  <c r="BU35" i="4"/>
  <c r="BU32" i="4"/>
  <c r="BU33" i="4"/>
  <c r="E28" i="4"/>
  <c r="BE34" i="4"/>
  <c r="BA37" i="4"/>
  <c r="AK35" i="4"/>
  <c r="I32" i="4"/>
  <c r="BA32" i="4"/>
  <c r="I34" i="4"/>
  <c r="AC38" i="4"/>
  <c r="Y38" i="4"/>
  <c r="I37" i="4"/>
  <c r="I36" i="4"/>
  <c r="Y32" i="4"/>
  <c r="Q32" i="4"/>
  <c r="AG34" i="4"/>
  <c r="AG38" i="4"/>
  <c r="M38" i="4"/>
  <c r="Y34" i="4"/>
  <c r="Q38" i="4"/>
  <c r="I38" i="4"/>
  <c r="BM37" i="4"/>
  <c r="AO34" i="4"/>
  <c r="AW38" i="4"/>
  <c r="AS38" i="4"/>
  <c r="AO38" i="4"/>
  <c r="AO37" i="4"/>
  <c r="I35" i="4"/>
  <c r="M35" i="4"/>
  <c r="I33" i="4"/>
  <c r="BI34" i="4"/>
  <c r="I31" i="4"/>
  <c r="BU28" i="4"/>
  <c r="BU31" i="4"/>
  <c r="BQ28" i="4"/>
  <c r="BQ39" i="4"/>
  <c r="BQ36" i="4"/>
  <c r="BQ38" i="4"/>
  <c r="BQ37" i="4"/>
  <c r="BQ34" i="4"/>
  <c r="BQ35" i="4"/>
  <c r="BQ32" i="4"/>
  <c r="BQ33" i="4"/>
  <c r="BQ30" i="4"/>
  <c r="BQ29" i="4"/>
  <c r="BQ31" i="4"/>
  <c r="BM28" i="4"/>
  <c r="BM39" i="4"/>
  <c r="BM34" i="4"/>
  <c r="BM35" i="4"/>
  <c r="BM36" i="4"/>
  <c r="BM38" i="4"/>
  <c r="BM31" i="4"/>
  <c r="BM30" i="4"/>
  <c r="BM29" i="4"/>
  <c r="BM32" i="4"/>
  <c r="BM33" i="4"/>
  <c r="BI28" i="4"/>
  <c r="BI39" i="4"/>
  <c r="BI38" i="4"/>
  <c r="BI37" i="4"/>
  <c r="BI36" i="4"/>
  <c r="BI30" i="4"/>
  <c r="BI29" i="4"/>
  <c r="BI31" i="4"/>
  <c r="BI32" i="4"/>
  <c r="BI35" i="4"/>
  <c r="BI33" i="4"/>
  <c r="BE31" i="4"/>
  <c r="BE30" i="4"/>
  <c r="BE29" i="4"/>
  <c r="BE38" i="4"/>
  <c r="BE37" i="4"/>
  <c r="BE36" i="4"/>
  <c r="BE32" i="4"/>
  <c r="BE28" i="4"/>
  <c r="BE39" i="4"/>
  <c r="BE33" i="4"/>
  <c r="BE35" i="4"/>
  <c r="BA36" i="4"/>
  <c r="BA34" i="4"/>
  <c r="BA38" i="4"/>
  <c r="BA28" i="4"/>
  <c r="BA39" i="4"/>
  <c r="BA30" i="4"/>
  <c r="BA29" i="4"/>
  <c r="BA31" i="4"/>
  <c r="BA33" i="4"/>
  <c r="BA35" i="4"/>
  <c r="AW34" i="4"/>
  <c r="AW37" i="4"/>
  <c r="AW28" i="4"/>
  <c r="AW32" i="4"/>
  <c r="AW33" i="4"/>
  <c r="AW31" i="4"/>
  <c r="AW35" i="4"/>
  <c r="AW36" i="4"/>
  <c r="AS34" i="4"/>
  <c r="AS32" i="4"/>
  <c r="AS33" i="4"/>
  <c r="AS35" i="4"/>
  <c r="AS36" i="4"/>
  <c r="AS37" i="4"/>
  <c r="AS28" i="4"/>
  <c r="AS39" i="4"/>
  <c r="AO36" i="4"/>
  <c r="AO32" i="4"/>
  <c r="AO31" i="4"/>
  <c r="AO30" i="4"/>
  <c r="AO29" i="4"/>
  <c r="AO35" i="4"/>
  <c r="AO33" i="4"/>
  <c r="AO39" i="4"/>
  <c r="AK37" i="4"/>
  <c r="AK32" i="4"/>
  <c r="AK33" i="4"/>
  <c r="AK39" i="4"/>
  <c r="AK36" i="4"/>
  <c r="AK34" i="4"/>
  <c r="AK38" i="4"/>
  <c r="AK29" i="4"/>
  <c r="AK31" i="4"/>
  <c r="AK30" i="4"/>
  <c r="AG32" i="4"/>
  <c r="AG37" i="4"/>
  <c r="AG39" i="4"/>
  <c r="AG35" i="4"/>
  <c r="AG33" i="4"/>
  <c r="AG36" i="4"/>
  <c r="AG30" i="4"/>
  <c r="AG29" i="4"/>
  <c r="AG31" i="4"/>
  <c r="AC36" i="4"/>
  <c r="AC33" i="4"/>
  <c r="AC34" i="4"/>
  <c r="AC37" i="4"/>
  <c r="AC32" i="4"/>
  <c r="AC35" i="4"/>
  <c r="AC31" i="4"/>
  <c r="AC30" i="4"/>
  <c r="AC29" i="4"/>
  <c r="AC39" i="4"/>
  <c r="Y37" i="4"/>
  <c r="Y35" i="4"/>
  <c r="Y33" i="4"/>
  <c r="Y39" i="4"/>
  <c r="Y36" i="4"/>
  <c r="Y29" i="4"/>
  <c r="Y30" i="4"/>
  <c r="Y31" i="4"/>
  <c r="U37" i="4"/>
  <c r="U35" i="4"/>
  <c r="U33" i="4"/>
  <c r="U39" i="4"/>
  <c r="U36" i="4"/>
  <c r="U30" i="4"/>
  <c r="U29" i="4"/>
  <c r="U31" i="4"/>
  <c r="U34" i="4"/>
  <c r="U38" i="4"/>
  <c r="U32" i="4"/>
  <c r="Q37" i="4"/>
  <c r="Q39" i="4"/>
  <c r="Q29" i="4"/>
  <c r="Q31" i="4"/>
  <c r="Q30" i="4"/>
  <c r="Q34" i="4"/>
  <c r="Q35" i="4"/>
  <c r="Q36" i="4"/>
  <c r="Q33" i="4"/>
  <c r="M33" i="4"/>
  <c r="M36" i="4"/>
  <c r="M34" i="4"/>
  <c r="M37" i="4"/>
  <c r="M32" i="4"/>
  <c r="M31" i="4"/>
  <c r="E32" i="4"/>
  <c r="E35" i="4"/>
  <c r="E33" i="4"/>
  <c r="E34" i="4"/>
  <c r="E38" i="4"/>
  <c r="E36" i="4"/>
  <c r="E37" i="4"/>
  <c r="AG28" i="4"/>
  <c r="AK28" i="4"/>
  <c r="AC28" i="4"/>
  <c r="Y28" i="4"/>
  <c r="I28" i="4"/>
  <c r="AO28" i="4"/>
  <c r="M28" i="4"/>
  <c r="U28" i="4"/>
  <c r="Q28" i="4"/>
  <c r="L30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BX29" i="4" l="1"/>
  <c r="E42" i="4" s="1"/>
  <c r="T7" i="2" a="1"/>
  <c r="T7" i="2" s="1"/>
  <c r="T8" i="2" a="1"/>
  <c r="T8" i="2" s="1"/>
  <c r="T12" i="2" a="1"/>
  <c r="T12" i="2" s="1"/>
  <c r="T18" i="2" a="1"/>
  <c r="T18" i="2" s="1"/>
  <c r="T21" i="2" a="1"/>
  <c r="T21" i="2" s="1"/>
  <c r="T9" i="2" a="1"/>
  <c r="T9" i="2" s="1"/>
  <c r="T19" i="2" a="1"/>
  <c r="T19" i="2" s="1"/>
  <c r="T6" i="2" a="1"/>
  <c r="T6" i="2" s="1"/>
  <c r="T10" i="2" a="1"/>
  <c r="T10" i="2" s="1"/>
  <c r="T13" i="2" a="1"/>
  <c r="T13" i="2" s="1"/>
  <c r="T16" i="2" a="1"/>
  <c r="T16" i="2" s="1"/>
  <c r="T20" i="2" a="1"/>
  <c r="T20" i="2" s="1"/>
  <c r="T11" i="2" a="1"/>
  <c r="T11" i="2" s="1"/>
  <c r="T14" i="2" a="1"/>
  <c r="T14" i="2" s="1"/>
  <c r="T17" i="2" a="1"/>
  <c r="T17" i="2" s="1"/>
  <c r="T5" i="2" a="1"/>
  <c r="T5" i="2" s="1"/>
  <c r="T15" i="2" a="1"/>
  <c r="T15" i="2" s="1"/>
  <c r="T22" i="2" a="1"/>
  <c r="T22" i="2" s="1"/>
  <c r="T24" i="2" s="1"/>
  <c r="BX39" i="4"/>
  <c r="BX36" i="4"/>
  <c r="BM49" i="4" s="1"/>
  <c r="BX38" i="4"/>
  <c r="AO51" i="4" s="1"/>
  <c r="BX31" i="4"/>
  <c r="M44" i="4" s="1"/>
  <c r="BX33" i="4"/>
  <c r="U46" i="4" s="1"/>
  <c r="BX35" i="4"/>
  <c r="AC48" i="4" s="1"/>
  <c r="BX34" i="4"/>
  <c r="BU47" i="4" s="1"/>
  <c r="BX32" i="4"/>
  <c r="AW45" i="4" s="1"/>
  <c r="BX37" i="4"/>
  <c r="U50" i="4" s="1"/>
  <c r="BX30" i="4"/>
  <c r="E43" i="4" s="1"/>
  <c r="P21" i="2"/>
  <c r="M21" i="2" s="1"/>
  <c r="P20" i="2"/>
  <c r="M20" i="2" s="1"/>
  <c r="P19" i="2"/>
  <c r="M19" i="2" s="1"/>
  <c r="P18" i="2"/>
  <c r="M18" i="2" s="1"/>
  <c r="P17" i="2"/>
  <c r="M17" i="2" s="1"/>
  <c r="P16" i="2"/>
  <c r="M16" i="2" s="1"/>
  <c r="P15" i="2"/>
  <c r="M15" i="2" s="1"/>
  <c r="P14" i="2"/>
  <c r="M14" i="2" s="1"/>
  <c r="P13" i="2"/>
  <c r="M13" i="2" s="1"/>
  <c r="P12" i="2"/>
  <c r="M12" i="2" s="1"/>
  <c r="P11" i="2"/>
  <c r="M11" i="2" s="1"/>
  <c r="P10" i="2"/>
  <c r="M10" i="2" s="1"/>
  <c r="P9" i="2"/>
  <c r="M9" i="2" s="1"/>
  <c r="P8" i="2"/>
  <c r="M8" i="2" s="1"/>
  <c r="P7" i="2"/>
  <c r="M7" i="2" s="1"/>
  <c r="P6" i="2"/>
  <c r="M6" i="2" s="1"/>
  <c r="P5" i="2"/>
  <c r="I47" i="4" l="1"/>
  <c r="M42" i="4"/>
  <c r="I42" i="4"/>
  <c r="AA17" i="2"/>
  <c r="V17" i="2"/>
  <c r="AA16" i="2"/>
  <c r="V16" i="2"/>
  <c r="AA12" i="2"/>
  <c r="V12" i="2"/>
  <c r="M5" i="2"/>
  <c r="Q5" i="2"/>
  <c r="AA14" i="2"/>
  <c r="V14" i="2"/>
  <c r="AA9" i="2"/>
  <c r="V9" i="2"/>
  <c r="AA8" i="2"/>
  <c r="V8" i="2"/>
  <c r="AA15" i="2"/>
  <c r="V15" i="2"/>
  <c r="AA11" i="2"/>
  <c r="V11" i="2"/>
  <c r="AA10" i="2"/>
  <c r="V10" i="2"/>
  <c r="T23" i="2"/>
  <c r="AA21" i="2"/>
  <c r="V21" i="2"/>
  <c r="V4" i="2"/>
  <c r="W4" i="2" s="1"/>
  <c r="AA19" i="2"/>
  <c r="V19" i="2"/>
  <c r="AA13" i="2"/>
  <c r="V13" i="2"/>
  <c r="AA5" i="2"/>
  <c r="V5" i="2"/>
  <c r="V20" i="2"/>
  <c r="AA20" i="2"/>
  <c r="AA6" i="2"/>
  <c r="V6" i="2"/>
  <c r="AA18" i="2"/>
  <c r="V18" i="2"/>
  <c r="AA7" i="2"/>
  <c r="V7" i="2"/>
  <c r="BE49" i="4"/>
  <c r="AW49" i="4"/>
  <c r="BM51" i="4"/>
  <c r="AC49" i="4"/>
  <c r="BA49" i="4"/>
  <c r="U49" i="4"/>
  <c r="BI49" i="4"/>
  <c r="Q49" i="4"/>
  <c r="BQ51" i="4"/>
  <c r="Y47" i="4"/>
  <c r="I48" i="4"/>
  <c r="M51" i="4"/>
  <c r="Y51" i="4"/>
  <c r="AS51" i="4"/>
  <c r="BE51" i="4"/>
  <c r="BA51" i="4"/>
  <c r="Q51" i="4"/>
  <c r="I49" i="4"/>
  <c r="U44" i="4"/>
  <c r="AG44" i="4"/>
  <c r="AK44" i="4"/>
  <c r="AO44" i="4"/>
  <c r="BI44" i="4"/>
  <c r="M49" i="4"/>
  <c r="BU49" i="4"/>
  <c r="BQ49" i="4"/>
  <c r="AG49" i="4"/>
  <c r="I44" i="4"/>
  <c r="BM44" i="4"/>
  <c r="AS49" i="4"/>
  <c r="Y49" i="4"/>
  <c r="AK49" i="4"/>
  <c r="AO49" i="4"/>
  <c r="BQ44" i="4"/>
  <c r="AC44" i="4"/>
  <c r="AG46" i="4"/>
  <c r="AS45" i="4"/>
  <c r="BU46" i="4"/>
  <c r="Y45" i="4"/>
  <c r="AG48" i="4"/>
  <c r="AS48" i="4"/>
  <c r="U45" i="4"/>
  <c r="BI50" i="4"/>
  <c r="U51" i="4"/>
  <c r="AG51" i="4"/>
  <c r="BI51" i="4"/>
  <c r="I51" i="4"/>
  <c r="BU51" i="4"/>
  <c r="AK46" i="4"/>
  <c r="BM45" i="4"/>
  <c r="AK51" i="4"/>
  <c r="AC51" i="4"/>
  <c r="AW51" i="4"/>
  <c r="I46" i="4"/>
  <c r="AS50" i="4"/>
  <c r="M48" i="4"/>
  <c r="BE44" i="4"/>
  <c r="Q44" i="4"/>
  <c r="BU44" i="4"/>
  <c r="AS44" i="4"/>
  <c r="AO45" i="4"/>
  <c r="Q45" i="4"/>
  <c r="BQ48" i="4"/>
  <c r="Y44" i="4"/>
  <c r="BA44" i="4"/>
  <c r="AW44" i="4"/>
  <c r="M45" i="4"/>
  <c r="BA45" i="4"/>
  <c r="AK47" i="4"/>
  <c r="BM47" i="4"/>
  <c r="AO48" i="4"/>
  <c r="BM48" i="4"/>
  <c r="BI47" i="4"/>
  <c r="U48" i="4"/>
  <c r="AC46" i="4"/>
  <c r="AS46" i="4"/>
  <c r="Q47" i="4"/>
  <c r="AG47" i="4"/>
  <c r="Y50" i="4"/>
  <c r="AK50" i="4"/>
  <c r="AG50" i="4"/>
  <c r="BE50" i="4"/>
  <c r="BQ50" i="4"/>
  <c r="E47" i="4"/>
  <c r="Q46" i="4"/>
  <c r="AO46" i="4"/>
  <c r="BQ46" i="4"/>
  <c r="AC47" i="4"/>
  <c r="BE47" i="4"/>
  <c r="AW50" i="4"/>
  <c r="BM50" i="4"/>
  <c r="BM46" i="4"/>
  <c r="Y46" i="4"/>
  <c r="M46" i="4"/>
  <c r="BA46" i="4"/>
  <c r="U47" i="4"/>
  <c r="M47" i="4"/>
  <c r="BQ47" i="4"/>
  <c r="AO47" i="4"/>
  <c r="M50" i="4"/>
  <c r="AO50" i="4"/>
  <c r="AC50" i="4"/>
  <c r="BA50" i="4"/>
  <c r="AW46" i="4"/>
  <c r="BI46" i="4"/>
  <c r="BE46" i="4"/>
  <c r="BA47" i="4"/>
  <c r="AW47" i="4"/>
  <c r="AS47" i="4"/>
  <c r="Q50" i="4"/>
  <c r="I50" i="4"/>
  <c r="BU50" i="4"/>
  <c r="BE48" i="4"/>
  <c r="AK48" i="4"/>
  <c r="AW48" i="4"/>
  <c r="BA48" i="4"/>
  <c r="BI48" i="4"/>
  <c r="AC45" i="4"/>
  <c r="I45" i="4"/>
  <c r="AK45" i="4"/>
  <c r="BE45" i="4"/>
  <c r="E45" i="4"/>
  <c r="Y48" i="4"/>
  <c r="Q48" i="4"/>
  <c r="BU48" i="4"/>
  <c r="BI45" i="4"/>
  <c r="BU45" i="4"/>
  <c r="BQ45" i="4"/>
  <c r="AG45" i="4"/>
  <c r="BQ42" i="4"/>
  <c r="BA42" i="4"/>
  <c r="AK42" i="4"/>
  <c r="U42" i="4"/>
  <c r="BI42" i="4"/>
  <c r="AC42" i="4"/>
  <c r="BM42" i="4"/>
  <c r="BU42" i="4"/>
  <c r="BE42" i="4"/>
  <c r="AO42" i="4"/>
  <c r="Y42" i="4"/>
  <c r="AS42" i="4"/>
  <c r="Q42" i="4"/>
  <c r="AG42" i="4"/>
  <c r="AW42" i="4"/>
  <c r="BI52" i="4"/>
  <c r="AS52" i="4"/>
  <c r="AC52" i="4"/>
  <c r="M52" i="4"/>
  <c r="AK52" i="4"/>
  <c r="BU52" i="4"/>
  <c r="BM52" i="4"/>
  <c r="AW52" i="4"/>
  <c r="AG52" i="4"/>
  <c r="Q52" i="4"/>
  <c r="BQ52" i="4"/>
  <c r="BA52" i="4"/>
  <c r="U52" i="4"/>
  <c r="Y52" i="4"/>
  <c r="AO52" i="4"/>
  <c r="BE52" i="4"/>
  <c r="I52" i="4"/>
  <c r="BU43" i="4"/>
  <c r="BE43" i="4"/>
  <c r="AO43" i="4"/>
  <c r="Y43" i="4"/>
  <c r="I43" i="4"/>
  <c r="E73" i="4" s="1" a="1"/>
  <c r="E73" i="4" s="1"/>
  <c r="F73" i="4" s="1"/>
  <c r="F100" i="4" s="1"/>
  <c r="AW43" i="4"/>
  <c r="Q43" i="4"/>
  <c r="BI43" i="4"/>
  <c r="AS43" i="4"/>
  <c r="AC43" i="4"/>
  <c r="M43" i="4"/>
  <c r="BM43" i="4"/>
  <c r="AG43" i="4"/>
  <c r="BQ43" i="4"/>
  <c r="U43" i="4"/>
  <c r="AK43" i="4"/>
  <c r="BA43" i="4"/>
  <c r="E52" i="4"/>
  <c r="E44" i="4"/>
  <c r="E48" i="4"/>
  <c r="E78" i="4" s="1" a="1"/>
  <c r="E78" i="4" s="1"/>
  <c r="E49" i="4"/>
  <c r="E46" i="4"/>
  <c r="E50" i="4"/>
  <c r="E51" i="4"/>
  <c r="E81" i="4" s="1" a="1"/>
  <c r="E81" i="4" s="1"/>
  <c r="Q6" i="2"/>
  <c r="L6" i="2"/>
  <c r="Q10" i="2"/>
  <c r="L10" i="2"/>
  <c r="Q12" i="2"/>
  <c r="L12" i="2"/>
  <c r="Q14" i="2"/>
  <c r="L14" i="2"/>
  <c r="Q16" i="2"/>
  <c r="L16" i="2"/>
  <c r="Q18" i="2"/>
  <c r="L18" i="2"/>
  <c r="Q20" i="2"/>
  <c r="L20" i="2"/>
  <c r="L5" i="2"/>
  <c r="Q7" i="2"/>
  <c r="L7" i="2"/>
  <c r="Q8" i="2"/>
  <c r="L8" i="2"/>
  <c r="Q9" i="2"/>
  <c r="L9" i="2"/>
  <c r="Q11" i="2"/>
  <c r="L11" i="2"/>
  <c r="Q13" i="2"/>
  <c r="L13" i="2"/>
  <c r="Q15" i="2"/>
  <c r="L15" i="2"/>
  <c r="Q17" i="2"/>
  <c r="L17" i="2"/>
  <c r="Q19" i="2"/>
  <c r="L19" i="2"/>
  <c r="Q21" i="2"/>
  <c r="L21" i="2"/>
  <c r="E72" i="4" l="1" a="1"/>
  <c r="E72" i="4" s="1"/>
  <c r="F72" i="4" s="1"/>
  <c r="E80" i="4" a="1"/>
  <c r="E80" i="4" s="1"/>
  <c r="E77" i="4" a="1"/>
  <c r="E77" i="4" s="1"/>
  <c r="E76" i="4" a="1"/>
  <c r="E76" i="4" s="1"/>
  <c r="E74" i="4" a="1"/>
  <c r="E74" i="4" s="1"/>
  <c r="F74" i="4" s="1"/>
  <c r="F101" i="4" s="1"/>
  <c r="H101" i="4" s="1"/>
  <c r="E79" i="4" a="1"/>
  <c r="E79" i="4" s="1"/>
  <c r="E75" i="4" a="1"/>
  <c r="E75" i="4" s="1"/>
  <c r="F80" i="4"/>
  <c r="F107" i="4" s="1"/>
  <c r="H107" i="4" s="1"/>
  <c r="F76" i="4"/>
  <c r="F103" i="4" s="1"/>
  <c r="H103" i="4" s="1"/>
  <c r="F79" i="4"/>
  <c r="F106" i="4" s="1"/>
  <c r="H106" i="4" s="1"/>
  <c r="F77" i="4"/>
  <c r="F104" i="4" s="1"/>
  <c r="H104" i="4" s="1"/>
  <c r="F81" i="4"/>
  <c r="F78" i="4"/>
  <c r="F105" i="4" s="1"/>
  <c r="H105" i="4" s="1"/>
  <c r="F75" i="4"/>
  <c r="F102" i="4" s="1"/>
  <c r="H102" i="4" s="1"/>
  <c r="BX43" i="4"/>
  <c r="BX42" i="4"/>
  <c r="BX48" i="4"/>
  <c r="BX50" i="4"/>
  <c r="BX44" i="4"/>
  <c r="BX45" i="4"/>
  <c r="BX47" i="4"/>
  <c r="BX46" i="4"/>
  <c r="BX51" i="4"/>
  <c r="BX52" i="4"/>
  <c r="BX49" i="4"/>
  <c r="W8" i="2"/>
  <c r="W16" i="2"/>
  <c r="W14" i="2"/>
  <c r="W18" i="2"/>
  <c r="W9" i="2"/>
  <c r="W21" i="2"/>
  <c r="F99" i="4" l="1"/>
  <c r="I99" i="4" s="1"/>
  <c r="F108" i="4"/>
  <c r="G103" i="4"/>
  <c r="G102" i="4"/>
  <c r="G107" i="4"/>
  <c r="G104" i="4"/>
  <c r="G105" i="4"/>
  <c r="G106" i="4"/>
  <c r="G101" i="4"/>
  <c r="W6" i="2"/>
  <c r="W15" i="2"/>
  <c r="W12" i="2"/>
  <c r="W5" i="2"/>
  <c r="W11" i="2"/>
  <c r="W7" i="2"/>
  <c r="W13" i="2"/>
  <c r="W20" i="2"/>
  <c r="W19" i="2"/>
  <c r="W10" i="2"/>
  <c r="W17" i="2"/>
  <c r="H99" i="4" l="1"/>
  <c r="I106" i="4"/>
  <c r="I103" i="4"/>
  <c r="I104" i="4"/>
  <c r="I102" i="4"/>
  <c r="I101" i="4"/>
  <c r="I107" i="4"/>
  <c r="I105" i="4"/>
  <c r="X4" i="2"/>
  <c r="G108" i="4"/>
  <c r="H108" i="4"/>
  <c r="G100" i="4"/>
  <c r="H100" i="4"/>
  <c r="X9" i="2"/>
  <c r="X13" i="2"/>
  <c r="X6" i="2"/>
  <c r="X21" i="2"/>
  <c r="X7" i="2"/>
  <c r="X5" i="2"/>
  <c r="X11" i="2"/>
  <c r="X20" i="2"/>
  <c r="X8" i="2"/>
  <c r="X10" i="2"/>
  <c r="X18" i="2"/>
  <c r="X14" i="2"/>
  <c r="X16" i="2"/>
  <c r="X19" i="2"/>
  <c r="X12" i="2"/>
  <c r="X17" i="2"/>
  <c r="X15" i="2"/>
  <c r="I108" i="4" l="1"/>
  <c r="I100" i="4"/>
  <c r="Z4" i="2"/>
  <c r="AC4" i="2" s="1"/>
  <c r="Y19" i="2"/>
  <c r="AB19" i="2" s="1"/>
  <c r="Z19" i="2"/>
  <c r="AC19" i="2" s="1"/>
  <c r="Z15" i="2"/>
  <c r="AC15" i="2" s="1"/>
  <c r="Y15" i="2"/>
  <c r="AB15" i="2" s="1"/>
  <c r="Y8" i="2"/>
  <c r="AB8" i="2" s="1"/>
  <c r="Z8" i="2"/>
  <c r="AC8" i="2" s="1"/>
  <c r="Z7" i="2"/>
  <c r="AC7" i="2" s="1"/>
  <c r="Y7" i="2"/>
  <c r="AB7" i="2" s="1"/>
  <c r="Z9" i="2"/>
  <c r="AC9" i="2" s="1"/>
  <c r="Y9" i="2"/>
  <c r="AB9" i="2" s="1"/>
  <c r="Z5" i="2"/>
  <c r="AC5" i="2" s="1"/>
  <c r="Y5" i="2"/>
  <c r="AB5" i="2" s="1"/>
  <c r="Z16" i="2"/>
  <c r="AC16" i="2" s="1"/>
  <c r="Y16" i="2"/>
  <c r="AB16" i="2" s="1"/>
  <c r="Y14" i="2"/>
  <c r="AB14" i="2" s="1"/>
  <c r="Z14" i="2"/>
  <c r="AC14" i="2" s="1"/>
  <c r="Y20" i="2"/>
  <c r="AB20" i="2" s="1"/>
  <c r="Z20" i="2"/>
  <c r="AC20" i="2" s="1"/>
  <c r="Y21" i="2"/>
  <c r="AB21" i="2" s="1"/>
  <c r="Z21" i="2"/>
  <c r="AC21" i="2" s="1"/>
  <c r="Z10" i="2"/>
  <c r="AC10" i="2" s="1"/>
  <c r="Y10" i="2"/>
  <c r="AB10" i="2" s="1"/>
  <c r="Z13" i="2"/>
  <c r="AC13" i="2" s="1"/>
  <c r="Y13" i="2"/>
  <c r="AB13" i="2" s="1"/>
  <c r="Z17" i="2"/>
  <c r="AC17" i="2" s="1"/>
  <c r="Y17" i="2"/>
  <c r="AB17" i="2" s="1"/>
  <c r="Z12" i="2"/>
  <c r="AC12" i="2" s="1"/>
  <c r="Y12" i="2"/>
  <c r="AB12" i="2" s="1"/>
  <c r="Y18" i="2"/>
  <c r="AB18" i="2" s="1"/>
  <c r="Z18" i="2"/>
  <c r="AC18" i="2" s="1"/>
  <c r="Z11" i="2"/>
  <c r="AC11" i="2" s="1"/>
  <c r="Y11" i="2"/>
  <c r="AB11" i="2" s="1"/>
  <c r="Z6" i="2"/>
  <c r="AC6" i="2" s="1"/>
  <c r="Y6" i="2"/>
  <c r="AB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R1" authorId="0" shapeId="0" xr:uid="{2C9AA5F8-AA10-4D97-9BFA-093B8944B152}">
      <text>
        <r>
          <rPr>
            <b/>
            <sz val="9"/>
            <color indexed="81"/>
            <rFont val="Tahoma"/>
            <family val="2"/>
          </rPr>
          <t>produce hindcast predictions for the last ten years (2012-2021) based on the chosen model-averaging approach, and estimate the sample standard deviation from the sum of the squared errors of the log of the observed values minus the log of the predicted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0" shapeId="0" xr:uid="{9AE43819-BB67-4E93-A168-BA1643CC46E9}">
      <text>
        <r>
          <rPr>
            <b/>
            <sz val="9"/>
            <color indexed="81"/>
            <rFont val="Tahoma"/>
            <family val="2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 xr:uid="{91DB9121-768A-4D89-A9C0-8717D86F86CB}">
      <text>
        <r>
          <rPr>
            <b/>
            <sz val="9"/>
            <color indexed="81"/>
            <rFont val="Tahoma"/>
            <family val="2"/>
          </rPr>
          <t>derived from output of predict function in R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" authorId="0" shapeId="0" xr:uid="{F2EECF21-4B34-4B7C-8D7E-06C171BE3CCD}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N3" authorId="0" shapeId="0" xr:uid="{06BC3F3B-0CCD-4057-8F76-57B48DC34545}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" authorId="0" shapeId="0" xr:uid="{96D9376A-8CB0-4540-A1C1-D70A3BB332FE}">
      <text>
        <r>
          <rPr>
            <b/>
            <sz val="9"/>
            <color indexed="81"/>
            <rFont val="Tahoma"/>
            <family val="2"/>
          </rPr>
          <t xml:space="preserve">http://www.turkupetcentre.net/reports/tpcmod0016.pdf; should add to one; Turkheimer et al. 2003 and Buckland et al. 1997 equation 1; Buckland et al. 1997 (equation 9) or equation 6 in Dormann et al. 2018
</t>
        </r>
        <r>
          <rPr>
            <sz val="9"/>
            <color indexed="81"/>
            <rFont val="Tahoma"/>
            <family val="2"/>
          </rPr>
          <t xml:space="preserve">
pg. 162 in Burnham and Anderson 2002</t>
        </r>
      </text>
    </comment>
    <comment ref="Q3" authorId="0" shapeId="0" xr:uid="{58288318-0EBA-471E-9D15-157472BA81BC}">
      <text>
        <r>
          <rPr>
            <b/>
            <sz val="9"/>
            <color indexed="81"/>
            <rFont val="Tahoma"/>
            <family val="2"/>
          </rPr>
          <t xml:space="preserve">https://www.mm218.dev/posts/2021/01/model-averaging/ and also from Buckland et al. 1997 equation 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" authorId="0" shapeId="0" xr:uid="{88EF830A-197B-44B3-BFF4-D08EA2A789D0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 xr:uid="{7E4F7ABF-055C-4015-8370-AD4DFA50EDCF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E3" authorId="0" shapeId="0" xr:uid="{BA6BB39E-57B9-4094-9C5D-2879EE2994F3}">
      <text>
        <r>
          <rPr>
            <b/>
            <sz val="9"/>
            <color indexed="81"/>
            <rFont val="Tahoma"/>
            <family val="2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 xr:uid="{E5B66E07-C55A-44B8-8C66-C51298870FE5}">
      <text>
        <r>
          <rPr>
            <b/>
            <sz val="9"/>
            <color indexed="81"/>
            <rFont val="Tahoma"/>
            <family val="2"/>
          </rPr>
          <t>derived from output of predict function in R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" authorId="0" shapeId="0" xr:uid="{37F1FA0D-C501-415C-86CB-06145E6D104B}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N3" authorId="0" shapeId="0" xr:uid="{0261D529-8794-481A-B5AE-EDC82443AC0F}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" authorId="0" shapeId="0" xr:uid="{9F0E8F94-987C-404A-BBD4-D10F60C2D558}">
      <text>
        <r>
          <rPr>
            <b/>
            <sz val="9"/>
            <color indexed="81"/>
            <rFont val="Tahoma"/>
            <family val="2"/>
          </rPr>
          <t xml:space="preserve">http://www.turkupetcentre.net/reports/tpcmod0016.pdf; should add to one; Turkheimer et al. 2003 and Buckland et al. 1997 equation 1; Buckland et al. 1997 (equation 9) or equation 6 in Dormann et al. 2018
</t>
        </r>
        <r>
          <rPr>
            <sz val="9"/>
            <color indexed="81"/>
            <rFont val="Tahoma"/>
            <family val="2"/>
          </rPr>
          <t xml:space="preserve">
pg. 162 in Burnham and Anderson 2002</t>
        </r>
      </text>
    </comment>
    <comment ref="R3" authorId="0" shapeId="0" xr:uid="{E30C85DC-5E0B-4ECD-B73B-A64168517036}">
      <text>
        <r>
          <rPr>
            <b/>
            <sz val="9"/>
            <color indexed="81"/>
            <rFont val="Tahoma"/>
            <family val="2"/>
          </rPr>
          <t xml:space="preserve">https://www.mm218.dev/posts/2021/01/model-averaging/ and also from Buckland et al. 1997 equation 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" authorId="0" shapeId="0" xr:uid="{63377A3F-9C51-447D-BCFE-655786651B8B}">
      <text>
        <r>
          <rPr>
            <sz val="9"/>
            <color indexed="81"/>
            <rFont val="Tahoma"/>
            <charset val="1"/>
          </rPr>
          <t xml:space="preserve">This is where I can’t figure out if I should be using [se.fit]^2 for the variance or  [se.fit*sqrt(df +1)]^2. The CI changes drastically. 
</t>
        </r>
      </text>
    </comment>
    <comment ref="W3" authorId="0" shapeId="0" xr:uid="{D41927DE-9D3C-461D-9EAF-0134C939B189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" authorId="0" shapeId="0" xr:uid="{15568082-1FE7-4EF4-8378-131DAA3FA769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A1" authorId="0" shapeId="0" xr:uid="{279CD23A-5EFF-41A2-974D-67C2DE8E2BDC}">
      <text>
        <r>
          <rPr>
            <b/>
            <sz val="9"/>
            <color indexed="81"/>
            <rFont val="Tahoma"/>
            <family val="2"/>
          </rPr>
          <t>References: Buckland et al. 1997; Dormann et al. 2008; derivation in Burnham and Anderson 2002:159-162; Norman et al. 2008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C6805914-BE90-4BE6-956C-25195E2477D9}">
      <text>
        <r>
          <rPr>
            <b/>
            <sz val="9"/>
            <color indexed="81"/>
            <rFont val="Tahoma"/>
            <family val="2"/>
          </rPr>
          <t>https://stackoverflow.com/questions/14423325/confidence-intervals-for-predictions-from-logistic-regression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 shapeId="0" xr:uid="{EFE04B09-C154-45B6-876A-2EEE5155D8BA}">
      <text>
        <r>
          <rPr>
            <b/>
            <sz val="9"/>
            <color indexed="81"/>
            <rFont val="Tahoma"/>
            <family val="2"/>
          </rPr>
          <t>https://stackoverflow.com/questions/38109501/how-does-predict-lm-compute-confidence-interval-and-prediction-interval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" authorId="0" shapeId="0" xr:uid="{F232629D-D7EB-47A2-9407-ED9BA53EC61A}">
      <text/>
    </comment>
    <comment ref="E3" authorId="0" shapeId="0" xr:uid="{2C67B80A-E254-45D6-9F75-7424CC616365}">
      <text>
        <r>
          <rPr>
            <b/>
            <sz val="9"/>
            <color indexed="81"/>
            <rFont val="Tahoma"/>
            <family val="2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 xr:uid="{AE2541ED-80FB-43F8-B8E4-248A8CB7AA01}">
      <text>
        <r>
          <rPr>
            <b/>
            <sz val="9"/>
            <color indexed="81"/>
            <rFont val="Tahoma"/>
            <family val="2"/>
          </rPr>
          <t>derived from output of predict function in R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" authorId="0" shapeId="0" xr:uid="{8ADF851C-DDD6-407D-BEF2-DEC93905587C}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P3" authorId="0" shapeId="0" xr:uid="{8DF3D440-B880-4E51-BE4C-C3C15F85395B}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" authorId="0" shapeId="0" xr:uid="{E6762157-2878-4807-83F8-6D266EDF1206}">
      <text>
        <r>
          <rPr>
            <b/>
            <sz val="9"/>
            <color indexed="81"/>
            <rFont val="Tahoma"/>
            <family val="2"/>
          </rPr>
          <t xml:space="preserve">http://www.turkupetcentre.net/reports/tpcmod0016.pdf; should add to one; Turkheimer et al. 2003 and Buckland et al. 1997 equation 1; Buckland et al. 1997 (equation 9) or equation 6 in Dormann et al. 2018
</t>
        </r>
        <r>
          <rPr>
            <sz val="9"/>
            <color indexed="81"/>
            <rFont val="Tahoma"/>
            <family val="2"/>
          </rPr>
          <t xml:space="preserve">
pg. 162 in Burnham and Anderson 2002</t>
        </r>
      </text>
    </comment>
    <comment ref="T3" authorId="0" shapeId="0" xr:uid="{B5304558-CD82-41DA-BDFE-CEC418601407}">
      <text>
        <r>
          <rPr>
            <b/>
            <sz val="9"/>
            <color indexed="81"/>
            <rFont val="Tahoma"/>
            <family val="2"/>
          </rPr>
          <t xml:space="preserve">https://www.mm218.dev/posts/2021/01/model-averaging/ and also from Buckland et al. 1997 equation 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" authorId="0" shapeId="0" xr:uid="{BAAA36DE-C07B-4CB5-AB0B-9E7F6C150C04}">
      <text>
        <r>
          <rPr>
            <sz val="9"/>
            <color indexed="81"/>
            <rFont val="Tahoma"/>
            <charset val="1"/>
          </rPr>
          <t xml:space="preserve">This is where I can’t figure out if I should be using [se.fit]^2 for the variance or  [se.fit*sqrt(df +1)]^2. The CI changes drastically. 
</t>
        </r>
      </text>
    </comment>
    <comment ref="Y3" authorId="0" shapeId="0" xr:uid="{5C346A86-3B25-4B2D-9031-A062ECE4DE6F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" authorId="0" shapeId="0" xr:uid="{31E7BFA2-5966-48AA-9C8F-292B95461F7F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Z21" authorId="0" shapeId="0" xr:uid="{E4A61226-35C0-41CC-A651-838816E643BE}">
      <text>
        <r>
          <rPr>
            <b/>
            <sz val="9"/>
            <color indexed="81"/>
            <rFont val="Tahoma"/>
            <family val="2"/>
          </rPr>
          <t>(observed-expected)^2 and then summed for the last 5 years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A2" authorId="0" shapeId="0" xr:uid="{7A204691-7C28-4099-AB2E-1CC987BFBBBF}">
      <text>
        <r>
          <rPr>
            <b/>
            <sz val="9"/>
            <color indexed="81"/>
            <rFont val="Tahoma"/>
            <family val="2"/>
          </rPr>
          <t>Example of the inverse variance function in R for one model (CPUE-only; f_model_one_step_ahead)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88A37377-499D-4846-A72A-EF9AFB589B8A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" authorId="0" shapeId="0" xr:uid="{3D55B21A-AB39-4480-8D1F-350ED8481D2F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2" authorId="0" shapeId="0" xr:uid="{F1FBC393-7707-4256-8B98-93D80B8DF237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N2" authorId="0" shapeId="0" xr:uid="{4EFC1722-6E87-41C8-8457-B960BA475EC8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R2" authorId="0" shapeId="0" xr:uid="{6250140E-5587-4D9B-BAF2-3EEE5164D6CD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V2" authorId="0" shapeId="0" xr:uid="{75FEAA85-6EAE-4909-A19C-E76151D7BB70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Z2" authorId="0" shapeId="0" xr:uid="{CC86FC10-90BE-4E33-8E8B-08F8B39D599D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D2" authorId="0" shapeId="0" xr:uid="{037A3F49-9FED-4991-8B68-1C323424D765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H2" authorId="0" shapeId="0" xr:uid="{F36409B3-0EB4-4C19-8F61-B6384C34D65C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L2" authorId="0" shapeId="0" xr:uid="{03E41EB9-03AF-4E5D-80A4-A784A11C1F35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P2" authorId="0" shapeId="0" xr:uid="{30684F4D-006F-4700-8117-6184747D4632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T2" authorId="0" shapeId="0" xr:uid="{3635A7B3-2602-42BF-8471-C753C019CE6A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X2" authorId="0" shapeId="0" xr:uid="{7C8F9344-BE6D-4473-B939-7684E56C3CBA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B2" authorId="0" shapeId="0" xr:uid="{B9AFE658-783F-4888-A879-5FDD415375BC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F2" authorId="0" shapeId="0" xr:uid="{2A5F3F53-C47F-4692-A7E1-C68205D56283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J2" authorId="0" shapeId="0" xr:uid="{B5F9FD21-D308-434A-AE02-F3E68DE5031F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N2" authorId="0" shapeId="0" xr:uid="{1F7A8C69-5D6D-43F4-9158-8FB7A79DAF9A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R2" authorId="0" shapeId="0" xr:uid="{C01EE856-8D7F-494B-AD47-C022B1F2C261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V2" authorId="0" shapeId="0" xr:uid="{F994F5B1-114D-459B-AAA5-C4AF16AD1B2F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<sst xmlns="http://schemas.openxmlformats.org/spreadsheetml/2006/main" count="1351" uniqueCount="221">
  <si>
    <t>terms</t>
  </si>
  <si>
    <t>fit</t>
  </si>
  <si>
    <t>se.fit</t>
  </si>
  <si>
    <t>fit_LPI</t>
  </si>
  <si>
    <t>fit_UPI</t>
  </si>
  <si>
    <t>AICc</t>
  </si>
  <si>
    <t>sigma</t>
  </si>
  <si>
    <t>df</t>
  </si>
  <si>
    <t>stdev</t>
  </si>
  <si>
    <t>var_yhat</t>
  </si>
  <si>
    <t>CPUE</t>
  </si>
  <si>
    <t>m1</t>
  </si>
  <si>
    <t>m2</t>
  </si>
  <si>
    <t>m3</t>
  </si>
  <si>
    <t>m4</t>
  </si>
  <si>
    <t>m5</t>
  </si>
  <si>
    <t>m6</t>
  </si>
  <si>
    <t>m7</t>
  </si>
  <si>
    <t>m8</t>
  </si>
  <si>
    <t>CPUE + ISTI20_MJJ</t>
  </si>
  <si>
    <t>m9</t>
  </si>
  <si>
    <t>m10</t>
  </si>
  <si>
    <t>m11</t>
  </si>
  <si>
    <t>m12</t>
  </si>
  <si>
    <t>m13</t>
  </si>
  <si>
    <t>m14</t>
  </si>
  <si>
    <t>CPUE + Icy_Strait_SST_MJJ</t>
  </si>
  <si>
    <t>m15</t>
  </si>
  <si>
    <t>CPUE + Icy_Strait_SST_May</t>
  </si>
  <si>
    <t>m16</t>
  </si>
  <si>
    <t>CPUE + Icy_Strait_SST_AMJJ</t>
  </si>
  <si>
    <t>CPUE + NSEAK_SST_MJJ</t>
  </si>
  <si>
    <t>m18</t>
  </si>
  <si>
    <t>CPUE + NSEAK_SST_May</t>
  </si>
  <si>
    <t>CPUE + NSEAK_SST_AMJJ</t>
  </si>
  <si>
    <t>CPUE + SEAK_SST_MJJ</t>
  </si>
  <si>
    <t>CPUE + SEAK_SST_May</t>
  </si>
  <si>
    <t>fit_bias_corrected</t>
  </si>
  <si>
    <t>model_averaged_pred</t>
  </si>
  <si>
    <t>step1</t>
  </si>
  <si>
    <t>step2</t>
  </si>
  <si>
    <t>fit_LPI_80</t>
  </si>
  <si>
    <t>fit_UPI_80</t>
  </si>
  <si>
    <t>variance of model averaged prediction</t>
  </si>
  <si>
    <t>models</t>
  </si>
  <si>
    <t>m17</t>
  </si>
  <si>
    <t>80% prediction interval of the fit</t>
  </si>
  <si>
    <t>80% prediction interval of the model averaged fit</t>
  </si>
  <si>
    <t>CPUE + Chatham_SST_May</t>
  </si>
  <si>
    <t>CPUE + Chatham_SST_MJJ</t>
  </si>
  <si>
    <t>CPUE + Chatham_SST_AMJ</t>
  </si>
  <si>
    <t>CPUE + Chatham_SST_AMJJ</t>
  </si>
  <si>
    <t>CPUE + Icy_Strait_SST_AMJ</t>
  </si>
  <si>
    <t>CPUE + NSEAK_SST_AMJ</t>
  </si>
  <si>
    <t>CPUE + SEAK_SST_AMJ</t>
  </si>
  <si>
    <t>CPUE + SEAK_SST_AMJJ</t>
  </si>
  <si>
    <t>output from R</t>
  </si>
  <si>
    <t>calculations</t>
  </si>
  <si>
    <t>data</t>
  </si>
  <si>
    <t>model</t>
  </si>
  <si>
    <t>term</t>
  </si>
  <si>
    <t>estimate</t>
  </si>
  <si>
    <t>std.error</t>
  </si>
  <si>
    <t>statistic</t>
  </si>
  <si>
    <t>p.value</t>
  </si>
  <si>
    <t>(Intercept)</t>
  </si>
  <si>
    <t>Log-bias transformation</t>
  </si>
  <si>
    <t>inv_var</t>
  </si>
  <si>
    <t>inv_var weighting</t>
  </si>
  <si>
    <t>Forecasts</t>
  </si>
  <si>
    <t>Difference squared (observed - expected)^2</t>
  </si>
  <si>
    <t>Year</t>
  </si>
  <si>
    <t>Observed (True) Run Size</t>
  </si>
  <si>
    <t>millions</t>
  </si>
  <si>
    <t>log(millions)</t>
  </si>
  <si>
    <t>CPUE-only</t>
  </si>
  <si>
    <t>equal weighting</t>
  </si>
  <si>
    <t>SE</t>
  </si>
  <si>
    <t>Based on…</t>
  </si>
  <si>
    <t>R2</t>
  </si>
  <si>
    <t>AdjR2</t>
  </si>
  <si>
    <t>se_y_pred</t>
  </si>
  <si>
    <t>lwr</t>
  </si>
  <si>
    <t>upper</t>
  </si>
  <si>
    <t>z value</t>
  </si>
  <si>
    <t>SEAKCatch</t>
  </si>
  <si>
    <t>ISTI20_MJJ</t>
  </si>
  <si>
    <t>Chatham_SST_MJJ</t>
  </si>
  <si>
    <t>Chatham_SST_May</t>
  </si>
  <si>
    <t>Chatham_SST_AMJJ</t>
  </si>
  <si>
    <t>Chatham_SST_AMJ</t>
  </si>
  <si>
    <t>Icy_Strait_SST_MJJ</t>
  </si>
  <si>
    <t>Icy_Strait_SST_May</t>
  </si>
  <si>
    <t>Icy_Strait_SST_AMJJ</t>
  </si>
  <si>
    <t>Icy_Strait_SST_AMJ</t>
  </si>
  <si>
    <t>NSEAK_SST_MJJ</t>
  </si>
  <si>
    <t>NSEAK_SST_May</t>
  </si>
  <si>
    <t>NSEAK_SST_AMJJ</t>
  </si>
  <si>
    <t>NSEAK_SST_AMJ</t>
  </si>
  <si>
    <t>SEAK_SST_MJJ</t>
  </si>
  <si>
    <t>SEAK_SST_May</t>
  </si>
  <si>
    <t>SEAK_SST_AMJJ</t>
  </si>
  <si>
    <t>SEAK_SST_AMJ</t>
  </si>
  <si>
    <t>CPUEcal</t>
  </si>
  <si>
    <t>index</t>
  </si>
  <si>
    <t>weight_values</t>
  </si>
  <si>
    <t>pink_cal_pool</t>
  </si>
  <si>
    <t>SEAKcatch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</si>
  <si>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</si>
  <si>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</si>
  <si>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</si>
  <si>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</si>
  <si>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</si>
  <si>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</si>
  <si>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</si>
  <si>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</si>
  <si>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</si>
  <si>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</si>
  <si>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</si>
  <si>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</si>
  <si>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</si>
  <si>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</si>
  <si>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</si>
  <si>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</si>
  <si>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</si>
  <si>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</si>
  <si>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</si>
  <si>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</si>
  <si>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</si>
  <si>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</si>
  <si>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</si>
  <si>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</si>
  <si>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weighted equally based on Buckland et al. 1997</t>
  </si>
  <si>
    <t>weighted equally based on one step ahead inverse-variance (Buckland et al. 1997)</t>
  </si>
  <si>
    <t>weighted equally based hindcasts</t>
  </si>
  <si>
    <t>Example with CPUE only model</t>
  </si>
  <si>
    <t xml:space="preserve">step3 </t>
  </si>
  <si>
    <t>step3</t>
  </si>
  <si>
    <t>Model m1</t>
  </si>
  <si>
    <t>Model m2</t>
  </si>
  <si>
    <t>Model m3</t>
  </si>
  <si>
    <t>Model m4</t>
  </si>
  <si>
    <t>Model m5</t>
  </si>
  <si>
    <t>Model m6</t>
  </si>
  <si>
    <t>Model m7</t>
  </si>
  <si>
    <t>Model m8</t>
  </si>
  <si>
    <t>Model m9</t>
  </si>
  <si>
    <t>Model m10</t>
  </si>
  <si>
    <t>Model m11</t>
  </si>
  <si>
    <t>Model m12</t>
  </si>
  <si>
    <t>Model m13</t>
  </si>
  <si>
    <t>Model m14</t>
  </si>
  <si>
    <t>Model m15</t>
  </si>
  <si>
    <t>Model m16</t>
  </si>
  <si>
    <t>Model m17</t>
  </si>
  <si>
    <t>Model m18</t>
  </si>
  <si>
    <t>inverse-variance (2020 - 2016) =</t>
  </si>
  <si>
    <t>inverse-variance (2019 - 2015) =</t>
  </si>
  <si>
    <t>inverse-variance (2018 - 2014) =</t>
  </si>
  <si>
    <t>inverse-variance (2017 - 2013) =</t>
  </si>
  <si>
    <t>sum</t>
  </si>
  <si>
    <t>hincasts</t>
  </si>
  <si>
    <t>MAPE</t>
  </si>
  <si>
    <t>model forecasts</t>
  </si>
  <si>
    <t>weighted to sum to one (inverse-variance weighting)</t>
  </si>
  <si>
    <t>Forecasts:</t>
  </si>
  <si>
    <t>non-bias corrected forecast:</t>
  </si>
  <si>
    <t>equally-weighted</t>
  </si>
  <si>
    <t>millions of fish</t>
  </si>
  <si>
    <t>natural log</t>
  </si>
  <si>
    <t>FYear</t>
  </si>
  <si>
    <t>forecast year</t>
  </si>
  <si>
    <t>Forecast</t>
  </si>
  <si>
    <t>Harvest (observed)</t>
  </si>
  <si>
    <t>Forecast performance</t>
  </si>
  <si>
    <t>Absolute deviation</t>
  </si>
  <si>
    <t>Absolute % deviation</t>
  </si>
  <si>
    <t>intercept</t>
  </si>
  <si>
    <t>ISTI</t>
  </si>
  <si>
    <t>forecast</t>
  </si>
  <si>
    <t>JYear</t>
  </si>
  <si>
    <t>bias-corrected</t>
  </si>
  <si>
    <t>equal-weighting</t>
  </si>
  <si>
    <t>inverse-variance (2016 - 2012) =</t>
  </si>
  <si>
    <t>inverse-variance (2015 - 2011) =</t>
  </si>
  <si>
    <t>inverse-variance (2014 - 2010) =</t>
  </si>
  <si>
    <t>inverse-variance (2013- 2009) =</t>
  </si>
  <si>
    <t>inverse-variance (2021 - 2017) =</t>
  </si>
  <si>
    <t>inverse-variance (2012- 2008) =</t>
  </si>
  <si>
    <t>inverse-variance (2011- 2007) =</t>
  </si>
  <si>
    <t>inverse variance (5-year)</t>
  </si>
  <si>
    <t>Sigma</t>
  </si>
  <si>
    <t>Bias-Corrected Forecast</t>
  </si>
  <si>
    <t>Inverse-variance MAPE weighted</t>
  </si>
  <si>
    <t>Equally-weighted</t>
  </si>
  <si>
    <t>Model</t>
  </si>
  <si>
    <t>Summary</t>
  </si>
  <si>
    <t>m19</t>
  </si>
  <si>
    <t>m20</t>
  </si>
  <si>
    <t>Models w/in 10% of forecast</t>
  </si>
  <si>
    <t xml:space="preserve"> Best model</t>
  </si>
  <si>
    <t>m18, m9</t>
  </si>
  <si>
    <t>m1, m3-m12, m14-m20</t>
  </si>
  <si>
    <t>---</t>
  </si>
  <si>
    <t>m3, m7, m11, m13</t>
  </si>
  <si>
    <t>m7, m9, m14 ,m18, m19, m20</t>
  </si>
  <si>
    <t>m5, m6, m7, m10,m13, m14, m17, m18, m19, m20</t>
  </si>
  <si>
    <t>Qt</t>
  </si>
  <si>
    <t>not bias-corrected</t>
  </si>
  <si>
    <t>Row Labels</t>
  </si>
  <si>
    <t>Grand Total</t>
  </si>
  <si>
    <t>Individual Models</t>
  </si>
  <si>
    <t>5-year average (2017-2021)</t>
  </si>
  <si>
    <t>10-year average (2012-2021)</t>
  </si>
  <si>
    <t>Individual Models (Sorted)</t>
  </si>
  <si>
    <t>inverse variance weighted</t>
  </si>
  <si>
    <t>5-year MAPE</t>
  </si>
  <si>
    <t>Average of MAPE</t>
  </si>
  <si>
    <t>(All)</t>
  </si>
  <si>
    <t>10-year MAPE</t>
  </si>
  <si>
    <t>rank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</si>
</sst>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0"/>
    <numFmt numFmtId="166" formatCode="_(* #,##0_);_(* \(#,##0\);_(* &quot;-&quot;??_);_(@_)"/>
    <numFmt numFmtId="167" formatCode="0.00000"/>
    <numFmt numFmtId="168" formatCode="0.0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9C0006"/>
      <name val="Calibri"/>
      <family val="2"/>
    </font>
    <font>
      <sz val="12"/>
      <color theme="1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sz val="9"/>
      <color indexed="81"/>
      <name val="Tahoma"/>
      <charset val="1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9C0006"/>
      <name val="Times New Roman"/>
      <family val="1"/>
    </font>
    <font>
      <sz val="12"/>
      <color theme="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rade Gothic Next"/>
      <family val="2"/>
    </font>
    <font>
      <b/>
      <sz val="11"/>
      <color rgb="FF9C0006"/>
      <name val="Trade Gothic Next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rgb="FFFFFFCC"/>
      </patternFill>
    </fill>
    <fill>
      <patternFill patternType="solid">
        <fgColor theme="9" tint="0.79998168889431442"/>
        <bgColor rgb="FFFFC7CE"/>
      </patternFill>
    </fill>
    <fill>
      <patternFill patternType="solid">
        <fgColor theme="9" tint="0.79998168889431442"/>
        <bgColor rgb="FFE6B8B7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7">
    <xf numFmtId="0" fontId="0" fillId="0" borderId="0" xfId="0"/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0" fillId="34" borderId="0" xfId="0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34" borderId="0" xfId="0" applyNumberFormat="1" applyFill="1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2" fontId="0" fillId="34" borderId="11" xfId="0" applyNumberFormat="1" applyFill="1" applyBorder="1" applyAlignment="1">
      <alignment horizontal="center" vertical="center"/>
    </xf>
    <xf numFmtId="0" fontId="0" fillId="0" borderId="11" xfId="0" applyBorder="1"/>
    <xf numFmtId="164" fontId="0" fillId="34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5" fontId="0" fillId="34" borderId="0" xfId="0" applyNumberFormat="1" applyFill="1" applyBorder="1" applyAlignment="1">
      <alignment horizontal="center" vertical="center"/>
    </xf>
    <xf numFmtId="165" fontId="0" fillId="34" borderId="1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25" fillId="0" borderId="0" xfId="0" applyFont="1"/>
    <xf numFmtId="0" fontId="0" fillId="0" borderId="0" xfId="0" applyAlignment="1">
      <alignment horizontal="center"/>
    </xf>
    <xf numFmtId="0" fontId="21" fillId="35" borderId="8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1" fontId="0" fillId="0" borderId="0" xfId="0" applyNumberFormat="1"/>
    <xf numFmtId="0" fontId="0" fillId="38" borderId="0" xfId="0" applyFill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167" fontId="0" fillId="34" borderId="10" xfId="0" applyNumberFormat="1" applyFill="1" applyBorder="1" applyAlignment="1">
      <alignment horizontal="center" vertical="center"/>
    </xf>
    <xf numFmtId="2" fontId="0" fillId="34" borderId="10" xfId="0" applyNumberFormat="1" applyFill="1" applyBorder="1" applyAlignment="1">
      <alignment horizontal="center" vertical="center"/>
    </xf>
    <xf numFmtId="165" fontId="0" fillId="34" borderId="10" xfId="0" applyNumberFormat="1" applyFill="1" applyBorder="1" applyAlignment="1">
      <alignment horizontal="center" vertical="center"/>
    </xf>
    <xf numFmtId="168" fontId="0" fillId="34" borderId="10" xfId="0" applyNumberFormat="1" applyFill="1" applyBorder="1" applyAlignment="1">
      <alignment horizontal="center" vertical="center"/>
    </xf>
    <xf numFmtId="168" fontId="0" fillId="34" borderId="0" xfId="0" applyNumberFormat="1" applyFill="1" applyBorder="1" applyAlignment="1">
      <alignment horizontal="center" vertical="center"/>
    </xf>
    <xf numFmtId="168" fontId="0" fillId="34" borderId="11" xfId="0" applyNumberFormat="1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Fill="1" applyBorder="1" applyAlignment="1"/>
    <xf numFmtId="0" fontId="0" fillId="0" borderId="12" xfId="0" applyFill="1" applyBorder="1" applyAlignment="1"/>
    <xf numFmtId="0" fontId="27" fillId="0" borderId="13" xfId="0" applyFont="1" applyFill="1" applyBorder="1" applyAlignment="1">
      <alignment horizontal="center"/>
    </xf>
    <xf numFmtId="0" fontId="27" fillId="0" borderId="13" xfId="0" applyFont="1" applyFill="1" applyBorder="1" applyAlignment="1">
      <alignment horizontal="centerContinuous"/>
    </xf>
    <xf numFmtId="168" fontId="0" fillId="0" borderId="0" xfId="0" applyNumberFormat="1" applyAlignment="1">
      <alignment horizontal="center" vertical="center"/>
    </xf>
    <xf numFmtId="0" fontId="0" fillId="39" borderId="0" xfId="0" applyFill="1"/>
    <xf numFmtId="2" fontId="0" fillId="0" borderId="1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11" xfId="0" applyNumberFormat="1" applyFill="1" applyBorder="1" applyAlignment="1">
      <alignment horizontal="center" vertical="center"/>
    </xf>
    <xf numFmtId="166" fontId="22" fillId="36" borderId="16" xfId="0" applyNumberFormat="1" applyFont="1" applyFill="1" applyBorder="1" applyAlignment="1">
      <alignment horizontal="center"/>
    </xf>
    <xf numFmtId="3" fontId="0" fillId="37" borderId="16" xfId="0" applyNumberFormat="1" applyFill="1" applyBorder="1" applyAlignment="1">
      <alignment horizontal="center" wrapText="1"/>
    </xf>
    <xf numFmtId="166" fontId="22" fillId="40" borderId="17" xfId="0" applyNumberFormat="1" applyFont="1" applyFill="1" applyBorder="1" applyAlignment="1">
      <alignment horizontal="center"/>
    </xf>
    <xf numFmtId="2" fontId="21" fillId="0" borderId="0" xfId="0" applyNumberFormat="1" applyFon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22" fillId="40" borderId="0" xfId="0" applyNumberFormat="1" applyFont="1" applyFill="1" applyBorder="1" applyAlignment="1">
      <alignment horizontal="center" vertical="center"/>
    </xf>
    <xf numFmtId="2" fontId="22" fillId="40" borderId="1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33" borderId="0" xfId="0" applyFill="1"/>
    <xf numFmtId="0" fontId="0" fillId="0" borderId="0" xfId="0" quotePrefix="1" applyAlignment="1">
      <alignment horizontal="center" vertical="center"/>
    </xf>
    <xf numFmtId="9" fontId="0" fillId="0" borderId="0" xfId="42" applyFont="1" applyAlignment="1">
      <alignment horizontal="center" vertical="center"/>
    </xf>
    <xf numFmtId="167" fontId="0" fillId="34" borderId="0" xfId="0" applyNumberFormat="1" applyFill="1" applyBorder="1" applyAlignment="1">
      <alignment horizontal="center" vertical="center"/>
    </xf>
    <xf numFmtId="167" fontId="0" fillId="34" borderId="11" xfId="0" applyNumberFormat="1" applyFill="1" applyBorder="1" applyAlignment="1">
      <alignment horizontal="center" vertical="center"/>
    </xf>
    <xf numFmtId="164" fontId="0" fillId="34" borderId="10" xfId="0" applyNumberFormat="1" applyFill="1" applyBorder="1" applyAlignment="1">
      <alignment horizontal="center" vertical="center"/>
    </xf>
    <xf numFmtId="2" fontId="0" fillId="0" borderId="0" xfId="0" applyNumberFormat="1"/>
    <xf numFmtId="166" fontId="22" fillId="40" borderId="0" xfId="0" applyNumberFormat="1" applyFont="1" applyFill="1" applyBorder="1" applyAlignment="1">
      <alignment horizontal="center"/>
    </xf>
    <xf numFmtId="2" fontId="0" fillId="37" borderId="16" xfId="0" applyNumberFormat="1" applyFill="1" applyBorder="1" applyAlignment="1">
      <alignment horizontal="center"/>
    </xf>
    <xf numFmtId="2" fontId="0" fillId="34" borderId="16" xfId="0" applyNumberFormat="1" applyFill="1" applyBorder="1" applyAlignment="1">
      <alignment horizontal="center" vertical="center"/>
    </xf>
    <xf numFmtId="2" fontId="0" fillId="34" borderId="19" xfId="0" applyNumberFormat="1" applyFill="1" applyBorder="1" applyAlignment="1">
      <alignment horizontal="center" vertical="center"/>
    </xf>
    <xf numFmtId="2" fontId="23" fillId="0" borderId="0" xfId="0" applyNumberFormat="1" applyFont="1" applyFill="1" applyAlignment="1">
      <alignment horizontal="center" vertical="center"/>
    </xf>
    <xf numFmtId="2" fontId="23" fillId="41" borderId="0" xfId="0" applyNumberFormat="1" applyFont="1" applyFill="1" applyAlignment="1">
      <alignment horizontal="center" vertical="center"/>
    </xf>
    <xf numFmtId="0" fontId="0" fillId="0" borderId="0" xfId="0" applyFill="1"/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1" fillId="0" borderId="0" xfId="0" applyFont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0" fillId="37" borderId="16" xfId="0" applyNumberFormat="1" applyFill="1" applyBorder="1" applyAlignment="1">
      <alignment horizontal="center" wrapText="1"/>
    </xf>
    <xf numFmtId="2" fontId="0" fillId="0" borderId="0" xfId="0" applyNumberFormat="1" applyFill="1" applyAlignment="1">
      <alignment horizontal="center"/>
    </xf>
    <xf numFmtId="0" fontId="32" fillId="0" borderId="0" xfId="0" applyFont="1" applyAlignment="1">
      <alignment horizontal="center"/>
    </xf>
    <xf numFmtId="0" fontId="32" fillId="33" borderId="0" xfId="0" applyFont="1" applyFill="1" applyAlignment="1">
      <alignment horizontal="center"/>
    </xf>
    <xf numFmtId="0" fontId="32" fillId="0" borderId="0" xfId="0" applyFont="1"/>
    <xf numFmtId="2" fontId="32" fillId="0" borderId="0" xfId="0" applyNumberFormat="1" applyFont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32" fillId="0" borderId="10" xfId="0" applyFont="1" applyBorder="1" applyAlignment="1">
      <alignment horizontal="center"/>
    </xf>
    <xf numFmtId="2" fontId="32" fillId="0" borderId="10" xfId="0" applyNumberFormat="1" applyFont="1" applyBorder="1" applyAlignment="1">
      <alignment horizontal="center" vertical="center"/>
    </xf>
    <xf numFmtId="9" fontId="32" fillId="0" borderId="10" xfId="42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2" fontId="32" fillId="0" borderId="0" xfId="0" applyNumberFormat="1" applyFont="1" applyBorder="1" applyAlignment="1">
      <alignment horizontal="center" vertical="center"/>
    </xf>
    <xf numFmtId="9" fontId="32" fillId="0" borderId="0" xfId="42" applyFont="1" applyBorder="1" applyAlignment="1">
      <alignment horizontal="center"/>
    </xf>
    <xf numFmtId="0" fontId="32" fillId="0" borderId="11" xfId="0" applyFont="1" applyBorder="1" applyAlignment="1">
      <alignment horizontal="center"/>
    </xf>
    <xf numFmtId="2" fontId="32" fillId="0" borderId="11" xfId="0" applyNumberFormat="1" applyFont="1" applyBorder="1" applyAlignment="1">
      <alignment horizontal="center" vertical="center"/>
    </xf>
    <xf numFmtId="9" fontId="32" fillId="0" borderId="11" xfId="42" applyFont="1" applyBorder="1" applyAlignment="1">
      <alignment horizontal="center"/>
    </xf>
    <xf numFmtId="166" fontId="34" fillId="36" borderId="16" xfId="0" applyNumberFormat="1" applyFont="1" applyFill="1" applyBorder="1" applyAlignment="1">
      <alignment horizontal="center"/>
    </xf>
    <xf numFmtId="166" fontId="34" fillId="40" borderId="0" xfId="0" applyNumberFormat="1" applyFont="1" applyFill="1" applyBorder="1" applyAlignment="1">
      <alignment horizontal="center"/>
    </xf>
    <xf numFmtId="166" fontId="34" fillId="40" borderId="17" xfId="0" applyNumberFormat="1" applyFont="1" applyFill="1" applyBorder="1" applyAlignment="1">
      <alignment horizontal="center"/>
    </xf>
    <xf numFmtId="3" fontId="32" fillId="37" borderId="16" xfId="0" applyNumberFormat="1" applyFont="1" applyFill="1" applyBorder="1" applyAlignment="1">
      <alignment horizontal="center" wrapText="1"/>
    </xf>
    <xf numFmtId="2" fontId="32" fillId="37" borderId="16" xfId="0" applyNumberFormat="1" applyFont="1" applyFill="1" applyBorder="1" applyAlignment="1">
      <alignment horizontal="center" wrapText="1"/>
    </xf>
    <xf numFmtId="2" fontId="34" fillId="40" borderId="0" xfId="0" applyNumberFormat="1" applyFont="1" applyFill="1" applyBorder="1" applyAlignment="1">
      <alignment horizontal="center" vertical="center"/>
    </xf>
    <xf numFmtId="2" fontId="34" fillId="40" borderId="17" xfId="0" applyNumberFormat="1" applyFont="1" applyFill="1" applyBorder="1" applyAlignment="1">
      <alignment horizontal="center" vertical="center"/>
    </xf>
    <xf numFmtId="2" fontId="32" fillId="37" borderId="16" xfId="0" applyNumberFormat="1" applyFont="1" applyFill="1" applyBorder="1" applyAlignment="1">
      <alignment horizontal="center"/>
    </xf>
    <xf numFmtId="2" fontId="32" fillId="34" borderId="16" xfId="0" applyNumberFormat="1" applyFont="1" applyFill="1" applyBorder="1" applyAlignment="1">
      <alignment horizontal="center" vertical="center"/>
    </xf>
    <xf numFmtId="2" fontId="32" fillId="34" borderId="19" xfId="0" applyNumberFormat="1" applyFont="1" applyFill="1" applyBorder="1" applyAlignment="1">
      <alignment horizontal="center" vertical="center"/>
    </xf>
    <xf numFmtId="2" fontId="34" fillId="40" borderId="11" xfId="0" applyNumberFormat="1" applyFont="1" applyFill="1" applyBorder="1" applyAlignment="1">
      <alignment horizontal="center" vertical="center"/>
    </xf>
    <xf numFmtId="2" fontId="34" fillId="40" borderId="18" xfId="0" applyNumberFormat="1" applyFont="1" applyFill="1" applyBorder="1" applyAlignment="1">
      <alignment horizontal="center" vertical="center"/>
    </xf>
    <xf numFmtId="0" fontId="32" fillId="33" borderId="0" xfId="0" applyFont="1" applyFill="1" applyAlignment="1">
      <alignment horizontal="center" vertical="center"/>
    </xf>
    <xf numFmtId="2" fontId="33" fillId="0" borderId="0" xfId="0" applyNumberFormat="1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2" fontId="35" fillId="41" borderId="0" xfId="0" applyNumberFormat="1" applyFont="1" applyFill="1" applyAlignment="1">
      <alignment horizontal="center" vertical="center"/>
    </xf>
    <xf numFmtId="2" fontId="35" fillId="0" borderId="0" xfId="0" applyNumberFormat="1" applyFont="1" applyFill="1" applyAlignment="1">
      <alignment horizontal="center" vertical="center"/>
    </xf>
    <xf numFmtId="0" fontId="32" fillId="0" borderId="0" xfId="0" applyFont="1" applyFill="1" applyAlignment="1">
      <alignment horizontal="center" vertical="center"/>
    </xf>
    <xf numFmtId="0" fontId="32" fillId="33" borderId="0" xfId="0" applyFont="1" applyFill="1" applyAlignment="1">
      <alignment horizontal="center" wrapText="1"/>
    </xf>
    <xf numFmtId="0" fontId="32" fillId="0" borderId="0" xfId="0" applyFont="1" applyFill="1" applyAlignment="1">
      <alignment horizontal="center"/>
    </xf>
    <xf numFmtId="2" fontId="32" fillId="0" borderId="0" xfId="0" applyNumberFormat="1" applyFont="1" applyAlignment="1">
      <alignment horizontal="center"/>
    </xf>
    <xf numFmtId="0" fontId="36" fillId="0" borderId="0" xfId="0" applyFont="1" applyAlignment="1">
      <alignment horizontal="left"/>
    </xf>
    <xf numFmtId="0" fontId="32" fillId="0" borderId="20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2" fontId="32" fillId="0" borderId="10" xfId="0" applyNumberFormat="1" applyFont="1" applyBorder="1" applyAlignment="1">
      <alignment horizontal="center"/>
    </xf>
    <xf numFmtId="9" fontId="32" fillId="0" borderId="10" xfId="42" applyFont="1" applyBorder="1" applyAlignment="1">
      <alignment horizontal="center" vertical="center"/>
    </xf>
    <xf numFmtId="2" fontId="32" fillId="0" borderId="0" xfId="0" applyNumberFormat="1" applyFont="1" applyBorder="1" applyAlignment="1">
      <alignment horizontal="center"/>
    </xf>
    <xf numFmtId="9" fontId="32" fillId="0" borderId="0" xfId="42" applyFont="1" applyBorder="1" applyAlignment="1">
      <alignment horizontal="center" vertical="center"/>
    </xf>
    <xf numFmtId="0" fontId="32" fillId="0" borderId="0" xfId="0" applyFont="1" applyBorder="1"/>
    <xf numFmtId="0" fontId="32" fillId="0" borderId="0" xfId="0" applyFont="1" applyFill="1" applyBorder="1" applyAlignment="1">
      <alignment horizontal="center"/>
    </xf>
    <xf numFmtId="2" fontId="32" fillId="0" borderId="0" xfId="0" applyNumberFormat="1" applyFont="1" applyFill="1" applyBorder="1" applyAlignment="1">
      <alignment horizontal="center"/>
    </xf>
    <xf numFmtId="9" fontId="32" fillId="0" borderId="0" xfId="42" applyFont="1"/>
    <xf numFmtId="2" fontId="32" fillId="0" borderId="0" xfId="0" applyNumberFormat="1" applyFont="1"/>
    <xf numFmtId="2" fontId="32" fillId="0" borderId="11" xfId="0" applyNumberFormat="1" applyFont="1" applyBorder="1" applyAlignment="1">
      <alignment horizontal="center"/>
    </xf>
    <xf numFmtId="0" fontId="32" fillId="0" borderId="0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9" fontId="32" fillId="0" borderId="11" xfId="42" applyFont="1" applyBorder="1" applyAlignment="1">
      <alignment horizontal="center" vertical="center"/>
    </xf>
    <xf numFmtId="2" fontId="31" fillId="0" borderId="0" xfId="0" applyNumberFormat="1" applyFont="1" applyBorder="1" applyAlignment="1">
      <alignment horizontal="center"/>
    </xf>
    <xf numFmtId="9" fontId="32" fillId="0" borderId="10" xfId="0" applyNumberFormat="1" applyFont="1" applyBorder="1" applyAlignment="1">
      <alignment horizontal="center"/>
    </xf>
    <xf numFmtId="9" fontId="32" fillId="0" borderId="0" xfId="0" applyNumberFormat="1" applyFont="1" applyBorder="1" applyAlignment="1">
      <alignment horizontal="center"/>
    </xf>
    <xf numFmtId="9" fontId="32" fillId="0" borderId="0" xfId="0" quotePrefix="1" applyNumberFormat="1" applyFont="1" applyBorder="1" applyAlignment="1">
      <alignment horizontal="center"/>
    </xf>
    <xf numFmtId="9" fontId="32" fillId="0" borderId="11" xfId="0" quotePrefix="1" applyNumberFormat="1" applyFont="1" applyBorder="1" applyAlignment="1">
      <alignment horizontal="center"/>
    </xf>
    <xf numFmtId="0" fontId="0" fillId="33" borderId="0" xfId="0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31" fillId="0" borderId="11" xfId="0" applyNumberFormat="1" applyFont="1" applyBorder="1" applyAlignment="1">
      <alignment horizontal="center"/>
    </xf>
    <xf numFmtId="0" fontId="32" fillId="39" borderId="0" xfId="0" applyFont="1" applyFill="1" applyBorder="1"/>
    <xf numFmtId="0" fontId="0" fillId="42" borderId="0" xfId="0" applyFill="1" applyBorder="1" applyAlignment="1">
      <alignment horizontal="center" vertical="center"/>
    </xf>
    <xf numFmtId="2" fontId="37" fillId="0" borderId="11" xfId="0" applyNumberFormat="1" applyFont="1" applyBorder="1" applyAlignment="1">
      <alignment horizontal="center"/>
    </xf>
    <xf numFmtId="2" fontId="37" fillId="0" borderId="0" xfId="0" applyNumberFormat="1" applyFont="1" applyBorder="1" applyAlignment="1">
      <alignment horizontal="center"/>
    </xf>
    <xf numFmtId="0" fontId="39" fillId="0" borderId="20" xfId="0" applyFont="1" applyBorder="1" applyAlignment="1">
      <alignment horizontal="center" vertical="center"/>
    </xf>
    <xf numFmtId="2" fontId="39" fillId="0" borderId="10" xfId="0" applyNumberFormat="1" applyFont="1" applyBorder="1" applyAlignment="1">
      <alignment horizontal="center" vertical="center"/>
    </xf>
    <xf numFmtId="2" fontId="39" fillId="0" borderId="0" xfId="0" applyNumberFormat="1" applyFont="1" applyBorder="1" applyAlignment="1">
      <alignment horizontal="center" vertical="center"/>
    </xf>
    <xf numFmtId="2" fontId="39" fillId="0" borderId="11" xfId="0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0" fontId="40" fillId="0" borderId="0" xfId="0" applyFont="1" applyAlignment="1">
      <alignment horizontal="center"/>
    </xf>
    <xf numFmtId="0" fontId="40" fillId="0" borderId="0" xfId="0" applyFont="1"/>
    <xf numFmtId="0" fontId="41" fillId="36" borderId="14" xfId="0" applyFont="1" applyFill="1" applyBorder="1" applyAlignment="1">
      <alignment horizontal="center"/>
    </xf>
    <xf numFmtId="0" fontId="41" fillId="40" borderId="10" xfId="0" applyFont="1" applyFill="1" applyBorder="1" applyAlignment="1">
      <alignment horizontal="center"/>
    </xf>
    <xf numFmtId="0" fontId="41" fillId="40" borderId="15" xfId="0" applyFont="1" applyFill="1" applyBorder="1" applyAlignment="1">
      <alignment horizontal="center"/>
    </xf>
    <xf numFmtId="168" fontId="0" fillId="0" borderId="0" xfId="0" applyNumberFormat="1" applyBorder="1" applyAlignment="1">
      <alignment horizontal="center" vertical="center"/>
    </xf>
    <xf numFmtId="168" fontId="0" fillId="0" borderId="11" xfId="0" applyNumberFormat="1" applyBorder="1" applyAlignment="1">
      <alignment horizontal="center" vertical="center"/>
    </xf>
    <xf numFmtId="2" fontId="31" fillId="0" borderId="10" xfId="0" applyNumberFormat="1" applyFont="1" applyBorder="1" applyAlignment="1">
      <alignment horizontal="center"/>
    </xf>
    <xf numFmtId="2" fontId="32" fillId="0" borderId="10" xfId="0" applyNumberFormat="1" applyFont="1" applyFill="1" applyBorder="1" applyAlignment="1">
      <alignment horizontal="center"/>
    </xf>
    <xf numFmtId="0" fontId="31" fillId="0" borderId="10" xfId="0" applyFont="1" applyBorder="1" applyAlignment="1">
      <alignment horizontal="center" vertical="center"/>
    </xf>
    <xf numFmtId="9" fontId="32" fillId="0" borderId="0" xfId="42" applyFont="1" applyAlignment="1">
      <alignment horizontal="center"/>
    </xf>
    <xf numFmtId="0" fontId="32" fillId="0" borderId="11" xfId="0" applyFont="1" applyFill="1" applyBorder="1" applyAlignment="1">
      <alignment horizontal="center"/>
    </xf>
    <xf numFmtId="0" fontId="32" fillId="0" borderId="10" xfId="0" applyFont="1" applyFill="1" applyBorder="1" applyAlignment="1">
      <alignment horizontal="center"/>
    </xf>
    <xf numFmtId="9" fontId="0" fillId="0" borderId="0" xfId="42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/>
    <xf numFmtId="9" fontId="32" fillId="0" borderId="10" xfId="42" applyFont="1" applyFill="1" applyBorder="1" applyAlignment="1">
      <alignment horizontal="center"/>
    </xf>
    <xf numFmtId="9" fontId="0" fillId="0" borderId="10" xfId="42" applyFont="1" applyFill="1" applyBorder="1" applyAlignment="1">
      <alignment horizontal="center"/>
    </xf>
    <xf numFmtId="9" fontId="32" fillId="0" borderId="0" xfId="42" applyFont="1" applyFill="1" applyBorder="1" applyAlignment="1">
      <alignment horizontal="center"/>
    </xf>
    <xf numFmtId="9" fontId="0" fillId="0" borderId="0" xfId="42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32" fillId="0" borderId="11" xfId="0" applyNumberFormat="1" applyFont="1" applyFill="1" applyBorder="1" applyAlignment="1">
      <alignment horizontal="center"/>
    </xf>
    <xf numFmtId="9" fontId="32" fillId="0" borderId="11" xfId="42" applyFont="1" applyFill="1" applyBorder="1" applyAlignment="1">
      <alignment horizontal="center"/>
    </xf>
    <xf numFmtId="9" fontId="0" fillId="0" borderId="11" xfId="42" applyFont="1" applyFill="1" applyBorder="1" applyAlignment="1">
      <alignment horizontal="center"/>
    </xf>
    <xf numFmtId="9" fontId="32" fillId="0" borderId="10" xfId="42" applyFont="1" applyFill="1" applyBorder="1" applyAlignment="1">
      <alignment horizontal="center" vertical="center"/>
    </xf>
    <xf numFmtId="9" fontId="32" fillId="0" borderId="0" xfId="42" applyFont="1" applyFill="1" applyBorder="1" applyAlignment="1">
      <alignment horizontal="center" vertical="center"/>
    </xf>
    <xf numFmtId="9" fontId="32" fillId="0" borderId="11" xfId="42" applyFont="1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20" fillId="33" borderId="0" xfId="0" applyFont="1" applyFill="1" applyBorder="1" applyAlignment="1">
      <alignment horizontal="center" vertical="center"/>
    </xf>
    <xf numFmtId="0" fontId="40" fillId="0" borderId="0" xfId="0" applyFont="1" applyAlignment="1">
      <alignment horizontal="center"/>
    </xf>
    <xf numFmtId="0" fontId="32" fillId="39" borderId="20" xfId="0" applyFont="1" applyFill="1" applyBorder="1" applyAlignment="1">
      <alignment horizontal="center" vertical="center"/>
    </xf>
    <xf numFmtId="0" fontId="32" fillId="33" borderId="2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9" fontId="0" fillId="0" borderId="10" xfId="42" applyFont="1" applyBorder="1" applyAlignment="1">
      <alignment horizontal="center"/>
    </xf>
    <xf numFmtId="9" fontId="0" fillId="0" borderId="0" xfId="42" applyFont="1" applyBorder="1" applyAlignment="1">
      <alignment horizontal="center"/>
    </xf>
    <xf numFmtId="9" fontId="0" fillId="0" borderId="0" xfId="0" applyNumberFormat="1"/>
    <xf numFmtId="0" fontId="0" fillId="0" borderId="20" xfId="0" applyBorder="1" applyAlignment="1">
      <alignment horizontal="center" vertical="center"/>
    </xf>
    <xf numFmtId="0" fontId="0" fillId="0" borderId="20" xfId="0" applyFill="1" applyBorder="1" applyAlignment="1">
      <alignment horizontal="center"/>
    </xf>
    <xf numFmtId="0" fontId="0" fillId="42" borderId="10" xfId="0" applyFill="1" applyBorder="1" applyAlignment="1">
      <alignment horizontal="center"/>
    </xf>
    <xf numFmtId="0" fontId="0" fillId="42" borderId="0" xfId="0" applyFill="1" applyBorder="1" applyAlignment="1">
      <alignment horizontal="center"/>
    </xf>
    <xf numFmtId="0" fontId="14" fillId="34" borderId="0" xfId="0" applyFont="1" applyFill="1" applyBorder="1" applyAlignment="1">
      <alignment horizontal="center"/>
    </xf>
    <xf numFmtId="0" fontId="32" fillId="0" borderId="20" xfId="0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/>
    </xf>
    <xf numFmtId="1" fontId="38" fillId="34" borderId="0" xfId="0" applyNumberFormat="1" applyFont="1" applyFill="1" applyBorder="1" applyAlignment="1">
      <alignment horizontal="center"/>
    </xf>
    <xf numFmtId="1" fontId="16" fillId="0" borderId="11" xfId="0" applyNumberFormat="1" applyFont="1" applyFill="1" applyBorder="1" applyAlignment="1">
      <alignment horizontal="center"/>
    </xf>
    <xf numFmtId="0" fontId="0" fillId="42" borderId="10" xfId="0" applyFont="1" applyFill="1" applyBorder="1" applyAlignment="1">
      <alignment horizontal="center"/>
    </xf>
    <xf numFmtId="9" fontId="1" fillId="42" borderId="10" xfId="42" applyFont="1" applyFill="1" applyBorder="1" applyAlignment="1">
      <alignment horizontal="center"/>
    </xf>
    <xf numFmtId="0" fontId="16" fillId="42" borderId="10" xfId="0" applyFont="1" applyFill="1" applyBorder="1" applyAlignment="1">
      <alignment horizontal="center"/>
    </xf>
    <xf numFmtId="9" fontId="0" fillId="42" borderId="10" xfId="42" applyFont="1" applyFill="1" applyBorder="1" applyAlignment="1">
      <alignment horizontal="center"/>
    </xf>
    <xf numFmtId="0" fontId="0" fillId="42" borderId="0" xfId="0" applyFont="1" applyFill="1" applyBorder="1" applyAlignment="1">
      <alignment horizontal="center"/>
    </xf>
    <xf numFmtId="9" fontId="1" fillId="42" borderId="0" xfId="42" applyFont="1" applyFill="1" applyBorder="1" applyAlignment="1">
      <alignment horizontal="center"/>
    </xf>
    <xf numFmtId="9" fontId="0" fillId="42" borderId="0" xfId="42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9" fontId="1" fillId="0" borderId="0" xfId="42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9" fontId="14" fillId="34" borderId="0" xfId="42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9" fontId="1" fillId="0" borderId="11" xfId="42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709084</xdr:colOff>
      <xdr:row>29</xdr:row>
      <xdr:rowOff>148166</xdr:rowOff>
    </xdr:from>
    <xdr:ext cx="2032000" cy="465668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FFBED93-DD02-4751-84DF-E2536D7ED4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51" y="5937249"/>
          <a:ext cx="2032000" cy="465668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38</xdr:row>
      <xdr:rowOff>0</xdr:rowOff>
    </xdr:from>
    <xdr:ext cx="314325" cy="304800"/>
    <xdr:sp macro="" textlink="">
      <xdr:nvSpPr>
        <xdr:cNvPr id="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4DB44B6-BC7B-4445-8712-D637A80C5037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38</xdr:row>
      <xdr:rowOff>0</xdr:rowOff>
    </xdr:from>
    <xdr:ext cx="314325" cy="304800"/>
    <xdr:sp macro="" textlink="">
      <xdr:nvSpPr>
        <xdr:cNvPr id="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AA2AC23-AB5D-45FC-8818-255C9FF761DC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314325" cy="304800"/>
    <xdr:sp macro="" textlink="">
      <xdr:nvSpPr>
        <xdr:cNvPr id="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BBD1F85-6449-4180-BE65-FDC2E26D1827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38</xdr:row>
      <xdr:rowOff>0</xdr:rowOff>
    </xdr:from>
    <xdr:ext cx="314325" cy="304800"/>
    <xdr:sp macro="" textlink="">
      <xdr:nvSpPr>
        <xdr:cNvPr id="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C6A0D8B-EB1E-4A20-BA70-20F22C12677C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38</xdr:row>
      <xdr:rowOff>0</xdr:rowOff>
    </xdr:from>
    <xdr:ext cx="314325" cy="304800"/>
    <xdr:sp macro="" textlink="">
      <xdr:nvSpPr>
        <xdr:cNvPr id="1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F6EB5E2-A5FA-4CA1-8CE4-5B0185A52E9C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38</xdr:row>
      <xdr:rowOff>0</xdr:rowOff>
    </xdr:from>
    <xdr:ext cx="314325" cy="304800"/>
    <xdr:sp macro="" textlink="">
      <xdr:nvSpPr>
        <xdr:cNvPr id="1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D7FDA98-B223-43D1-88DF-931702D2D483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38</xdr:row>
      <xdr:rowOff>0</xdr:rowOff>
    </xdr:from>
    <xdr:ext cx="314325" cy="304800"/>
    <xdr:sp macro="" textlink="">
      <xdr:nvSpPr>
        <xdr:cNvPr id="1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657511D-6D53-441B-A653-72DACDEE27CD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1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CA35782-99EB-4B87-9003-0580E854DAFD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1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0EDDCA8-77A4-40E0-9865-4D3C329ABBA1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1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8BB8777-BD29-4780-AEC0-A8EEA6238D1E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1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74B3771-CA78-45A8-A2D8-55AD7CC4B143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1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7B09466-9BCC-4D83-A2A8-C3136F0578BD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1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9EC9AB7-94D7-4DD4-A95A-4911DE8D39D3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1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2385F7F-10FD-4EE4-9579-2FED5C9BEB10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2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8308364-5304-4146-A9F8-8C2A1CBCCD46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2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E19530C-73A5-4C85-80D7-AEB70B23A5A7}"/>
            </a:ext>
          </a:extLst>
        </xdr:cNvPr>
        <xdr:cNvSpPr/>
      </xdr:nvSpPr>
      <xdr:spPr>
        <a:xfrm>
          <a:off x="651700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43</xdr:row>
      <xdr:rowOff>0</xdr:rowOff>
    </xdr:from>
    <xdr:ext cx="314325" cy="304800"/>
    <xdr:sp macro="" textlink="">
      <xdr:nvSpPr>
        <xdr:cNvPr id="2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B5D6D1B-E460-47B9-86BB-31DE39DA136D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44</xdr:row>
      <xdr:rowOff>0</xdr:rowOff>
    </xdr:from>
    <xdr:ext cx="314325" cy="304800"/>
    <xdr:sp macro="" textlink="">
      <xdr:nvSpPr>
        <xdr:cNvPr id="2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E9C133B-466B-4160-BBE0-E00EDDA71EBD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45</xdr:row>
      <xdr:rowOff>0</xdr:rowOff>
    </xdr:from>
    <xdr:ext cx="314325" cy="304800"/>
    <xdr:sp macro="" textlink="">
      <xdr:nvSpPr>
        <xdr:cNvPr id="2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D274494-B3BA-44BC-A8FE-EEBFFEED5847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45</xdr:row>
      <xdr:rowOff>0</xdr:rowOff>
    </xdr:from>
    <xdr:ext cx="314325" cy="304800"/>
    <xdr:sp macro="" textlink="">
      <xdr:nvSpPr>
        <xdr:cNvPr id="2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EFA5879-231A-4FA2-A06D-D970B9D72093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46</xdr:row>
      <xdr:rowOff>0</xdr:rowOff>
    </xdr:from>
    <xdr:ext cx="314325" cy="304800"/>
    <xdr:sp macro="" textlink="">
      <xdr:nvSpPr>
        <xdr:cNvPr id="2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C8E28F7-A1F8-40F3-B888-36F3FFD6F142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46</xdr:row>
      <xdr:rowOff>0</xdr:rowOff>
    </xdr:from>
    <xdr:ext cx="314325" cy="304800"/>
    <xdr:sp macro="" textlink="">
      <xdr:nvSpPr>
        <xdr:cNvPr id="2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21FD9D2-99E5-434A-AE0A-1CAED1FBBFA5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47</xdr:row>
      <xdr:rowOff>0</xdr:rowOff>
    </xdr:from>
    <xdr:ext cx="314325" cy="304800"/>
    <xdr:sp macro="" textlink="">
      <xdr:nvSpPr>
        <xdr:cNvPr id="2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433A5D9-BAC9-42D0-B49E-FDD9F241ACE5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0</xdr:rowOff>
    </xdr:from>
    <xdr:ext cx="314325" cy="304800"/>
    <xdr:sp macro="" textlink="">
      <xdr:nvSpPr>
        <xdr:cNvPr id="3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FAD9001-29A0-4F64-A607-A074D1F87F95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44</xdr:row>
      <xdr:rowOff>0</xdr:rowOff>
    </xdr:from>
    <xdr:ext cx="314325" cy="304800"/>
    <xdr:sp macro="" textlink="">
      <xdr:nvSpPr>
        <xdr:cNvPr id="3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B9F6512-3EE9-4E4F-98EE-3B85CCBABDF5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0</xdr:rowOff>
    </xdr:from>
    <xdr:ext cx="314325" cy="304800"/>
    <xdr:sp macro="" textlink="">
      <xdr:nvSpPr>
        <xdr:cNvPr id="3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1E45A17-EB3F-4560-8188-E075F9C0B9B9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0</xdr:rowOff>
    </xdr:from>
    <xdr:ext cx="314325" cy="304800"/>
    <xdr:sp macro="" textlink="">
      <xdr:nvSpPr>
        <xdr:cNvPr id="3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F18694E-EE4E-41D7-8417-26157C8E9D69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0</xdr:rowOff>
    </xdr:from>
    <xdr:ext cx="314325" cy="304800"/>
    <xdr:sp macro="" textlink="">
      <xdr:nvSpPr>
        <xdr:cNvPr id="3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DD5A427-F40D-4901-8890-FBA2EDE63F9D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0</xdr:rowOff>
    </xdr:from>
    <xdr:ext cx="314325" cy="304800"/>
    <xdr:sp macro="" textlink="">
      <xdr:nvSpPr>
        <xdr:cNvPr id="3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57FE50A-B63F-4BDD-974A-A89D54101797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38</xdr:row>
      <xdr:rowOff>0</xdr:rowOff>
    </xdr:from>
    <xdr:ext cx="314325" cy="304800"/>
    <xdr:sp macro="" textlink="">
      <xdr:nvSpPr>
        <xdr:cNvPr id="3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76E86B3-24B7-4EFA-B535-18F3BCE71315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43</xdr:row>
      <xdr:rowOff>0</xdr:rowOff>
    </xdr:from>
    <xdr:ext cx="314325" cy="304800"/>
    <xdr:sp macro="" textlink="">
      <xdr:nvSpPr>
        <xdr:cNvPr id="3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D8029EF-5B74-404B-9C4A-10396051FC84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44</xdr:row>
      <xdr:rowOff>0</xdr:rowOff>
    </xdr:from>
    <xdr:ext cx="314325" cy="304800"/>
    <xdr:sp macro="" textlink="">
      <xdr:nvSpPr>
        <xdr:cNvPr id="3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9688698-E5E8-478A-A00B-6806CF3F0280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45</xdr:row>
      <xdr:rowOff>0</xdr:rowOff>
    </xdr:from>
    <xdr:ext cx="314325" cy="304800"/>
    <xdr:sp macro="" textlink="">
      <xdr:nvSpPr>
        <xdr:cNvPr id="4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2EEA484-56A3-4B11-810F-9E7951AC8D55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45</xdr:row>
      <xdr:rowOff>0</xdr:rowOff>
    </xdr:from>
    <xdr:ext cx="314325" cy="304800"/>
    <xdr:sp macro="" textlink="">
      <xdr:nvSpPr>
        <xdr:cNvPr id="4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173A52B-C60E-4595-A00C-7E094B16EE6F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46</xdr:row>
      <xdr:rowOff>0</xdr:rowOff>
    </xdr:from>
    <xdr:ext cx="314325" cy="304800"/>
    <xdr:sp macro="" textlink="">
      <xdr:nvSpPr>
        <xdr:cNvPr id="4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554BA21-74F0-46AB-BD7A-3F0590415D78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46</xdr:row>
      <xdr:rowOff>0</xdr:rowOff>
    </xdr:from>
    <xdr:ext cx="314325" cy="304800"/>
    <xdr:sp macro="" textlink="">
      <xdr:nvSpPr>
        <xdr:cNvPr id="4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1725111-C91A-4421-91CB-11F2841350C3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47</xdr:row>
      <xdr:rowOff>0</xdr:rowOff>
    </xdr:from>
    <xdr:ext cx="314325" cy="304800"/>
    <xdr:sp macro="" textlink="">
      <xdr:nvSpPr>
        <xdr:cNvPr id="4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EEAB245-136A-430C-A830-2ED3FD42606C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38</xdr:row>
      <xdr:rowOff>0</xdr:rowOff>
    </xdr:from>
    <xdr:ext cx="314325" cy="304800"/>
    <xdr:sp macro="" textlink="">
      <xdr:nvSpPr>
        <xdr:cNvPr id="4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09C1AC7-74B1-4C3B-8135-298099C155B1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43</xdr:row>
      <xdr:rowOff>0</xdr:rowOff>
    </xdr:from>
    <xdr:ext cx="314325" cy="304800"/>
    <xdr:sp macro="" textlink="">
      <xdr:nvSpPr>
        <xdr:cNvPr id="4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1B5CA38-96B2-42FA-A08F-113BDCC6E239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44</xdr:row>
      <xdr:rowOff>0</xdr:rowOff>
    </xdr:from>
    <xdr:ext cx="314325" cy="304800"/>
    <xdr:sp macro="" textlink="">
      <xdr:nvSpPr>
        <xdr:cNvPr id="4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211988B-3F43-4AD7-B113-8923B3A48DC2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45</xdr:row>
      <xdr:rowOff>0</xdr:rowOff>
    </xdr:from>
    <xdr:ext cx="314325" cy="304800"/>
    <xdr:sp macro="" textlink="">
      <xdr:nvSpPr>
        <xdr:cNvPr id="4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626EB90-0F67-403B-9E07-F07F241A5FBD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45</xdr:row>
      <xdr:rowOff>0</xdr:rowOff>
    </xdr:from>
    <xdr:ext cx="314325" cy="304800"/>
    <xdr:sp macro="" textlink="">
      <xdr:nvSpPr>
        <xdr:cNvPr id="4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8E8BFC7-B36D-41EC-8F3D-7F6AD0C18BC0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46</xdr:row>
      <xdr:rowOff>0</xdr:rowOff>
    </xdr:from>
    <xdr:ext cx="314325" cy="304800"/>
    <xdr:sp macro="" textlink="">
      <xdr:nvSpPr>
        <xdr:cNvPr id="5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D3BDB26-4466-4D7E-86AC-67B9D7BF95AD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46</xdr:row>
      <xdr:rowOff>0</xdr:rowOff>
    </xdr:from>
    <xdr:ext cx="314325" cy="304800"/>
    <xdr:sp macro="" textlink="">
      <xdr:nvSpPr>
        <xdr:cNvPr id="5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4F6E7F9-0DDF-4A66-988E-6C9056F46565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47</xdr:row>
      <xdr:rowOff>0</xdr:rowOff>
    </xdr:from>
    <xdr:ext cx="314325" cy="304800"/>
    <xdr:sp macro="" textlink="">
      <xdr:nvSpPr>
        <xdr:cNvPr id="5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087F096-1A2F-447B-A710-1DAD4E899CE2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314325" cy="304800"/>
    <xdr:sp macro="" textlink="">
      <xdr:nvSpPr>
        <xdr:cNvPr id="5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98AAFB2-A938-4705-AFA6-A44BF391351F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314325" cy="304800"/>
    <xdr:sp macro="" textlink="">
      <xdr:nvSpPr>
        <xdr:cNvPr id="5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651A26E-AD74-42F1-9535-7F4D70479049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44</xdr:row>
      <xdr:rowOff>0</xdr:rowOff>
    </xdr:from>
    <xdr:ext cx="314325" cy="304800"/>
    <xdr:sp macro="" textlink="">
      <xdr:nvSpPr>
        <xdr:cNvPr id="5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65FB186-5071-45C5-9673-0D202F44F99B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0</xdr:rowOff>
    </xdr:from>
    <xdr:ext cx="314325" cy="304800"/>
    <xdr:sp macro="" textlink="">
      <xdr:nvSpPr>
        <xdr:cNvPr id="5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9551A07-B361-4579-B9DE-AEAC8E171015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0</xdr:rowOff>
    </xdr:from>
    <xdr:ext cx="314325" cy="304800"/>
    <xdr:sp macro="" textlink="">
      <xdr:nvSpPr>
        <xdr:cNvPr id="5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D49BB6C-08BD-45CB-BEEB-0E5340F70A04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46</xdr:row>
      <xdr:rowOff>0</xdr:rowOff>
    </xdr:from>
    <xdr:ext cx="314325" cy="304800"/>
    <xdr:sp macro="" textlink="">
      <xdr:nvSpPr>
        <xdr:cNvPr id="5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F6655D4-39E3-4965-A88C-078966A342AD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46</xdr:row>
      <xdr:rowOff>0</xdr:rowOff>
    </xdr:from>
    <xdr:ext cx="314325" cy="304800"/>
    <xdr:sp macro="" textlink="">
      <xdr:nvSpPr>
        <xdr:cNvPr id="5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56E49C6-CA36-4AE1-AA61-A9E17DA5DC42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0</xdr:rowOff>
    </xdr:from>
    <xdr:ext cx="314325" cy="304800"/>
    <xdr:sp macro="" textlink="">
      <xdr:nvSpPr>
        <xdr:cNvPr id="6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8A198B8-E762-460B-8507-B1006CDD4DC2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38</xdr:row>
      <xdr:rowOff>0</xdr:rowOff>
    </xdr:from>
    <xdr:ext cx="314325" cy="304800"/>
    <xdr:sp macro="" textlink="">
      <xdr:nvSpPr>
        <xdr:cNvPr id="6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3601AA5-5BC8-43FB-9A04-7AB1AB8064E5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43</xdr:row>
      <xdr:rowOff>0</xdr:rowOff>
    </xdr:from>
    <xdr:ext cx="314325" cy="304800"/>
    <xdr:sp macro="" textlink="">
      <xdr:nvSpPr>
        <xdr:cNvPr id="6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11E186F-1D10-40ED-B422-8A8A0EAD184B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44</xdr:row>
      <xdr:rowOff>0</xdr:rowOff>
    </xdr:from>
    <xdr:ext cx="314325" cy="304800"/>
    <xdr:sp macro="" textlink="">
      <xdr:nvSpPr>
        <xdr:cNvPr id="6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0BCAC1F-A71B-45FD-965D-AAA9FC8699AB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45</xdr:row>
      <xdr:rowOff>0</xdr:rowOff>
    </xdr:from>
    <xdr:ext cx="314325" cy="304800"/>
    <xdr:sp macro="" textlink="">
      <xdr:nvSpPr>
        <xdr:cNvPr id="6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A3B3D94-117D-46A7-B388-9076EB3FC056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45</xdr:row>
      <xdr:rowOff>0</xdr:rowOff>
    </xdr:from>
    <xdr:ext cx="314325" cy="304800"/>
    <xdr:sp macro="" textlink="">
      <xdr:nvSpPr>
        <xdr:cNvPr id="6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A40E5DD-C6E1-4B5E-A28A-B8C52656CDD7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46</xdr:row>
      <xdr:rowOff>0</xdr:rowOff>
    </xdr:from>
    <xdr:ext cx="314325" cy="304800"/>
    <xdr:sp macro="" textlink="">
      <xdr:nvSpPr>
        <xdr:cNvPr id="6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CE0F96A-6765-46C5-B66D-0EE2F620DC81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46</xdr:row>
      <xdr:rowOff>0</xdr:rowOff>
    </xdr:from>
    <xdr:ext cx="314325" cy="304800"/>
    <xdr:sp macro="" textlink="">
      <xdr:nvSpPr>
        <xdr:cNvPr id="6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530D069-EB38-4E4B-810B-B9C737F5AD96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47</xdr:row>
      <xdr:rowOff>0</xdr:rowOff>
    </xdr:from>
    <xdr:ext cx="314325" cy="304800"/>
    <xdr:sp macro="" textlink="">
      <xdr:nvSpPr>
        <xdr:cNvPr id="6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0CBA58B-2EE0-49FA-83A8-C0DB9A5E5A87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38</xdr:row>
      <xdr:rowOff>0</xdr:rowOff>
    </xdr:from>
    <xdr:ext cx="314325" cy="304800"/>
    <xdr:sp macro="" textlink="">
      <xdr:nvSpPr>
        <xdr:cNvPr id="6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386E6BF-1F7E-4252-9E73-BF31CB018051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43</xdr:row>
      <xdr:rowOff>0</xdr:rowOff>
    </xdr:from>
    <xdr:ext cx="314325" cy="304800"/>
    <xdr:sp macro="" textlink="">
      <xdr:nvSpPr>
        <xdr:cNvPr id="7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5188AFF-7FA7-495A-83D5-D417CADDBD6B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44</xdr:row>
      <xdr:rowOff>0</xdr:rowOff>
    </xdr:from>
    <xdr:ext cx="314325" cy="304800"/>
    <xdr:sp macro="" textlink="">
      <xdr:nvSpPr>
        <xdr:cNvPr id="7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BE12F00-C956-46F6-9C93-8F652730B821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45</xdr:row>
      <xdr:rowOff>0</xdr:rowOff>
    </xdr:from>
    <xdr:ext cx="314325" cy="304800"/>
    <xdr:sp macro="" textlink="">
      <xdr:nvSpPr>
        <xdr:cNvPr id="7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036C9BF-9CFC-47EF-AE06-2378ECAA68D6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45</xdr:row>
      <xdr:rowOff>0</xdr:rowOff>
    </xdr:from>
    <xdr:ext cx="314325" cy="304800"/>
    <xdr:sp macro="" textlink="">
      <xdr:nvSpPr>
        <xdr:cNvPr id="7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CE9AE49-1D8F-486C-9068-66B060C55732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46</xdr:row>
      <xdr:rowOff>0</xdr:rowOff>
    </xdr:from>
    <xdr:ext cx="314325" cy="304800"/>
    <xdr:sp macro="" textlink="">
      <xdr:nvSpPr>
        <xdr:cNvPr id="7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CC0DDE1-AC56-4921-A41C-4C181203A0C7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46</xdr:row>
      <xdr:rowOff>0</xdr:rowOff>
    </xdr:from>
    <xdr:ext cx="314325" cy="304800"/>
    <xdr:sp macro="" textlink="">
      <xdr:nvSpPr>
        <xdr:cNvPr id="7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3942913-4BED-4115-972F-E85946A53575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47</xdr:row>
      <xdr:rowOff>0</xdr:rowOff>
    </xdr:from>
    <xdr:ext cx="314325" cy="304800"/>
    <xdr:sp macro="" textlink="">
      <xdr:nvSpPr>
        <xdr:cNvPr id="7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C25CAFB-DFCE-4127-8C94-736A344387FF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38</xdr:row>
      <xdr:rowOff>0</xdr:rowOff>
    </xdr:from>
    <xdr:ext cx="314325" cy="304800"/>
    <xdr:sp macro="" textlink="">
      <xdr:nvSpPr>
        <xdr:cNvPr id="7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EB4EFEA-489E-4335-A826-CB89927FDEC8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43</xdr:row>
      <xdr:rowOff>0</xdr:rowOff>
    </xdr:from>
    <xdr:ext cx="314325" cy="304800"/>
    <xdr:sp macro="" textlink="">
      <xdr:nvSpPr>
        <xdr:cNvPr id="7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060777D-2732-42FA-A712-B9DE21F4108F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44</xdr:row>
      <xdr:rowOff>0</xdr:rowOff>
    </xdr:from>
    <xdr:ext cx="314325" cy="304800"/>
    <xdr:sp macro="" textlink="">
      <xdr:nvSpPr>
        <xdr:cNvPr id="7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1FDD50F-FFAF-4B2C-8DCC-038CC5F7125A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45</xdr:row>
      <xdr:rowOff>0</xdr:rowOff>
    </xdr:from>
    <xdr:ext cx="314325" cy="304800"/>
    <xdr:sp macro="" textlink="">
      <xdr:nvSpPr>
        <xdr:cNvPr id="8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1366CE6-A1C9-4108-9321-3D066AC68D45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45</xdr:row>
      <xdr:rowOff>0</xdr:rowOff>
    </xdr:from>
    <xdr:ext cx="314325" cy="304800"/>
    <xdr:sp macro="" textlink="">
      <xdr:nvSpPr>
        <xdr:cNvPr id="8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19973A1-5905-41D4-8D7A-E8A731A2158A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46</xdr:row>
      <xdr:rowOff>0</xdr:rowOff>
    </xdr:from>
    <xdr:ext cx="314325" cy="304800"/>
    <xdr:sp macro="" textlink="">
      <xdr:nvSpPr>
        <xdr:cNvPr id="8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20B76EF-0859-43CE-987D-B7C68020534A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46</xdr:row>
      <xdr:rowOff>0</xdr:rowOff>
    </xdr:from>
    <xdr:ext cx="314325" cy="304800"/>
    <xdr:sp macro="" textlink="">
      <xdr:nvSpPr>
        <xdr:cNvPr id="8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6B57A67-7291-4A1F-8763-B1FE36D87DBE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47</xdr:row>
      <xdr:rowOff>0</xdr:rowOff>
    </xdr:from>
    <xdr:ext cx="314325" cy="304800"/>
    <xdr:sp macro="" textlink="">
      <xdr:nvSpPr>
        <xdr:cNvPr id="8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DB7A5D6-36CB-4790-9E07-BA4F0017958A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38</xdr:row>
      <xdr:rowOff>0</xdr:rowOff>
    </xdr:from>
    <xdr:ext cx="314325" cy="304800"/>
    <xdr:sp macro="" textlink="">
      <xdr:nvSpPr>
        <xdr:cNvPr id="8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7BF488E-296E-4214-9812-39429F869AB8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43</xdr:row>
      <xdr:rowOff>0</xdr:rowOff>
    </xdr:from>
    <xdr:ext cx="314325" cy="304800"/>
    <xdr:sp macro="" textlink="">
      <xdr:nvSpPr>
        <xdr:cNvPr id="8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ADCD9D4-140A-4B83-A27C-6F4553F4E4A7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44</xdr:row>
      <xdr:rowOff>0</xdr:rowOff>
    </xdr:from>
    <xdr:ext cx="314325" cy="304800"/>
    <xdr:sp macro="" textlink="">
      <xdr:nvSpPr>
        <xdr:cNvPr id="8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C217763-5CE2-40CA-8CFA-39CD3753FB18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45</xdr:row>
      <xdr:rowOff>0</xdr:rowOff>
    </xdr:from>
    <xdr:ext cx="314325" cy="304800"/>
    <xdr:sp macro="" textlink="">
      <xdr:nvSpPr>
        <xdr:cNvPr id="8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9BF0471-D611-4CA1-BCD9-FF305B636DDA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45</xdr:row>
      <xdr:rowOff>0</xdr:rowOff>
    </xdr:from>
    <xdr:ext cx="314325" cy="304800"/>
    <xdr:sp macro="" textlink="">
      <xdr:nvSpPr>
        <xdr:cNvPr id="8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F69B84C-83AC-47D1-BAF3-5F72ECEFF91B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46</xdr:row>
      <xdr:rowOff>0</xdr:rowOff>
    </xdr:from>
    <xdr:ext cx="314325" cy="304800"/>
    <xdr:sp macro="" textlink="">
      <xdr:nvSpPr>
        <xdr:cNvPr id="9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7E2D8B0-4595-4661-8403-EC4302E93503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46</xdr:row>
      <xdr:rowOff>0</xdr:rowOff>
    </xdr:from>
    <xdr:ext cx="314325" cy="304800"/>
    <xdr:sp macro="" textlink="">
      <xdr:nvSpPr>
        <xdr:cNvPr id="9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5B19F63-1477-4DC5-84EB-0C5A89B63A05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47</xdr:row>
      <xdr:rowOff>0</xdr:rowOff>
    </xdr:from>
    <xdr:ext cx="314325" cy="304800"/>
    <xdr:sp macro="" textlink="">
      <xdr:nvSpPr>
        <xdr:cNvPr id="9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154885F-CCB0-4331-9E40-A6AF192EB8FD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9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797F901-F420-4BA5-9CF2-557EC9E61D93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43</xdr:row>
      <xdr:rowOff>0</xdr:rowOff>
    </xdr:from>
    <xdr:ext cx="314325" cy="304800"/>
    <xdr:sp macro="" textlink="">
      <xdr:nvSpPr>
        <xdr:cNvPr id="9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6944745-035E-4A80-A158-866D391CB7D2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44</xdr:row>
      <xdr:rowOff>0</xdr:rowOff>
    </xdr:from>
    <xdr:ext cx="314325" cy="304800"/>
    <xdr:sp macro="" textlink="">
      <xdr:nvSpPr>
        <xdr:cNvPr id="9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9469D6F-BEA1-4307-B234-91A6212F3813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45</xdr:row>
      <xdr:rowOff>0</xdr:rowOff>
    </xdr:from>
    <xdr:ext cx="314325" cy="304800"/>
    <xdr:sp macro="" textlink="">
      <xdr:nvSpPr>
        <xdr:cNvPr id="9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433F3E4-BF75-4224-B1FE-F35CC7289ADD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45</xdr:row>
      <xdr:rowOff>0</xdr:rowOff>
    </xdr:from>
    <xdr:ext cx="314325" cy="304800"/>
    <xdr:sp macro="" textlink="">
      <xdr:nvSpPr>
        <xdr:cNvPr id="9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CDB9DFD-65E3-4E7A-A4C1-84C71DDCDE90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46</xdr:row>
      <xdr:rowOff>0</xdr:rowOff>
    </xdr:from>
    <xdr:ext cx="314325" cy="304800"/>
    <xdr:sp macro="" textlink="">
      <xdr:nvSpPr>
        <xdr:cNvPr id="9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CA9F202-550B-4F0A-BE05-AFB550C65B0A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46</xdr:row>
      <xdr:rowOff>0</xdr:rowOff>
    </xdr:from>
    <xdr:ext cx="314325" cy="304800"/>
    <xdr:sp macro="" textlink="">
      <xdr:nvSpPr>
        <xdr:cNvPr id="9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D6A559B-39C5-4BCC-A1BB-8E41B70330F5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47</xdr:row>
      <xdr:rowOff>0</xdr:rowOff>
    </xdr:from>
    <xdr:ext cx="314325" cy="304800"/>
    <xdr:sp macro="" textlink="">
      <xdr:nvSpPr>
        <xdr:cNvPr id="10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3988C1D-491E-402F-B649-D662A906D82D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10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BBC8245-9D8B-492F-B1EF-84DCDDDC4CFF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43</xdr:row>
      <xdr:rowOff>0</xdr:rowOff>
    </xdr:from>
    <xdr:ext cx="314325" cy="304800"/>
    <xdr:sp macro="" textlink="">
      <xdr:nvSpPr>
        <xdr:cNvPr id="10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6BBB22F-8231-4AD1-8D08-F779B035A37A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44</xdr:row>
      <xdr:rowOff>0</xdr:rowOff>
    </xdr:from>
    <xdr:ext cx="314325" cy="304800"/>
    <xdr:sp macro="" textlink="">
      <xdr:nvSpPr>
        <xdr:cNvPr id="10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10F31B1-6B6D-40D5-B7FE-1FB0600EEA67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45</xdr:row>
      <xdr:rowOff>0</xdr:rowOff>
    </xdr:from>
    <xdr:ext cx="314325" cy="304800"/>
    <xdr:sp macro="" textlink="">
      <xdr:nvSpPr>
        <xdr:cNvPr id="10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AB4689E-BD2B-4F5F-8E2F-A898AAB50715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45</xdr:row>
      <xdr:rowOff>0</xdr:rowOff>
    </xdr:from>
    <xdr:ext cx="314325" cy="304800"/>
    <xdr:sp macro="" textlink="">
      <xdr:nvSpPr>
        <xdr:cNvPr id="10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33B20F2-5FA3-4AC8-9FF5-A4668298430E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46</xdr:row>
      <xdr:rowOff>0</xdr:rowOff>
    </xdr:from>
    <xdr:ext cx="314325" cy="304800"/>
    <xdr:sp macro="" textlink="">
      <xdr:nvSpPr>
        <xdr:cNvPr id="10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1CC3450-2180-49FF-BE31-3FB6B7B6EE26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46</xdr:row>
      <xdr:rowOff>0</xdr:rowOff>
    </xdr:from>
    <xdr:ext cx="314325" cy="304800"/>
    <xdr:sp macro="" textlink="">
      <xdr:nvSpPr>
        <xdr:cNvPr id="10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3F05F2E-200D-45A0-A65E-D7B8C2F825F2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47</xdr:row>
      <xdr:rowOff>0</xdr:rowOff>
    </xdr:from>
    <xdr:ext cx="314325" cy="304800"/>
    <xdr:sp macro="" textlink="">
      <xdr:nvSpPr>
        <xdr:cNvPr id="10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3D144F1-40A6-4AC3-9941-5AD3B76D6534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10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87148AF-454B-474B-B107-ED7DE28E71C0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43</xdr:row>
      <xdr:rowOff>0</xdr:rowOff>
    </xdr:from>
    <xdr:ext cx="314325" cy="304800"/>
    <xdr:sp macro="" textlink="">
      <xdr:nvSpPr>
        <xdr:cNvPr id="11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9F35E9C-5727-476C-A2F4-3EDEAB46F748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44</xdr:row>
      <xdr:rowOff>0</xdr:rowOff>
    </xdr:from>
    <xdr:ext cx="314325" cy="304800"/>
    <xdr:sp macro="" textlink="">
      <xdr:nvSpPr>
        <xdr:cNvPr id="11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2A3E316-1ADB-4081-9F64-C8063E5C4D6F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45</xdr:row>
      <xdr:rowOff>0</xdr:rowOff>
    </xdr:from>
    <xdr:ext cx="314325" cy="304800"/>
    <xdr:sp macro="" textlink="">
      <xdr:nvSpPr>
        <xdr:cNvPr id="11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DBFBC1D-B208-4A9F-8A5C-C824C5E33637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45</xdr:row>
      <xdr:rowOff>0</xdr:rowOff>
    </xdr:from>
    <xdr:ext cx="314325" cy="304800"/>
    <xdr:sp macro="" textlink="">
      <xdr:nvSpPr>
        <xdr:cNvPr id="11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1E0E41D-95B1-4BCB-825F-283CFA124DF6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46</xdr:row>
      <xdr:rowOff>0</xdr:rowOff>
    </xdr:from>
    <xdr:ext cx="314325" cy="304800"/>
    <xdr:sp macro="" textlink="">
      <xdr:nvSpPr>
        <xdr:cNvPr id="11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B45D46C-512F-4863-A972-A53DA7D6699A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46</xdr:row>
      <xdr:rowOff>0</xdr:rowOff>
    </xdr:from>
    <xdr:ext cx="314325" cy="304800"/>
    <xdr:sp macro="" textlink="">
      <xdr:nvSpPr>
        <xdr:cNvPr id="11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03C9364-1DB5-4033-89F9-C0DBA9117CFC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47</xdr:row>
      <xdr:rowOff>0</xdr:rowOff>
    </xdr:from>
    <xdr:ext cx="314325" cy="304800"/>
    <xdr:sp macro="" textlink="">
      <xdr:nvSpPr>
        <xdr:cNvPr id="11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E5D3287-BA00-4438-BF51-2D17E551854E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11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3ABB395-B476-43C9-8D67-39DC392F96DC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43</xdr:row>
      <xdr:rowOff>0</xdr:rowOff>
    </xdr:from>
    <xdr:ext cx="314325" cy="304800"/>
    <xdr:sp macro="" textlink="">
      <xdr:nvSpPr>
        <xdr:cNvPr id="11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BC34260-5FEB-4D22-9FA7-AC9688CC459A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44</xdr:row>
      <xdr:rowOff>0</xdr:rowOff>
    </xdr:from>
    <xdr:ext cx="314325" cy="304800"/>
    <xdr:sp macro="" textlink="">
      <xdr:nvSpPr>
        <xdr:cNvPr id="11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AA52B19-422F-4CA5-AC57-5F183CE2C160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45</xdr:row>
      <xdr:rowOff>0</xdr:rowOff>
    </xdr:from>
    <xdr:ext cx="314325" cy="304800"/>
    <xdr:sp macro="" textlink="">
      <xdr:nvSpPr>
        <xdr:cNvPr id="12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A1D586B-A053-4E91-836F-8A62903594D8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45</xdr:row>
      <xdr:rowOff>0</xdr:rowOff>
    </xdr:from>
    <xdr:ext cx="314325" cy="304800"/>
    <xdr:sp macro="" textlink="">
      <xdr:nvSpPr>
        <xdr:cNvPr id="12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3CB000F-4C42-4770-926E-DC12C0CC5FD4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46</xdr:row>
      <xdr:rowOff>0</xdr:rowOff>
    </xdr:from>
    <xdr:ext cx="314325" cy="304800"/>
    <xdr:sp macro="" textlink="">
      <xdr:nvSpPr>
        <xdr:cNvPr id="12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405DDC9-42FC-4CF0-BDB9-9D5C04012A1D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46</xdr:row>
      <xdr:rowOff>0</xdr:rowOff>
    </xdr:from>
    <xdr:ext cx="314325" cy="304800"/>
    <xdr:sp macro="" textlink="">
      <xdr:nvSpPr>
        <xdr:cNvPr id="12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909B473-6039-42C9-ACFE-EBB20F271145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47</xdr:row>
      <xdr:rowOff>0</xdr:rowOff>
    </xdr:from>
    <xdr:ext cx="314325" cy="304800"/>
    <xdr:sp macro="" textlink="">
      <xdr:nvSpPr>
        <xdr:cNvPr id="12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D01D8A5-1E14-434E-9A7E-601403AE4AD3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12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F92CCB5-143C-4616-8A16-A903AF538761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43</xdr:row>
      <xdr:rowOff>0</xdr:rowOff>
    </xdr:from>
    <xdr:ext cx="314325" cy="304800"/>
    <xdr:sp macro="" textlink="">
      <xdr:nvSpPr>
        <xdr:cNvPr id="12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BA820A8-E305-41F1-85A9-A68BE84B60BE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44</xdr:row>
      <xdr:rowOff>0</xdr:rowOff>
    </xdr:from>
    <xdr:ext cx="314325" cy="304800"/>
    <xdr:sp macro="" textlink="">
      <xdr:nvSpPr>
        <xdr:cNvPr id="12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9462300-7BDE-49E1-9AF3-22B63DF90632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45</xdr:row>
      <xdr:rowOff>0</xdr:rowOff>
    </xdr:from>
    <xdr:ext cx="314325" cy="304800"/>
    <xdr:sp macro="" textlink="">
      <xdr:nvSpPr>
        <xdr:cNvPr id="12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F0BD61E-D128-4B3B-9635-AA8E93925506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45</xdr:row>
      <xdr:rowOff>0</xdr:rowOff>
    </xdr:from>
    <xdr:ext cx="314325" cy="304800"/>
    <xdr:sp macro="" textlink="">
      <xdr:nvSpPr>
        <xdr:cNvPr id="12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1BE5608-FAEC-4FC8-A0AC-439598183F13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46</xdr:row>
      <xdr:rowOff>0</xdr:rowOff>
    </xdr:from>
    <xdr:ext cx="314325" cy="304800"/>
    <xdr:sp macro="" textlink="">
      <xdr:nvSpPr>
        <xdr:cNvPr id="13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B1134D6-795B-4EBE-96A0-345C614E45D1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46</xdr:row>
      <xdr:rowOff>0</xdr:rowOff>
    </xdr:from>
    <xdr:ext cx="314325" cy="304800"/>
    <xdr:sp macro="" textlink="">
      <xdr:nvSpPr>
        <xdr:cNvPr id="13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1CD1B60-D041-462B-A426-FF894DDFAFE7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47</xdr:row>
      <xdr:rowOff>0</xdr:rowOff>
    </xdr:from>
    <xdr:ext cx="314325" cy="304800"/>
    <xdr:sp macro="" textlink="">
      <xdr:nvSpPr>
        <xdr:cNvPr id="13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F5C2256-0228-46CA-886B-7A423EF446D4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13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8FDD73C-D74A-4632-B421-24508CA98EA0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43</xdr:row>
      <xdr:rowOff>0</xdr:rowOff>
    </xdr:from>
    <xdr:ext cx="314325" cy="304800"/>
    <xdr:sp macro="" textlink="">
      <xdr:nvSpPr>
        <xdr:cNvPr id="13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0281FB9-DD05-4352-8C62-F4111D19561A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44</xdr:row>
      <xdr:rowOff>0</xdr:rowOff>
    </xdr:from>
    <xdr:ext cx="314325" cy="304800"/>
    <xdr:sp macro="" textlink="">
      <xdr:nvSpPr>
        <xdr:cNvPr id="13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6D1B0E3-73A1-4D35-8D41-80D4B886AF89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45</xdr:row>
      <xdr:rowOff>0</xdr:rowOff>
    </xdr:from>
    <xdr:ext cx="314325" cy="304800"/>
    <xdr:sp macro="" textlink="">
      <xdr:nvSpPr>
        <xdr:cNvPr id="13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1253F2F-E498-459C-995B-97F53A954BDC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45</xdr:row>
      <xdr:rowOff>0</xdr:rowOff>
    </xdr:from>
    <xdr:ext cx="314325" cy="304800"/>
    <xdr:sp macro="" textlink="">
      <xdr:nvSpPr>
        <xdr:cNvPr id="13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44B54AC-1C9E-43DB-9658-588C1F0F954B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46</xdr:row>
      <xdr:rowOff>0</xdr:rowOff>
    </xdr:from>
    <xdr:ext cx="314325" cy="304800"/>
    <xdr:sp macro="" textlink="">
      <xdr:nvSpPr>
        <xdr:cNvPr id="13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4CEBD21-C314-43A4-B364-22BE592BF0F2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46</xdr:row>
      <xdr:rowOff>0</xdr:rowOff>
    </xdr:from>
    <xdr:ext cx="314325" cy="304800"/>
    <xdr:sp macro="" textlink="">
      <xdr:nvSpPr>
        <xdr:cNvPr id="13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A73F2E9-4B35-4CA7-958A-B8D609DD23B5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47</xdr:row>
      <xdr:rowOff>0</xdr:rowOff>
    </xdr:from>
    <xdr:ext cx="314325" cy="304800"/>
    <xdr:sp macro="" textlink="">
      <xdr:nvSpPr>
        <xdr:cNvPr id="14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596879F-81DA-4ED6-8390-35248A8FD8B0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14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02B6554-AC3D-45A2-AC76-14A384C20265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43</xdr:row>
      <xdr:rowOff>0</xdr:rowOff>
    </xdr:from>
    <xdr:ext cx="314325" cy="304800"/>
    <xdr:sp macro="" textlink="">
      <xdr:nvSpPr>
        <xdr:cNvPr id="14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731462F-5EE7-42F4-BCCC-859F08E5ED4D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44</xdr:row>
      <xdr:rowOff>0</xdr:rowOff>
    </xdr:from>
    <xdr:ext cx="314325" cy="304800"/>
    <xdr:sp macro="" textlink="">
      <xdr:nvSpPr>
        <xdr:cNvPr id="14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1FEE99A-4DF8-4F61-8669-CC84454164C3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45</xdr:row>
      <xdr:rowOff>0</xdr:rowOff>
    </xdr:from>
    <xdr:ext cx="314325" cy="304800"/>
    <xdr:sp macro="" textlink="">
      <xdr:nvSpPr>
        <xdr:cNvPr id="14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2EE908F-21F0-418F-A385-8A9DEA082254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45</xdr:row>
      <xdr:rowOff>0</xdr:rowOff>
    </xdr:from>
    <xdr:ext cx="314325" cy="304800"/>
    <xdr:sp macro="" textlink="">
      <xdr:nvSpPr>
        <xdr:cNvPr id="14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5076F62-E4A0-451C-B501-B4DE838CF11A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46</xdr:row>
      <xdr:rowOff>0</xdr:rowOff>
    </xdr:from>
    <xdr:ext cx="314325" cy="304800"/>
    <xdr:sp macro="" textlink="">
      <xdr:nvSpPr>
        <xdr:cNvPr id="14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D8018B3-437A-494B-9FD8-4577F2949E31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46</xdr:row>
      <xdr:rowOff>0</xdr:rowOff>
    </xdr:from>
    <xdr:ext cx="314325" cy="304800"/>
    <xdr:sp macro="" textlink="">
      <xdr:nvSpPr>
        <xdr:cNvPr id="14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7246331-9A42-455D-BC44-72EDD4B8A958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47</xdr:row>
      <xdr:rowOff>0</xdr:rowOff>
    </xdr:from>
    <xdr:ext cx="314325" cy="304800"/>
    <xdr:sp macro="" textlink="">
      <xdr:nvSpPr>
        <xdr:cNvPr id="14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EDF6B65-C799-4FF5-BEDA-FAF53FD7F024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14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9516E8B-33DF-4072-AFD5-DD60D71C0FA5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43</xdr:row>
      <xdr:rowOff>0</xdr:rowOff>
    </xdr:from>
    <xdr:ext cx="314325" cy="304800"/>
    <xdr:sp macro="" textlink="">
      <xdr:nvSpPr>
        <xdr:cNvPr id="15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E076B19-B431-41A6-96C3-A5BF582DD355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44</xdr:row>
      <xdr:rowOff>0</xdr:rowOff>
    </xdr:from>
    <xdr:ext cx="314325" cy="304800"/>
    <xdr:sp macro="" textlink="">
      <xdr:nvSpPr>
        <xdr:cNvPr id="15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840CAD0-8A98-4CBD-ADB5-761FF1BBA670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45</xdr:row>
      <xdr:rowOff>0</xdr:rowOff>
    </xdr:from>
    <xdr:ext cx="314325" cy="304800"/>
    <xdr:sp macro="" textlink="">
      <xdr:nvSpPr>
        <xdr:cNvPr id="15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E1963C1-E260-4BC2-B4B4-815C672E7465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45</xdr:row>
      <xdr:rowOff>0</xdr:rowOff>
    </xdr:from>
    <xdr:ext cx="314325" cy="304800"/>
    <xdr:sp macro="" textlink="">
      <xdr:nvSpPr>
        <xdr:cNvPr id="15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1D3216B-E2D7-4C8C-A83B-A46D6AF078E7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46</xdr:row>
      <xdr:rowOff>0</xdr:rowOff>
    </xdr:from>
    <xdr:ext cx="314325" cy="304800"/>
    <xdr:sp macro="" textlink="">
      <xdr:nvSpPr>
        <xdr:cNvPr id="15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9DA6F00-DCB2-4D3B-8488-74378D189E45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46</xdr:row>
      <xdr:rowOff>0</xdr:rowOff>
    </xdr:from>
    <xdr:ext cx="314325" cy="304800"/>
    <xdr:sp macro="" textlink="">
      <xdr:nvSpPr>
        <xdr:cNvPr id="15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062198F-185B-4942-93B3-80F578B3BBFD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47</xdr:row>
      <xdr:rowOff>0</xdr:rowOff>
    </xdr:from>
    <xdr:ext cx="314325" cy="304800"/>
    <xdr:sp macro="" textlink="">
      <xdr:nvSpPr>
        <xdr:cNvPr id="15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7502B6A-A852-480C-BA55-1A7937CF0649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16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4F78165-551A-447F-96C9-0F345DC4236C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43</xdr:row>
      <xdr:rowOff>0</xdr:rowOff>
    </xdr:from>
    <xdr:ext cx="314325" cy="304800"/>
    <xdr:sp macro="" textlink="">
      <xdr:nvSpPr>
        <xdr:cNvPr id="16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CB27478-9B23-41C4-85FE-0735B62C10F6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44</xdr:row>
      <xdr:rowOff>0</xdr:rowOff>
    </xdr:from>
    <xdr:ext cx="314325" cy="304800"/>
    <xdr:sp macro="" textlink="">
      <xdr:nvSpPr>
        <xdr:cNvPr id="16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61BE2E2-DD27-492B-935E-25E9947B67A0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45</xdr:row>
      <xdr:rowOff>0</xdr:rowOff>
    </xdr:from>
    <xdr:ext cx="314325" cy="304800"/>
    <xdr:sp macro="" textlink="">
      <xdr:nvSpPr>
        <xdr:cNvPr id="16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4ABBC4E-41FC-4214-BF74-7822D000BCD4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45</xdr:row>
      <xdr:rowOff>0</xdr:rowOff>
    </xdr:from>
    <xdr:ext cx="314325" cy="304800"/>
    <xdr:sp macro="" textlink="">
      <xdr:nvSpPr>
        <xdr:cNvPr id="16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06CE071-448F-45DF-AEF4-9C35B8D4D1A3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46</xdr:row>
      <xdr:rowOff>0</xdr:rowOff>
    </xdr:from>
    <xdr:ext cx="314325" cy="304800"/>
    <xdr:sp macro="" textlink="">
      <xdr:nvSpPr>
        <xdr:cNvPr id="17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6AE9C08-C10A-46D4-B82E-A073D49B247C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46</xdr:row>
      <xdr:rowOff>0</xdr:rowOff>
    </xdr:from>
    <xdr:ext cx="314325" cy="304800"/>
    <xdr:sp macro="" textlink="">
      <xdr:nvSpPr>
        <xdr:cNvPr id="17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69D8904-0DF3-4252-9712-B8F6877BEE36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47</xdr:row>
      <xdr:rowOff>0</xdr:rowOff>
    </xdr:from>
    <xdr:ext cx="314325" cy="304800"/>
    <xdr:sp macro="" textlink="">
      <xdr:nvSpPr>
        <xdr:cNvPr id="17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FB2FA42-AF13-46A3-9E72-37A259476353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38</xdr:row>
      <xdr:rowOff>0</xdr:rowOff>
    </xdr:from>
    <xdr:ext cx="314325" cy="304800"/>
    <xdr:sp macro="" textlink="">
      <xdr:nvSpPr>
        <xdr:cNvPr id="17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47168F7-7D86-400A-BA52-45C92D50A959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38</xdr:row>
      <xdr:rowOff>0</xdr:rowOff>
    </xdr:from>
    <xdr:ext cx="314325" cy="304800"/>
    <xdr:sp macro="" textlink="">
      <xdr:nvSpPr>
        <xdr:cNvPr id="17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C793A0F-126D-423F-AE39-0346390B9A3B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38</xdr:row>
      <xdr:rowOff>0</xdr:rowOff>
    </xdr:from>
    <xdr:ext cx="314325" cy="304800"/>
    <xdr:sp macro="" textlink="">
      <xdr:nvSpPr>
        <xdr:cNvPr id="17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62DFEC1-3262-4827-9C7C-864634B4E29D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38</xdr:row>
      <xdr:rowOff>0</xdr:rowOff>
    </xdr:from>
    <xdr:ext cx="314325" cy="304800"/>
    <xdr:sp macro="" textlink="">
      <xdr:nvSpPr>
        <xdr:cNvPr id="17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FB9196A-8D7E-42D5-B568-686B0FA69113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314325" cy="304800"/>
    <xdr:sp macro="" textlink="">
      <xdr:nvSpPr>
        <xdr:cNvPr id="17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3B32F80-0F3D-4D52-A53E-7830412EDB15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314325" cy="304800"/>
    <xdr:sp macro="" textlink="">
      <xdr:nvSpPr>
        <xdr:cNvPr id="17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5FBA1FF-A6F5-47B4-B5DE-3EFED9436A0B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38</xdr:row>
      <xdr:rowOff>0</xdr:rowOff>
    </xdr:from>
    <xdr:ext cx="314325" cy="304800"/>
    <xdr:sp macro="" textlink="">
      <xdr:nvSpPr>
        <xdr:cNvPr id="18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534F2E1-C364-45A9-A464-CF319D163517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38</xdr:row>
      <xdr:rowOff>0</xdr:rowOff>
    </xdr:from>
    <xdr:ext cx="314325" cy="304800"/>
    <xdr:sp macro="" textlink="">
      <xdr:nvSpPr>
        <xdr:cNvPr id="18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DEADC28-A4A4-4289-8753-B8FB568AD050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38</xdr:row>
      <xdr:rowOff>0</xdr:rowOff>
    </xdr:from>
    <xdr:ext cx="314325" cy="304800"/>
    <xdr:sp macro="" textlink="">
      <xdr:nvSpPr>
        <xdr:cNvPr id="18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F103D02-821E-45A5-96B6-1DB9EC3CBEDF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38</xdr:row>
      <xdr:rowOff>0</xdr:rowOff>
    </xdr:from>
    <xdr:ext cx="314325" cy="304800"/>
    <xdr:sp macro="" textlink="">
      <xdr:nvSpPr>
        <xdr:cNvPr id="18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7931DF0-E0B6-4BCE-8C39-7D8B4A614EBF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38</xdr:row>
      <xdr:rowOff>0</xdr:rowOff>
    </xdr:from>
    <xdr:ext cx="314325" cy="304800"/>
    <xdr:sp macro="" textlink="">
      <xdr:nvSpPr>
        <xdr:cNvPr id="18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483D200-0006-406F-8DD9-A2A12F83788F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38</xdr:row>
      <xdr:rowOff>0</xdr:rowOff>
    </xdr:from>
    <xdr:ext cx="314325" cy="304800"/>
    <xdr:sp macro="" textlink="">
      <xdr:nvSpPr>
        <xdr:cNvPr id="18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227A6AC-69F7-45FC-9A6E-004DF13FB637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38</xdr:row>
      <xdr:rowOff>0</xdr:rowOff>
    </xdr:from>
    <xdr:ext cx="314325" cy="304800"/>
    <xdr:sp macro="" textlink="">
      <xdr:nvSpPr>
        <xdr:cNvPr id="18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F0055F9-3174-42BD-AF4D-5CF0E67DF7F0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38</xdr:row>
      <xdr:rowOff>0</xdr:rowOff>
    </xdr:from>
    <xdr:ext cx="314325" cy="304800"/>
    <xdr:sp macro="" textlink="">
      <xdr:nvSpPr>
        <xdr:cNvPr id="18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D7CEF68-028E-4A9D-80BC-6310A130704D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18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3465E61-4E41-4A93-B985-DDA201F30717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18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D7AA778-E79F-45ED-A80F-DF80DEBB76E1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19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E3705D4-85FF-48F6-949C-66451D21931A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19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526D301-251B-4CBD-9FC3-401BA85C368B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19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85CD0DD-FB0C-427C-ABA9-3CFE49C0C1D7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19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5CC916B-16C7-47E2-8E76-87A20AF2EF20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19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5EB3218-697B-4E99-9432-0A79D90B6F45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19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B660410-FF07-4A11-B258-2BFFA6F4322D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19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B81A4D4-C772-47DD-BD8C-413149C4032F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19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155A9B4-0A6F-4A4F-B63B-C1637FE75491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19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52768E9-632D-4403-9328-36E1D5FECF50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19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DBB5FA1-29D0-4F2A-9734-6B6A45A60855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20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FC7FDAF-E419-4EC0-92AF-AF19F11C7B57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20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9F2EFAD-8160-488A-B203-62C4C1F66FFE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20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6EB51AD-12B9-41CD-BED2-86439AD3DD01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20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AC13857-7251-48DA-89A0-9384A67F1A7E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20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6DE4D45-827A-4D92-BB24-D5DB3D15750C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20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A7214BF-61BC-412F-AE5F-6E1799CAF12E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44</xdr:row>
      <xdr:rowOff>0</xdr:rowOff>
    </xdr:from>
    <xdr:ext cx="314325" cy="304800"/>
    <xdr:sp macro="" textlink="">
      <xdr:nvSpPr>
        <xdr:cNvPr id="20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165C72A-F5FA-4D7E-8D15-D332C012EE01}"/>
            </a:ext>
          </a:extLst>
        </xdr:cNvPr>
        <xdr:cNvSpPr/>
      </xdr:nvSpPr>
      <xdr:spPr>
        <a:xfrm>
          <a:off x="5648325" y="7743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45</xdr:row>
      <xdr:rowOff>0</xdr:rowOff>
    </xdr:from>
    <xdr:ext cx="314325" cy="304800"/>
    <xdr:sp macro="" textlink="">
      <xdr:nvSpPr>
        <xdr:cNvPr id="20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2DA3A2D-66B2-42E4-B955-360D1021D42D}"/>
            </a:ext>
          </a:extLst>
        </xdr:cNvPr>
        <xdr:cNvSpPr/>
      </xdr:nvSpPr>
      <xdr:spPr>
        <a:xfrm>
          <a:off x="5648325" y="7743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46</xdr:row>
      <xdr:rowOff>0</xdr:rowOff>
    </xdr:from>
    <xdr:ext cx="314325" cy="304800"/>
    <xdr:sp macro="" textlink="">
      <xdr:nvSpPr>
        <xdr:cNvPr id="20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FA3DEF7-3359-42C8-A14C-7631E5D52832}"/>
            </a:ext>
          </a:extLst>
        </xdr:cNvPr>
        <xdr:cNvSpPr/>
      </xdr:nvSpPr>
      <xdr:spPr>
        <a:xfrm>
          <a:off x="5648325" y="7743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47</xdr:row>
      <xdr:rowOff>0</xdr:rowOff>
    </xdr:from>
    <xdr:ext cx="314325" cy="304800"/>
    <xdr:sp macro="" textlink="">
      <xdr:nvSpPr>
        <xdr:cNvPr id="20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263DB06-5976-4992-9887-6F882D5329E1}"/>
            </a:ext>
          </a:extLst>
        </xdr:cNvPr>
        <xdr:cNvSpPr/>
      </xdr:nvSpPr>
      <xdr:spPr>
        <a:xfrm>
          <a:off x="5648325" y="7743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48</xdr:row>
      <xdr:rowOff>0</xdr:rowOff>
    </xdr:from>
    <xdr:ext cx="314325" cy="304800"/>
    <xdr:sp macro="" textlink="">
      <xdr:nvSpPr>
        <xdr:cNvPr id="21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BBA8FCA-E1ED-4512-9625-9789EDDC4598}"/>
            </a:ext>
          </a:extLst>
        </xdr:cNvPr>
        <xdr:cNvSpPr/>
      </xdr:nvSpPr>
      <xdr:spPr>
        <a:xfrm>
          <a:off x="5648325" y="7743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04800"/>
    <xdr:sp macro="" textlink="">
      <xdr:nvSpPr>
        <xdr:cNvPr id="21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DAE1180-F4F2-4074-9779-F4C5F70057B6}"/>
            </a:ext>
          </a:extLst>
        </xdr:cNvPr>
        <xdr:cNvSpPr/>
      </xdr:nvSpPr>
      <xdr:spPr>
        <a:xfrm>
          <a:off x="5648325" y="7743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50</xdr:row>
      <xdr:rowOff>0</xdr:rowOff>
    </xdr:from>
    <xdr:ext cx="314325" cy="304800"/>
    <xdr:sp macro="" textlink="">
      <xdr:nvSpPr>
        <xdr:cNvPr id="21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6B31C03-3432-4E0E-9707-6DFF8AF02056}"/>
            </a:ext>
          </a:extLst>
        </xdr:cNvPr>
        <xdr:cNvSpPr/>
      </xdr:nvSpPr>
      <xdr:spPr>
        <a:xfrm>
          <a:off x="5648325" y="7743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51</xdr:row>
      <xdr:rowOff>0</xdr:rowOff>
    </xdr:from>
    <xdr:ext cx="314325" cy="304800"/>
    <xdr:sp macro="" textlink="">
      <xdr:nvSpPr>
        <xdr:cNvPr id="21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E77DF95-4417-4EBF-9CE4-C020C105C17A}"/>
            </a:ext>
          </a:extLst>
        </xdr:cNvPr>
        <xdr:cNvSpPr/>
      </xdr:nvSpPr>
      <xdr:spPr>
        <a:xfrm>
          <a:off x="5648325" y="7743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0</xdr:rowOff>
    </xdr:from>
    <xdr:ext cx="314325" cy="304800"/>
    <xdr:sp macro="" textlink="">
      <xdr:nvSpPr>
        <xdr:cNvPr id="21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86E6216-FAB1-45D3-ABD7-5BAEDE74224C}"/>
            </a:ext>
          </a:extLst>
        </xdr:cNvPr>
        <xdr:cNvSpPr/>
      </xdr:nvSpPr>
      <xdr:spPr>
        <a:xfrm>
          <a:off x="5648325" y="7743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44</xdr:row>
      <xdr:rowOff>0</xdr:rowOff>
    </xdr:from>
    <xdr:ext cx="314325" cy="304800"/>
    <xdr:sp macro="" textlink="">
      <xdr:nvSpPr>
        <xdr:cNvPr id="21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16CF24E-6A5E-4A4F-8838-0F1981DCBA8F}"/>
            </a:ext>
          </a:extLst>
        </xdr:cNvPr>
        <xdr:cNvSpPr/>
      </xdr:nvSpPr>
      <xdr:spPr>
        <a:xfrm>
          <a:off x="5648325" y="7943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0</xdr:rowOff>
    </xdr:from>
    <xdr:ext cx="314325" cy="304800"/>
    <xdr:sp macro="" textlink="">
      <xdr:nvSpPr>
        <xdr:cNvPr id="21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3031A8B-88D9-4872-B90D-22079CABA60C}"/>
            </a:ext>
          </a:extLst>
        </xdr:cNvPr>
        <xdr:cNvSpPr/>
      </xdr:nvSpPr>
      <xdr:spPr>
        <a:xfrm>
          <a:off x="56483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0</xdr:rowOff>
    </xdr:from>
    <xdr:ext cx="314325" cy="304800"/>
    <xdr:sp macro="" textlink="">
      <xdr:nvSpPr>
        <xdr:cNvPr id="21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C559DF2-8601-420B-B2D8-8D15BE0473EC}"/>
            </a:ext>
          </a:extLst>
        </xdr:cNvPr>
        <xdr:cNvSpPr/>
      </xdr:nvSpPr>
      <xdr:spPr>
        <a:xfrm>
          <a:off x="56483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0</xdr:rowOff>
    </xdr:from>
    <xdr:ext cx="314325" cy="304800"/>
    <xdr:sp macro="" textlink="">
      <xdr:nvSpPr>
        <xdr:cNvPr id="21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11AE002-00AC-4C2F-B15F-17B0C0C8C04D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0</xdr:rowOff>
    </xdr:from>
    <xdr:ext cx="314325" cy="304800"/>
    <xdr:sp macro="" textlink="">
      <xdr:nvSpPr>
        <xdr:cNvPr id="21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4D31A0F-E000-4701-BE73-A9FA521B2DB1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0</xdr:rowOff>
    </xdr:from>
    <xdr:ext cx="314325" cy="304800"/>
    <xdr:sp macro="" textlink="">
      <xdr:nvSpPr>
        <xdr:cNvPr id="22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465146D-3762-4744-8F17-B52D53B1BC17}"/>
            </a:ext>
          </a:extLst>
        </xdr:cNvPr>
        <xdr:cNvSpPr/>
      </xdr:nvSpPr>
      <xdr:spPr>
        <a:xfrm>
          <a:off x="56483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44</xdr:row>
      <xdr:rowOff>0</xdr:rowOff>
    </xdr:from>
    <xdr:ext cx="314325" cy="304800"/>
    <xdr:sp macro="" textlink="">
      <xdr:nvSpPr>
        <xdr:cNvPr id="22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40851E0-6BD6-4FB9-BCEA-0040B458A6D3}"/>
            </a:ext>
          </a:extLst>
        </xdr:cNvPr>
        <xdr:cNvSpPr/>
      </xdr:nvSpPr>
      <xdr:spPr>
        <a:xfrm>
          <a:off x="5648325" y="7943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0</xdr:rowOff>
    </xdr:from>
    <xdr:ext cx="314325" cy="304800"/>
    <xdr:sp macro="" textlink="">
      <xdr:nvSpPr>
        <xdr:cNvPr id="22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2BC3567-E2EA-4D8B-A4D8-DEB63F38A4B6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0</xdr:rowOff>
    </xdr:from>
    <xdr:ext cx="314325" cy="304800"/>
    <xdr:sp macro="" textlink="">
      <xdr:nvSpPr>
        <xdr:cNvPr id="22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6AAE10B-B54B-4AFC-9223-9CC92AB7AE36}"/>
            </a:ext>
          </a:extLst>
        </xdr:cNvPr>
        <xdr:cNvSpPr/>
      </xdr:nvSpPr>
      <xdr:spPr>
        <a:xfrm>
          <a:off x="56483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48</xdr:row>
      <xdr:rowOff>0</xdr:rowOff>
    </xdr:from>
    <xdr:ext cx="314325" cy="304800"/>
    <xdr:sp macro="" textlink="">
      <xdr:nvSpPr>
        <xdr:cNvPr id="22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0B716E7-EC16-4C17-9C5F-61E0F4498B65}"/>
            </a:ext>
          </a:extLst>
        </xdr:cNvPr>
        <xdr:cNvSpPr/>
      </xdr:nvSpPr>
      <xdr:spPr>
        <a:xfrm>
          <a:off x="5648325" y="87344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0</xdr:rowOff>
    </xdr:from>
    <xdr:ext cx="314325" cy="304800"/>
    <xdr:sp macro="" textlink="">
      <xdr:nvSpPr>
        <xdr:cNvPr id="22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190795C-92F4-4308-A03C-EB705EBD6F62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50</xdr:row>
      <xdr:rowOff>0</xdr:rowOff>
    </xdr:from>
    <xdr:ext cx="314325" cy="304800"/>
    <xdr:sp macro="" textlink="">
      <xdr:nvSpPr>
        <xdr:cNvPr id="22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6FA2288-EEC7-451C-9046-7B5B37B580FD}"/>
            </a:ext>
          </a:extLst>
        </xdr:cNvPr>
        <xdr:cNvSpPr/>
      </xdr:nvSpPr>
      <xdr:spPr>
        <a:xfrm>
          <a:off x="5648325" y="91154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51</xdr:row>
      <xdr:rowOff>0</xdr:rowOff>
    </xdr:from>
    <xdr:ext cx="314325" cy="304800"/>
    <xdr:sp macro="" textlink="">
      <xdr:nvSpPr>
        <xdr:cNvPr id="22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4657673-1CB9-4F5B-9A4F-D48FFD3BE869}"/>
            </a:ext>
          </a:extLst>
        </xdr:cNvPr>
        <xdr:cNvSpPr/>
      </xdr:nvSpPr>
      <xdr:spPr>
        <a:xfrm>
          <a:off x="5648325" y="9305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43</xdr:row>
      <xdr:rowOff>0</xdr:rowOff>
    </xdr:from>
    <xdr:ext cx="314325" cy="304800"/>
    <xdr:sp macro="" textlink="">
      <xdr:nvSpPr>
        <xdr:cNvPr id="22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695EAAF-54CC-4120-8039-672A801FB2D8}"/>
            </a:ext>
          </a:extLst>
        </xdr:cNvPr>
        <xdr:cNvSpPr/>
      </xdr:nvSpPr>
      <xdr:spPr>
        <a:xfrm>
          <a:off x="5648325" y="7743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44</xdr:row>
      <xdr:rowOff>0</xdr:rowOff>
    </xdr:from>
    <xdr:ext cx="314325" cy="304800"/>
    <xdr:sp macro="" textlink="">
      <xdr:nvSpPr>
        <xdr:cNvPr id="23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1210F7F-338E-4A99-B5E7-DA4C26AAFD88}"/>
            </a:ext>
          </a:extLst>
        </xdr:cNvPr>
        <xdr:cNvSpPr/>
      </xdr:nvSpPr>
      <xdr:spPr>
        <a:xfrm>
          <a:off x="5648325" y="7943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45</xdr:row>
      <xdr:rowOff>0</xdr:rowOff>
    </xdr:from>
    <xdr:ext cx="314325" cy="304800"/>
    <xdr:sp macro="" textlink="">
      <xdr:nvSpPr>
        <xdr:cNvPr id="23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AADFF57-0F75-4CC6-9F25-627CE2FE13FC}"/>
            </a:ext>
          </a:extLst>
        </xdr:cNvPr>
        <xdr:cNvSpPr/>
      </xdr:nvSpPr>
      <xdr:spPr>
        <a:xfrm>
          <a:off x="56483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45</xdr:row>
      <xdr:rowOff>0</xdr:rowOff>
    </xdr:from>
    <xdr:ext cx="314325" cy="304800"/>
    <xdr:sp macro="" textlink="">
      <xdr:nvSpPr>
        <xdr:cNvPr id="23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8C2C3F4-A558-47E2-B9AA-31AE45766E72}"/>
            </a:ext>
          </a:extLst>
        </xdr:cNvPr>
        <xdr:cNvSpPr/>
      </xdr:nvSpPr>
      <xdr:spPr>
        <a:xfrm>
          <a:off x="56483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46</xdr:row>
      <xdr:rowOff>0</xdr:rowOff>
    </xdr:from>
    <xdr:ext cx="314325" cy="304800"/>
    <xdr:sp macro="" textlink="">
      <xdr:nvSpPr>
        <xdr:cNvPr id="23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2A724AC-AEE6-47D4-BC28-8D26729E630A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46</xdr:row>
      <xdr:rowOff>0</xdr:rowOff>
    </xdr:from>
    <xdr:ext cx="314325" cy="304800"/>
    <xdr:sp macro="" textlink="">
      <xdr:nvSpPr>
        <xdr:cNvPr id="23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630F410-09DF-45A6-9485-115EC9F668DF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47</xdr:row>
      <xdr:rowOff>0</xdr:rowOff>
    </xdr:from>
    <xdr:ext cx="314325" cy="304800"/>
    <xdr:sp macro="" textlink="">
      <xdr:nvSpPr>
        <xdr:cNvPr id="23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B0B28A5-E9D6-4E4F-A554-336DB9AAC585}"/>
            </a:ext>
          </a:extLst>
        </xdr:cNvPr>
        <xdr:cNvSpPr/>
      </xdr:nvSpPr>
      <xdr:spPr>
        <a:xfrm>
          <a:off x="56483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44</xdr:row>
      <xdr:rowOff>0</xdr:rowOff>
    </xdr:from>
    <xdr:ext cx="314325" cy="304800"/>
    <xdr:sp macro="" textlink="">
      <xdr:nvSpPr>
        <xdr:cNvPr id="23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4C81197-5843-47AC-856A-23225F993E73}"/>
            </a:ext>
          </a:extLst>
        </xdr:cNvPr>
        <xdr:cNvSpPr/>
      </xdr:nvSpPr>
      <xdr:spPr>
        <a:xfrm>
          <a:off x="5648325" y="7943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45</xdr:row>
      <xdr:rowOff>0</xdr:rowOff>
    </xdr:from>
    <xdr:ext cx="314325" cy="304800"/>
    <xdr:sp macro="" textlink="">
      <xdr:nvSpPr>
        <xdr:cNvPr id="23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9799BF1-FDE6-4C49-9E0D-6BFC592E8972}"/>
            </a:ext>
          </a:extLst>
        </xdr:cNvPr>
        <xdr:cNvSpPr/>
      </xdr:nvSpPr>
      <xdr:spPr>
        <a:xfrm>
          <a:off x="56483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46</xdr:row>
      <xdr:rowOff>0</xdr:rowOff>
    </xdr:from>
    <xdr:ext cx="314325" cy="304800"/>
    <xdr:sp macro="" textlink="">
      <xdr:nvSpPr>
        <xdr:cNvPr id="23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3884145-208D-4189-A71D-DA21344C100C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47</xdr:row>
      <xdr:rowOff>0</xdr:rowOff>
    </xdr:from>
    <xdr:ext cx="314325" cy="304800"/>
    <xdr:sp macro="" textlink="">
      <xdr:nvSpPr>
        <xdr:cNvPr id="23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83431C1-94B4-46DD-B670-2B8E396E66B9}"/>
            </a:ext>
          </a:extLst>
        </xdr:cNvPr>
        <xdr:cNvSpPr/>
      </xdr:nvSpPr>
      <xdr:spPr>
        <a:xfrm>
          <a:off x="56483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48</xdr:row>
      <xdr:rowOff>0</xdr:rowOff>
    </xdr:from>
    <xdr:ext cx="314325" cy="304800"/>
    <xdr:sp macro="" textlink="">
      <xdr:nvSpPr>
        <xdr:cNvPr id="24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8D1F1F6-2E9E-4CD0-9D13-F12CF524654D}"/>
            </a:ext>
          </a:extLst>
        </xdr:cNvPr>
        <xdr:cNvSpPr/>
      </xdr:nvSpPr>
      <xdr:spPr>
        <a:xfrm>
          <a:off x="5648325" y="87344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49</xdr:row>
      <xdr:rowOff>0</xdr:rowOff>
    </xdr:from>
    <xdr:ext cx="314325" cy="304800"/>
    <xdr:sp macro="" textlink="">
      <xdr:nvSpPr>
        <xdr:cNvPr id="24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C1152F9-5D8E-4192-A1F3-1D7E5D8146E5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50</xdr:row>
      <xdr:rowOff>0</xdr:rowOff>
    </xdr:from>
    <xdr:ext cx="314325" cy="304800"/>
    <xdr:sp macro="" textlink="">
      <xdr:nvSpPr>
        <xdr:cNvPr id="24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7750986-C0DD-48EE-8030-C62FFAF12FAF}"/>
            </a:ext>
          </a:extLst>
        </xdr:cNvPr>
        <xdr:cNvSpPr/>
      </xdr:nvSpPr>
      <xdr:spPr>
        <a:xfrm>
          <a:off x="5648325" y="91154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51</xdr:row>
      <xdr:rowOff>0</xdr:rowOff>
    </xdr:from>
    <xdr:ext cx="314325" cy="304800"/>
    <xdr:sp macro="" textlink="">
      <xdr:nvSpPr>
        <xdr:cNvPr id="24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4C69A32-6261-4AA0-82B1-915722B1CD02}"/>
            </a:ext>
          </a:extLst>
        </xdr:cNvPr>
        <xdr:cNvSpPr/>
      </xdr:nvSpPr>
      <xdr:spPr>
        <a:xfrm>
          <a:off x="5648325" y="9305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47</xdr:row>
      <xdr:rowOff>0</xdr:rowOff>
    </xdr:from>
    <xdr:ext cx="314325" cy="304800"/>
    <xdr:sp macro="" textlink="">
      <xdr:nvSpPr>
        <xdr:cNvPr id="24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BDB03E5-7A9B-451D-867D-115EBAF597B9}"/>
            </a:ext>
          </a:extLst>
        </xdr:cNvPr>
        <xdr:cNvSpPr/>
      </xdr:nvSpPr>
      <xdr:spPr>
        <a:xfrm>
          <a:off x="175641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47</xdr:row>
      <xdr:rowOff>0</xdr:rowOff>
    </xdr:from>
    <xdr:ext cx="314325" cy="304800"/>
    <xdr:sp macro="" textlink="">
      <xdr:nvSpPr>
        <xdr:cNvPr id="24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8393778-55CB-42A4-A472-EED34AE48AF2}"/>
            </a:ext>
          </a:extLst>
        </xdr:cNvPr>
        <xdr:cNvSpPr/>
      </xdr:nvSpPr>
      <xdr:spPr>
        <a:xfrm>
          <a:off x="175641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48</xdr:row>
      <xdr:rowOff>0</xdr:rowOff>
    </xdr:from>
    <xdr:ext cx="314325" cy="304800"/>
    <xdr:sp macro="" textlink="">
      <xdr:nvSpPr>
        <xdr:cNvPr id="24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A9B27EA-E9B1-4FB2-BF5C-AB38B22D9579}"/>
            </a:ext>
          </a:extLst>
        </xdr:cNvPr>
        <xdr:cNvSpPr/>
      </xdr:nvSpPr>
      <xdr:spPr>
        <a:xfrm>
          <a:off x="175641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48</xdr:row>
      <xdr:rowOff>0</xdr:rowOff>
    </xdr:from>
    <xdr:ext cx="314325" cy="304800"/>
    <xdr:sp macro="" textlink="">
      <xdr:nvSpPr>
        <xdr:cNvPr id="24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A3C61D9-0F85-47FA-AB21-F57DC0AB4FE3}"/>
            </a:ext>
          </a:extLst>
        </xdr:cNvPr>
        <xdr:cNvSpPr/>
      </xdr:nvSpPr>
      <xdr:spPr>
        <a:xfrm>
          <a:off x="175641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48</xdr:row>
      <xdr:rowOff>0</xdr:rowOff>
    </xdr:from>
    <xdr:ext cx="314325" cy="304800"/>
    <xdr:sp macro="" textlink="">
      <xdr:nvSpPr>
        <xdr:cNvPr id="24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9272088-D2BC-4AC2-BAFE-81E8C8D5E97C}"/>
            </a:ext>
          </a:extLst>
        </xdr:cNvPr>
        <xdr:cNvSpPr/>
      </xdr:nvSpPr>
      <xdr:spPr>
        <a:xfrm>
          <a:off x="175641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49</xdr:row>
      <xdr:rowOff>0</xdr:rowOff>
    </xdr:from>
    <xdr:ext cx="314325" cy="304800"/>
    <xdr:sp macro="" textlink="">
      <xdr:nvSpPr>
        <xdr:cNvPr id="24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136F605-A144-467E-8D7B-22BBD61DD11A}"/>
            </a:ext>
          </a:extLst>
        </xdr:cNvPr>
        <xdr:cNvSpPr/>
      </xdr:nvSpPr>
      <xdr:spPr>
        <a:xfrm>
          <a:off x="175641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49</xdr:row>
      <xdr:rowOff>0</xdr:rowOff>
    </xdr:from>
    <xdr:ext cx="314325" cy="304800"/>
    <xdr:sp macro="" textlink="">
      <xdr:nvSpPr>
        <xdr:cNvPr id="25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22C5E03-D9F0-4EF8-BE64-F08C0F79348B}"/>
            </a:ext>
          </a:extLst>
        </xdr:cNvPr>
        <xdr:cNvSpPr/>
      </xdr:nvSpPr>
      <xdr:spPr>
        <a:xfrm>
          <a:off x="175641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49</xdr:row>
      <xdr:rowOff>0</xdr:rowOff>
    </xdr:from>
    <xdr:ext cx="314325" cy="304800"/>
    <xdr:sp macro="" textlink="">
      <xdr:nvSpPr>
        <xdr:cNvPr id="25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E63464A-6E29-41AE-ACC3-76C62AFCFBD3}"/>
            </a:ext>
          </a:extLst>
        </xdr:cNvPr>
        <xdr:cNvSpPr/>
      </xdr:nvSpPr>
      <xdr:spPr>
        <a:xfrm>
          <a:off x="175641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49</xdr:row>
      <xdr:rowOff>0</xdr:rowOff>
    </xdr:from>
    <xdr:ext cx="314325" cy="304800"/>
    <xdr:sp macro="" textlink="">
      <xdr:nvSpPr>
        <xdr:cNvPr id="25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454C75D-A909-43BD-B562-4597761F7305}"/>
            </a:ext>
          </a:extLst>
        </xdr:cNvPr>
        <xdr:cNvSpPr/>
      </xdr:nvSpPr>
      <xdr:spPr>
        <a:xfrm>
          <a:off x="175641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49</xdr:row>
      <xdr:rowOff>0</xdr:rowOff>
    </xdr:from>
    <xdr:ext cx="314325" cy="304800"/>
    <xdr:sp macro="" textlink="">
      <xdr:nvSpPr>
        <xdr:cNvPr id="25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200E6A8-D9D4-47BF-AA60-632C445D8A81}"/>
            </a:ext>
          </a:extLst>
        </xdr:cNvPr>
        <xdr:cNvSpPr/>
      </xdr:nvSpPr>
      <xdr:spPr>
        <a:xfrm>
          <a:off x="175641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50</xdr:row>
      <xdr:rowOff>0</xdr:rowOff>
    </xdr:from>
    <xdr:ext cx="314325" cy="304800"/>
    <xdr:sp macro="" textlink="">
      <xdr:nvSpPr>
        <xdr:cNvPr id="25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5426F96-0589-44AA-821E-09DAB65A866E}"/>
            </a:ext>
          </a:extLst>
        </xdr:cNvPr>
        <xdr:cNvSpPr/>
      </xdr:nvSpPr>
      <xdr:spPr>
        <a:xfrm>
          <a:off x="175641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50</xdr:row>
      <xdr:rowOff>0</xdr:rowOff>
    </xdr:from>
    <xdr:ext cx="314325" cy="304800"/>
    <xdr:sp macro="" textlink="">
      <xdr:nvSpPr>
        <xdr:cNvPr id="25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97F49BD-FAB4-419D-BBF8-120B29A59858}"/>
            </a:ext>
          </a:extLst>
        </xdr:cNvPr>
        <xdr:cNvSpPr/>
      </xdr:nvSpPr>
      <xdr:spPr>
        <a:xfrm>
          <a:off x="175641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50</xdr:row>
      <xdr:rowOff>0</xdr:rowOff>
    </xdr:from>
    <xdr:ext cx="314325" cy="304800"/>
    <xdr:sp macro="" textlink="">
      <xdr:nvSpPr>
        <xdr:cNvPr id="25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1121B9D-39D9-4975-BC98-21E81D41B95E}"/>
            </a:ext>
          </a:extLst>
        </xdr:cNvPr>
        <xdr:cNvSpPr/>
      </xdr:nvSpPr>
      <xdr:spPr>
        <a:xfrm>
          <a:off x="175641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50</xdr:row>
      <xdr:rowOff>0</xdr:rowOff>
    </xdr:from>
    <xdr:ext cx="314325" cy="304800"/>
    <xdr:sp macro="" textlink="">
      <xdr:nvSpPr>
        <xdr:cNvPr id="25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F7155B9-046C-4E15-9F8C-93FFBDC61891}"/>
            </a:ext>
          </a:extLst>
        </xdr:cNvPr>
        <xdr:cNvSpPr/>
      </xdr:nvSpPr>
      <xdr:spPr>
        <a:xfrm>
          <a:off x="175641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50</xdr:row>
      <xdr:rowOff>0</xdr:rowOff>
    </xdr:from>
    <xdr:ext cx="314325" cy="304800"/>
    <xdr:sp macro="" textlink="">
      <xdr:nvSpPr>
        <xdr:cNvPr id="25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CC4EDBF-2744-41DA-80ED-7DCDF523B7BF}"/>
            </a:ext>
          </a:extLst>
        </xdr:cNvPr>
        <xdr:cNvSpPr/>
      </xdr:nvSpPr>
      <xdr:spPr>
        <a:xfrm>
          <a:off x="175641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51</xdr:row>
      <xdr:rowOff>0</xdr:rowOff>
    </xdr:from>
    <xdr:ext cx="314325" cy="304800"/>
    <xdr:sp macro="" textlink="">
      <xdr:nvSpPr>
        <xdr:cNvPr id="25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0291629-4412-4161-BB7E-6F9883ABB85A}"/>
            </a:ext>
          </a:extLst>
        </xdr:cNvPr>
        <xdr:cNvSpPr/>
      </xdr:nvSpPr>
      <xdr:spPr>
        <a:xfrm>
          <a:off x="175641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51</xdr:row>
      <xdr:rowOff>0</xdr:rowOff>
    </xdr:from>
    <xdr:ext cx="314325" cy="304800"/>
    <xdr:sp macro="" textlink="">
      <xdr:nvSpPr>
        <xdr:cNvPr id="26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64845C2-0D8B-4150-8EEE-72BBDCBF151A}"/>
            </a:ext>
          </a:extLst>
        </xdr:cNvPr>
        <xdr:cNvSpPr/>
      </xdr:nvSpPr>
      <xdr:spPr>
        <a:xfrm>
          <a:off x="175641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51</xdr:row>
      <xdr:rowOff>0</xdr:rowOff>
    </xdr:from>
    <xdr:ext cx="314325" cy="304800"/>
    <xdr:sp macro="" textlink="">
      <xdr:nvSpPr>
        <xdr:cNvPr id="26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C4032E9-0E82-4017-9FDA-28AFAED1E273}"/>
            </a:ext>
          </a:extLst>
        </xdr:cNvPr>
        <xdr:cNvSpPr/>
      </xdr:nvSpPr>
      <xdr:spPr>
        <a:xfrm>
          <a:off x="175641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0</xdr:rowOff>
    </xdr:from>
    <xdr:ext cx="314325" cy="304800"/>
    <xdr:sp macro="" textlink="">
      <xdr:nvSpPr>
        <xdr:cNvPr id="26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B2A7FFC-94CF-40C7-A39F-C93ADAE5DBFE}"/>
            </a:ext>
          </a:extLst>
        </xdr:cNvPr>
        <xdr:cNvSpPr/>
      </xdr:nvSpPr>
      <xdr:spPr>
        <a:xfrm>
          <a:off x="215360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0</xdr:rowOff>
    </xdr:from>
    <xdr:ext cx="314325" cy="304800"/>
    <xdr:sp macro="" textlink="">
      <xdr:nvSpPr>
        <xdr:cNvPr id="26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978EF00-F0AA-45A1-87E4-FF23EFF2D5A4}"/>
            </a:ext>
          </a:extLst>
        </xdr:cNvPr>
        <xdr:cNvSpPr/>
      </xdr:nvSpPr>
      <xdr:spPr>
        <a:xfrm>
          <a:off x="215360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48</xdr:row>
      <xdr:rowOff>0</xdr:rowOff>
    </xdr:from>
    <xdr:ext cx="314325" cy="304800"/>
    <xdr:sp macro="" textlink="">
      <xdr:nvSpPr>
        <xdr:cNvPr id="26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D0BDC2C-8650-4E71-A22F-3C5E383999C0}"/>
            </a:ext>
          </a:extLst>
        </xdr:cNvPr>
        <xdr:cNvSpPr/>
      </xdr:nvSpPr>
      <xdr:spPr>
        <a:xfrm>
          <a:off x="215360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48</xdr:row>
      <xdr:rowOff>0</xdr:rowOff>
    </xdr:from>
    <xdr:ext cx="314325" cy="304800"/>
    <xdr:sp macro="" textlink="">
      <xdr:nvSpPr>
        <xdr:cNvPr id="26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D6DA512-AFB5-4370-A286-E88B5A78319A}"/>
            </a:ext>
          </a:extLst>
        </xdr:cNvPr>
        <xdr:cNvSpPr/>
      </xdr:nvSpPr>
      <xdr:spPr>
        <a:xfrm>
          <a:off x="215360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48</xdr:row>
      <xdr:rowOff>0</xdr:rowOff>
    </xdr:from>
    <xdr:ext cx="314325" cy="304800"/>
    <xdr:sp macro="" textlink="">
      <xdr:nvSpPr>
        <xdr:cNvPr id="26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80ACF9D-692B-431B-A7E7-FD43A54FE5A2}"/>
            </a:ext>
          </a:extLst>
        </xdr:cNvPr>
        <xdr:cNvSpPr/>
      </xdr:nvSpPr>
      <xdr:spPr>
        <a:xfrm>
          <a:off x="215360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0</xdr:rowOff>
    </xdr:from>
    <xdr:ext cx="314325" cy="304800"/>
    <xdr:sp macro="" textlink="">
      <xdr:nvSpPr>
        <xdr:cNvPr id="26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455AF09-4462-4A5F-A275-CF17808B5BA3}"/>
            </a:ext>
          </a:extLst>
        </xdr:cNvPr>
        <xdr:cNvSpPr/>
      </xdr:nvSpPr>
      <xdr:spPr>
        <a:xfrm>
          <a:off x="215360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0</xdr:rowOff>
    </xdr:from>
    <xdr:ext cx="314325" cy="304800"/>
    <xdr:sp macro="" textlink="">
      <xdr:nvSpPr>
        <xdr:cNvPr id="26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F1CD3BC-1210-44C6-BC6E-97D685E8EAB1}"/>
            </a:ext>
          </a:extLst>
        </xdr:cNvPr>
        <xdr:cNvSpPr/>
      </xdr:nvSpPr>
      <xdr:spPr>
        <a:xfrm>
          <a:off x="215360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0</xdr:rowOff>
    </xdr:from>
    <xdr:ext cx="314325" cy="304800"/>
    <xdr:sp macro="" textlink="">
      <xdr:nvSpPr>
        <xdr:cNvPr id="26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5CA4848-B133-4A49-B2E9-B0778F8F3A10}"/>
            </a:ext>
          </a:extLst>
        </xdr:cNvPr>
        <xdr:cNvSpPr/>
      </xdr:nvSpPr>
      <xdr:spPr>
        <a:xfrm>
          <a:off x="215360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0</xdr:rowOff>
    </xdr:from>
    <xdr:ext cx="314325" cy="304800"/>
    <xdr:sp macro="" textlink="">
      <xdr:nvSpPr>
        <xdr:cNvPr id="27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8A7D189-88B4-4C0F-93AD-70DCD8CCE0BD}"/>
            </a:ext>
          </a:extLst>
        </xdr:cNvPr>
        <xdr:cNvSpPr/>
      </xdr:nvSpPr>
      <xdr:spPr>
        <a:xfrm>
          <a:off x="215360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0</xdr:rowOff>
    </xdr:from>
    <xdr:ext cx="314325" cy="304800"/>
    <xdr:sp macro="" textlink="">
      <xdr:nvSpPr>
        <xdr:cNvPr id="27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E9FCACC-736F-4E70-88B1-FE95F75C062A}"/>
            </a:ext>
          </a:extLst>
        </xdr:cNvPr>
        <xdr:cNvSpPr/>
      </xdr:nvSpPr>
      <xdr:spPr>
        <a:xfrm>
          <a:off x="215360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50</xdr:row>
      <xdr:rowOff>0</xdr:rowOff>
    </xdr:from>
    <xdr:ext cx="314325" cy="304800"/>
    <xdr:sp macro="" textlink="">
      <xdr:nvSpPr>
        <xdr:cNvPr id="27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AAC3DE7-6868-4E7A-821B-30CAC0E650E2}"/>
            </a:ext>
          </a:extLst>
        </xdr:cNvPr>
        <xdr:cNvSpPr/>
      </xdr:nvSpPr>
      <xdr:spPr>
        <a:xfrm>
          <a:off x="215360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50</xdr:row>
      <xdr:rowOff>0</xdr:rowOff>
    </xdr:from>
    <xdr:ext cx="314325" cy="304800"/>
    <xdr:sp macro="" textlink="">
      <xdr:nvSpPr>
        <xdr:cNvPr id="27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D3779D1-0855-47C0-9826-CCDA5FA65961}"/>
            </a:ext>
          </a:extLst>
        </xdr:cNvPr>
        <xdr:cNvSpPr/>
      </xdr:nvSpPr>
      <xdr:spPr>
        <a:xfrm>
          <a:off x="215360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50</xdr:row>
      <xdr:rowOff>0</xdr:rowOff>
    </xdr:from>
    <xdr:ext cx="314325" cy="304800"/>
    <xdr:sp macro="" textlink="">
      <xdr:nvSpPr>
        <xdr:cNvPr id="27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FE879A8-2F9A-4E8C-B2CC-EC847A85649E}"/>
            </a:ext>
          </a:extLst>
        </xdr:cNvPr>
        <xdr:cNvSpPr/>
      </xdr:nvSpPr>
      <xdr:spPr>
        <a:xfrm>
          <a:off x="215360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50</xdr:row>
      <xdr:rowOff>0</xdr:rowOff>
    </xdr:from>
    <xdr:ext cx="314325" cy="304800"/>
    <xdr:sp macro="" textlink="">
      <xdr:nvSpPr>
        <xdr:cNvPr id="27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D8D5204-7746-43F9-833C-1AABE72A4991}"/>
            </a:ext>
          </a:extLst>
        </xdr:cNvPr>
        <xdr:cNvSpPr/>
      </xdr:nvSpPr>
      <xdr:spPr>
        <a:xfrm>
          <a:off x="215360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50</xdr:row>
      <xdr:rowOff>0</xdr:rowOff>
    </xdr:from>
    <xdr:ext cx="314325" cy="304800"/>
    <xdr:sp macro="" textlink="">
      <xdr:nvSpPr>
        <xdr:cNvPr id="27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5497B4A-A54B-4FE5-8592-3EF672616FFF}"/>
            </a:ext>
          </a:extLst>
        </xdr:cNvPr>
        <xdr:cNvSpPr/>
      </xdr:nvSpPr>
      <xdr:spPr>
        <a:xfrm>
          <a:off x="215360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51</xdr:row>
      <xdr:rowOff>0</xdr:rowOff>
    </xdr:from>
    <xdr:ext cx="314325" cy="304800"/>
    <xdr:sp macro="" textlink="">
      <xdr:nvSpPr>
        <xdr:cNvPr id="27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DBC280E-9F95-418B-AC1A-E3AF3B016DA1}"/>
            </a:ext>
          </a:extLst>
        </xdr:cNvPr>
        <xdr:cNvSpPr/>
      </xdr:nvSpPr>
      <xdr:spPr>
        <a:xfrm>
          <a:off x="215360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51</xdr:row>
      <xdr:rowOff>0</xdr:rowOff>
    </xdr:from>
    <xdr:ext cx="314325" cy="304800"/>
    <xdr:sp macro="" textlink="">
      <xdr:nvSpPr>
        <xdr:cNvPr id="27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00F87BD-0B04-41F0-B690-1580D152682D}"/>
            </a:ext>
          </a:extLst>
        </xdr:cNvPr>
        <xdr:cNvSpPr/>
      </xdr:nvSpPr>
      <xdr:spPr>
        <a:xfrm>
          <a:off x="215360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51</xdr:row>
      <xdr:rowOff>0</xdr:rowOff>
    </xdr:from>
    <xdr:ext cx="314325" cy="304800"/>
    <xdr:sp macro="" textlink="">
      <xdr:nvSpPr>
        <xdr:cNvPr id="27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7D81201-1343-4C64-BEBB-2C8CEFCA3FAE}"/>
            </a:ext>
          </a:extLst>
        </xdr:cNvPr>
        <xdr:cNvSpPr/>
      </xdr:nvSpPr>
      <xdr:spPr>
        <a:xfrm>
          <a:off x="215360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47</xdr:row>
      <xdr:rowOff>0</xdr:rowOff>
    </xdr:from>
    <xdr:ext cx="314325" cy="304800"/>
    <xdr:sp macro="" textlink="">
      <xdr:nvSpPr>
        <xdr:cNvPr id="28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5546D23-3AA5-4785-9BB0-65C3BE04202B}"/>
            </a:ext>
          </a:extLst>
        </xdr:cNvPr>
        <xdr:cNvSpPr/>
      </xdr:nvSpPr>
      <xdr:spPr>
        <a:xfrm>
          <a:off x="255079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47</xdr:row>
      <xdr:rowOff>0</xdr:rowOff>
    </xdr:from>
    <xdr:ext cx="314325" cy="304800"/>
    <xdr:sp macro="" textlink="">
      <xdr:nvSpPr>
        <xdr:cNvPr id="28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36DFCBC-2748-4997-870B-1697C7BF499B}"/>
            </a:ext>
          </a:extLst>
        </xdr:cNvPr>
        <xdr:cNvSpPr/>
      </xdr:nvSpPr>
      <xdr:spPr>
        <a:xfrm>
          <a:off x="255079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48</xdr:row>
      <xdr:rowOff>0</xdr:rowOff>
    </xdr:from>
    <xdr:ext cx="314325" cy="304800"/>
    <xdr:sp macro="" textlink="">
      <xdr:nvSpPr>
        <xdr:cNvPr id="28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5D236D9-8591-4385-8F10-5F450E1E5971}"/>
            </a:ext>
          </a:extLst>
        </xdr:cNvPr>
        <xdr:cNvSpPr/>
      </xdr:nvSpPr>
      <xdr:spPr>
        <a:xfrm>
          <a:off x="255079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48</xdr:row>
      <xdr:rowOff>0</xdr:rowOff>
    </xdr:from>
    <xdr:ext cx="314325" cy="304800"/>
    <xdr:sp macro="" textlink="">
      <xdr:nvSpPr>
        <xdr:cNvPr id="28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D7F9F72-35C2-48A1-B97F-D4D6F1157F05}"/>
            </a:ext>
          </a:extLst>
        </xdr:cNvPr>
        <xdr:cNvSpPr/>
      </xdr:nvSpPr>
      <xdr:spPr>
        <a:xfrm>
          <a:off x="255079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49</xdr:row>
      <xdr:rowOff>0</xdr:rowOff>
    </xdr:from>
    <xdr:ext cx="314325" cy="304800"/>
    <xdr:sp macro="" textlink="">
      <xdr:nvSpPr>
        <xdr:cNvPr id="28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997D278-2A88-4BD7-B7B1-2017C0AAB234}"/>
            </a:ext>
          </a:extLst>
        </xdr:cNvPr>
        <xdr:cNvSpPr/>
      </xdr:nvSpPr>
      <xdr:spPr>
        <a:xfrm>
          <a:off x="2550795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49</xdr:row>
      <xdr:rowOff>0</xdr:rowOff>
    </xdr:from>
    <xdr:ext cx="314325" cy="304800"/>
    <xdr:sp macro="" textlink="">
      <xdr:nvSpPr>
        <xdr:cNvPr id="28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68655F3-2C64-4A02-BC21-79FCB2B5D158}"/>
            </a:ext>
          </a:extLst>
        </xdr:cNvPr>
        <xdr:cNvSpPr/>
      </xdr:nvSpPr>
      <xdr:spPr>
        <a:xfrm>
          <a:off x="255079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49</xdr:row>
      <xdr:rowOff>0</xdr:rowOff>
    </xdr:from>
    <xdr:ext cx="314325" cy="304800"/>
    <xdr:sp macro="" textlink="">
      <xdr:nvSpPr>
        <xdr:cNvPr id="28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CB9286A-FB8C-4D64-B7EA-B1B6EDFAE563}"/>
            </a:ext>
          </a:extLst>
        </xdr:cNvPr>
        <xdr:cNvSpPr/>
      </xdr:nvSpPr>
      <xdr:spPr>
        <a:xfrm>
          <a:off x="255079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50</xdr:row>
      <xdr:rowOff>0</xdr:rowOff>
    </xdr:from>
    <xdr:ext cx="314325" cy="304800"/>
    <xdr:sp macro="" textlink="">
      <xdr:nvSpPr>
        <xdr:cNvPr id="28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BF6B368-554B-40BC-B4F4-566DDEC21947}"/>
            </a:ext>
          </a:extLst>
        </xdr:cNvPr>
        <xdr:cNvSpPr/>
      </xdr:nvSpPr>
      <xdr:spPr>
        <a:xfrm>
          <a:off x="255079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50</xdr:row>
      <xdr:rowOff>0</xdr:rowOff>
    </xdr:from>
    <xdr:ext cx="314325" cy="304800"/>
    <xdr:sp macro="" textlink="">
      <xdr:nvSpPr>
        <xdr:cNvPr id="28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BD2B661-1F56-48AE-A5B0-46C89A4B7104}"/>
            </a:ext>
          </a:extLst>
        </xdr:cNvPr>
        <xdr:cNvSpPr/>
      </xdr:nvSpPr>
      <xdr:spPr>
        <a:xfrm>
          <a:off x="255079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51</xdr:row>
      <xdr:rowOff>0</xdr:rowOff>
    </xdr:from>
    <xdr:ext cx="314325" cy="304800"/>
    <xdr:sp macro="" textlink="">
      <xdr:nvSpPr>
        <xdr:cNvPr id="28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1E3C64B-E345-4D25-B274-431E486FAE49}"/>
            </a:ext>
          </a:extLst>
        </xdr:cNvPr>
        <xdr:cNvSpPr/>
      </xdr:nvSpPr>
      <xdr:spPr>
        <a:xfrm>
          <a:off x="2550795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51</xdr:row>
      <xdr:rowOff>0</xdr:rowOff>
    </xdr:from>
    <xdr:ext cx="314325" cy="304800"/>
    <xdr:sp macro="" textlink="">
      <xdr:nvSpPr>
        <xdr:cNvPr id="29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1103585-738A-4802-921F-D7A327D1A952}"/>
            </a:ext>
          </a:extLst>
        </xdr:cNvPr>
        <xdr:cNvSpPr/>
      </xdr:nvSpPr>
      <xdr:spPr>
        <a:xfrm>
          <a:off x="2550795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51</xdr:row>
      <xdr:rowOff>0</xdr:rowOff>
    </xdr:from>
    <xdr:ext cx="314325" cy="304800"/>
    <xdr:sp macro="" textlink="">
      <xdr:nvSpPr>
        <xdr:cNvPr id="29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EBB5741-971F-4ABA-B789-0953B0BB3090}"/>
            </a:ext>
          </a:extLst>
        </xdr:cNvPr>
        <xdr:cNvSpPr/>
      </xdr:nvSpPr>
      <xdr:spPr>
        <a:xfrm>
          <a:off x="2550795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47</xdr:row>
      <xdr:rowOff>0</xdr:rowOff>
    </xdr:from>
    <xdr:ext cx="314325" cy="304800"/>
    <xdr:sp macro="" textlink="">
      <xdr:nvSpPr>
        <xdr:cNvPr id="29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630C626-1A64-4E73-B7D9-DF1FD6A679FD}"/>
            </a:ext>
          </a:extLst>
        </xdr:cNvPr>
        <xdr:cNvSpPr/>
      </xdr:nvSpPr>
      <xdr:spPr>
        <a:xfrm>
          <a:off x="2947987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47</xdr:row>
      <xdr:rowOff>0</xdr:rowOff>
    </xdr:from>
    <xdr:ext cx="314325" cy="304800"/>
    <xdr:sp macro="" textlink="">
      <xdr:nvSpPr>
        <xdr:cNvPr id="29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C93A173-841E-405A-B926-92EF9C9FD109}"/>
            </a:ext>
          </a:extLst>
        </xdr:cNvPr>
        <xdr:cNvSpPr/>
      </xdr:nvSpPr>
      <xdr:spPr>
        <a:xfrm>
          <a:off x="2947987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48</xdr:row>
      <xdr:rowOff>0</xdr:rowOff>
    </xdr:from>
    <xdr:ext cx="314325" cy="304800"/>
    <xdr:sp macro="" textlink="">
      <xdr:nvSpPr>
        <xdr:cNvPr id="29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6E5FBBA-48AA-4176-9C20-BAEAC112A3EE}"/>
            </a:ext>
          </a:extLst>
        </xdr:cNvPr>
        <xdr:cNvSpPr/>
      </xdr:nvSpPr>
      <xdr:spPr>
        <a:xfrm>
          <a:off x="294798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48</xdr:row>
      <xdr:rowOff>0</xdr:rowOff>
    </xdr:from>
    <xdr:ext cx="314325" cy="304800"/>
    <xdr:sp macro="" textlink="">
      <xdr:nvSpPr>
        <xdr:cNvPr id="29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57B2873-2061-455A-B8FB-97F1F045B8D2}"/>
            </a:ext>
          </a:extLst>
        </xdr:cNvPr>
        <xdr:cNvSpPr/>
      </xdr:nvSpPr>
      <xdr:spPr>
        <a:xfrm>
          <a:off x="294798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49</xdr:row>
      <xdr:rowOff>0</xdr:rowOff>
    </xdr:from>
    <xdr:ext cx="314325" cy="304800"/>
    <xdr:sp macro="" textlink="">
      <xdr:nvSpPr>
        <xdr:cNvPr id="29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E08D9A8-3384-4653-ACEB-437F81EC8A1E}"/>
            </a:ext>
          </a:extLst>
        </xdr:cNvPr>
        <xdr:cNvSpPr/>
      </xdr:nvSpPr>
      <xdr:spPr>
        <a:xfrm>
          <a:off x="2947987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49</xdr:row>
      <xdr:rowOff>0</xdr:rowOff>
    </xdr:from>
    <xdr:ext cx="314325" cy="304800"/>
    <xdr:sp macro="" textlink="">
      <xdr:nvSpPr>
        <xdr:cNvPr id="29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7CEA87B-60A4-4057-8169-D0C40681CB02}"/>
            </a:ext>
          </a:extLst>
        </xdr:cNvPr>
        <xdr:cNvSpPr/>
      </xdr:nvSpPr>
      <xdr:spPr>
        <a:xfrm>
          <a:off x="2947987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49</xdr:row>
      <xdr:rowOff>0</xdr:rowOff>
    </xdr:from>
    <xdr:ext cx="314325" cy="304800"/>
    <xdr:sp macro="" textlink="">
      <xdr:nvSpPr>
        <xdr:cNvPr id="29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AB15169-64EE-4A6F-9A52-8E9D92AC51A7}"/>
            </a:ext>
          </a:extLst>
        </xdr:cNvPr>
        <xdr:cNvSpPr/>
      </xdr:nvSpPr>
      <xdr:spPr>
        <a:xfrm>
          <a:off x="2947987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50</xdr:row>
      <xdr:rowOff>0</xdr:rowOff>
    </xdr:from>
    <xdr:ext cx="314325" cy="304800"/>
    <xdr:sp macro="" textlink="">
      <xdr:nvSpPr>
        <xdr:cNvPr id="29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EA1C510-4FD0-413A-BC7E-30BC777E271E}"/>
            </a:ext>
          </a:extLst>
        </xdr:cNvPr>
        <xdr:cNvSpPr/>
      </xdr:nvSpPr>
      <xdr:spPr>
        <a:xfrm>
          <a:off x="294798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50</xdr:row>
      <xdr:rowOff>0</xdr:rowOff>
    </xdr:from>
    <xdr:ext cx="314325" cy="304800"/>
    <xdr:sp macro="" textlink="">
      <xdr:nvSpPr>
        <xdr:cNvPr id="30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06A2248-9F87-438C-8318-1F5960EFAB83}"/>
            </a:ext>
          </a:extLst>
        </xdr:cNvPr>
        <xdr:cNvSpPr/>
      </xdr:nvSpPr>
      <xdr:spPr>
        <a:xfrm>
          <a:off x="294798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51</xdr:row>
      <xdr:rowOff>0</xdr:rowOff>
    </xdr:from>
    <xdr:ext cx="314325" cy="304800"/>
    <xdr:sp macro="" textlink="">
      <xdr:nvSpPr>
        <xdr:cNvPr id="30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3E1BFFC-825C-4D13-9E29-0EEF4549AB1F}"/>
            </a:ext>
          </a:extLst>
        </xdr:cNvPr>
        <xdr:cNvSpPr/>
      </xdr:nvSpPr>
      <xdr:spPr>
        <a:xfrm>
          <a:off x="2947987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51</xdr:row>
      <xdr:rowOff>0</xdr:rowOff>
    </xdr:from>
    <xdr:ext cx="314325" cy="304800"/>
    <xdr:sp macro="" textlink="">
      <xdr:nvSpPr>
        <xdr:cNvPr id="30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D3D60C5-4585-4726-B4A0-B70E0921CC0E}"/>
            </a:ext>
          </a:extLst>
        </xdr:cNvPr>
        <xdr:cNvSpPr/>
      </xdr:nvSpPr>
      <xdr:spPr>
        <a:xfrm>
          <a:off x="2947987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51</xdr:row>
      <xdr:rowOff>0</xdr:rowOff>
    </xdr:from>
    <xdr:ext cx="314325" cy="304800"/>
    <xdr:sp macro="" textlink="">
      <xdr:nvSpPr>
        <xdr:cNvPr id="30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41287C6-CD7F-4A85-9883-52096B7A7D62}"/>
            </a:ext>
          </a:extLst>
        </xdr:cNvPr>
        <xdr:cNvSpPr/>
      </xdr:nvSpPr>
      <xdr:spPr>
        <a:xfrm>
          <a:off x="2947987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47</xdr:row>
      <xdr:rowOff>0</xdr:rowOff>
    </xdr:from>
    <xdr:ext cx="314325" cy="304800"/>
    <xdr:sp macro="" textlink="">
      <xdr:nvSpPr>
        <xdr:cNvPr id="30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A945648-27C9-4AAF-8B51-A0D6A17199A4}"/>
            </a:ext>
          </a:extLst>
        </xdr:cNvPr>
        <xdr:cNvSpPr/>
      </xdr:nvSpPr>
      <xdr:spPr>
        <a:xfrm>
          <a:off x="3345180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47</xdr:row>
      <xdr:rowOff>0</xdr:rowOff>
    </xdr:from>
    <xdr:ext cx="314325" cy="304800"/>
    <xdr:sp macro="" textlink="">
      <xdr:nvSpPr>
        <xdr:cNvPr id="30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54670A0-05C8-4E32-8E7B-05F7C1090555}"/>
            </a:ext>
          </a:extLst>
        </xdr:cNvPr>
        <xdr:cNvSpPr/>
      </xdr:nvSpPr>
      <xdr:spPr>
        <a:xfrm>
          <a:off x="3345180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48</xdr:row>
      <xdr:rowOff>0</xdr:rowOff>
    </xdr:from>
    <xdr:ext cx="314325" cy="304800"/>
    <xdr:sp macro="" textlink="">
      <xdr:nvSpPr>
        <xdr:cNvPr id="30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37630AB-87E1-4D8E-9960-5DACE8D4B635}"/>
            </a:ext>
          </a:extLst>
        </xdr:cNvPr>
        <xdr:cNvSpPr/>
      </xdr:nvSpPr>
      <xdr:spPr>
        <a:xfrm>
          <a:off x="334518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48</xdr:row>
      <xdr:rowOff>0</xdr:rowOff>
    </xdr:from>
    <xdr:ext cx="314325" cy="304800"/>
    <xdr:sp macro="" textlink="">
      <xdr:nvSpPr>
        <xdr:cNvPr id="30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F9E228D-4E07-4721-A503-853451EF5DEA}"/>
            </a:ext>
          </a:extLst>
        </xdr:cNvPr>
        <xdr:cNvSpPr/>
      </xdr:nvSpPr>
      <xdr:spPr>
        <a:xfrm>
          <a:off x="334518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49</xdr:row>
      <xdr:rowOff>0</xdr:rowOff>
    </xdr:from>
    <xdr:ext cx="314325" cy="304800"/>
    <xdr:sp macro="" textlink="">
      <xdr:nvSpPr>
        <xdr:cNvPr id="30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D2A71BC-7A68-4A39-9304-7AFE4D23F331}"/>
            </a:ext>
          </a:extLst>
        </xdr:cNvPr>
        <xdr:cNvSpPr/>
      </xdr:nvSpPr>
      <xdr:spPr>
        <a:xfrm>
          <a:off x="334518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49</xdr:row>
      <xdr:rowOff>0</xdr:rowOff>
    </xdr:from>
    <xdr:ext cx="314325" cy="304800"/>
    <xdr:sp macro="" textlink="">
      <xdr:nvSpPr>
        <xdr:cNvPr id="30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DBB43E5-A521-474A-990E-9E63EF0A11EF}"/>
            </a:ext>
          </a:extLst>
        </xdr:cNvPr>
        <xdr:cNvSpPr/>
      </xdr:nvSpPr>
      <xdr:spPr>
        <a:xfrm>
          <a:off x="3345180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49</xdr:row>
      <xdr:rowOff>0</xdr:rowOff>
    </xdr:from>
    <xdr:ext cx="314325" cy="304800"/>
    <xdr:sp macro="" textlink="">
      <xdr:nvSpPr>
        <xdr:cNvPr id="31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B06E89F-2914-474B-838A-2ED91B0FE1A9}"/>
            </a:ext>
          </a:extLst>
        </xdr:cNvPr>
        <xdr:cNvSpPr/>
      </xdr:nvSpPr>
      <xdr:spPr>
        <a:xfrm>
          <a:off x="3345180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50</xdr:row>
      <xdr:rowOff>0</xdr:rowOff>
    </xdr:from>
    <xdr:ext cx="314325" cy="304800"/>
    <xdr:sp macro="" textlink="">
      <xdr:nvSpPr>
        <xdr:cNvPr id="31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B80FF7D-D4DE-46FB-8162-007091AE1CFD}"/>
            </a:ext>
          </a:extLst>
        </xdr:cNvPr>
        <xdr:cNvSpPr/>
      </xdr:nvSpPr>
      <xdr:spPr>
        <a:xfrm>
          <a:off x="334518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50</xdr:row>
      <xdr:rowOff>0</xdr:rowOff>
    </xdr:from>
    <xdr:ext cx="314325" cy="304800"/>
    <xdr:sp macro="" textlink="">
      <xdr:nvSpPr>
        <xdr:cNvPr id="31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6E31835-B742-4E4B-868C-865F69EC54A8}"/>
            </a:ext>
          </a:extLst>
        </xdr:cNvPr>
        <xdr:cNvSpPr/>
      </xdr:nvSpPr>
      <xdr:spPr>
        <a:xfrm>
          <a:off x="334518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51</xdr:row>
      <xdr:rowOff>0</xdr:rowOff>
    </xdr:from>
    <xdr:ext cx="314325" cy="304800"/>
    <xdr:sp macro="" textlink="">
      <xdr:nvSpPr>
        <xdr:cNvPr id="31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F8A7D86-F6CF-4C33-89BD-0B60771994BD}"/>
            </a:ext>
          </a:extLst>
        </xdr:cNvPr>
        <xdr:cNvSpPr/>
      </xdr:nvSpPr>
      <xdr:spPr>
        <a:xfrm>
          <a:off x="334518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51</xdr:row>
      <xdr:rowOff>0</xdr:rowOff>
    </xdr:from>
    <xdr:ext cx="314325" cy="304800"/>
    <xdr:sp macro="" textlink="">
      <xdr:nvSpPr>
        <xdr:cNvPr id="31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FBC995D-EDED-4CA2-8DDE-6E842F424A05}"/>
            </a:ext>
          </a:extLst>
        </xdr:cNvPr>
        <xdr:cNvSpPr/>
      </xdr:nvSpPr>
      <xdr:spPr>
        <a:xfrm>
          <a:off x="334518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51</xdr:row>
      <xdr:rowOff>0</xdr:rowOff>
    </xdr:from>
    <xdr:ext cx="314325" cy="304800"/>
    <xdr:sp macro="" textlink="">
      <xdr:nvSpPr>
        <xdr:cNvPr id="31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E6A9E1F-E092-43A4-94CC-344DDCC7050E}"/>
            </a:ext>
          </a:extLst>
        </xdr:cNvPr>
        <xdr:cNvSpPr/>
      </xdr:nvSpPr>
      <xdr:spPr>
        <a:xfrm>
          <a:off x="334518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47</xdr:row>
      <xdr:rowOff>0</xdr:rowOff>
    </xdr:from>
    <xdr:ext cx="314325" cy="304800"/>
    <xdr:sp macro="" textlink="">
      <xdr:nvSpPr>
        <xdr:cNvPr id="31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E9A9A34-281E-4672-B748-0B314E384F1F}"/>
            </a:ext>
          </a:extLst>
        </xdr:cNvPr>
        <xdr:cNvSpPr/>
      </xdr:nvSpPr>
      <xdr:spPr>
        <a:xfrm>
          <a:off x="374237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47</xdr:row>
      <xdr:rowOff>0</xdr:rowOff>
    </xdr:from>
    <xdr:ext cx="314325" cy="304800"/>
    <xdr:sp macro="" textlink="">
      <xdr:nvSpPr>
        <xdr:cNvPr id="31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1E355A8-53DD-4C29-A170-5ADC7C7D26C5}"/>
            </a:ext>
          </a:extLst>
        </xdr:cNvPr>
        <xdr:cNvSpPr/>
      </xdr:nvSpPr>
      <xdr:spPr>
        <a:xfrm>
          <a:off x="374237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48</xdr:row>
      <xdr:rowOff>0</xdr:rowOff>
    </xdr:from>
    <xdr:ext cx="314325" cy="304800"/>
    <xdr:sp macro="" textlink="">
      <xdr:nvSpPr>
        <xdr:cNvPr id="31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152C735-D839-427A-ABA4-82717294E43D}"/>
            </a:ext>
          </a:extLst>
        </xdr:cNvPr>
        <xdr:cNvSpPr/>
      </xdr:nvSpPr>
      <xdr:spPr>
        <a:xfrm>
          <a:off x="374237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48</xdr:row>
      <xdr:rowOff>0</xdr:rowOff>
    </xdr:from>
    <xdr:ext cx="314325" cy="304800"/>
    <xdr:sp macro="" textlink="">
      <xdr:nvSpPr>
        <xdr:cNvPr id="31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7977992-24E6-4D87-9416-426FC0F5FBF9}"/>
            </a:ext>
          </a:extLst>
        </xdr:cNvPr>
        <xdr:cNvSpPr/>
      </xdr:nvSpPr>
      <xdr:spPr>
        <a:xfrm>
          <a:off x="374237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49</xdr:row>
      <xdr:rowOff>0</xdr:rowOff>
    </xdr:from>
    <xdr:ext cx="314325" cy="304800"/>
    <xdr:sp macro="" textlink="">
      <xdr:nvSpPr>
        <xdr:cNvPr id="32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C8DBA47-FF03-411C-B00A-0A184EE35F28}"/>
            </a:ext>
          </a:extLst>
        </xdr:cNvPr>
        <xdr:cNvSpPr/>
      </xdr:nvSpPr>
      <xdr:spPr>
        <a:xfrm>
          <a:off x="374237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49</xdr:row>
      <xdr:rowOff>0</xdr:rowOff>
    </xdr:from>
    <xdr:ext cx="314325" cy="304800"/>
    <xdr:sp macro="" textlink="">
      <xdr:nvSpPr>
        <xdr:cNvPr id="32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F238671-F4F7-4D15-942E-1C85E253385F}"/>
            </a:ext>
          </a:extLst>
        </xdr:cNvPr>
        <xdr:cNvSpPr/>
      </xdr:nvSpPr>
      <xdr:spPr>
        <a:xfrm>
          <a:off x="374237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49</xdr:row>
      <xdr:rowOff>0</xdr:rowOff>
    </xdr:from>
    <xdr:ext cx="314325" cy="304800"/>
    <xdr:sp macro="" textlink="">
      <xdr:nvSpPr>
        <xdr:cNvPr id="32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8F5AB97-5409-43A2-803D-001BF96900DE}"/>
            </a:ext>
          </a:extLst>
        </xdr:cNvPr>
        <xdr:cNvSpPr/>
      </xdr:nvSpPr>
      <xdr:spPr>
        <a:xfrm>
          <a:off x="374237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50</xdr:row>
      <xdr:rowOff>0</xdr:rowOff>
    </xdr:from>
    <xdr:ext cx="314325" cy="304800"/>
    <xdr:sp macro="" textlink="">
      <xdr:nvSpPr>
        <xdr:cNvPr id="32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4D54258-7E7C-4832-B3C7-634A3D85C286}"/>
            </a:ext>
          </a:extLst>
        </xdr:cNvPr>
        <xdr:cNvSpPr/>
      </xdr:nvSpPr>
      <xdr:spPr>
        <a:xfrm>
          <a:off x="374237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50</xdr:row>
      <xdr:rowOff>0</xdr:rowOff>
    </xdr:from>
    <xdr:ext cx="314325" cy="304800"/>
    <xdr:sp macro="" textlink="">
      <xdr:nvSpPr>
        <xdr:cNvPr id="32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A2E3BCA-102E-4C83-B371-1F288EFD3B4B}"/>
            </a:ext>
          </a:extLst>
        </xdr:cNvPr>
        <xdr:cNvSpPr/>
      </xdr:nvSpPr>
      <xdr:spPr>
        <a:xfrm>
          <a:off x="374237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51</xdr:row>
      <xdr:rowOff>0</xdr:rowOff>
    </xdr:from>
    <xdr:ext cx="314325" cy="304800"/>
    <xdr:sp macro="" textlink="">
      <xdr:nvSpPr>
        <xdr:cNvPr id="32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012DE4D-E891-4D55-A3A7-5B68474DF5B9}"/>
            </a:ext>
          </a:extLst>
        </xdr:cNvPr>
        <xdr:cNvSpPr/>
      </xdr:nvSpPr>
      <xdr:spPr>
        <a:xfrm>
          <a:off x="374237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51</xdr:row>
      <xdr:rowOff>0</xdr:rowOff>
    </xdr:from>
    <xdr:ext cx="314325" cy="304800"/>
    <xdr:sp macro="" textlink="">
      <xdr:nvSpPr>
        <xdr:cNvPr id="32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47F252C-58B1-4B33-90E4-8A6686CC0FE5}"/>
            </a:ext>
          </a:extLst>
        </xdr:cNvPr>
        <xdr:cNvSpPr/>
      </xdr:nvSpPr>
      <xdr:spPr>
        <a:xfrm>
          <a:off x="374237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51</xdr:row>
      <xdr:rowOff>0</xdr:rowOff>
    </xdr:from>
    <xdr:ext cx="314325" cy="304800"/>
    <xdr:sp macro="" textlink="">
      <xdr:nvSpPr>
        <xdr:cNvPr id="32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1D09854-FA22-4BC0-B309-0F3E3E42415F}"/>
            </a:ext>
          </a:extLst>
        </xdr:cNvPr>
        <xdr:cNvSpPr/>
      </xdr:nvSpPr>
      <xdr:spPr>
        <a:xfrm>
          <a:off x="374237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47</xdr:row>
      <xdr:rowOff>0</xdr:rowOff>
    </xdr:from>
    <xdr:ext cx="314325" cy="304800"/>
    <xdr:sp macro="" textlink="">
      <xdr:nvSpPr>
        <xdr:cNvPr id="32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C62DA9D-60C3-4366-8F38-40152901D9A7}"/>
            </a:ext>
          </a:extLst>
        </xdr:cNvPr>
        <xdr:cNvSpPr/>
      </xdr:nvSpPr>
      <xdr:spPr>
        <a:xfrm>
          <a:off x="572833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47</xdr:row>
      <xdr:rowOff>0</xdr:rowOff>
    </xdr:from>
    <xdr:ext cx="314325" cy="304800"/>
    <xdr:sp macro="" textlink="">
      <xdr:nvSpPr>
        <xdr:cNvPr id="32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A7282CC-D750-4C20-884B-B51E948DFCF7}"/>
            </a:ext>
          </a:extLst>
        </xdr:cNvPr>
        <xdr:cNvSpPr/>
      </xdr:nvSpPr>
      <xdr:spPr>
        <a:xfrm>
          <a:off x="572833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48</xdr:row>
      <xdr:rowOff>0</xdr:rowOff>
    </xdr:from>
    <xdr:ext cx="314325" cy="304800"/>
    <xdr:sp macro="" textlink="">
      <xdr:nvSpPr>
        <xdr:cNvPr id="33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48A9A2F-E6D0-47DD-AB0F-A5BBE264C4FD}"/>
            </a:ext>
          </a:extLst>
        </xdr:cNvPr>
        <xdr:cNvSpPr/>
      </xdr:nvSpPr>
      <xdr:spPr>
        <a:xfrm>
          <a:off x="572833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48</xdr:row>
      <xdr:rowOff>0</xdr:rowOff>
    </xdr:from>
    <xdr:ext cx="314325" cy="304800"/>
    <xdr:sp macro="" textlink="">
      <xdr:nvSpPr>
        <xdr:cNvPr id="33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4C4B2F2-5F01-4929-AC2B-CC8C2AD5176A}"/>
            </a:ext>
          </a:extLst>
        </xdr:cNvPr>
        <xdr:cNvSpPr/>
      </xdr:nvSpPr>
      <xdr:spPr>
        <a:xfrm>
          <a:off x="572833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49</xdr:row>
      <xdr:rowOff>0</xdr:rowOff>
    </xdr:from>
    <xdr:ext cx="314325" cy="304800"/>
    <xdr:sp macro="" textlink="">
      <xdr:nvSpPr>
        <xdr:cNvPr id="33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12A7FA5-ED24-40FD-89E8-77143DF6AD27}"/>
            </a:ext>
          </a:extLst>
        </xdr:cNvPr>
        <xdr:cNvSpPr/>
      </xdr:nvSpPr>
      <xdr:spPr>
        <a:xfrm>
          <a:off x="5728335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49</xdr:row>
      <xdr:rowOff>0</xdr:rowOff>
    </xdr:from>
    <xdr:ext cx="314325" cy="304800"/>
    <xdr:sp macro="" textlink="">
      <xdr:nvSpPr>
        <xdr:cNvPr id="33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8627B6A-781C-4C95-A3BD-4407F81EF221}"/>
            </a:ext>
          </a:extLst>
        </xdr:cNvPr>
        <xdr:cNvSpPr/>
      </xdr:nvSpPr>
      <xdr:spPr>
        <a:xfrm>
          <a:off x="572833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49</xdr:row>
      <xdr:rowOff>0</xdr:rowOff>
    </xdr:from>
    <xdr:ext cx="314325" cy="304800"/>
    <xdr:sp macro="" textlink="">
      <xdr:nvSpPr>
        <xdr:cNvPr id="33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63C31F9-367E-4E73-A16B-61F4A755FA7C}"/>
            </a:ext>
          </a:extLst>
        </xdr:cNvPr>
        <xdr:cNvSpPr/>
      </xdr:nvSpPr>
      <xdr:spPr>
        <a:xfrm>
          <a:off x="572833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50</xdr:row>
      <xdr:rowOff>0</xdr:rowOff>
    </xdr:from>
    <xdr:ext cx="314325" cy="304800"/>
    <xdr:sp macro="" textlink="">
      <xdr:nvSpPr>
        <xdr:cNvPr id="33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5498C73-C695-4F78-AF99-A463BD4A30A1}"/>
            </a:ext>
          </a:extLst>
        </xdr:cNvPr>
        <xdr:cNvSpPr/>
      </xdr:nvSpPr>
      <xdr:spPr>
        <a:xfrm>
          <a:off x="572833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50</xdr:row>
      <xdr:rowOff>0</xdr:rowOff>
    </xdr:from>
    <xdr:ext cx="314325" cy="304800"/>
    <xdr:sp macro="" textlink="">
      <xdr:nvSpPr>
        <xdr:cNvPr id="33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0F0D631-80EB-4E5C-95AE-E506E3D18207}"/>
            </a:ext>
          </a:extLst>
        </xdr:cNvPr>
        <xdr:cNvSpPr/>
      </xdr:nvSpPr>
      <xdr:spPr>
        <a:xfrm>
          <a:off x="572833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51</xdr:row>
      <xdr:rowOff>0</xdr:rowOff>
    </xdr:from>
    <xdr:ext cx="314325" cy="304800"/>
    <xdr:sp macro="" textlink="">
      <xdr:nvSpPr>
        <xdr:cNvPr id="33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91670FD-9A3A-42AA-95A5-0DD2F733AE5F}"/>
            </a:ext>
          </a:extLst>
        </xdr:cNvPr>
        <xdr:cNvSpPr/>
      </xdr:nvSpPr>
      <xdr:spPr>
        <a:xfrm>
          <a:off x="5728335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51</xdr:row>
      <xdr:rowOff>0</xdr:rowOff>
    </xdr:from>
    <xdr:ext cx="314325" cy="304800"/>
    <xdr:sp macro="" textlink="">
      <xdr:nvSpPr>
        <xdr:cNvPr id="33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E4300CC-6823-40D9-85D3-4B8B9E1EC373}"/>
            </a:ext>
          </a:extLst>
        </xdr:cNvPr>
        <xdr:cNvSpPr/>
      </xdr:nvSpPr>
      <xdr:spPr>
        <a:xfrm>
          <a:off x="5728335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51</xdr:row>
      <xdr:rowOff>0</xdr:rowOff>
    </xdr:from>
    <xdr:ext cx="314325" cy="304800"/>
    <xdr:sp macro="" textlink="">
      <xdr:nvSpPr>
        <xdr:cNvPr id="33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2435AAE-A796-4C83-BD90-92129E5E2CBC}"/>
            </a:ext>
          </a:extLst>
        </xdr:cNvPr>
        <xdr:cNvSpPr/>
      </xdr:nvSpPr>
      <xdr:spPr>
        <a:xfrm>
          <a:off x="5728335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47</xdr:row>
      <xdr:rowOff>0</xdr:rowOff>
    </xdr:from>
    <xdr:ext cx="314325" cy="304800"/>
    <xdr:sp macro="" textlink="">
      <xdr:nvSpPr>
        <xdr:cNvPr id="34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8B2C2F2-5305-49EE-92B9-636B1F8D85DB}"/>
            </a:ext>
          </a:extLst>
        </xdr:cNvPr>
        <xdr:cNvSpPr/>
      </xdr:nvSpPr>
      <xdr:spPr>
        <a:xfrm>
          <a:off x="533114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47</xdr:row>
      <xdr:rowOff>0</xdr:rowOff>
    </xdr:from>
    <xdr:ext cx="314325" cy="304800"/>
    <xdr:sp macro="" textlink="">
      <xdr:nvSpPr>
        <xdr:cNvPr id="34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0965184-0B77-497B-9170-5B683F6EBC77}"/>
            </a:ext>
          </a:extLst>
        </xdr:cNvPr>
        <xdr:cNvSpPr/>
      </xdr:nvSpPr>
      <xdr:spPr>
        <a:xfrm>
          <a:off x="533114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48</xdr:row>
      <xdr:rowOff>0</xdr:rowOff>
    </xdr:from>
    <xdr:ext cx="314325" cy="304800"/>
    <xdr:sp macro="" textlink="">
      <xdr:nvSpPr>
        <xdr:cNvPr id="34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517CE48-EA05-45B2-9549-D2347598A5CB}"/>
            </a:ext>
          </a:extLst>
        </xdr:cNvPr>
        <xdr:cNvSpPr/>
      </xdr:nvSpPr>
      <xdr:spPr>
        <a:xfrm>
          <a:off x="533114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48</xdr:row>
      <xdr:rowOff>0</xdr:rowOff>
    </xdr:from>
    <xdr:ext cx="314325" cy="304800"/>
    <xdr:sp macro="" textlink="">
      <xdr:nvSpPr>
        <xdr:cNvPr id="34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E664D3E-8ED3-49BD-BF7F-F9CDB7013AFD}"/>
            </a:ext>
          </a:extLst>
        </xdr:cNvPr>
        <xdr:cNvSpPr/>
      </xdr:nvSpPr>
      <xdr:spPr>
        <a:xfrm>
          <a:off x="533114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49</xdr:row>
      <xdr:rowOff>0</xdr:rowOff>
    </xdr:from>
    <xdr:ext cx="314325" cy="304800"/>
    <xdr:sp macro="" textlink="">
      <xdr:nvSpPr>
        <xdr:cNvPr id="34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F7A42D5-1962-49A2-8DDF-6F2F29FC2DEE}"/>
            </a:ext>
          </a:extLst>
        </xdr:cNvPr>
        <xdr:cNvSpPr/>
      </xdr:nvSpPr>
      <xdr:spPr>
        <a:xfrm>
          <a:off x="533114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49</xdr:row>
      <xdr:rowOff>0</xdr:rowOff>
    </xdr:from>
    <xdr:ext cx="314325" cy="304800"/>
    <xdr:sp macro="" textlink="">
      <xdr:nvSpPr>
        <xdr:cNvPr id="34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12B4EAA-AB13-4980-9929-582CC1841883}"/>
            </a:ext>
          </a:extLst>
        </xdr:cNvPr>
        <xdr:cNvSpPr/>
      </xdr:nvSpPr>
      <xdr:spPr>
        <a:xfrm>
          <a:off x="533114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49</xdr:row>
      <xdr:rowOff>0</xdr:rowOff>
    </xdr:from>
    <xdr:ext cx="314325" cy="304800"/>
    <xdr:sp macro="" textlink="">
      <xdr:nvSpPr>
        <xdr:cNvPr id="34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7B726C7-5AE5-40C0-9603-006719E0925F}"/>
            </a:ext>
          </a:extLst>
        </xdr:cNvPr>
        <xdr:cNvSpPr/>
      </xdr:nvSpPr>
      <xdr:spPr>
        <a:xfrm>
          <a:off x="533114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50</xdr:row>
      <xdr:rowOff>0</xdr:rowOff>
    </xdr:from>
    <xdr:ext cx="314325" cy="304800"/>
    <xdr:sp macro="" textlink="">
      <xdr:nvSpPr>
        <xdr:cNvPr id="34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5C6DA21-537B-488C-96A5-CDF4758333A0}"/>
            </a:ext>
          </a:extLst>
        </xdr:cNvPr>
        <xdr:cNvSpPr/>
      </xdr:nvSpPr>
      <xdr:spPr>
        <a:xfrm>
          <a:off x="533114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50</xdr:row>
      <xdr:rowOff>0</xdr:rowOff>
    </xdr:from>
    <xdr:ext cx="314325" cy="304800"/>
    <xdr:sp macro="" textlink="">
      <xdr:nvSpPr>
        <xdr:cNvPr id="34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9917402-403B-44CC-B153-AE809F1DE970}"/>
            </a:ext>
          </a:extLst>
        </xdr:cNvPr>
        <xdr:cNvSpPr/>
      </xdr:nvSpPr>
      <xdr:spPr>
        <a:xfrm>
          <a:off x="533114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51</xdr:row>
      <xdr:rowOff>0</xdr:rowOff>
    </xdr:from>
    <xdr:ext cx="314325" cy="304800"/>
    <xdr:sp macro="" textlink="">
      <xdr:nvSpPr>
        <xdr:cNvPr id="34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D223DD6-2BE3-4E8A-86E0-C0E43023791B}"/>
            </a:ext>
          </a:extLst>
        </xdr:cNvPr>
        <xdr:cNvSpPr/>
      </xdr:nvSpPr>
      <xdr:spPr>
        <a:xfrm>
          <a:off x="533114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51</xdr:row>
      <xdr:rowOff>0</xdr:rowOff>
    </xdr:from>
    <xdr:ext cx="314325" cy="304800"/>
    <xdr:sp macro="" textlink="">
      <xdr:nvSpPr>
        <xdr:cNvPr id="35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B40C45B-6252-47CD-A0DE-A7C392C545A2}"/>
            </a:ext>
          </a:extLst>
        </xdr:cNvPr>
        <xdr:cNvSpPr/>
      </xdr:nvSpPr>
      <xdr:spPr>
        <a:xfrm>
          <a:off x="533114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51</xdr:row>
      <xdr:rowOff>0</xdr:rowOff>
    </xdr:from>
    <xdr:ext cx="314325" cy="304800"/>
    <xdr:sp macro="" textlink="">
      <xdr:nvSpPr>
        <xdr:cNvPr id="35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D5C8E67-D535-4163-8CB5-55E69DB1695B}"/>
            </a:ext>
          </a:extLst>
        </xdr:cNvPr>
        <xdr:cNvSpPr/>
      </xdr:nvSpPr>
      <xdr:spPr>
        <a:xfrm>
          <a:off x="533114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47</xdr:row>
      <xdr:rowOff>0</xdr:rowOff>
    </xdr:from>
    <xdr:ext cx="314325" cy="304800"/>
    <xdr:sp macro="" textlink="">
      <xdr:nvSpPr>
        <xdr:cNvPr id="35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35893EE-AACF-4A61-8B37-DAB4135FABC6}"/>
            </a:ext>
          </a:extLst>
        </xdr:cNvPr>
        <xdr:cNvSpPr/>
      </xdr:nvSpPr>
      <xdr:spPr>
        <a:xfrm>
          <a:off x="4933950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47</xdr:row>
      <xdr:rowOff>0</xdr:rowOff>
    </xdr:from>
    <xdr:ext cx="314325" cy="304800"/>
    <xdr:sp macro="" textlink="">
      <xdr:nvSpPr>
        <xdr:cNvPr id="35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16D645F-F37C-4D7E-8DBB-B3F0D43751AB}"/>
            </a:ext>
          </a:extLst>
        </xdr:cNvPr>
        <xdr:cNvSpPr/>
      </xdr:nvSpPr>
      <xdr:spPr>
        <a:xfrm>
          <a:off x="4933950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48</xdr:row>
      <xdr:rowOff>0</xdr:rowOff>
    </xdr:from>
    <xdr:ext cx="314325" cy="304800"/>
    <xdr:sp macro="" textlink="">
      <xdr:nvSpPr>
        <xdr:cNvPr id="35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BB39791-1DC5-4A63-97D9-ECE4A1FB8757}"/>
            </a:ext>
          </a:extLst>
        </xdr:cNvPr>
        <xdr:cNvSpPr/>
      </xdr:nvSpPr>
      <xdr:spPr>
        <a:xfrm>
          <a:off x="493395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48</xdr:row>
      <xdr:rowOff>0</xdr:rowOff>
    </xdr:from>
    <xdr:ext cx="314325" cy="304800"/>
    <xdr:sp macro="" textlink="">
      <xdr:nvSpPr>
        <xdr:cNvPr id="35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51B99E5-EF69-47F5-A935-FCFB23244E3D}"/>
            </a:ext>
          </a:extLst>
        </xdr:cNvPr>
        <xdr:cNvSpPr/>
      </xdr:nvSpPr>
      <xdr:spPr>
        <a:xfrm>
          <a:off x="493395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49</xdr:row>
      <xdr:rowOff>0</xdr:rowOff>
    </xdr:from>
    <xdr:ext cx="314325" cy="304800"/>
    <xdr:sp macro="" textlink="">
      <xdr:nvSpPr>
        <xdr:cNvPr id="35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AD956DA-2900-436D-B1A4-198AFA2D2A8B}"/>
            </a:ext>
          </a:extLst>
        </xdr:cNvPr>
        <xdr:cNvSpPr/>
      </xdr:nvSpPr>
      <xdr:spPr>
        <a:xfrm>
          <a:off x="493395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47</xdr:row>
      <xdr:rowOff>0</xdr:rowOff>
    </xdr:from>
    <xdr:ext cx="314325" cy="304800"/>
    <xdr:sp macro="" textlink="">
      <xdr:nvSpPr>
        <xdr:cNvPr id="35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5A019BF-EECB-4A7B-97A5-CDA8380D4E79}"/>
            </a:ext>
          </a:extLst>
        </xdr:cNvPr>
        <xdr:cNvSpPr/>
      </xdr:nvSpPr>
      <xdr:spPr>
        <a:xfrm>
          <a:off x="4536757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47</xdr:row>
      <xdr:rowOff>0</xdr:rowOff>
    </xdr:from>
    <xdr:ext cx="314325" cy="304800"/>
    <xdr:sp macro="" textlink="">
      <xdr:nvSpPr>
        <xdr:cNvPr id="35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6D1E39A-5777-46D1-A1FE-7675C3E74922}"/>
            </a:ext>
          </a:extLst>
        </xdr:cNvPr>
        <xdr:cNvSpPr/>
      </xdr:nvSpPr>
      <xdr:spPr>
        <a:xfrm>
          <a:off x="4536757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48</xdr:row>
      <xdr:rowOff>0</xdr:rowOff>
    </xdr:from>
    <xdr:ext cx="314325" cy="304800"/>
    <xdr:sp macro="" textlink="">
      <xdr:nvSpPr>
        <xdr:cNvPr id="35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4427CD1-9DC1-4F18-A989-9355F22A85B2}"/>
            </a:ext>
          </a:extLst>
        </xdr:cNvPr>
        <xdr:cNvSpPr/>
      </xdr:nvSpPr>
      <xdr:spPr>
        <a:xfrm>
          <a:off x="453675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48</xdr:row>
      <xdr:rowOff>0</xdr:rowOff>
    </xdr:from>
    <xdr:ext cx="314325" cy="304800"/>
    <xdr:sp macro="" textlink="">
      <xdr:nvSpPr>
        <xdr:cNvPr id="36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C1F561C-34B8-4A0B-8952-284C84536E7B}"/>
            </a:ext>
          </a:extLst>
        </xdr:cNvPr>
        <xdr:cNvSpPr/>
      </xdr:nvSpPr>
      <xdr:spPr>
        <a:xfrm>
          <a:off x="453675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49</xdr:row>
      <xdr:rowOff>0</xdr:rowOff>
    </xdr:from>
    <xdr:ext cx="314325" cy="304800"/>
    <xdr:sp macro="" textlink="">
      <xdr:nvSpPr>
        <xdr:cNvPr id="36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0AA147A-DD77-4AF5-8D54-877B2F5CE92C}"/>
            </a:ext>
          </a:extLst>
        </xdr:cNvPr>
        <xdr:cNvSpPr/>
      </xdr:nvSpPr>
      <xdr:spPr>
        <a:xfrm>
          <a:off x="4536757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49</xdr:row>
      <xdr:rowOff>0</xdr:rowOff>
    </xdr:from>
    <xdr:ext cx="314325" cy="304800"/>
    <xdr:sp macro="" textlink="">
      <xdr:nvSpPr>
        <xdr:cNvPr id="36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42E6317-6A84-4103-8BEB-0A91531B203F}"/>
            </a:ext>
          </a:extLst>
        </xdr:cNvPr>
        <xdr:cNvSpPr/>
      </xdr:nvSpPr>
      <xdr:spPr>
        <a:xfrm>
          <a:off x="4536757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49</xdr:row>
      <xdr:rowOff>0</xdr:rowOff>
    </xdr:from>
    <xdr:ext cx="314325" cy="304800"/>
    <xdr:sp macro="" textlink="">
      <xdr:nvSpPr>
        <xdr:cNvPr id="36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59C5C46-127E-4195-9246-772DB1E02A59}"/>
            </a:ext>
          </a:extLst>
        </xdr:cNvPr>
        <xdr:cNvSpPr/>
      </xdr:nvSpPr>
      <xdr:spPr>
        <a:xfrm>
          <a:off x="4536757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50</xdr:row>
      <xdr:rowOff>0</xdr:rowOff>
    </xdr:from>
    <xdr:ext cx="314325" cy="304800"/>
    <xdr:sp macro="" textlink="">
      <xdr:nvSpPr>
        <xdr:cNvPr id="36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EFBBF53-A09B-4A0B-8FFE-C79F7D054467}"/>
            </a:ext>
          </a:extLst>
        </xdr:cNvPr>
        <xdr:cNvSpPr/>
      </xdr:nvSpPr>
      <xdr:spPr>
        <a:xfrm>
          <a:off x="453675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50</xdr:row>
      <xdr:rowOff>0</xdr:rowOff>
    </xdr:from>
    <xdr:ext cx="314325" cy="304800"/>
    <xdr:sp macro="" textlink="">
      <xdr:nvSpPr>
        <xdr:cNvPr id="36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7848D06-FE1B-4C98-88E1-B01745DA8BC0}"/>
            </a:ext>
          </a:extLst>
        </xdr:cNvPr>
        <xdr:cNvSpPr/>
      </xdr:nvSpPr>
      <xdr:spPr>
        <a:xfrm>
          <a:off x="453675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51</xdr:row>
      <xdr:rowOff>0</xdr:rowOff>
    </xdr:from>
    <xdr:ext cx="314325" cy="304800"/>
    <xdr:sp macro="" textlink="">
      <xdr:nvSpPr>
        <xdr:cNvPr id="36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81DF6DA-CC32-4588-9335-1A9D8D5E20F3}"/>
            </a:ext>
          </a:extLst>
        </xdr:cNvPr>
        <xdr:cNvSpPr/>
      </xdr:nvSpPr>
      <xdr:spPr>
        <a:xfrm>
          <a:off x="4536757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51</xdr:row>
      <xdr:rowOff>0</xdr:rowOff>
    </xdr:from>
    <xdr:ext cx="314325" cy="304800"/>
    <xdr:sp macro="" textlink="">
      <xdr:nvSpPr>
        <xdr:cNvPr id="36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0EC196D-CCE6-43BE-9608-C45E61C8E4B1}"/>
            </a:ext>
          </a:extLst>
        </xdr:cNvPr>
        <xdr:cNvSpPr/>
      </xdr:nvSpPr>
      <xdr:spPr>
        <a:xfrm>
          <a:off x="4536757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51</xdr:row>
      <xdr:rowOff>0</xdr:rowOff>
    </xdr:from>
    <xdr:ext cx="314325" cy="304800"/>
    <xdr:sp macro="" textlink="">
      <xdr:nvSpPr>
        <xdr:cNvPr id="36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785F00D-F2E3-4237-88D1-81EAE9699FC9}"/>
            </a:ext>
          </a:extLst>
        </xdr:cNvPr>
        <xdr:cNvSpPr/>
      </xdr:nvSpPr>
      <xdr:spPr>
        <a:xfrm>
          <a:off x="4536757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47</xdr:row>
      <xdr:rowOff>0</xdr:rowOff>
    </xdr:from>
    <xdr:ext cx="314325" cy="304800"/>
    <xdr:sp macro="" textlink="">
      <xdr:nvSpPr>
        <xdr:cNvPr id="36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C6B4485-95F5-4919-A60F-00FFBC396A47}"/>
            </a:ext>
          </a:extLst>
        </xdr:cNvPr>
        <xdr:cNvSpPr/>
      </xdr:nvSpPr>
      <xdr:spPr>
        <a:xfrm>
          <a:off x="731710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47</xdr:row>
      <xdr:rowOff>0</xdr:rowOff>
    </xdr:from>
    <xdr:ext cx="314325" cy="304800"/>
    <xdr:sp macro="" textlink="">
      <xdr:nvSpPr>
        <xdr:cNvPr id="37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B6FE622-BDDC-4E8B-85D2-90F66BCA2B68}"/>
            </a:ext>
          </a:extLst>
        </xdr:cNvPr>
        <xdr:cNvSpPr/>
      </xdr:nvSpPr>
      <xdr:spPr>
        <a:xfrm>
          <a:off x="731710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48</xdr:row>
      <xdr:rowOff>0</xdr:rowOff>
    </xdr:from>
    <xdr:ext cx="314325" cy="304800"/>
    <xdr:sp macro="" textlink="">
      <xdr:nvSpPr>
        <xdr:cNvPr id="37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E9DE627-9AC8-4668-8825-E95449A72BA8}"/>
            </a:ext>
          </a:extLst>
        </xdr:cNvPr>
        <xdr:cNvSpPr/>
      </xdr:nvSpPr>
      <xdr:spPr>
        <a:xfrm>
          <a:off x="73171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48</xdr:row>
      <xdr:rowOff>0</xdr:rowOff>
    </xdr:from>
    <xdr:ext cx="314325" cy="304800"/>
    <xdr:sp macro="" textlink="">
      <xdr:nvSpPr>
        <xdr:cNvPr id="37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17BEE1B-9641-4BFE-A5BD-68EE39C45B79}"/>
            </a:ext>
          </a:extLst>
        </xdr:cNvPr>
        <xdr:cNvSpPr/>
      </xdr:nvSpPr>
      <xdr:spPr>
        <a:xfrm>
          <a:off x="73171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49</xdr:row>
      <xdr:rowOff>0</xdr:rowOff>
    </xdr:from>
    <xdr:ext cx="314325" cy="304800"/>
    <xdr:sp macro="" textlink="">
      <xdr:nvSpPr>
        <xdr:cNvPr id="37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14BBE81-A151-4141-89B8-A3B53343C7E9}"/>
            </a:ext>
          </a:extLst>
        </xdr:cNvPr>
        <xdr:cNvSpPr/>
      </xdr:nvSpPr>
      <xdr:spPr>
        <a:xfrm>
          <a:off x="7317105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47</xdr:row>
      <xdr:rowOff>0</xdr:rowOff>
    </xdr:from>
    <xdr:ext cx="314325" cy="304800"/>
    <xdr:sp macro="" textlink="">
      <xdr:nvSpPr>
        <xdr:cNvPr id="37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66AE4E4-B875-451F-BE0C-66DAAB656709}"/>
            </a:ext>
          </a:extLst>
        </xdr:cNvPr>
        <xdr:cNvSpPr/>
      </xdr:nvSpPr>
      <xdr:spPr>
        <a:xfrm>
          <a:off x="691991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47</xdr:row>
      <xdr:rowOff>0</xdr:rowOff>
    </xdr:from>
    <xdr:ext cx="314325" cy="304800"/>
    <xdr:sp macro="" textlink="">
      <xdr:nvSpPr>
        <xdr:cNvPr id="37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CE5F3FF-8B7B-4AAD-A878-3B1B54F415CA}"/>
            </a:ext>
          </a:extLst>
        </xdr:cNvPr>
        <xdr:cNvSpPr/>
      </xdr:nvSpPr>
      <xdr:spPr>
        <a:xfrm>
          <a:off x="691991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48</xdr:row>
      <xdr:rowOff>0</xdr:rowOff>
    </xdr:from>
    <xdr:ext cx="314325" cy="304800"/>
    <xdr:sp macro="" textlink="">
      <xdr:nvSpPr>
        <xdr:cNvPr id="37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5608439-CF36-4AF5-906C-386BFE780E1D}"/>
            </a:ext>
          </a:extLst>
        </xdr:cNvPr>
        <xdr:cNvSpPr/>
      </xdr:nvSpPr>
      <xdr:spPr>
        <a:xfrm>
          <a:off x="691991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48</xdr:row>
      <xdr:rowOff>0</xdr:rowOff>
    </xdr:from>
    <xdr:ext cx="314325" cy="304800"/>
    <xdr:sp macro="" textlink="">
      <xdr:nvSpPr>
        <xdr:cNvPr id="37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37CDD5D-8C3E-4F1E-89F8-2576F07EED44}"/>
            </a:ext>
          </a:extLst>
        </xdr:cNvPr>
        <xdr:cNvSpPr/>
      </xdr:nvSpPr>
      <xdr:spPr>
        <a:xfrm>
          <a:off x="691991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49</xdr:row>
      <xdr:rowOff>0</xdr:rowOff>
    </xdr:from>
    <xdr:ext cx="314325" cy="304800"/>
    <xdr:sp macro="" textlink="">
      <xdr:nvSpPr>
        <xdr:cNvPr id="37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7B4B667-D493-45A0-9427-EF544BD52584}"/>
            </a:ext>
          </a:extLst>
        </xdr:cNvPr>
        <xdr:cNvSpPr/>
      </xdr:nvSpPr>
      <xdr:spPr>
        <a:xfrm>
          <a:off x="691991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47</xdr:row>
      <xdr:rowOff>0</xdr:rowOff>
    </xdr:from>
    <xdr:ext cx="314325" cy="304800"/>
    <xdr:sp macro="" textlink="">
      <xdr:nvSpPr>
        <xdr:cNvPr id="37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D919944-2340-41F0-AC39-E4FFC714A217}"/>
            </a:ext>
          </a:extLst>
        </xdr:cNvPr>
        <xdr:cNvSpPr/>
      </xdr:nvSpPr>
      <xdr:spPr>
        <a:xfrm>
          <a:off x="6522720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47</xdr:row>
      <xdr:rowOff>0</xdr:rowOff>
    </xdr:from>
    <xdr:ext cx="314325" cy="304800"/>
    <xdr:sp macro="" textlink="">
      <xdr:nvSpPr>
        <xdr:cNvPr id="38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A7409AB-A1CB-49F3-A52F-FB1935678896}"/>
            </a:ext>
          </a:extLst>
        </xdr:cNvPr>
        <xdr:cNvSpPr/>
      </xdr:nvSpPr>
      <xdr:spPr>
        <a:xfrm>
          <a:off x="6522720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48</xdr:row>
      <xdr:rowOff>0</xdr:rowOff>
    </xdr:from>
    <xdr:ext cx="314325" cy="304800"/>
    <xdr:sp macro="" textlink="">
      <xdr:nvSpPr>
        <xdr:cNvPr id="38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43E49CC-3C58-433F-B996-EB778BDA7CA3}"/>
            </a:ext>
          </a:extLst>
        </xdr:cNvPr>
        <xdr:cNvSpPr/>
      </xdr:nvSpPr>
      <xdr:spPr>
        <a:xfrm>
          <a:off x="652272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48</xdr:row>
      <xdr:rowOff>0</xdr:rowOff>
    </xdr:from>
    <xdr:ext cx="314325" cy="304800"/>
    <xdr:sp macro="" textlink="">
      <xdr:nvSpPr>
        <xdr:cNvPr id="38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4153250-6247-4567-A650-7741A70A661A}"/>
            </a:ext>
          </a:extLst>
        </xdr:cNvPr>
        <xdr:cNvSpPr/>
      </xdr:nvSpPr>
      <xdr:spPr>
        <a:xfrm>
          <a:off x="652272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49</xdr:row>
      <xdr:rowOff>0</xdr:rowOff>
    </xdr:from>
    <xdr:ext cx="314325" cy="304800"/>
    <xdr:sp macro="" textlink="">
      <xdr:nvSpPr>
        <xdr:cNvPr id="38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21EFB5E-B436-4935-84BB-6DF9FC9D0E27}"/>
            </a:ext>
          </a:extLst>
        </xdr:cNvPr>
        <xdr:cNvSpPr/>
      </xdr:nvSpPr>
      <xdr:spPr>
        <a:xfrm>
          <a:off x="652272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47</xdr:row>
      <xdr:rowOff>0</xdr:rowOff>
    </xdr:from>
    <xdr:ext cx="314325" cy="304800"/>
    <xdr:sp macro="" textlink="">
      <xdr:nvSpPr>
        <xdr:cNvPr id="38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CC4C1A0-F44E-4F96-84F5-693191F4F704}"/>
            </a:ext>
          </a:extLst>
        </xdr:cNvPr>
        <xdr:cNvSpPr/>
      </xdr:nvSpPr>
      <xdr:spPr>
        <a:xfrm>
          <a:off x="6125527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47</xdr:row>
      <xdr:rowOff>0</xdr:rowOff>
    </xdr:from>
    <xdr:ext cx="314325" cy="304800"/>
    <xdr:sp macro="" textlink="">
      <xdr:nvSpPr>
        <xdr:cNvPr id="38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0CA48A9-5F92-48CE-B256-1B776F66E47F}"/>
            </a:ext>
          </a:extLst>
        </xdr:cNvPr>
        <xdr:cNvSpPr/>
      </xdr:nvSpPr>
      <xdr:spPr>
        <a:xfrm>
          <a:off x="6125527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48</xdr:row>
      <xdr:rowOff>0</xdr:rowOff>
    </xdr:from>
    <xdr:ext cx="314325" cy="304800"/>
    <xdr:sp macro="" textlink="">
      <xdr:nvSpPr>
        <xdr:cNvPr id="38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5CB9D2D-9E1E-4F78-9469-4C78801FF4BA}"/>
            </a:ext>
          </a:extLst>
        </xdr:cNvPr>
        <xdr:cNvSpPr/>
      </xdr:nvSpPr>
      <xdr:spPr>
        <a:xfrm>
          <a:off x="612552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48</xdr:row>
      <xdr:rowOff>0</xdr:rowOff>
    </xdr:from>
    <xdr:ext cx="314325" cy="304800"/>
    <xdr:sp macro="" textlink="">
      <xdr:nvSpPr>
        <xdr:cNvPr id="38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62132C9-B8E6-442F-B12E-54D3050CC732}"/>
            </a:ext>
          </a:extLst>
        </xdr:cNvPr>
        <xdr:cNvSpPr/>
      </xdr:nvSpPr>
      <xdr:spPr>
        <a:xfrm>
          <a:off x="612552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49</xdr:row>
      <xdr:rowOff>0</xdr:rowOff>
    </xdr:from>
    <xdr:ext cx="314325" cy="304800"/>
    <xdr:sp macro="" textlink="">
      <xdr:nvSpPr>
        <xdr:cNvPr id="38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8C1E608-1D66-4518-A23F-C2099AC6E4B3}"/>
            </a:ext>
          </a:extLst>
        </xdr:cNvPr>
        <xdr:cNvSpPr/>
      </xdr:nvSpPr>
      <xdr:spPr>
        <a:xfrm>
          <a:off x="6125527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47</xdr:row>
      <xdr:rowOff>0</xdr:rowOff>
    </xdr:from>
    <xdr:ext cx="314325" cy="304800"/>
    <xdr:sp macro="" textlink="">
      <xdr:nvSpPr>
        <xdr:cNvPr id="38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718A72C-1547-46C0-A67B-44408EB56560}"/>
            </a:ext>
          </a:extLst>
        </xdr:cNvPr>
        <xdr:cNvSpPr/>
      </xdr:nvSpPr>
      <xdr:spPr>
        <a:xfrm>
          <a:off x="41395650" y="7943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48</xdr:row>
      <xdr:rowOff>0</xdr:rowOff>
    </xdr:from>
    <xdr:ext cx="314325" cy="304800"/>
    <xdr:sp macro="" textlink="">
      <xdr:nvSpPr>
        <xdr:cNvPr id="39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70E2BF1-F4DC-46E7-A413-A6619886E86C}"/>
            </a:ext>
          </a:extLst>
        </xdr:cNvPr>
        <xdr:cNvSpPr/>
      </xdr:nvSpPr>
      <xdr:spPr>
        <a:xfrm>
          <a:off x="413956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48</xdr:row>
      <xdr:rowOff>0</xdr:rowOff>
    </xdr:from>
    <xdr:ext cx="314325" cy="304800"/>
    <xdr:sp macro="" textlink="">
      <xdr:nvSpPr>
        <xdr:cNvPr id="39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E1CD242-F978-4653-9E12-58C342BFC873}"/>
            </a:ext>
          </a:extLst>
        </xdr:cNvPr>
        <xdr:cNvSpPr/>
      </xdr:nvSpPr>
      <xdr:spPr>
        <a:xfrm>
          <a:off x="413956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49</xdr:row>
      <xdr:rowOff>0</xdr:rowOff>
    </xdr:from>
    <xdr:ext cx="314325" cy="304800"/>
    <xdr:sp macro="" textlink="">
      <xdr:nvSpPr>
        <xdr:cNvPr id="39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D6DE09E-340B-4728-8CDA-B41456C2BA80}"/>
            </a:ext>
          </a:extLst>
        </xdr:cNvPr>
        <xdr:cNvSpPr/>
      </xdr:nvSpPr>
      <xdr:spPr>
        <a:xfrm>
          <a:off x="413956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49</xdr:row>
      <xdr:rowOff>0</xdr:rowOff>
    </xdr:from>
    <xdr:ext cx="314325" cy="304800"/>
    <xdr:sp macro="" textlink="">
      <xdr:nvSpPr>
        <xdr:cNvPr id="39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EA166C8-8D3E-4717-BF27-AD4DEA716F68}"/>
            </a:ext>
          </a:extLst>
        </xdr:cNvPr>
        <xdr:cNvSpPr/>
      </xdr:nvSpPr>
      <xdr:spPr>
        <a:xfrm>
          <a:off x="413956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50</xdr:row>
      <xdr:rowOff>0</xdr:rowOff>
    </xdr:from>
    <xdr:ext cx="314325" cy="304800"/>
    <xdr:sp macro="" textlink="">
      <xdr:nvSpPr>
        <xdr:cNvPr id="39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9AD664A-9CDC-401A-B0CB-5696545A1508}"/>
            </a:ext>
          </a:extLst>
        </xdr:cNvPr>
        <xdr:cNvSpPr/>
      </xdr:nvSpPr>
      <xdr:spPr>
        <a:xfrm>
          <a:off x="4139565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38</xdr:row>
      <xdr:rowOff>0</xdr:rowOff>
    </xdr:from>
    <xdr:ext cx="314325" cy="304800"/>
    <xdr:sp macro="" textlink="">
      <xdr:nvSpPr>
        <xdr:cNvPr id="39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2F5A968-C2F8-4D10-AF85-831A914C0356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38</xdr:row>
      <xdr:rowOff>0</xdr:rowOff>
    </xdr:from>
    <xdr:ext cx="314325" cy="304800"/>
    <xdr:sp macro="" textlink="">
      <xdr:nvSpPr>
        <xdr:cNvPr id="39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5A11DD5-63DC-4A76-9B3D-E84098E5A38F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38</xdr:row>
      <xdr:rowOff>0</xdr:rowOff>
    </xdr:from>
    <xdr:ext cx="314325" cy="304800"/>
    <xdr:sp macro="" textlink="">
      <xdr:nvSpPr>
        <xdr:cNvPr id="39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10AA0D2-8151-4EC1-8FF4-8987B1B63FC3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38</xdr:row>
      <xdr:rowOff>0</xdr:rowOff>
    </xdr:from>
    <xdr:ext cx="314325" cy="304800"/>
    <xdr:sp macro="" textlink="">
      <xdr:nvSpPr>
        <xdr:cNvPr id="39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AF0BD94-7CCF-4E5F-84EB-EA9F9B349CF8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38</xdr:row>
      <xdr:rowOff>0</xdr:rowOff>
    </xdr:from>
    <xdr:ext cx="314325" cy="304800"/>
    <xdr:sp macro="" textlink="">
      <xdr:nvSpPr>
        <xdr:cNvPr id="39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3016B3C-1718-4E50-BE5A-1EFED6E34B46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38</xdr:row>
      <xdr:rowOff>0</xdr:rowOff>
    </xdr:from>
    <xdr:ext cx="314325" cy="304800"/>
    <xdr:sp macro="" textlink="">
      <xdr:nvSpPr>
        <xdr:cNvPr id="40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52F8580-2BCB-4590-9FAF-109108E7DE0D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38</xdr:row>
      <xdr:rowOff>0</xdr:rowOff>
    </xdr:from>
    <xdr:ext cx="314325" cy="304800"/>
    <xdr:sp macro="" textlink="">
      <xdr:nvSpPr>
        <xdr:cNvPr id="40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C6FBBEC-47DB-416E-B03D-CC9E10C331E8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38</xdr:row>
      <xdr:rowOff>0</xdr:rowOff>
    </xdr:from>
    <xdr:ext cx="314325" cy="304800"/>
    <xdr:sp macro="" textlink="">
      <xdr:nvSpPr>
        <xdr:cNvPr id="40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C67F65A-26BE-42D6-8504-91BD926AB065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38</xdr:row>
      <xdr:rowOff>0</xdr:rowOff>
    </xdr:from>
    <xdr:ext cx="314325" cy="304800"/>
    <xdr:sp macro="" textlink="">
      <xdr:nvSpPr>
        <xdr:cNvPr id="40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4FF27B9-3BA2-489D-9D64-AEFBF8FE3009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38</xdr:row>
      <xdr:rowOff>0</xdr:rowOff>
    </xdr:from>
    <xdr:ext cx="314325" cy="304800"/>
    <xdr:sp macro="" textlink="">
      <xdr:nvSpPr>
        <xdr:cNvPr id="40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68C40F8-D86C-420F-86C9-959818061F35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38</xdr:row>
      <xdr:rowOff>0</xdr:rowOff>
    </xdr:from>
    <xdr:ext cx="314325" cy="304800"/>
    <xdr:sp macro="" textlink="">
      <xdr:nvSpPr>
        <xdr:cNvPr id="40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FC0AC3B-5ABF-4567-83A0-9740CE621131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38</xdr:row>
      <xdr:rowOff>0</xdr:rowOff>
    </xdr:from>
    <xdr:ext cx="314325" cy="304800"/>
    <xdr:sp macro="" textlink="">
      <xdr:nvSpPr>
        <xdr:cNvPr id="40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0D50E27-13E4-43C0-A331-ABF0E79C98E3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0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845CB74-B25E-4507-9036-9123EF1437B7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0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F301FB3-F4AC-423E-8E5F-1015E4F4A73F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0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843F6A8-4649-45F6-A95C-A7D4B347C87B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1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BDCDA62-9136-47AF-9209-6A169597697B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1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A2E4092-7AF2-4830-9258-4684B6E2FD03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1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49DA9DC-7AB3-44C3-811D-A486638AD690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1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54557B5-91ED-470F-9C7E-0BCF5A146FAC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1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C49270A-8A72-4944-ADD8-E35E65069FB0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1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5CD2904-F046-486A-A25F-20B1FE124FF5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1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FBF0177-2A61-45DE-BAC5-E59FA70D76F9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1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3436818-8E72-4976-ABA9-5E560A916F1F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1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760FEB9-751A-4A29-A1D1-CDAE8446A635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1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14DF4B5-6D74-4840-911C-7041E16FC017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2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63129F1-A7C4-4F1C-9BA1-07F8370DA367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2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D33BC6B-A368-4174-ACFF-0B9CC422003E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2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99B61EE-58F4-4BAD-86B7-D11C2296147D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42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7FBB7CA-0D24-4F5C-A812-09541CF28CAF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42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09128CF-02D4-4986-9B27-7A22645DDCA3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42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48A76C3-9E00-4C06-91E2-62FD68035266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42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41DB630-B98A-4B3B-BA89-D86A2E07A707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42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EB7F2C5-D7D8-4FFC-BA52-F0CE11091161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42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18F1E9B-D000-4EA1-AE6D-8933B56DF59E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42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E5A2757-AB55-4373-BEC2-3DF174126866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43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338B2C2-42B2-447F-A680-E1BEAD7D7237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43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0B848C9-0908-4A3C-8094-19211181F55A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43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839FB04-A727-4619-9368-67C3A3362C27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43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B0EF18D-7928-40DE-83C5-578A957E68D7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43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0A0C47F-A239-4675-9ECE-B8D45D274F1C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43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EA6B116-BCD1-4D6A-A93B-01229B952494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43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24DC9AD-68F9-4A6F-849D-55A4C7F03479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43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A03A716-E387-4C35-9271-83F3E79CB5CD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43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32449F6-4E78-4356-9F3B-E9982918ACD1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43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528DAEE-1620-4B29-8F7A-6E2D30DA3539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44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B375F43-0F3A-4E10-B4A6-9633FDFED280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44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0AD414E-1935-4B42-890D-8A5D79D36DEE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44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FF3BA9B-62CA-409A-AF30-2F524DF22952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44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2B75F92-860A-438E-9EF5-913205F0882B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44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6EA865B-01B4-4FFF-88E5-3097E21C5814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44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D59AB25-985F-45AD-BAC5-6C153A61327E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44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6349ABE-C31A-4540-9393-ED606D3EA749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44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C7793DA-DF25-4E86-BA7A-B79FEB4F4231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44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4E7C458-B1C3-477D-81D0-0E804588BF98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44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35314FA-EEB3-4D36-8A83-8056417AECB3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45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0806B86-B0FD-473A-B688-4535202BB9FB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45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59124DC-BF64-49B8-B2B3-E7FC76B172B1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45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F022EB7-0864-4D9D-8A50-508B2EF975B7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45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FEEEC2B-27A2-4E88-BB84-7CE223F1B382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45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FF590E6-7B42-4B9C-AAF0-A9ACD5041FDF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45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9F55669-AE61-473E-A459-4670CC9BF632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45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1FC93CE-1EB3-4A64-8D7A-F70DE6080A0C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45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52E2FF6-16D4-4682-8781-F78FCD3A8ED4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45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15A406C-E99E-4901-9A12-32719417D53C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45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C385944-217E-418B-B60A-C2AA9CA55C13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46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C74F349-3462-439E-882E-7454F2DB61CE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46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AC9FB60-3DBA-496B-B98F-3E3DDFC80AAF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46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A75AE87-7B35-4D84-A308-5E192DF5C452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46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0F6E916-0689-40F0-949A-7481D9F01F61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46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FF26778-69F0-42B4-A6E8-D3F0075AD9EA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46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3D00891-6167-496D-8587-DF848158E743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46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F2752F8-0D48-418E-9091-425351FF0B3B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46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7A9999D-1E47-4534-A898-6F31674236CF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46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DC676F7-7FDD-48E7-BE4A-42B83D3809CE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46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E34B44D-7DCA-4F37-ADF6-405E2B950E2D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47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8D95975-E807-49D5-867D-3CD083D14C47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47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BF547C4-8947-4AB1-9273-7C520D4B6ECD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47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FCDF294-98AE-4D0C-A76A-9A13B91C44D9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47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088FCB4-3C66-4ECA-BF1A-ED3B50B2A479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47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0FE1088-0758-4E83-AA7B-F1FDCE9059F2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47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84DA4B9-E650-4C39-8EB1-D121BE807FE2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47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559D4D2-D230-4D14-AE36-3A511AB5CAE4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47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0876F59-D9DD-4489-AB5E-10C85601ED76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47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2A58184-AAAB-4FB7-A008-99A2798870D3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7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912C51A-AB8D-46FF-9749-E273DC09E15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8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63AEF6E-6031-4F90-A053-5C9026DD95D0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8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D38871E-A147-4595-ABBC-2FA31C177D0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8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C6E4A21-3F8C-4B50-82A0-C86128612363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8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1B52318-EE05-4343-A9F7-70AD2F57FB86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8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5F47D84-B936-493E-80DF-31AD8326DD0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8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B7E4E8B-8152-49F1-A2CF-C5B3F5569DF3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8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E5E03EE-03B4-4C50-AD3C-B263C33B3D17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8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F91C543-CDEA-408E-9C7A-7C146A30D66C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8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94180B3-16F1-4BF5-88C9-A9F1DE117D1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8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B87BF88-2260-4DF5-84E8-F8872A0B5C22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9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E711250-679A-4EB8-B3E0-818C2B194B75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9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28B8B13-9309-4F1D-9656-BC00E8605B75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9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BB02DD0-4939-4B1B-9198-D33967BDE84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9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A8434EA-5944-4C69-9E47-C153987557A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9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EE0E180-01A7-48FB-AFE1-77430BF3C92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9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EE8CDAD-EC14-4E6C-A3E1-1A56E70C047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9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DE990B5-7672-4376-A71F-43CA33703330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9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9C8E44C-6725-4D47-9FF4-F1B1B1D96992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9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A95DAE3-6F99-4930-8085-4DCC7002A48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9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0985724-6849-49A1-BFC3-6868CAA44A8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0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D411314-DE7D-4B3E-B821-49C4B400AAC7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0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03872F0-71B5-4298-8EBC-F117132E87A1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0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C5F04B5-4B7D-4E72-AFC1-80C300386EC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0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C7FDEFF-290A-4B1E-A0ED-E742820615E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0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E64E5C4-1AD3-4C1E-9B13-EAC84E40792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0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DEBB09F-10BB-45BA-B603-2218EF1257F6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0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A456DB3-549A-433D-A88B-B4CB80232CDC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0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7F7F68C-4EAB-45E0-8E10-5C9746E94F6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0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B232118-3BD2-4B2F-AC11-DB4B6D1D1D8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0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BC54C20-E371-4F0D-8C14-2D21927373E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1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8E0B9B3-B885-40CA-B8DD-88385439596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1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EE9F522-1971-4865-BBB1-B75CEBBDCB5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1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B5F36BB-2E30-4E4E-8F22-D3989BE0A8F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1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4B34AD3-C2C5-4DDC-BC7C-4919003DB86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1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070E146-74C5-48FC-9865-DD2B474F63E7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1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20B9A70-2C05-4A31-87D7-DEFE378661E7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1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47636CC-4BA5-4378-91CA-988B3F19C3B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1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7F4C22B-CDBF-4DF3-AC23-3AA53E243E1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1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717B0D8-E5C5-4E60-ADE9-AD6B8C231F1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1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8C3A7D5-E115-43EA-A7A1-DF7B1E34A14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2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1D9A621-C0FD-4C0B-ABAB-E1197AD84CC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2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010D281-0061-4AF7-8CFC-DF63598855D3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2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611F03D-EE2D-470D-9A9D-55E1C2EE7826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2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1EEEF95-04E9-46B8-8826-18EBAFD1CE95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2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ACA320C-4001-4310-A5BD-F4837EE035C6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2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E00E28E-0B1C-430F-B08C-950A8BD35F1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2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8234BF4-F4FA-47B0-81FA-F782DD54B9C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2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D9216A8-A83B-4F71-9FEC-FA381C11C753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2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48E3B96-8E48-4AF8-A622-01BB820398B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2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302184E-FBF2-412E-9CEA-83422D1A147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3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633F300-FB59-4CAB-9577-D9F40998471D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3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53751D1-572F-431D-854E-12E302D1BFC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3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4426531-4E15-4F98-970D-A935135019E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3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D6D0AE2-9C47-4192-98EB-6210ADA4FA3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3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AAC853A-AD59-4B31-B818-5F409FC9932D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3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1229F66-01AB-4DEB-8B72-28E1C4B14057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3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24089B1-969B-4964-B545-2056FBEB80D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3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5CF5F57-1E65-48E4-AA0C-9734103730E2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3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6E49841-4D28-4B39-A032-2682B350AEB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3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434C6FA-0906-43E8-883B-5B70DE86BFB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4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DB770CF-2EB2-433E-9390-DC43479D594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4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077314B-C2F2-4CFA-97EA-53F9DC621A3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4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50D1079-DE47-44CC-A3CE-BDC7BA70F28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4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61EDE1F-F717-425B-8BCF-CBABE3654BE1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4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891D8C3-A7DB-474C-BFEF-F6313762C6C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4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C5CDA4A-E913-477F-82D4-98981F3E1886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4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128F48D-5F39-4408-BBE4-B283C1526847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4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B046E8E-A750-4E83-8062-82992E668C3D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4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27721A5-BEA4-4F0B-9280-EC7786A1F5F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4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546D1C1-58F2-40F4-BD87-B782A0FCDBC1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5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0EB6D87-FE9E-4EB0-9037-694B4A6322A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5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CC2C93B-782A-4A14-803F-23C4904F909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5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C757D09-3D93-45A5-8A9C-27B586A1C79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5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73C67BF-8FB4-40B9-A654-4A9C25B6826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5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FABB855-D8AA-4D43-9967-19811FAF2953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5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A347663-4D65-4861-8DE1-4C702C7A7DE7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5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0ED2B61-9BEA-49EB-8752-CB145BA756D3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5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E58313D-A301-4343-B9AE-6ECC78F8AB6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5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F3E9B59-1256-4783-9B61-62C9D41A72D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5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C133407-2B74-414A-AD39-D6E5A2260A8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6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CF0EEDE-071A-4AB1-B22B-8AC8B5E40D11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6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66312D6-62FC-4AE5-8AD9-136112F3D3A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6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023AF17-6CB2-48EB-989A-A5E0C9B875E1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6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7761742-B4BC-42D7-86BE-D471EDE7B67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6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A2CA0E7-8A42-4127-8FA3-85204E151B30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6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DC4FF36-E9E1-4C90-BC31-0A371B6C8C7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6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6A3E03D-AA81-43ED-BCBC-ADB2B607F43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6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E3852B1-3530-4816-BA55-6153490C241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6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838E029-810A-41F0-9AE7-EAA03BF8DFE6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6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4DE3FB1-E65E-4B76-B38C-8DAD419DC57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7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D0CDFFC-A208-4DCB-89B5-767F2CE3471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7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2A36A76-C26D-4802-A0B5-7179FE63B00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7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D3E111C-DCA3-4B91-8A21-0C56787AFD37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7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26AB2EB-F186-4831-BD16-D5F69FA4A61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7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0517B3A-F651-490A-B8FA-442779E0511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7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5237BCE-9497-44CB-BC8B-5A3D90C8B297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7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5EAE8E7-6A83-4FFA-B9F0-2E8529833611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7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C2BE88E-9024-4957-911D-61937389BBA2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7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E659D3F-C1B9-42CF-9BC5-676AAE19889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7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C330F37-D2FB-4CB3-B98C-DD8FAE9DC60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8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0F35378-9E0C-43EB-B68A-7F9F390526D0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8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76B6F7A-4B51-4FCC-8BDC-FEFA9A72EEF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8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DCC1D33-F7E6-4C6C-A521-3A0E3BF0CFBC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8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C08215D-7EBB-4120-B205-526D46129A3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8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8E2593C-0293-4013-9FE0-08632F3B1902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8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1E708CD-46BD-4BEB-8306-CB34A608880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8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9AC14A1-1C61-413E-9D90-55222D277FF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58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7A68B15-7663-4387-BEED-F42BB6DB9A0D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58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69844A6-10E5-4729-92D5-71BA0CEB660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58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C232369-B055-44A0-8DFB-A126B5AF046C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59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8F464DD-8552-412A-8B59-1B7DAF72BB37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59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401E3B3-B684-42FF-8665-D7D0A6DDA83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59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F23E946-0BCD-4D73-A507-63FB49CEEC6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59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771EBBA-790A-4D68-8F8B-0732A3F1B97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59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641A705-959D-452E-B724-B3ED0A94198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59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AE48DDA-36B6-4407-A95F-200A42E6179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59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40BD09C-2726-4ECB-A2F2-3E76B009F6A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59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8A50888-CF8D-44A4-AC64-0865028E01F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59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D4809AA-8CBA-4C14-A692-FA4782BFBFD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59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2820537-CF03-46A2-8C99-0C520530192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60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0D744E3-1A3F-49EC-B71C-DEFD0C181EC3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60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519D5F5-AD86-4A2D-9A7C-AD314F72BF0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60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3E8DB46-AE31-4836-82E4-24D088C8156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60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8AE2CF0-AAAC-4E1D-9EDF-281C7B32CC81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60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D0F4953-5B34-493D-9989-6A699421841D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60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D32D124-3B58-4C9C-B9BB-C44188CB9E9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60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74EC775-2560-4D28-B681-F9BE14E2EC66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60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F1C29DF-1614-48F0-88D6-BD6853B7868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60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F8CBC53-21C3-4FB1-B857-0AE40B004FD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60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3EE2383-47DF-4956-8246-6896268F9C15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61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E4E4D64-B6CE-4471-8997-4C7763C122B1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1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FE00CBC-E4A2-450D-81B9-7D85D025C8F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1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24886EB-9A3F-46B6-B18F-12FA071698F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1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8B2E61B-E3CA-40C9-B988-61CF67342A35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1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650035C-2DB0-4A93-BD14-EDB0DF10D7E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1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6C065C2-FD63-471A-AB62-09CEACC75366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1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A10B81C-B46E-4278-BE8A-1084EEC172EC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1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7AC05B7-731E-4976-8EB7-5C8AF2DB198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1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5B4D2ED-DFB7-42A0-AF9C-03FC3BF72F61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1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FC223C3-F34F-4B62-AEDD-B78BE72DC060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2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51037CE-9989-41C8-9A66-9BB6FC188D63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2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36463AE-0C57-4CA2-B1F9-B356DA5CE7E1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2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C1BFB71-40BB-424E-9F6F-BE1E84B490D5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2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58C8E79-71D8-4741-A925-CC60986DB756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2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9DD51F1-F8A1-463E-8634-167C0678C547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2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4F17D13-4E98-4244-80EA-857FC2825E42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2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D7A2402-D8D6-443A-BB18-0CA429D974A0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2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7709D19-1F19-4C46-8827-2DF215BF5C83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2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C47CB95-C75B-48A8-AD5C-D475B2A36BB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2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00ADE85-BFC3-4163-A415-D2441C47CC63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3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4AAA862-2F47-4B40-9652-986B216EC1A1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3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0773716-B8CD-4F39-BA6D-461DF987F352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3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3975B2B-CC1D-4F9C-9322-F93B77ACD28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3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458F542-DE54-48B7-9964-6B29828AECB0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3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8C4DEB8-06FE-4F01-8AF9-D806AB6C0E9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3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79723C0-EE7C-41C3-B330-B601118941F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3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400A59C-AA97-4DD1-995F-8132B017BC82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3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2FEBE54-3333-4A59-A703-74EDFC95186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3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0DCCA5A-8C13-4DEC-BAB2-B364A3949AA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3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7159807-55DF-4A90-99BC-966190091AA2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4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D50F19B-5246-44CB-A7E4-1898F8FA0E6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4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F735C5A-1BD1-4B64-A4B3-9171FA711DC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4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83AD204-10A6-462E-979C-9EA0DBEEC05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4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69FFD40-4C06-46A6-B957-0ABB0089AA01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4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CDA99D2-B0CD-4FDF-841D-DB0EC7DC66B5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4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C75ED42-1ECB-4FA7-A40F-E929B5B1A6F5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4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A6DAFEC-EE3A-4873-98D1-F68958DA24E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4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17165F1-8156-421C-BA62-C5BECB5032D3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4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6E8ADEA-B3BB-4458-9867-C726418E14B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4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EDFD84F-45F9-4CA8-A05B-A441097B5865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5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1514A47-E3E5-40B7-B0B5-C5AE6D4B87A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5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3371BBD-EDBD-4D03-9805-E77AB0D4473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5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9265FB6-B763-48DD-B363-19422053DC6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5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6E88BDD-FEB8-4FD6-915F-8409250F8662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5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28E2F71-E252-485E-A230-4BD4BCD08A16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5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A3FE7C7-12C6-4393-AB0A-3C83B91342E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5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D6F37DC-0C2B-4AF5-A4B3-F49D2F3E296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5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E49C924-296E-4BA5-9AA8-AF3E8BE03D03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5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0399163-030E-4517-B8A0-204FF08D9F9D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5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A99BB21-95B3-4664-ABD8-A7001BBF01D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6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8A8A7D8-17A7-4B3A-B94F-1141B4D09C5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6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40D042E-5119-4EF1-8DB5-2374BEE5B40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6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1908AC4-BDDF-4E02-A12C-59076D0DA112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6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CFCA50E-A276-49B7-906C-340165A76E4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6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43B014F-B29C-4D60-B61C-905D3DDD3855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6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CFF2131-2B28-4CDA-83E3-791E21C3EC7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6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EFE4A70-FC42-4D4B-A437-13323E3A762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6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E883C22-A60F-4552-8F12-6B675028010C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6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6635F1E-5B09-4D0A-B3D7-16887AC4C016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6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9E780C9-29F7-4241-87B7-33CF36EDA782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7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24EEE33-8E06-4806-900B-93F9C19E33D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7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E20476F-9822-4F93-8895-3E5D218681F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7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8F9BB3E-58B7-458A-8531-FA5453A1C5E1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7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985FBE8-FB9B-44D9-B42A-AA4B72917572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7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F629F4E-92ED-4886-AC77-CE988A67730C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7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865D0F2-AE10-4266-B88B-BCD2F2ABB21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7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4F678CC-E7EB-4580-933A-D287D9E129B3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7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12C46DF-8B8B-47F0-AD84-54E59D1275C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7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B35CCB1-33B6-4670-803D-73A606B19D8C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7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38C536B-3617-4FC2-9CFD-E3F975A0915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8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1C2CAB2-FF68-4486-9160-12AD517D2BD6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8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BEEF65D-468F-41E5-8D7A-5D00B328EF1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8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0510134-00FE-4C27-8DB0-6C9DC2466E9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41</xdr:row>
      <xdr:rowOff>0</xdr:rowOff>
    </xdr:from>
    <xdr:ext cx="314325" cy="304800"/>
    <xdr:sp macro="" textlink="">
      <xdr:nvSpPr>
        <xdr:cNvPr id="68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6A1D877-E50B-4119-8BC1-5EEA4C9B5787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42</xdr:row>
      <xdr:rowOff>0</xdr:rowOff>
    </xdr:from>
    <xdr:ext cx="314325" cy="304800"/>
    <xdr:sp macro="" textlink="">
      <xdr:nvSpPr>
        <xdr:cNvPr id="68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06E1D5A-1ECE-4D6E-979C-8EEDFE296BF7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42</xdr:row>
      <xdr:rowOff>0</xdr:rowOff>
    </xdr:from>
    <xdr:ext cx="314325" cy="304800"/>
    <xdr:sp macro="" textlink="">
      <xdr:nvSpPr>
        <xdr:cNvPr id="68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C374053-38D4-4183-A6BF-A9DC30DAD0DF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0</xdr:rowOff>
    </xdr:from>
    <xdr:ext cx="314325" cy="304800"/>
    <xdr:sp macro="" textlink="">
      <xdr:nvSpPr>
        <xdr:cNvPr id="68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E66139B-709C-4186-9178-07E44BF30BF5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44</xdr:row>
      <xdr:rowOff>0</xdr:rowOff>
    </xdr:from>
    <xdr:ext cx="314325" cy="304800"/>
    <xdr:sp macro="" textlink="">
      <xdr:nvSpPr>
        <xdr:cNvPr id="68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D3993FD-ABA1-4381-8609-040B14919FAF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0</xdr:rowOff>
    </xdr:from>
    <xdr:ext cx="314325" cy="304800"/>
    <xdr:sp macro="" textlink="">
      <xdr:nvSpPr>
        <xdr:cNvPr id="68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0C24E20-9474-43F5-AE7B-5CA910C6CFB6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0</xdr:rowOff>
    </xdr:from>
    <xdr:ext cx="314325" cy="304800"/>
    <xdr:sp macro="" textlink="">
      <xdr:nvSpPr>
        <xdr:cNvPr id="68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9D07B42-8B55-45BB-862D-B4957DFB34CD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0</xdr:rowOff>
    </xdr:from>
    <xdr:ext cx="314325" cy="304800"/>
    <xdr:sp macro="" textlink="">
      <xdr:nvSpPr>
        <xdr:cNvPr id="69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9BF0BF3-E90C-447A-A772-2CA9605BFB19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0</xdr:rowOff>
    </xdr:from>
    <xdr:ext cx="314325" cy="304800"/>
    <xdr:sp macro="" textlink="">
      <xdr:nvSpPr>
        <xdr:cNvPr id="69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26B81D1-1B2F-4016-8830-67557F10199B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0</xdr:rowOff>
    </xdr:from>
    <xdr:ext cx="314325" cy="304800"/>
    <xdr:sp macro="" textlink="">
      <xdr:nvSpPr>
        <xdr:cNvPr id="69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3300C93-27F3-459E-B5C2-3C2970573036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44</xdr:row>
      <xdr:rowOff>0</xdr:rowOff>
    </xdr:from>
    <xdr:ext cx="314325" cy="304800"/>
    <xdr:sp macro="" textlink="">
      <xdr:nvSpPr>
        <xdr:cNvPr id="69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38387D0-DD44-45F2-A02D-1F602239D5FF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0</xdr:rowOff>
    </xdr:from>
    <xdr:ext cx="314325" cy="304800"/>
    <xdr:sp macro="" textlink="">
      <xdr:nvSpPr>
        <xdr:cNvPr id="69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B84A30B-B4D0-491E-85EA-66E2F3AC2FE7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0</xdr:rowOff>
    </xdr:from>
    <xdr:ext cx="314325" cy="304800"/>
    <xdr:sp macro="" textlink="">
      <xdr:nvSpPr>
        <xdr:cNvPr id="69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FA69451-E043-46F3-9E6B-96C28586BFFB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48</xdr:row>
      <xdr:rowOff>0</xdr:rowOff>
    </xdr:from>
    <xdr:ext cx="314325" cy="304800"/>
    <xdr:sp macro="" textlink="">
      <xdr:nvSpPr>
        <xdr:cNvPr id="69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DD907F0-00AE-4E7B-B5DB-C4DA4CEE131F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0</xdr:rowOff>
    </xdr:from>
    <xdr:ext cx="314325" cy="304800"/>
    <xdr:sp macro="" textlink="">
      <xdr:nvSpPr>
        <xdr:cNvPr id="69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23286C7-913E-4B67-968C-D57A3D2E655C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50</xdr:row>
      <xdr:rowOff>0</xdr:rowOff>
    </xdr:from>
    <xdr:ext cx="314325" cy="304800"/>
    <xdr:sp macro="" textlink="">
      <xdr:nvSpPr>
        <xdr:cNvPr id="69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5C9A5B6-5E48-41A0-81FC-D22B5766F5C8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51</xdr:row>
      <xdr:rowOff>0</xdr:rowOff>
    </xdr:from>
    <xdr:ext cx="314325" cy="304800"/>
    <xdr:sp macro="" textlink="">
      <xdr:nvSpPr>
        <xdr:cNvPr id="70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1904547-8C70-4E2B-8BFB-DFF376E0C08E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0</xdr:rowOff>
    </xdr:from>
    <xdr:ext cx="314325" cy="304800"/>
    <xdr:sp macro="" textlink="">
      <xdr:nvSpPr>
        <xdr:cNvPr id="70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62A9721-2EB0-443C-9976-833ED9EB3820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42</xdr:row>
      <xdr:rowOff>0</xdr:rowOff>
    </xdr:from>
    <xdr:ext cx="314325" cy="304800"/>
    <xdr:sp macro="" textlink="">
      <xdr:nvSpPr>
        <xdr:cNvPr id="70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72FE37A-6CC2-4F4D-9F21-E9C4E602097D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42</xdr:row>
      <xdr:rowOff>0</xdr:rowOff>
    </xdr:from>
    <xdr:ext cx="314325" cy="304800"/>
    <xdr:sp macro="" textlink="">
      <xdr:nvSpPr>
        <xdr:cNvPr id="70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C438844-9B47-4F36-B932-6CEDD2A23DC3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43</xdr:row>
      <xdr:rowOff>0</xdr:rowOff>
    </xdr:from>
    <xdr:ext cx="314325" cy="304800"/>
    <xdr:sp macro="" textlink="">
      <xdr:nvSpPr>
        <xdr:cNvPr id="70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9A09F7E-8BB9-4B36-84D8-BA167B0E8DEB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44</xdr:row>
      <xdr:rowOff>0</xdr:rowOff>
    </xdr:from>
    <xdr:ext cx="314325" cy="304800"/>
    <xdr:sp macro="" textlink="">
      <xdr:nvSpPr>
        <xdr:cNvPr id="70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2A9A9E9-9321-4A61-8425-E64DE249D035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45</xdr:row>
      <xdr:rowOff>0</xdr:rowOff>
    </xdr:from>
    <xdr:ext cx="314325" cy="304800"/>
    <xdr:sp macro="" textlink="">
      <xdr:nvSpPr>
        <xdr:cNvPr id="70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CACE1EB-E314-4A9F-8248-E9003DD4097B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45</xdr:row>
      <xdr:rowOff>0</xdr:rowOff>
    </xdr:from>
    <xdr:ext cx="314325" cy="304800"/>
    <xdr:sp macro="" textlink="">
      <xdr:nvSpPr>
        <xdr:cNvPr id="70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654150B-E93D-4BE1-BF6B-400CE59C6557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46</xdr:row>
      <xdr:rowOff>0</xdr:rowOff>
    </xdr:from>
    <xdr:ext cx="314325" cy="304800"/>
    <xdr:sp macro="" textlink="">
      <xdr:nvSpPr>
        <xdr:cNvPr id="70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B831877-99DC-426F-B2D7-F25AAE5BE274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46</xdr:row>
      <xdr:rowOff>0</xdr:rowOff>
    </xdr:from>
    <xdr:ext cx="314325" cy="304800"/>
    <xdr:sp macro="" textlink="">
      <xdr:nvSpPr>
        <xdr:cNvPr id="70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6411695-42A8-4F5E-9FF4-07B1FAA7EBE2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47</xdr:row>
      <xdr:rowOff>0</xdr:rowOff>
    </xdr:from>
    <xdr:ext cx="314325" cy="304800"/>
    <xdr:sp macro="" textlink="">
      <xdr:nvSpPr>
        <xdr:cNvPr id="71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AA6D4E8-002A-4102-BD74-FE9DE98B5B87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44</xdr:row>
      <xdr:rowOff>0</xdr:rowOff>
    </xdr:from>
    <xdr:ext cx="314325" cy="304800"/>
    <xdr:sp macro="" textlink="">
      <xdr:nvSpPr>
        <xdr:cNvPr id="71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9ECBD31-3C98-47F1-904D-4DCD79766ADC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45</xdr:row>
      <xdr:rowOff>0</xdr:rowOff>
    </xdr:from>
    <xdr:ext cx="314325" cy="304800"/>
    <xdr:sp macro="" textlink="">
      <xdr:nvSpPr>
        <xdr:cNvPr id="71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5E95854-47F7-4CBD-B465-CAA6F9EBEFAF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46</xdr:row>
      <xdr:rowOff>0</xdr:rowOff>
    </xdr:from>
    <xdr:ext cx="314325" cy="304800"/>
    <xdr:sp macro="" textlink="">
      <xdr:nvSpPr>
        <xdr:cNvPr id="71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69CF2AB-0C2B-49CB-B1E5-0AF0B8B3D651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47</xdr:row>
      <xdr:rowOff>0</xdr:rowOff>
    </xdr:from>
    <xdr:ext cx="314325" cy="304800"/>
    <xdr:sp macro="" textlink="">
      <xdr:nvSpPr>
        <xdr:cNvPr id="71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FA035AF-F77A-4C54-88BA-1B0273DB1822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48</xdr:row>
      <xdr:rowOff>0</xdr:rowOff>
    </xdr:from>
    <xdr:ext cx="314325" cy="304800"/>
    <xdr:sp macro="" textlink="">
      <xdr:nvSpPr>
        <xdr:cNvPr id="71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1B79F3C-0E25-4A60-985A-DDABDD25D674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49</xdr:row>
      <xdr:rowOff>0</xdr:rowOff>
    </xdr:from>
    <xdr:ext cx="314325" cy="304800"/>
    <xdr:sp macro="" textlink="">
      <xdr:nvSpPr>
        <xdr:cNvPr id="71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F631B9C-5BCF-43E2-80A6-87336F6FBE11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50</xdr:row>
      <xdr:rowOff>0</xdr:rowOff>
    </xdr:from>
    <xdr:ext cx="314325" cy="304800"/>
    <xdr:sp macro="" textlink="">
      <xdr:nvSpPr>
        <xdr:cNvPr id="71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00F1DCD-6C5A-411E-8268-EDA45C4EA4BB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51</xdr:row>
      <xdr:rowOff>0</xdr:rowOff>
    </xdr:from>
    <xdr:ext cx="314325" cy="304800"/>
    <xdr:sp macro="" textlink="">
      <xdr:nvSpPr>
        <xdr:cNvPr id="71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89A580C-8417-466D-8EAC-FEAFF4BE79DA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41</xdr:row>
      <xdr:rowOff>0</xdr:rowOff>
    </xdr:from>
    <xdr:ext cx="314325" cy="304800"/>
    <xdr:sp macro="" textlink="">
      <xdr:nvSpPr>
        <xdr:cNvPr id="71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06771AA-8FE3-47E5-B611-4DD620E7AD0E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42</xdr:row>
      <xdr:rowOff>0</xdr:rowOff>
    </xdr:from>
    <xdr:ext cx="314325" cy="304800"/>
    <xdr:sp macro="" textlink="">
      <xdr:nvSpPr>
        <xdr:cNvPr id="72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BD60866-E5B9-4913-9D59-7C8DB3831385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42</xdr:row>
      <xdr:rowOff>0</xdr:rowOff>
    </xdr:from>
    <xdr:ext cx="314325" cy="304800"/>
    <xdr:sp macro="" textlink="">
      <xdr:nvSpPr>
        <xdr:cNvPr id="72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F6FC551-D267-40D9-AFED-2DBB087BB2E9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43</xdr:row>
      <xdr:rowOff>0</xdr:rowOff>
    </xdr:from>
    <xdr:ext cx="314325" cy="304800"/>
    <xdr:sp macro="" textlink="">
      <xdr:nvSpPr>
        <xdr:cNvPr id="72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0BB709E-F893-4397-A27A-E9536CB305AD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44</xdr:row>
      <xdr:rowOff>0</xdr:rowOff>
    </xdr:from>
    <xdr:ext cx="314325" cy="304800"/>
    <xdr:sp macro="" textlink="">
      <xdr:nvSpPr>
        <xdr:cNvPr id="72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DB1CF6D-F29B-484E-BDC2-69B8E323E9B3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45</xdr:row>
      <xdr:rowOff>0</xdr:rowOff>
    </xdr:from>
    <xdr:ext cx="314325" cy="304800"/>
    <xdr:sp macro="" textlink="">
      <xdr:nvSpPr>
        <xdr:cNvPr id="72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9A09803-84F4-49B7-86D6-697A959BDAA6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45</xdr:row>
      <xdr:rowOff>0</xdr:rowOff>
    </xdr:from>
    <xdr:ext cx="314325" cy="304800"/>
    <xdr:sp macro="" textlink="">
      <xdr:nvSpPr>
        <xdr:cNvPr id="72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7462387-BD9B-4A6A-B143-7BE299C4C6C1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46</xdr:row>
      <xdr:rowOff>0</xdr:rowOff>
    </xdr:from>
    <xdr:ext cx="314325" cy="304800"/>
    <xdr:sp macro="" textlink="">
      <xdr:nvSpPr>
        <xdr:cNvPr id="72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D7AE92D-B4FE-4BBF-8248-4F43E890142B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46</xdr:row>
      <xdr:rowOff>0</xdr:rowOff>
    </xdr:from>
    <xdr:ext cx="314325" cy="304800"/>
    <xdr:sp macro="" textlink="">
      <xdr:nvSpPr>
        <xdr:cNvPr id="72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99DA911-65B4-489C-96AC-1181D8181E16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47</xdr:row>
      <xdr:rowOff>0</xdr:rowOff>
    </xdr:from>
    <xdr:ext cx="314325" cy="304800"/>
    <xdr:sp macro="" textlink="">
      <xdr:nvSpPr>
        <xdr:cNvPr id="72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4AFE261-56FD-4AF9-83A3-E507B7A390FB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44</xdr:row>
      <xdr:rowOff>0</xdr:rowOff>
    </xdr:from>
    <xdr:ext cx="314325" cy="304800"/>
    <xdr:sp macro="" textlink="">
      <xdr:nvSpPr>
        <xdr:cNvPr id="72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E3C89E2-CCB7-406D-85D3-A70A564A078E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45</xdr:row>
      <xdr:rowOff>0</xdr:rowOff>
    </xdr:from>
    <xdr:ext cx="314325" cy="304800"/>
    <xdr:sp macro="" textlink="">
      <xdr:nvSpPr>
        <xdr:cNvPr id="73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D4A2D93-1AA1-4629-B068-E0E2A9BAF6C7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46</xdr:row>
      <xdr:rowOff>0</xdr:rowOff>
    </xdr:from>
    <xdr:ext cx="314325" cy="304800"/>
    <xdr:sp macro="" textlink="">
      <xdr:nvSpPr>
        <xdr:cNvPr id="73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CFC46F7-34D2-463A-8735-229E65A9C2F3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47</xdr:row>
      <xdr:rowOff>0</xdr:rowOff>
    </xdr:from>
    <xdr:ext cx="314325" cy="304800"/>
    <xdr:sp macro="" textlink="">
      <xdr:nvSpPr>
        <xdr:cNvPr id="73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1648F4D-8CED-4364-8FFF-1DFE08D02D1A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48</xdr:row>
      <xdr:rowOff>0</xdr:rowOff>
    </xdr:from>
    <xdr:ext cx="314325" cy="304800"/>
    <xdr:sp macro="" textlink="">
      <xdr:nvSpPr>
        <xdr:cNvPr id="73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3DB3B00-E587-49E8-AF73-C514757CA8DC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49</xdr:row>
      <xdr:rowOff>0</xdr:rowOff>
    </xdr:from>
    <xdr:ext cx="314325" cy="304800"/>
    <xdr:sp macro="" textlink="">
      <xdr:nvSpPr>
        <xdr:cNvPr id="73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65FC581-570F-4EE3-8446-63754CCADC6A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50</xdr:row>
      <xdr:rowOff>0</xdr:rowOff>
    </xdr:from>
    <xdr:ext cx="314325" cy="304800"/>
    <xdr:sp macro="" textlink="">
      <xdr:nvSpPr>
        <xdr:cNvPr id="73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EFC370E-943E-4B3E-97CF-3D4471B9183D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51</xdr:row>
      <xdr:rowOff>0</xdr:rowOff>
    </xdr:from>
    <xdr:ext cx="314325" cy="304800"/>
    <xdr:sp macro="" textlink="">
      <xdr:nvSpPr>
        <xdr:cNvPr id="73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14FF5A2-00FC-4AFB-8DF2-C77B591A91B8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41</xdr:row>
      <xdr:rowOff>0</xdr:rowOff>
    </xdr:from>
    <xdr:ext cx="314325" cy="304800"/>
    <xdr:sp macro="" textlink="">
      <xdr:nvSpPr>
        <xdr:cNvPr id="73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25C9C58-1BA6-4B87-BF7C-5AF668534AFC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42</xdr:row>
      <xdr:rowOff>0</xdr:rowOff>
    </xdr:from>
    <xdr:ext cx="314325" cy="304800"/>
    <xdr:sp macro="" textlink="">
      <xdr:nvSpPr>
        <xdr:cNvPr id="73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DBAAB2B-E8BF-4FF8-BA53-DEC0CFC7BC76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42</xdr:row>
      <xdr:rowOff>0</xdr:rowOff>
    </xdr:from>
    <xdr:ext cx="314325" cy="304800"/>
    <xdr:sp macro="" textlink="">
      <xdr:nvSpPr>
        <xdr:cNvPr id="73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195D088-D6A2-46C7-B2AC-0899BC60187B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314325" cy="304800"/>
    <xdr:sp macro="" textlink="">
      <xdr:nvSpPr>
        <xdr:cNvPr id="74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B646103-B110-49DC-9E91-0C137EE0CE50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44</xdr:row>
      <xdr:rowOff>0</xdr:rowOff>
    </xdr:from>
    <xdr:ext cx="314325" cy="304800"/>
    <xdr:sp macro="" textlink="">
      <xdr:nvSpPr>
        <xdr:cNvPr id="74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58118A6-1891-454E-BCBB-5B3AF227B1D2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0</xdr:rowOff>
    </xdr:from>
    <xdr:ext cx="314325" cy="304800"/>
    <xdr:sp macro="" textlink="">
      <xdr:nvSpPr>
        <xdr:cNvPr id="74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6265CD2-000F-40FD-8538-EF782C7003FE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0</xdr:rowOff>
    </xdr:from>
    <xdr:ext cx="314325" cy="304800"/>
    <xdr:sp macro="" textlink="">
      <xdr:nvSpPr>
        <xdr:cNvPr id="74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529C32B-9D07-4A3B-988C-FC19E9D954FC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46</xdr:row>
      <xdr:rowOff>0</xdr:rowOff>
    </xdr:from>
    <xdr:ext cx="314325" cy="304800"/>
    <xdr:sp macro="" textlink="">
      <xdr:nvSpPr>
        <xdr:cNvPr id="74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0507286-4855-4903-9562-38BB0CE72EB9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46</xdr:row>
      <xdr:rowOff>0</xdr:rowOff>
    </xdr:from>
    <xdr:ext cx="314325" cy="304800"/>
    <xdr:sp macro="" textlink="">
      <xdr:nvSpPr>
        <xdr:cNvPr id="74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B27536C-8B86-431F-A55A-D6E33DBB4476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0</xdr:rowOff>
    </xdr:from>
    <xdr:ext cx="314325" cy="304800"/>
    <xdr:sp macro="" textlink="">
      <xdr:nvSpPr>
        <xdr:cNvPr id="74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A66E5EB-E891-4BAB-8C21-9705F8BB4C23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44</xdr:row>
      <xdr:rowOff>0</xdr:rowOff>
    </xdr:from>
    <xdr:ext cx="314325" cy="304800"/>
    <xdr:sp macro="" textlink="">
      <xdr:nvSpPr>
        <xdr:cNvPr id="74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6272D2D-9285-40B2-9A3B-CBEE2FD6C8E4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0</xdr:rowOff>
    </xdr:from>
    <xdr:ext cx="314325" cy="304800"/>
    <xdr:sp macro="" textlink="">
      <xdr:nvSpPr>
        <xdr:cNvPr id="74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C942927-C99D-47C8-9337-8DA961454F98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46</xdr:row>
      <xdr:rowOff>0</xdr:rowOff>
    </xdr:from>
    <xdr:ext cx="314325" cy="304800"/>
    <xdr:sp macro="" textlink="">
      <xdr:nvSpPr>
        <xdr:cNvPr id="74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B7DFD48-7CC5-4A6D-A52A-6DE11D456B38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0</xdr:rowOff>
    </xdr:from>
    <xdr:ext cx="314325" cy="304800"/>
    <xdr:sp macro="" textlink="">
      <xdr:nvSpPr>
        <xdr:cNvPr id="75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5F9979B-0EF8-46B5-8D60-11DF403D3BEE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48</xdr:row>
      <xdr:rowOff>0</xdr:rowOff>
    </xdr:from>
    <xdr:ext cx="314325" cy="304800"/>
    <xdr:sp macro="" textlink="">
      <xdr:nvSpPr>
        <xdr:cNvPr id="75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391E9BC-2990-4465-BEA9-C1B066F8E20D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0</xdr:rowOff>
    </xdr:from>
    <xdr:ext cx="314325" cy="304800"/>
    <xdr:sp macro="" textlink="">
      <xdr:nvSpPr>
        <xdr:cNvPr id="75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EF41614-2682-4E9E-9A10-2C0C7087D26E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50</xdr:row>
      <xdr:rowOff>0</xdr:rowOff>
    </xdr:from>
    <xdr:ext cx="314325" cy="304800"/>
    <xdr:sp macro="" textlink="">
      <xdr:nvSpPr>
        <xdr:cNvPr id="75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30B38DF-382B-4B9D-8FE3-275A8E0DBE01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51</xdr:row>
      <xdr:rowOff>0</xdr:rowOff>
    </xdr:from>
    <xdr:ext cx="314325" cy="304800"/>
    <xdr:sp macro="" textlink="">
      <xdr:nvSpPr>
        <xdr:cNvPr id="75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D3C6744-0E01-4446-AFBF-00BBCE74CFE4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314325" cy="304800"/>
    <xdr:sp macro="" textlink="">
      <xdr:nvSpPr>
        <xdr:cNvPr id="75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519BF9A-65D6-42B8-AD9D-642C117628F2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42</xdr:row>
      <xdr:rowOff>0</xdr:rowOff>
    </xdr:from>
    <xdr:ext cx="314325" cy="304800"/>
    <xdr:sp macro="" textlink="">
      <xdr:nvSpPr>
        <xdr:cNvPr id="75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0A8372D-A205-4587-8088-26E7804A322F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42</xdr:row>
      <xdr:rowOff>0</xdr:rowOff>
    </xdr:from>
    <xdr:ext cx="314325" cy="304800"/>
    <xdr:sp macro="" textlink="">
      <xdr:nvSpPr>
        <xdr:cNvPr id="75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A261B37-C612-4E76-A8CD-65CEFFA10165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43</xdr:row>
      <xdr:rowOff>0</xdr:rowOff>
    </xdr:from>
    <xdr:ext cx="314325" cy="304800"/>
    <xdr:sp macro="" textlink="">
      <xdr:nvSpPr>
        <xdr:cNvPr id="75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A652023-B2A2-4A74-AF03-5470D5120919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44</xdr:row>
      <xdr:rowOff>0</xdr:rowOff>
    </xdr:from>
    <xdr:ext cx="314325" cy="304800"/>
    <xdr:sp macro="" textlink="">
      <xdr:nvSpPr>
        <xdr:cNvPr id="75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5BA9A8F-9317-4617-AE21-F665243823A9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45</xdr:row>
      <xdr:rowOff>0</xdr:rowOff>
    </xdr:from>
    <xdr:ext cx="314325" cy="304800"/>
    <xdr:sp macro="" textlink="">
      <xdr:nvSpPr>
        <xdr:cNvPr id="76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813D280-19BC-4D7B-ADEF-E69A4B4AAD01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45</xdr:row>
      <xdr:rowOff>0</xdr:rowOff>
    </xdr:from>
    <xdr:ext cx="314325" cy="304800"/>
    <xdr:sp macro="" textlink="">
      <xdr:nvSpPr>
        <xdr:cNvPr id="76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6516F25-99BC-4E9A-880B-FD240DA116D8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46</xdr:row>
      <xdr:rowOff>0</xdr:rowOff>
    </xdr:from>
    <xdr:ext cx="314325" cy="304800"/>
    <xdr:sp macro="" textlink="">
      <xdr:nvSpPr>
        <xdr:cNvPr id="76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E5E252C-DE44-4661-B031-6345288E0815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46</xdr:row>
      <xdr:rowOff>0</xdr:rowOff>
    </xdr:from>
    <xdr:ext cx="314325" cy="304800"/>
    <xdr:sp macro="" textlink="">
      <xdr:nvSpPr>
        <xdr:cNvPr id="76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5092204-EF6A-4B41-8DBD-5BA19A561AE4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47</xdr:row>
      <xdr:rowOff>0</xdr:rowOff>
    </xdr:from>
    <xdr:ext cx="314325" cy="304800"/>
    <xdr:sp macro="" textlink="">
      <xdr:nvSpPr>
        <xdr:cNvPr id="76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E3B0835-AE10-4817-98AB-B59DA2BA534C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44</xdr:row>
      <xdr:rowOff>0</xdr:rowOff>
    </xdr:from>
    <xdr:ext cx="314325" cy="304800"/>
    <xdr:sp macro="" textlink="">
      <xdr:nvSpPr>
        <xdr:cNvPr id="76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DEFF50A-1B80-42DC-B99C-587AAAF38960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45</xdr:row>
      <xdr:rowOff>0</xdr:rowOff>
    </xdr:from>
    <xdr:ext cx="314325" cy="304800"/>
    <xdr:sp macro="" textlink="">
      <xdr:nvSpPr>
        <xdr:cNvPr id="76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7A2DC8D-647D-42BF-BE86-548B5FA69714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46</xdr:row>
      <xdr:rowOff>0</xdr:rowOff>
    </xdr:from>
    <xdr:ext cx="314325" cy="304800"/>
    <xdr:sp macro="" textlink="">
      <xdr:nvSpPr>
        <xdr:cNvPr id="76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106CE31-8238-46B7-A3BC-91CB8AD918EC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47</xdr:row>
      <xdr:rowOff>0</xdr:rowOff>
    </xdr:from>
    <xdr:ext cx="314325" cy="304800"/>
    <xdr:sp macro="" textlink="">
      <xdr:nvSpPr>
        <xdr:cNvPr id="76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77191DC-D846-4039-BDD1-ABF61978BD4B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48</xdr:row>
      <xdr:rowOff>0</xdr:rowOff>
    </xdr:from>
    <xdr:ext cx="314325" cy="304800"/>
    <xdr:sp macro="" textlink="">
      <xdr:nvSpPr>
        <xdr:cNvPr id="76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4605C66-C44C-40A5-B54E-A42BAC3B1767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49</xdr:row>
      <xdr:rowOff>0</xdr:rowOff>
    </xdr:from>
    <xdr:ext cx="314325" cy="304800"/>
    <xdr:sp macro="" textlink="">
      <xdr:nvSpPr>
        <xdr:cNvPr id="77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C1477CC-1727-4CE8-BAFE-B6BB6B74EC54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50</xdr:row>
      <xdr:rowOff>0</xdr:rowOff>
    </xdr:from>
    <xdr:ext cx="314325" cy="304800"/>
    <xdr:sp macro="" textlink="">
      <xdr:nvSpPr>
        <xdr:cNvPr id="77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73CA439-8A7F-4567-8DAF-A6151691EE39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51</xdr:row>
      <xdr:rowOff>0</xdr:rowOff>
    </xdr:from>
    <xdr:ext cx="314325" cy="304800"/>
    <xdr:sp macro="" textlink="">
      <xdr:nvSpPr>
        <xdr:cNvPr id="77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2AF0597-71EB-4929-97CC-30CC72AB316A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41</xdr:row>
      <xdr:rowOff>0</xdr:rowOff>
    </xdr:from>
    <xdr:ext cx="314325" cy="304800"/>
    <xdr:sp macro="" textlink="">
      <xdr:nvSpPr>
        <xdr:cNvPr id="77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B85A0EB-362F-4387-BD92-17DCF12F0B51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42</xdr:row>
      <xdr:rowOff>0</xdr:rowOff>
    </xdr:from>
    <xdr:ext cx="314325" cy="304800"/>
    <xdr:sp macro="" textlink="">
      <xdr:nvSpPr>
        <xdr:cNvPr id="77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E060400-B3A2-498F-8586-B6811294CB64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42</xdr:row>
      <xdr:rowOff>0</xdr:rowOff>
    </xdr:from>
    <xdr:ext cx="314325" cy="304800"/>
    <xdr:sp macro="" textlink="">
      <xdr:nvSpPr>
        <xdr:cNvPr id="77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A6632C7-13D1-420B-98C0-7F94C91355AF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43</xdr:row>
      <xdr:rowOff>0</xdr:rowOff>
    </xdr:from>
    <xdr:ext cx="314325" cy="304800"/>
    <xdr:sp macro="" textlink="">
      <xdr:nvSpPr>
        <xdr:cNvPr id="77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093AF2D-6B98-467A-83E3-D9FFD9D7605D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44</xdr:row>
      <xdr:rowOff>0</xdr:rowOff>
    </xdr:from>
    <xdr:ext cx="314325" cy="304800"/>
    <xdr:sp macro="" textlink="">
      <xdr:nvSpPr>
        <xdr:cNvPr id="77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CE89D24-FB75-4B9A-B62E-E8058751CFC4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45</xdr:row>
      <xdr:rowOff>0</xdr:rowOff>
    </xdr:from>
    <xdr:ext cx="314325" cy="304800"/>
    <xdr:sp macro="" textlink="">
      <xdr:nvSpPr>
        <xdr:cNvPr id="77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37A622B-1A79-40F7-A3B4-9F4D648E0B82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45</xdr:row>
      <xdr:rowOff>0</xdr:rowOff>
    </xdr:from>
    <xdr:ext cx="314325" cy="304800"/>
    <xdr:sp macro="" textlink="">
      <xdr:nvSpPr>
        <xdr:cNvPr id="77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FAEB4BC-E523-4D70-838C-05FA26D4A195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46</xdr:row>
      <xdr:rowOff>0</xdr:rowOff>
    </xdr:from>
    <xdr:ext cx="314325" cy="304800"/>
    <xdr:sp macro="" textlink="">
      <xdr:nvSpPr>
        <xdr:cNvPr id="78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CD6D1D1-4B3B-4965-BC71-BD52E0C660DF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46</xdr:row>
      <xdr:rowOff>0</xdr:rowOff>
    </xdr:from>
    <xdr:ext cx="314325" cy="304800"/>
    <xdr:sp macro="" textlink="">
      <xdr:nvSpPr>
        <xdr:cNvPr id="78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DE19E59-B48B-4FFD-BA73-F54672D241D6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47</xdr:row>
      <xdr:rowOff>0</xdr:rowOff>
    </xdr:from>
    <xdr:ext cx="314325" cy="304800"/>
    <xdr:sp macro="" textlink="">
      <xdr:nvSpPr>
        <xdr:cNvPr id="78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D206689-589D-4F84-9759-C42AE652916C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44</xdr:row>
      <xdr:rowOff>0</xdr:rowOff>
    </xdr:from>
    <xdr:ext cx="314325" cy="304800"/>
    <xdr:sp macro="" textlink="">
      <xdr:nvSpPr>
        <xdr:cNvPr id="78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1003F78-5F6E-473E-A054-A7C99F20B092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45</xdr:row>
      <xdr:rowOff>0</xdr:rowOff>
    </xdr:from>
    <xdr:ext cx="314325" cy="304800"/>
    <xdr:sp macro="" textlink="">
      <xdr:nvSpPr>
        <xdr:cNvPr id="78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45A598F-7505-4BEC-BDB5-659E15A32E44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46</xdr:row>
      <xdr:rowOff>0</xdr:rowOff>
    </xdr:from>
    <xdr:ext cx="314325" cy="304800"/>
    <xdr:sp macro="" textlink="">
      <xdr:nvSpPr>
        <xdr:cNvPr id="78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8C4F804-7912-4CE7-8631-1EE0D470629D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47</xdr:row>
      <xdr:rowOff>0</xdr:rowOff>
    </xdr:from>
    <xdr:ext cx="314325" cy="304800"/>
    <xdr:sp macro="" textlink="">
      <xdr:nvSpPr>
        <xdr:cNvPr id="78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C3380D1-07AC-4B41-ABAD-B68D80D52CA5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48</xdr:row>
      <xdr:rowOff>0</xdr:rowOff>
    </xdr:from>
    <xdr:ext cx="314325" cy="304800"/>
    <xdr:sp macro="" textlink="">
      <xdr:nvSpPr>
        <xdr:cNvPr id="78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4E4C6FD-00F3-4BAF-8D20-7C15E169052B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49</xdr:row>
      <xdr:rowOff>0</xdr:rowOff>
    </xdr:from>
    <xdr:ext cx="314325" cy="304800"/>
    <xdr:sp macro="" textlink="">
      <xdr:nvSpPr>
        <xdr:cNvPr id="78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D661001-C01B-4800-ACFB-F0BC15DB6986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50</xdr:row>
      <xdr:rowOff>0</xdr:rowOff>
    </xdr:from>
    <xdr:ext cx="314325" cy="304800"/>
    <xdr:sp macro="" textlink="">
      <xdr:nvSpPr>
        <xdr:cNvPr id="78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9F8242A-A6FC-4C1E-8EA4-D38B91A936A6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51</xdr:row>
      <xdr:rowOff>0</xdr:rowOff>
    </xdr:from>
    <xdr:ext cx="314325" cy="304800"/>
    <xdr:sp macro="" textlink="">
      <xdr:nvSpPr>
        <xdr:cNvPr id="79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3E2E0B8-3140-47CA-B7C8-DEB52832FAB2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41</xdr:row>
      <xdr:rowOff>0</xdr:rowOff>
    </xdr:from>
    <xdr:ext cx="314325" cy="304800"/>
    <xdr:sp macro="" textlink="">
      <xdr:nvSpPr>
        <xdr:cNvPr id="79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332FE56-3385-4763-B579-53BE81848196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42</xdr:row>
      <xdr:rowOff>0</xdr:rowOff>
    </xdr:from>
    <xdr:ext cx="314325" cy="304800"/>
    <xdr:sp macro="" textlink="">
      <xdr:nvSpPr>
        <xdr:cNvPr id="79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A7126DA-97A3-41FC-8D26-2FB3250F8E3A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42</xdr:row>
      <xdr:rowOff>0</xdr:rowOff>
    </xdr:from>
    <xdr:ext cx="314325" cy="304800"/>
    <xdr:sp macro="" textlink="">
      <xdr:nvSpPr>
        <xdr:cNvPr id="79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7CF253D-0B63-40F2-9C15-40ED614D79A2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43</xdr:row>
      <xdr:rowOff>0</xdr:rowOff>
    </xdr:from>
    <xdr:ext cx="314325" cy="304800"/>
    <xdr:sp macro="" textlink="">
      <xdr:nvSpPr>
        <xdr:cNvPr id="79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7E3A059-F72F-4AD5-BBFB-A3B500081338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44</xdr:row>
      <xdr:rowOff>0</xdr:rowOff>
    </xdr:from>
    <xdr:ext cx="314325" cy="304800"/>
    <xdr:sp macro="" textlink="">
      <xdr:nvSpPr>
        <xdr:cNvPr id="79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003452E-D91F-4D4A-A470-0DA4298D9306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45</xdr:row>
      <xdr:rowOff>0</xdr:rowOff>
    </xdr:from>
    <xdr:ext cx="314325" cy="304800"/>
    <xdr:sp macro="" textlink="">
      <xdr:nvSpPr>
        <xdr:cNvPr id="79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F149415-A5D8-4920-98D7-23932D44BC7E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45</xdr:row>
      <xdr:rowOff>0</xdr:rowOff>
    </xdr:from>
    <xdr:ext cx="314325" cy="304800"/>
    <xdr:sp macro="" textlink="">
      <xdr:nvSpPr>
        <xdr:cNvPr id="79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9CFD203-01AE-4064-84B9-A2FA680B5C9C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46</xdr:row>
      <xdr:rowOff>0</xdr:rowOff>
    </xdr:from>
    <xdr:ext cx="314325" cy="304800"/>
    <xdr:sp macro="" textlink="">
      <xdr:nvSpPr>
        <xdr:cNvPr id="79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897C878-0DB7-4EA6-A264-7EC2598BEF08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46</xdr:row>
      <xdr:rowOff>0</xdr:rowOff>
    </xdr:from>
    <xdr:ext cx="314325" cy="304800"/>
    <xdr:sp macro="" textlink="">
      <xdr:nvSpPr>
        <xdr:cNvPr id="79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B3048F5-0E7B-4B63-A144-6C79556AD6C6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47</xdr:row>
      <xdr:rowOff>0</xdr:rowOff>
    </xdr:from>
    <xdr:ext cx="314325" cy="304800"/>
    <xdr:sp macro="" textlink="">
      <xdr:nvSpPr>
        <xdr:cNvPr id="80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D8F300B-E6A3-4574-9A09-8750EE6B9385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44</xdr:row>
      <xdr:rowOff>0</xdr:rowOff>
    </xdr:from>
    <xdr:ext cx="314325" cy="304800"/>
    <xdr:sp macro="" textlink="">
      <xdr:nvSpPr>
        <xdr:cNvPr id="80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D1BB542-916E-4C62-9995-84D8791B420F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45</xdr:row>
      <xdr:rowOff>0</xdr:rowOff>
    </xdr:from>
    <xdr:ext cx="314325" cy="304800"/>
    <xdr:sp macro="" textlink="">
      <xdr:nvSpPr>
        <xdr:cNvPr id="80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928FA43-C23C-41DD-BA22-D7DE056C319B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46</xdr:row>
      <xdr:rowOff>0</xdr:rowOff>
    </xdr:from>
    <xdr:ext cx="314325" cy="304800"/>
    <xdr:sp macro="" textlink="">
      <xdr:nvSpPr>
        <xdr:cNvPr id="80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005FE09-0683-4EBB-B32C-EEBFCE39C2A1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47</xdr:row>
      <xdr:rowOff>0</xdr:rowOff>
    </xdr:from>
    <xdr:ext cx="314325" cy="304800"/>
    <xdr:sp macro="" textlink="">
      <xdr:nvSpPr>
        <xdr:cNvPr id="80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727BCA7-393C-491B-A782-3A89796D6F85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48</xdr:row>
      <xdr:rowOff>0</xdr:rowOff>
    </xdr:from>
    <xdr:ext cx="314325" cy="304800"/>
    <xdr:sp macro="" textlink="">
      <xdr:nvSpPr>
        <xdr:cNvPr id="80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D45D554-19D9-46FE-BE2E-8A675265CE01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49</xdr:row>
      <xdr:rowOff>0</xdr:rowOff>
    </xdr:from>
    <xdr:ext cx="314325" cy="304800"/>
    <xdr:sp macro="" textlink="">
      <xdr:nvSpPr>
        <xdr:cNvPr id="80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0FB8777-1DBD-4057-A466-34679FD79996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50</xdr:row>
      <xdr:rowOff>0</xdr:rowOff>
    </xdr:from>
    <xdr:ext cx="314325" cy="304800"/>
    <xdr:sp macro="" textlink="">
      <xdr:nvSpPr>
        <xdr:cNvPr id="80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10C588F-BD34-4D6C-9649-1ECA9404C735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51</xdr:row>
      <xdr:rowOff>0</xdr:rowOff>
    </xdr:from>
    <xdr:ext cx="314325" cy="304800"/>
    <xdr:sp macro="" textlink="">
      <xdr:nvSpPr>
        <xdr:cNvPr id="80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2E94258-539A-46B3-8E73-7EFE16C993C0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41</xdr:row>
      <xdr:rowOff>0</xdr:rowOff>
    </xdr:from>
    <xdr:ext cx="314325" cy="304800"/>
    <xdr:sp macro="" textlink="">
      <xdr:nvSpPr>
        <xdr:cNvPr id="80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A9D8F85-7522-44A0-BB57-484394283612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42</xdr:row>
      <xdr:rowOff>0</xdr:rowOff>
    </xdr:from>
    <xdr:ext cx="314325" cy="304800"/>
    <xdr:sp macro="" textlink="">
      <xdr:nvSpPr>
        <xdr:cNvPr id="81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CBCB57C-6821-4434-8AB7-2D33F8D0B391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42</xdr:row>
      <xdr:rowOff>0</xdr:rowOff>
    </xdr:from>
    <xdr:ext cx="314325" cy="304800"/>
    <xdr:sp macro="" textlink="">
      <xdr:nvSpPr>
        <xdr:cNvPr id="81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FF4E010-5904-4D51-A51A-42DDA39BD080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43</xdr:row>
      <xdr:rowOff>0</xdr:rowOff>
    </xdr:from>
    <xdr:ext cx="314325" cy="304800"/>
    <xdr:sp macro="" textlink="">
      <xdr:nvSpPr>
        <xdr:cNvPr id="81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D976821-3085-4911-9B4C-462B318C6395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44</xdr:row>
      <xdr:rowOff>0</xdr:rowOff>
    </xdr:from>
    <xdr:ext cx="314325" cy="304800"/>
    <xdr:sp macro="" textlink="">
      <xdr:nvSpPr>
        <xdr:cNvPr id="81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2D30D6C-4C48-4ACE-A7D1-09C33FCB664C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45</xdr:row>
      <xdr:rowOff>0</xdr:rowOff>
    </xdr:from>
    <xdr:ext cx="314325" cy="304800"/>
    <xdr:sp macro="" textlink="">
      <xdr:nvSpPr>
        <xdr:cNvPr id="81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7146E09-F5FC-4CF6-B420-3750BA24C839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45</xdr:row>
      <xdr:rowOff>0</xdr:rowOff>
    </xdr:from>
    <xdr:ext cx="314325" cy="304800"/>
    <xdr:sp macro="" textlink="">
      <xdr:nvSpPr>
        <xdr:cNvPr id="81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2FEAA9C-FC8E-4B8E-88ED-CF3CA7AA09E0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46</xdr:row>
      <xdr:rowOff>0</xdr:rowOff>
    </xdr:from>
    <xdr:ext cx="314325" cy="304800"/>
    <xdr:sp macro="" textlink="">
      <xdr:nvSpPr>
        <xdr:cNvPr id="81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98912A2-856B-4961-890C-3F150561F21F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46</xdr:row>
      <xdr:rowOff>0</xdr:rowOff>
    </xdr:from>
    <xdr:ext cx="314325" cy="304800"/>
    <xdr:sp macro="" textlink="">
      <xdr:nvSpPr>
        <xdr:cNvPr id="81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85BBDD3-359F-426B-BA09-64380D997A83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47</xdr:row>
      <xdr:rowOff>0</xdr:rowOff>
    </xdr:from>
    <xdr:ext cx="314325" cy="304800"/>
    <xdr:sp macro="" textlink="">
      <xdr:nvSpPr>
        <xdr:cNvPr id="81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BE6CFF9-1154-44E9-B06B-753F352279EF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44</xdr:row>
      <xdr:rowOff>0</xdr:rowOff>
    </xdr:from>
    <xdr:ext cx="314325" cy="304800"/>
    <xdr:sp macro="" textlink="">
      <xdr:nvSpPr>
        <xdr:cNvPr id="81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D63196F-B9EA-4DE1-8AFD-86D5C1A666B4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45</xdr:row>
      <xdr:rowOff>0</xdr:rowOff>
    </xdr:from>
    <xdr:ext cx="314325" cy="304800"/>
    <xdr:sp macro="" textlink="">
      <xdr:nvSpPr>
        <xdr:cNvPr id="82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468A38F-EEDE-47F5-9110-533DC90E9968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46</xdr:row>
      <xdr:rowOff>0</xdr:rowOff>
    </xdr:from>
    <xdr:ext cx="314325" cy="304800"/>
    <xdr:sp macro="" textlink="">
      <xdr:nvSpPr>
        <xdr:cNvPr id="82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EF58AA1-0490-416D-BD88-96BE5C625854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47</xdr:row>
      <xdr:rowOff>0</xdr:rowOff>
    </xdr:from>
    <xdr:ext cx="314325" cy="304800"/>
    <xdr:sp macro="" textlink="">
      <xdr:nvSpPr>
        <xdr:cNvPr id="82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0317D5E-86D6-4568-9CEB-7C39C8AD6AC3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48</xdr:row>
      <xdr:rowOff>0</xdr:rowOff>
    </xdr:from>
    <xdr:ext cx="314325" cy="304800"/>
    <xdr:sp macro="" textlink="">
      <xdr:nvSpPr>
        <xdr:cNvPr id="82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3233FE7-448A-4D93-B999-132E17366FA0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49</xdr:row>
      <xdr:rowOff>0</xdr:rowOff>
    </xdr:from>
    <xdr:ext cx="314325" cy="304800"/>
    <xdr:sp macro="" textlink="">
      <xdr:nvSpPr>
        <xdr:cNvPr id="82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5BD49EF-2050-45D7-9A45-C6709337ACEC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50</xdr:row>
      <xdr:rowOff>0</xdr:rowOff>
    </xdr:from>
    <xdr:ext cx="314325" cy="304800"/>
    <xdr:sp macro="" textlink="">
      <xdr:nvSpPr>
        <xdr:cNvPr id="82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08F32F7-E93E-4D0B-837E-06289E6A29C5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51</xdr:row>
      <xdr:rowOff>0</xdr:rowOff>
    </xdr:from>
    <xdr:ext cx="314325" cy="304800"/>
    <xdr:sp macro="" textlink="">
      <xdr:nvSpPr>
        <xdr:cNvPr id="82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DEC0081-B638-4C9B-B2A3-CCA6F2604257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41</xdr:row>
      <xdr:rowOff>0</xdr:rowOff>
    </xdr:from>
    <xdr:ext cx="314325" cy="304800"/>
    <xdr:sp macro="" textlink="">
      <xdr:nvSpPr>
        <xdr:cNvPr id="82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CAAE2B0-D5A1-4F91-A815-CF0FB32A95FD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42</xdr:row>
      <xdr:rowOff>0</xdr:rowOff>
    </xdr:from>
    <xdr:ext cx="314325" cy="304800"/>
    <xdr:sp macro="" textlink="">
      <xdr:nvSpPr>
        <xdr:cNvPr id="82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DFA2977-B8E3-4D5D-9735-383A8C89F3B1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42</xdr:row>
      <xdr:rowOff>0</xdr:rowOff>
    </xdr:from>
    <xdr:ext cx="314325" cy="304800"/>
    <xdr:sp macro="" textlink="">
      <xdr:nvSpPr>
        <xdr:cNvPr id="82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6CDF4BE-14E0-48FD-8625-7F34398250ED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43</xdr:row>
      <xdr:rowOff>0</xdr:rowOff>
    </xdr:from>
    <xdr:ext cx="314325" cy="304800"/>
    <xdr:sp macro="" textlink="">
      <xdr:nvSpPr>
        <xdr:cNvPr id="83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9891883-5BA4-46DE-85A2-83476EA4629C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44</xdr:row>
      <xdr:rowOff>0</xdr:rowOff>
    </xdr:from>
    <xdr:ext cx="314325" cy="304800"/>
    <xdr:sp macro="" textlink="">
      <xdr:nvSpPr>
        <xdr:cNvPr id="83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C5520DF-7EA1-4750-96CC-606E8D5D3F68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45</xdr:row>
      <xdr:rowOff>0</xdr:rowOff>
    </xdr:from>
    <xdr:ext cx="314325" cy="304800"/>
    <xdr:sp macro="" textlink="">
      <xdr:nvSpPr>
        <xdr:cNvPr id="83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E899385-A87E-42C2-8E23-79BE009776DC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45</xdr:row>
      <xdr:rowOff>0</xdr:rowOff>
    </xdr:from>
    <xdr:ext cx="314325" cy="304800"/>
    <xdr:sp macro="" textlink="">
      <xdr:nvSpPr>
        <xdr:cNvPr id="83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AC545CA-B083-441F-B187-48D5B45215D5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46</xdr:row>
      <xdr:rowOff>0</xdr:rowOff>
    </xdr:from>
    <xdr:ext cx="314325" cy="304800"/>
    <xdr:sp macro="" textlink="">
      <xdr:nvSpPr>
        <xdr:cNvPr id="83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FD73601-5C36-44DF-A6E2-D78F20BD7E47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46</xdr:row>
      <xdr:rowOff>0</xdr:rowOff>
    </xdr:from>
    <xdr:ext cx="314325" cy="304800"/>
    <xdr:sp macro="" textlink="">
      <xdr:nvSpPr>
        <xdr:cNvPr id="83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2CCD531-1B88-4E93-B35F-AFFCE2352031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47</xdr:row>
      <xdr:rowOff>0</xdr:rowOff>
    </xdr:from>
    <xdr:ext cx="314325" cy="304800"/>
    <xdr:sp macro="" textlink="">
      <xdr:nvSpPr>
        <xdr:cNvPr id="83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3C4D8A7-AC95-4C74-9A8B-DB98C168CDED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44</xdr:row>
      <xdr:rowOff>0</xdr:rowOff>
    </xdr:from>
    <xdr:ext cx="314325" cy="304800"/>
    <xdr:sp macro="" textlink="">
      <xdr:nvSpPr>
        <xdr:cNvPr id="83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6337177-2897-495A-9EF8-439F1546D6F2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45</xdr:row>
      <xdr:rowOff>0</xdr:rowOff>
    </xdr:from>
    <xdr:ext cx="314325" cy="304800"/>
    <xdr:sp macro="" textlink="">
      <xdr:nvSpPr>
        <xdr:cNvPr id="83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193E9DB-D7B1-43A1-B6B1-957DE154D6D2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46</xdr:row>
      <xdr:rowOff>0</xdr:rowOff>
    </xdr:from>
    <xdr:ext cx="314325" cy="304800"/>
    <xdr:sp macro="" textlink="">
      <xdr:nvSpPr>
        <xdr:cNvPr id="83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232A025-BED0-488B-8EC0-6791E2E1A25A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47</xdr:row>
      <xdr:rowOff>0</xdr:rowOff>
    </xdr:from>
    <xdr:ext cx="314325" cy="304800"/>
    <xdr:sp macro="" textlink="">
      <xdr:nvSpPr>
        <xdr:cNvPr id="84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3B6D69C-C1ED-4FD5-8F5C-E147FC4B2A57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48</xdr:row>
      <xdr:rowOff>0</xdr:rowOff>
    </xdr:from>
    <xdr:ext cx="314325" cy="304800"/>
    <xdr:sp macro="" textlink="">
      <xdr:nvSpPr>
        <xdr:cNvPr id="84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6C169C2-229B-4199-BAC4-0E2BB8515BE0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49</xdr:row>
      <xdr:rowOff>0</xdr:rowOff>
    </xdr:from>
    <xdr:ext cx="314325" cy="304800"/>
    <xdr:sp macro="" textlink="">
      <xdr:nvSpPr>
        <xdr:cNvPr id="84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2757880-F4EA-471C-AE7E-D01FB233F249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50</xdr:row>
      <xdr:rowOff>0</xdr:rowOff>
    </xdr:from>
    <xdr:ext cx="314325" cy="304800"/>
    <xdr:sp macro="" textlink="">
      <xdr:nvSpPr>
        <xdr:cNvPr id="84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4151070-C7A5-44CE-8077-2ECA42E6FE46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51</xdr:row>
      <xdr:rowOff>0</xdr:rowOff>
    </xdr:from>
    <xdr:ext cx="314325" cy="304800"/>
    <xdr:sp macro="" textlink="">
      <xdr:nvSpPr>
        <xdr:cNvPr id="84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E6EE254-B347-4787-9DF7-1266C3AC30F3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41</xdr:row>
      <xdr:rowOff>0</xdr:rowOff>
    </xdr:from>
    <xdr:ext cx="314325" cy="304800"/>
    <xdr:sp macro="" textlink="">
      <xdr:nvSpPr>
        <xdr:cNvPr id="84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0FB9943-BE81-4B29-8CF5-421ED1E5F2DF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42</xdr:row>
      <xdr:rowOff>0</xdr:rowOff>
    </xdr:from>
    <xdr:ext cx="314325" cy="304800"/>
    <xdr:sp macro="" textlink="">
      <xdr:nvSpPr>
        <xdr:cNvPr id="84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815DB64-0698-441C-BA41-321D513E76C0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42</xdr:row>
      <xdr:rowOff>0</xdr:rowOff>
    </xdr:from>
    <xdr:ext cx="314325" cy="304800"/>
    <xdr:sp macro="" textlink="">
      <xdr:nvSpPr>
        <xdr:cNvPr id="84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965F9B3-B700-4F36-B09C-79848C71E9F7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43</xdr:row>
      <xdr:rowOff>0</xdr:rowOff>
    </xdr:from>
    <xdr:ext cx="314325" cy="304800"/>
    <xdr:sp macro="" textlink="">
      <xdr:nvSpPr>
        <xdr:cNvPr id="84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65A4649-038C-4ED2-896A-4D12D9CD708E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44</xdr:row>
      <xdr:rowOff>0</xdr:rowOff>
    </xdr:from>
    <xdr:ext cx="314325" cy="304800"/>
    <xdr:sp macro="" textlink="">
      <xdr:nvSpPr>
        <xdr:cNvPr id="84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D0BE689-8666-4C2D-9E39-4B6E490B4D8F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45</xdr:row>
      <xdr:rowOff>0</xdr:rowOff>
    </xdr:from>
    <xdr:ext cx="314325" cy="304800"/>
    <xdr:sp macro="" textlink="">
      <xdr:nvSpPr>
        <xdr:cNvPr id="85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A908F00-5B5F-4164-9260-5E985B73C843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45</xdr:row>
      <xdr:rowOff>0</xdr:rowOff>
    </xdr:from>
    <xdr:ext cx="314325" cy="304800"/>
    <xdr:sp macro="" textlink="">
      <xdr:nvSpPr>
        <xdr:cNvPr id="85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28E25EC-F6FE-4CA3-80DF-A6DDE16F1C8C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46</xdr:row>
      <xdr:rowOff>0</xdr:rowOff>
    </xdr:from>
    <xdr:ext cx="314325" cy="304800"/>
    <xdr:sp macro="" textlink="">
      <xdr:nvSpPr>
        <xdr:cNvPr id="85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B5C351F-F9C5-4C3A-A1D9-FA5F25DCB9E3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46</xdr:row>
      <xdr:rowOff>0</xdr:rowOff>
    </xdr:from>
    <xdr:ext cx="314325" cy="304800"/>
    <xdr:sp macro="" textlink="">
      <xdr:nvSpPr>
        <xdr:cNvPr id="85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87EF37E-7FDF-4C28-9E86-282B54AA7379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47</xdr:row>
      <xdr:rowOff>0</xdr:rowOff>
    </xdr:from>
    <xdr:ext cx="314325" cy="304800"/>
    <xdr:sp macro="" textlink="">
      <xdr:nvSpPr>
        <xdr:cNvPr id="85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DD327F3-8ECD-47B6-94A7-F6B95B69BA04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44</xdr:row>
      <xdr:rowOff>0</xdr:rowOff>
    </xdr:from>
    <xdr:ext cx="314325" cy="304800"/>
    <xdr:sp macro="" textlink="">
      <xdr:nvSpPr>
        <xdr:cNvPr id="85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E4E75E1-3EDE-455A-BA09-8B6128F094B4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45</xdr:row>
      <xdr:rowOff>0</xdr:rowOff>
    </xdr:from>
    <xdr:ext cx="314325" cy="304800"/>
    <xdr:sp macro="" textlink="">
      <xdr:nvSpPr>
        <xdr:cNvPr id="85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3B2654A-B949-46DA-9B8C-2C42251C1BB7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46</xdr:row>
      <xdr:rowOff>0</xdr:rowOff>
    </xdr:from>
    <xdr:ext cx="314325" cy="304800"/>
    <xdr:sp macro="" textlink="">
      <xdr:nvSpPr>
        <xdr:cNvPr id="85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9A7C3D1-0DB4-4643-9049-2C33AED21C91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47</xdr:row>
      <xdr:rowOff>0</xdr:rowOff>
    </xdr:from>
    <xdr:ext cx="314325" cy="304800"/>
    <xdr:sp macro="" textlink="">
      <xdr:nvSpPr>
        <xdr:cNvPr id="85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0AAA5C9-8DE7-4043-BE17-0370E82A294D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48</xdr:row>
      <xdr:rowOff>0</xdr:rowOff>
    </xdr:from>
    <xdr:ext cx="314325" cy="304800"/>
    <xdr:sp macro="" textlink="">
      <xdr:nvSpPr>
        <xdr:cNvPr id="85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007B2D9-8063-4110-B3CE-9DA6C2BAEF1C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49</xdr:row>
      <xdr:rowOff>0</xdr:rowOff>
    </xdr:from>
    <xdr:ext cx="314325" cy="304800"/>
    <xdr:sp macro="" textlink="">
      <xdr:nvSpPr>
        <xdr:cNvPr id="86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6A33001-B6B1-4E6C-A6A4-B104ED435BC7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50</xdr:row>
      <xdr:rowOff>0</xdr:rowOff>
    </xdr:from>
    <xdr:ext cx="314325" cy="304800"/>
    <xdr:sp macro="" textlink="">
      <xdr:nvSpPr>
        <xdr:cNvPr id="86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57A5B49-B726-4926-9A20-28AFA72EE402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51</xdr:row>
      <xdr:rowOff>0</xdr:rowOff>
    </xdr:from>
    <xdr:ext cx="314325" cy="304800"/>
    <xdr:sp macro="" textlink="">
      <xdr:nvSpPr>
        <xdr:cNvPr id="86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42598A7-19A6-4439-82CA-BCA6AEA5471F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41</xdr:row>
      <xdr:rowOff>0</xdr:rowOff>
    </xdr:from>
    <xdr:ext cx="314325" cy="304800"/>
    <xdr:sp macro="" textlink="">
      <xdr:nvSpPr>
        <xdr:cNvPr id="86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3AEE194-4E9B-4500-AD25-98D4AA1FAEC7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42</xdr:row>
      <xdr:rowOff>0</xdr:rowOff>
    </xdr:from>
    <xdr:ext cx="314325" cy="304800"/>
    <xdr:sp macro="" textlink="">
      <xdr:nvSpPr>
        <xdr:cNvPr id="86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E949EB0-4FEA-4997-B639-A8ADCE20A185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42</xdr:row>
      <xdr:rowOff>0</xdr:rowOff>
    </xdr:from>
    <xdr:ext cx="314325" cy="304800"/>
    <xdr:sp macro="" textlink="">
      <xdr:nvSpPr>
        <xdr:cNvPr id="86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84ACB41-74D6-48B1-B86F-6B64270153FF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43</xdr:row>
      <xdr:rowOff>0</xdr:rowOff>
    </xdr:from>
    <xdr:ext cx="314325" cy="304800"/>
    <xdr:sp macro="" textlink="">
      <xdr:nvSpPr>
        <xdr:cNvPr id="86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B684154-569A-4787-A6BC-5B7919E9AD90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44</xdr:row>
      <xdr:rowOff>0</xdr:rowOff>
    </xdr:from>
    <xdr:ext cx="314325" cy="304800"/>
    <xdr:sp macro="" textlink="">
      <xdr:nvSpPr>
        <xdr:cNvPr id="86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B55DCC1-4BD9-454C-9C1D-6166B2625C04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45</xdr:row>
      <xdr:rowOff>0</xdr:rowOff>
    </xdr:from>
    <xdr:ext cx="314325" cy="304800"/>
    <xdr:sp macro="" textlink="">
      <xdr:nvSpPr>
        <xdr:cNvPr id="86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DD77D04-B326-4698-9B33-16CB2FF08D92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45</xdr:row>
      <xdr:rowOff>0</xdr:rowOff>
    </xdr:from>
    <xdr:ext cx="314325" cy="304800"/>
    <xdr:sp macro="" textlink="">
      <xdr:nvSpPr>
        <xdr:cNvPr id="86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8954EE3-C06A-4359-BA78-613BB327E58B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46</xdr:row>
      <xdr:rowOff>0</xdr:rowOff>
    </xdr:from>
    <xdr:ext cx="314325" cy="304800"/>
    <xdr:sp macro="" textlink="">
      <xdr:nvSpPr>
        <xdr:cNvPr id="87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C8C17C7-C66A-4C9B-A95A-81B33A9C67EA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46</xdr:row>
      <xdr:rowOff>0</xdr:rowOff>
    </xdr:from>
    <xdr:ext cx="314325" cy="304800"/>
    <xdr:sp macro="" textlink="">
      <xdr:nvSpPr>
        <xdr:cNvPr id="87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528D59A-215C-45CE-91B4-7F682C9A340C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47</xdr:row>
      <xdr:rowOff>0</xdr:rowOff>
    </xdr:from>
    <xdr:ext cx="314325" cy="304800"/>
    <xdr:sp macro="" textlink="">
      <xdr:nvSpPr>
        <xdr:cNvPr id="87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1995DBC-3DBB-4678-8BA0-374A40127EB8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44</xdr:row>
      <xdr:rowOff>0</xdr:rowOff>
    </xdr:from>
    <xdr:ext cx="314325" cy="304800"/>
    <xdr:sp macro="" textlink="">
      <xdr:nvSpPr>
        <xdr:cNvPr id="87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1E8ECBB-AAE9-48F9-A38C-4B7F7DBBDC0B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45</xdr:row>
      <xdr:rowOff>0</xdr:rowOff>
    </xdr:from>
    <xdr:ext cx="314325" cy="304800"/>
    <xdr:sp macro="" textlink="">
      <xdr:nvSpPr>
        <xdr:cNvPr id="87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30F0C5D-273C-4958-B13B-7D6C4A45FEC4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46</xdr:row>
      <xdr:rowOff>0</xdr:rowOff>
    </xdr:from>
    <xdr:ext cx="314325" cy="304800"/>
    <xdr:sp macro="" textlink="">
      <xdr:nvSpPr>
        <xdr:cNvPr id="87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3EFEEC9-50FC-4B8D-B281-BF0F79B5D1DE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47</xdr:row>
      <xdr:rowOff>0</xdr:rowOff>
    </xdr:from>
    <xdr:ext cx="314325" cy="304800"/>
    <xdr:sp macro="" textlink="">
      <xdr:nvSpPr>
        <xdr:cNvPr id="87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8F6C310-80D7-4B04-8F66-1E02E6330755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48</xdr:row>
      <xdr:rowOff>0</xdr:rowOff>
    </xdr:from>
    <xdr:ext cx="314325" cy="304800"/>
    <xdr:sp macro="" textlink="">
      <xdr:nvSpPr>
        <xdr:cNvPr id="87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3E0A60C-E745-4E46-8400-4C6C9D00B85C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49</xdr:row>
      <xdr:rowOff>0</xdr:rowOff>
    </xdr:from>
    <xdr:ext cx="314325" cy="304800"/>
    <xdr:sp macro="" textlink="">
      <xdr:nvSpPr>
        <xdr:cNvPr id="87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628371B-185A-479A-B36B-D205680B00B0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50</xdr:row>
      <xdr:rowOff>0</xdr:rowOff>
    </xdr:from>
    <xdr:ext cx="314325" cy="304800"/>
    <xdr:sp macro="" textlink="">
      <xdr:nvSpPr>
        <xdr:cNvPr id="87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15DFE7A-C254-4E6E-82D8-7E9DA280B361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51</xdr:row>
      <xdr:rowOff>0</xdr:rowOff>
    </xdr:from>
    <xdr:ext cx="314325" cy="304800"/>
    <xdr:sp macro="" textlink="">
      <xdr:nvSpPr>
        <xdr:cNvPr id="88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596C342-1F12-4AE7-B4FE-4967656118CA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41</xdr:row>
      <xdr:rowOff>0</xdr:rowOff>
    </xdr:from>
    <xdr:ext cx="314325" cy="304800"/>
    <xdr:sp macro="" textlink="">
      <xdr:nvSpPr>
        <xdr:cNvPr id="88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146B47E-03DD-49F3-89FA-6766E51D1C67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42</xdr:row>
      <xdr:rowOff>0</xdr:rowOff>
    </xdr:from>
    <xdr:ext cx="314325" cy="304800"/>
    <xdr:sp macro="" textlink="">
      <xdr:nvSpPr>
        <xdr:cNvPr id="88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6945D38-ADEF-4B89-AC83-307DD8C51E0C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42</xdr:row>
      <xdr:rowOff>0</xdr:rowOff>
    </xdr:from>
    <xdr:ext cx="314325" cy="304800"/>
    <xdr:sp macro="" textlink="">
      <xdr:nvSpPr>
        <xdr:cNvPr id="88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3D2BB4D-FFE4-40F9-9ACE-DF7827B056DE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43</xdr:row>
      <xdr:rowOff>0</xdr:rowOff>
    </xdr:from>
    <xdr:ext cx="314325" cy="304800"/>
    <xdr:sp macro="" textlink="">
      <xdr:nvSpPr>
        <xdr:cNvPr id="88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611B15A-4934-44D1-BFEA-7ADA247827C2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44</xdr:row>
      <xdr:rowOff>0</xdr:rowOff>
    </xdr:from>
    <xdr:ext cx="314325" cy="304800"/>
    <xdr:sp macro="" textlink="">
      <xdr:nvSpPr>
        <xdr:cNvPr id="88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309CC52-150B-42B1-92AD-F5A3CC1906AA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45</xdr:row>
      <xdr:rowOff>0</xdr:rowOff>
    </xdr:from>
    <xdr:ext cx="314325" cy="304800"/>
    <xdr:sp macro="" textlink="">
      <xdr:nvSpPr>
        <xdr:cNvPr id="88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6824C37-1977-4279-824B-8E64B141FA3A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45</xdr:row>
      <xdr:rowOff>0</xdr:rowOff>
    </xdr:from>
    <xdr:ext cx="314325" cy="304800"/>
    <xdr:sp macro="" textlink="">
      <xdr:nvSpPr>
        <xdr:cNvPr id="88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2717DF1-93FD-41DE-8D1A-143D86247E7F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46</xdr:row>
      <xdr:rowOff>0</xdr:rowOff>
    </xdr:from>
    <xdr:ext cx="314325" cy="304800"/>
    <xdr:sp macro="" textlink="">
      <xdr:nvSpPr>
        <xdr:cNvPr id="88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EB1FFC9-D839-4D2E-9C8D-BFC418FC6438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46</xdr:row>
      <xdr:rowOff>0</xdr:rowOff>
    </xdr:from>
    <xdr:ext cx="314325" cy="304800"/>
    <xdr:sp macro="" textlink="">
      <xdr:nvSpPr>
        <xdr:cNvPr id="88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D6E65B9-2365-4FE6-8C36-5BE82480E9F4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47</xdr:row>
      <xdr:rowOff>0</xdr:rowOff>
    </xdr:from>
    <xdr:ext cx="314325" cy="304800"/>
    <xdr:sp macro="" textlink="">
      <xdr:nvSpPr>
        <xdr:cNvPr id="89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0FEDD35-B32C-43B6-9B09-89013CCE9363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44</xdr:row>
      <xdr:rowOff>0</xdr:rowOff>
    </xdr:from>
    <xdr:ext cx="314325" cy="304800"/>
    <xdr:sp macro="" textlink="">
      <xdr:nvSpPr>
        <xdr:cNvPr id="89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7F12CB2-0967-4991-840A-161CB656D90D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45</xdr:row>
      <xdr:rowOff>0</xdr:rowOff>
    </xdr:from>
    <xdr:ext cx="314325" cy="304800"/>
    <xdr:sp macro="" textlink="">
      <xdr:nvSpPr>
        <xdr:cNvPr id="89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803BEA6-82AC-4E07-A378-89B2365913FA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46</xdr:row>
      <xdr:rowOff>0</xdr:rowOff>
    </xdr:from>
    <xdr:ext cx="314325" cy="304800"/>
    <xdr:sp macro="" textlink="">
      <xdr:nvSpPr>
        <xdr:cNvPr id="89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B0B1891-6AEC-409D-B898-BAD4BC37B1D6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47</xdr:row>
      <xdr:rowOff>0</xdr:rowOff>
    </xdr:from>
    <xdr:ext cx="314325" cy="304800"/>
    <xdr:sp macro="" textlink="">
      <xdr:nvSpPr>
        <xdr:cNvPr id="89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22FA7A3-B4DA-4764-9761-FDC38A71825F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48</xdr:row>
      <xdr:rowOff>0</xdr:rowOff>
    </xdr:from>
    <xdr:ext cx="314325" cy="304800"/>
    <xdr:sp macro="" textlink="">
      <xdr:nvSpPr>
        <xdr:cNvPr id="89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156C566-6520-427C-84B4-96F2B2BC0755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49</xdr:row>
      <xdr:rowOff>0</xdr:rowOff>
    </xdr:from>
    <xdr:ext cx="314325" cy="304800"/>
    <xdr:sp macro="" textlink="">
      <xdr:nvSpPr>
        <xdr:cNvPr id="89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EDB8E2A-69BE-42F0-B9E2-2B1822F39D4C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50</xdr:row>
      <xdr:rowOff>0</xdr:rowOff>
    </xdr:from>
    <xdr:ext cx="314325" cy="304800"/>
    <xdr:sp macro="" textlink="">
      <xdr:nvSpPr>
        <xdr:cNvPr id="89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487417A-2963-4ACE-8E8C-4C5935E66933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51</xdr:row>
      <xdr:rowOff>0</xdr:rowOff>
    </xdr:from>
    <xdr:ext cx="314325" cy="304800"/>
    <xdr:sp macro="" textlink="">
      <xdr:nvSpPr>
        <xdr:cNvPr id="89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FBF4055-3355-46DD-A145-549F865725A1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41</xdr:row>
      <xdr:rowOff>0</xdr:rowOff>
    </xdr:from>
    <xdr:ext cx="314325" cy="304800"/>
    <xdr:sp macro="" textlink="">
      <xdr:nvSpPr>
        <xdr:cNvPr id="89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F7F88E2-7E60-4065-9C2A-AA2BA9FE962A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42</xdr:row>
      <xdr:rowOff>0</xdr:rowOff>
    </xdr:from>
    <xdr:ext cx="314325" cy="304800"/>
    <xdr:sp macro="" textlink="">
      <xdr:nvSpPr>
        <xdr:cNvPr id="90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398FD68-8C69-4F77-A8AA-721E25939D59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42</xdr:row>
      <xdr:rowOff>0</xdr:rowOff>
    </xdr:from>
    <xdr:ext cx="314325" cy="304800"/>
    <xdr:sp macro="" textlink="">
      <xdr:nvSpPr>
        <xdr:cNvPr id="90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AB6F851-6B21-42AC-BAF9-14C1FFB508AE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43</xdr:row>
      <xdr:rowOff>0</xdr:rowOff>
    </xdr:from>
    <xdr:ext cx="314325" cy="304800"/>
    <xdr:sp macro="" textlink="">
      <xdr:nvSpPr>
        <xdr:cNvPr id="90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47AD170-0A38-440A-A149-C4F48494E8AC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44</xdr:row>
      <xdr:rowOff>0</xdr:rowOff>
    </xdr:from>
    <xdr:ext cx="314325" cy="304800"/>
    <xdr:sp macro="" textlink="">
      <xdr:nvSpPr>
        <xdr:cNvPr id="90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5C426E8-0868-4B44-B1D8-4AE9A7D2B4E6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45</xdr:row>
      <xdr:rowOff>0</xdr:rowOff>
    </xdr:from>
    <xdr:ext cx="314325" cy="304800"/>
    <xdr:sp macro="" textlink="">
      <xdr:nvSpPr>
        <xdr:cNvPr id="90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2A1949F-6803-4B8D-83D2-906569EC8B29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45</xdr:row>
      <xdr:rowOff>0</xdr:rowOff>
    </xdr:from>
    <xdr:ext cx="314325" cy="304800"/>
    <xdr:sp macro="" textlink="">
      <xdr:nvSpPr>
        <xdr:cNvPr id="90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2AD9096-6EFF-42BB-A405-473DB88B5E3E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46</xdr:row>
      <xdr:rowOff>0</xdr:rowOff>
    </xdr:from>
    <xdr:ext cx="314325" cy="304800"/>
    <xdr:sp macro="" textlink="">
      <xdr:nvSpPr>
        <xdr:cNvPr id="90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0E8A4E3-3F54-4E46-9B8B-6322CFB9BB27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46</xdr:row>
      <xdr:rowOff>0</xdr:rowOff>
    </xdr:from>
    <xdr:ext cx="314325" cy="304800"/>
    <xdr:sp macro="" textlink="">
      <xdr:nvSpPr>
        <xdr:cNvPr id="90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9594BEF-6DFA-440D-92FA-247CB545F9DD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47</xdr:row>
      <xdr:rowOff>0</xdr:rowOff>
    </xdr:from>
    <xdr:ext cx="314325" cy="304800"/>
    <xdr:sp macro="" textlink="">
      <xdr:nvSpPr>
        <xdr:cNvPr id="90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C239DE3-8D0A-4B1A-9CF7-7756BB6DC4A9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44</xdr:row>
      <xdr:rowOff>0</xdr:rowOff>
    </xdr:from>
    <xdr:ext cx="314325" cy="304800"/>
    <xdr:sp macro="" textlink="">
      <xdr:nvSpPr>
        <xdr:cNvPr id="90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76EC039-D28C-4B78-9D60-8AD3D7E4CA58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45</xdr:row>
      <xdr:rowOff>0</xdr:rowOff>
    </xdr:from>
    <xdr:ext cx="314325" cy="304800"/>
    <xdr:sp macro="" textlink="">
      <xdr:nvSpPr>
        <xdr:cNvPr id="91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B9BFD23-8439-4011-954B-DEE846F0A682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46</xdr:row>
      <xdr:rowOff>0</xdr:rowOff>
    </xdr:from>
    <xdr:ext cx="314325" cy="304800"/>
    <xdr:sp macro="" textlink="">
      <xdr:nvSpPr>
        <xdr:cNvPr id="91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12BBE97-FC6F-4390-8AE8-14BAF8839A84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47</xdr:row>
      <xdr:rowOff>0</xdr:rowOff>
    </xdr:from>
    <xdr:ext cx="314325" cy="304800"/>
    <xdr:sp macro="" textlink="">
      <xdr:nvSpPr>
        <xdr:cNvPr id="91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A55054E-F821-446A-8462-60C304F0A66D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48</xdr:row>
      <xdr:rowOff>0</xdr:rowOff>
    </xdr:from>
    <xdr:ext cx="314325" cy="304800"/>
    <xdr:sp macro="" textlink="">
      <xdr:nvSpPr>
        <xdr:cNvPr id="91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3ACCB58-17BC-4258-9101-D61312ADE82C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49</xdr:row>
      <xdr:rowOff>0</xdr:rowOff>
    </xdr:from>
    <xdr:ext cx="314325" cy="304800"/>
    <xdr:sp macro="" textlink="">
      <xdr:nvSpPr>
        <xdr:cNvPr id="91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F94E3C4-5A43-4D2F-8F4F-DFF97EBC4451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50</xdr:row>
      <xdr:rowOff>0</xdr:rowOff>
    </xdr:from>
    <xdr:ext cx="314325" cy="304800"/>
    <xdr:sp macro="" textlink="">
      <xdr:nvSpPr>
        <xdr:cNvPr id="91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0E19648-9426-464A-A8FA-51A13C90C087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51</xdr:row>
      <xdr:rowOff>0</xdr:rowOff>
    </xdr:from>
    <xdr:ext cx="314325" cy="304800"/>
    <xdr:sp macro="" textlink="">
      <xdr:nvSpPr>
        <xdr:cNvPr id="91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35AB13F-24CD-4428-A3A7-5EE31785FF3E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41</xdr:row>
      <xdr:rowOff>0</xdr:rowOff>
    </xdr:from>
    <xdr:ext cx="314325" cy="304800"/>
    <xdr:sp macro="" textlink="">
      <xdr:nvSpPr>
        <xdr:cNvPr id="91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3279A01-3193-473B-ACB5-70FB094503EB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42</xdr:row>
      <xdr:rowOff>0</xdr:rowOff>
    </xdr:from>
    <xdr:ext cx="314325" cy="304800"/>
    <xdr:sp macro="" textlink="">
      <xdr:nvSpPr>
        <xdr:cNvPr id="91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5A9B647-DED6-4204-8E51-AC58F2CFFFC2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42</xdr:row>
      <xdr:rowOff>0</xdr:rowOff>
    </xdr:from>
    <xdr:ext cx="314325" cy="304800"/>
    <xdr:sp macro="" textlink="">
      <xdr:nvSpPr>
        <xdr:cNvPr id="91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14586D2-FC69-48BB-85AD-6DDE4C7D51B7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43</xdr:row>
      <xdr:rowOff>0</xdr:rowOff>
    </xdr:from>
    <xdr:ext cx="314325" cy="304800"/>
    <xdr:sp macro="" textlink="">
      <xdr:nvSpPr>
        <xdr:cNvPr id="92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4EB9DB2-9E9B-45D0-86E1-224D5B1551E1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44</xdr:row>
      <xdr:rowOff>0</xdr:rowOff>
    </xdr:from>
    <xdr:ext cx="314325" cy="304800"/>
    <xdr:sp macro="" textlink="">
      <xdr:nvSpPr>
        <xdr:cNvPr id="92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30F98E8-59D6-486C-86F1-A44A1EAA2302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45</xdr:row>
      <xdr:rowOff>0</xdr:rowOff>
    </xdr:from>
    <xdr:ext cx="314325" cy="304800"/>
    <xdr:sp macro="" textlink="">
      <xdr:nvSpPr>
        <xdr:cNvPr id="92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EF6137F-8D4D-4AC1-8F54-616350227358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45</xdr:row>
      <xdr:rowOff>0</xdr:rowOff>
    </xdr:from>
    <xdr:ext cx="314325" cy="304800"/>
    <xdr:sp macro="" textlink="">
      <xdr:nvSpPr>
        <xdr:cNvPr id="92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257FA1D-2635-4D21-9872-CA2AD6EFDDB8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46</xdr:row>
      <xdr:rowOff>0</xdr:rowOff>
    </xdr:from>
    <xdr:ext cx="314325" cy="304800"/>
    <xdr:sp macro="" textlink="">
      <xdr:nvSpPr>
        <xdr:cNvPr id="92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23451FC-B2D7-4DE0-98D1-C2DA78F77CD6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46</xdr:row>
      <xdr:rowOff>0</xdr:rowOff>
    </xdr:from>
    <xdr:ext cx="314325" cy="304800"/>
    <xdr:sp macro="" textlink="">
      <xdr:nvSpPr>
        <xdr:cNvPr id="92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D8A57ED-E37A-4332-9E65-687C1ACC7BA0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47</xdr:row>
      <xdr:rowOff>0</xdr:rowOff>
    </xdr:from>
    <xdr:ext cx="314325" cy="304800"/>
    <xdr:sp macro="" textlink="">
      <xdr:nvSpPr>
        <xdr:cNvPr id="92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3FE88B1-5F5D-4936-B7F3-655C2EE5593C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44</xdr:row>
      <xdr:rowOff>0</xdr:rowOff>
    </xdr:from>
    <xdr:ext cx="314325" cy="304800"/>
    <xdr:sp macro="" textlink="">
      <xdr:nvSpPr>
        <xdr:cNvPr id="92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FCA71CF-E1C6-41ED-9CFD-85FD5DB590B1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45</xdr:row>
      <xdr:rowOff>0</xdr:rowOff>
    </xdr:from>
    <xdr:ext cx="314325" cy="304800"/>
    <xdr:sp macro="" textlink="">
      <xdr:nvSpPr>
        <xdr:cNvPr id="92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C32D1C4-365D-4800-80EA-05123939E02C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46</xdr:row>
      <xdr:rowOff>0</xdr:rowOff>
    </xdr:from>
    <xdr:ext cx="314325" cy="304800"/>
    <xdr:sp macro="" textlink="">
      <xdr:nvSpPr>
        <xdr:cNvPr id="92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F429FDE-D955-4545-A633-24E3993E47F3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47</xdr:row>
      <xdr:rowOff>0</xdr:rowOff>
    </xdr:from>
    <xdr:ext cx="314325" cy="304800"/>
    <xdr:sp macro="" textlink="">
      <xdr:nvSpPr>
        <xdr:cNvPr id="93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ADEDC95-0BC8-4514-966D-D182FC990E3E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48</xdr:row>
      <xdr:rowOff>0</xdr:rowOff>
    </xdr:from>
    <xdr:ext cx="314325" cy="304800"/>
    <xdr:sp macro="" textlink="">
      <xdr:nvSpPr>
        <xdr:cNvPr id="93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977F77F-5B7A-41F3-B8FD-1DD4CCB0342E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49</xdr:row>
      <xdr:rowOff>0</xdr:rowOff>
    </xdr:from>
    <xdr:ext cx="314325" cy="304800"/>
    <xdr:sp macro="" textlink="">
      <xdr:nvSpPr>
        <xdr:cNvPr id="93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5756C2B-1A09-4D3B-87C0-5ED1DE0C8605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50</xdr:row>
      <xdr:rowOff>0</xdr:rowOff>
    </xdr:from>
    <xdr:ext cx="314325" cy="304800"/>
    <xdr:sp macro="" textlink="">
      <xdr:nvSpPr>
        <xdr:cNvPr id="93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7EB0B62-628F-437B-B9EE-25E0F233C788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51</xdr:row>
      <xdr:rowOff>0</xdr:rowOff>
    </xdr:from>
    <xdr:ext cx="314325" cy="304800"/>
    <xdr:sp macro="" textlink="">
      <xdr:nvSpPr>
        <xdr:cNvPr id="93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1DEFC6F-3048-4B89-88C8-C561D8A23E0C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41</xdr:row>
      <xdr:rowOff>0</xdr:rowOff>
    </xdr:from>
    <xdr:ext cx="314325" cy="304800"/>
    <xdr:sp macro="" textlink="">
      <xdr:nvSpPr>
        <xdr:cNvPr id="93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9286160-27F0-42F9-B237-86C96F75343E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42</xdr:row>
      <xdr:rowOff>0</xdr:rowOff>
    </xdr:from>
    <xdr:ext cx="314325" cy="304800"/>
    <xdr:sp macro="" textlink="">
      <xdr:nvSpPr>
        <xdr:cNvPr id="93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FA0EE3D-6CB5-4F02-8DDD-68E1BDB40208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42</xdr:row>
      <xdr:rowOff>0</xdr:rowOff>
    </xdr:from>
    <xdr:ext cx="314325" cy="304800"/>
    <xdr:sp macro="" textlink="">
      <xdr:nvSpPr>
        <xdr:cNvPr id="93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AD93287-3C09-4265-84EB-17DBE3258A4B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43</xdr:row>
      <xdr:rowOff>0</xdr:rowOff>
    </xdr:from>
    <xdr:ext cx="314325" cy="304800"/>
    <xdr:sp macro="" textlink="">
      <xdr:nvSpPr>
        <xdr:cNvPr id="93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E2AD784-25D8-4614-816A-2A08FB0D08FA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44</xdr:row>
      <xdr:rowOff>0</xdr:rowOff>
    </xdr:from>
    <xdr:ext cx="314325" cy="304800"/>
    <xdr:sp macro="" textlink="">
      <xdr:nvSpPr>
        <xdr:cNvPr id="93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295655D-C8D8-45FD-BF34-D07DE50F56B3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45</xdr:row>
      <xdr:rowOff>0</xdr:rowOff>
    </xdr:from>
    <xdr:ext cx="314325" cy="304800"/>
    <xdr:sp macro="" textlink="">
      <xdr:nvSpPr>
        <xdr:cNvPr id="94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2B520D5-D5BD-4266-B9DC-E4B81986B893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45</xdr:row>
      <xdr:rowOff>0</xdr:rowOff>
    </xdr:from>
    <xdr:ext cx="314325" cy="304800"/>
    <xdr:sp macro="" textlink="">
      <xdr:nvSpPr>
        <xdr:cNvPr id="94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D633C8E-D73F-47E6-B15A-30A299829CED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46</xdr:row>
      <xdr:rowOff>0</xdr:rowOff>
    </xdr:from>
    <xdr:ext cx="314325" cy="304800"/>
    <xdr:sp macro="" textlink="">
      <xdr:nvSpPr>
        <xdr:cNvPr id="94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192637E-0952-402C-9D1A-46149FEB23E6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46</xdr:row>
      <xdr:rowOff>0</xdr:rowOff>
    </xdr:from>
    <xdr:ext cx="314325" cy="304800"/>
    <xdr:sp macro="" textlink="">
      <xdr:nvSpPr>
        <xdr:cNvPr id="94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6D1A866-39E6-4FB0-9733-AE87FAE54BF7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47</xdr:row>
      <xdr:rowOff>0</xdr:rowOff>
    </xdr:from>
    <xdr:ext cx="314325" cy="304800"/>
    <xdr:sp macro="" textlink="">
      <xdr:nvSpPr>
        <xdr:cNvPr id="94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FC1BB30-8E4E-4053-8CD9-1992A2F56141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44</xdr:row>
      <xdr:rowOff>0</xdr:rowOff>
    </xdr:from>
    <xdr:ext cx="314325" cy="304800"/>
    <xdr:sp macro="" textlink="">
      <xdr:nvSpPr>
        <xdr:cNvPr id="94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3103982-2515-467A-A193-6F42FF89DA27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45</xdr:row>
      <xdr:rowOff>0</xdr:rowOff>
    </xdr:from>
    <xdr:ext cx="314325" cy="304800"/>
    <xdr:sp macro="" textlink="">
      <xdr:nvSpPr>
        <xdr:cNvPr id="94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297C595-990A-4CAF-85D2-D7038E3C4033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46</xdr:row>
      <xdr:rowOff>0</xdr:rowOff>
    </xdr:from>
    <xdr:ext cx="314325" cy="304800"/>
    <xdr:sp macro="" textlink="">
      <xdr:nvSpPr>
        <xdr:cNvPr id="94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01CAD56-A321-4BF4-BED1-736380D8884C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47</xdr:row>
      <xdr:rowOff>0</xdr:rowOff>
    </xdr:from>
    <xdr:ext cx="314325" cy="304800"/>
    <xdr:sp macro="" textlink="">
      <xdr:nvSpPr>
        <xdr:cNvPr id="94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28C6B41-3554-40A3-A093-234BC88742B0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48</xdr:row>
      <xdr:rowOff>0</xdr:rowOff>
    </xdr:from>
    <xdr:ext cx="314325" cy="304800"/>
    <xdr:sp macro="" textlink="">
      <xdr:nvSpPr>
        <xdr:cNvPr id="94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1C0EB18-7874-43B9-9A00-3A06945163B1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49</xdr:row>
      <xdr:rowOff>0</xdr:rowOff>
    </xdr:from>
    <xdr:ext cx="314325" cy="304800"/>
    <xdr:sp macro="" textlink="">
      <xdr:nvSpPr>
        <xdr:cNvPr id="95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0C8A644-5A25-484F-A951-0747CF79678B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50</xdr:row>
      <xdr:rowOff>0</xdr:rowOff>
    </xdr:from>
    <xdr:ext cx="314325" cy="304800"/>
    <xdr:sp macro="" textlink="">
      <xdr:nvSpPr>
        <xdr:cNvPr id="95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73D6C59-754C-4A61-80AC-508CB09AD39F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51</xdr:row>
      <xdr:rowOff>0</xdr:rowOff>
    </xdr:from>
    <xdr:ext cx="314325" cy="304800"/>
    <xdr:sp macro="" textlink="">
      <xdr:nvSpPr>
        <xdr:cNvPr id="95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73BCFD9-0E4E-4F0F-BD72-1D9DE849E3C3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41</xdr:row>
      <xdr:rowOff>0</xdr:rowOff>
    </xdr:from>
    <xdr:ext cx="314325" cy="304800"/>
    <xdr:sp macro="" textlink="">
      <xdr:nvSpPr>
        <xdr:cNvPr id="95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29C1A1A-75BC-497E-A4D8-4BECCAB173F9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42</xdr:row>
      <xdr:rowOff>0</xdr:rowOff>
    </xdr:from>
    <xdr:ext cx="314325" cy="304800"/>
    <xdr:sp macro="" textlink="">
      <xdr:nvSpPr>
        <xdr:cNvPr id="95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E157063-43C9-42AD-8164-5ABA0E9CE6AB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42</xdr:row>
      <xdr:rowOff>0</xdr:rowOff>
    </xdr:from>
    <xdr:ext cx="314325" cy="304800"/>
    <xdr:sp macro="" textlink="">
      <xdr:nvSpPr>
        <xdr:cNvPr id="95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68ED8AB-B6CA-41CD-A713-AB6335853E10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43</xdr:row>
      <xdr:rowOff>0</xdr:rowOff>
    </xdr:from>
    <xdr:ext cx="314325" cy="304800"/>
    <xdr:sp macro="" textlink="">
      <xdr:nvSpPr>
        <xdr:cNvPr id="95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8B33B3D-38B5-4CA1-A603-D680182D4BCD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44</xdr:row>
      <xdr:rowOff>0</xdr:rowOff>
    </xdr:from>
    <xdr:ext cx="314325" cy="304800"/>
    <xdr:sp macro="" textlink="">
      <xdr:nvSpPr>
        <xdr:cNvPr id="95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DC16762-5C77-4E38-B72D-AB8CC7A1E39F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45</xdr:row>
      <xdr:rowOff>0</xdr:rowOff>
    </xdr:from>
    <xdr:ext cx="314325" cy="304800"/>
    <xdr:sp macro="" textlink="">
      <xdr:nvSpPr>
        <xdr:cNvPr id="95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14EEC00-DBC3-4EA5-9528-401436251734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45</xdr:row>
      <xdr:rowOff>0</xdr:rowOff>
    </xdr:from>
    <xdr:ext cx="314325" cy="304800"/>
    <xdr:sp macro="" textlink="">
      <xdr:nvSpPr>
        <xdr:cNvPr id="95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182737B-3745-412C-BF41-6F21067421A4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46</xdr:row>
      <xdr:rowOff>0</xdr:rowOff>
    </xdr:from>
    <xdr:ext cx="314325" cy="304800"/>
    <xdr:sp macro="" textlink="">
      <xdr:nvSpPr>
        <xdr:cNvPr id="96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3F78400-C092-403A-A1B5-EAA1A5249AE5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46</xdr:row>
      <xdr:rowOff>0</xdr:rowOff>
    </xdr:from>
    <xdr:ext cx="314325" cy="304800"/>
    <xdr:sp macro="" textlink="">
      <xdr:nvSpPr>
        <xdr:cNvPr id="96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7F5E6C8-E878-44B5-870D-B69215ABB835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47</xdr:row>
      <xdr:rowOff>0</xdr:rowOff>
    </xdr:from>
    <xdr:ext cx="314325" cy="304800"/>
    <xdr:sp macro="" textlink="">
      <xdr:nvSpPr>
        <xdr:cNvPr id="96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02617F7-576E-49BA-B89C-9FB80203957D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44</xdr:row>
      <xdr:rowOff>0</xdr:rowOff>
    </xdr:from>
    <xdr:ext cx="314325" cy="304800"/>
    <xdr:sp macro="" textlink="">
      <xdr:nvSpPr>
        <xdr:cNvPr id="96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FABEBA6-A67E-4794-B9C9-2D2516DD01E8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45</xdr:row>
      <xdr:rowOff>0</xdr:rowOff>
    </xdr:from>
    <xdr:ext cx="314325" cy="304800"/>
    <xdr:sp macro="" textlink="">
      <xdr:nvSpPr>
        <xdr:cNvPr id="96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5878320-EB92-4947-BFB1-B9E6B8532650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46</xdr:row>
      <xdr:rowOff>0</xdr:rowOff>
    </xdr:from>
    <xdr:ext cx="314325" cy="304800"/>
    <xdr:sp macro="" textlink="">
      <xdr:nvSpPr>
        <xdr:cNvPr id="96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78318DA-410B-4716-AEA7-469403E5BF45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47</xdr:row>
      <xdr:rowOff>0</xdr:rowOff>
    </xdr:from>
    <xdr:ext cx="314325" cy="304800"/>
    <xdr:sp macro="" textlink="">
      <xdr:nvSpPr>
        <xdr:cNvPr id="96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331E52C-455F-4043-962D-7DF0BB949C16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48</xdr:row>
      <xdr:rowOff>0</xdr:rowOff>
    </xdr:from>
    <xdr:ext cx="314325" cy="304800"/>
    <xdr:sp macro="" textlink="">
      <xdr:nvSpPr>
        <xdr:cNvPr id="96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8A82910-0630-4778-B528-AB3C612E1C9A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49</xdr:row>
      <xdr:rowOff>0</xdr:rowOff>
    </xdr:from>
    <xdr:ext cx="314325" cy="304800"/>
    <xdr:sp macro="" textlink="">
      <xdr:nvSpPr>
        <xdr:cNvPr id="96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2065478-FA7D-4D4A-AF7A-A6838B480DD4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50</xdr:row>
      <xdr:rowOff>0</xdr:rowOff>
    </xdr:from>
    <xdr:ext cx="314325" cy="304800"/>
    <xdr:sp macro="" textlink="">
      <xdr:nvSpPr>
        <xdr:cNvPr id="96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C784168-F0C6-433A-8622-4F20DF175DBD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51</xdr:row>
      <xdr:rowOff>0</xdr:rowOff>
    </xdr:from>
    <xdr:ext cx="314325" cy="304800"/>
    <xdr:sp macro="" textlink="">
      <xdr:nvSpPr>
        <xdr:cNvPr id="97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6AEEAB8-F9F9-47CC-9A1C-D4ED67C8A28F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41</xdr:row>
      <xdr:rowOff>0</xdr:rowOff>
    </xdr:from>
    <xdr:ext cx="314325" cy="304800"/>
    <xdr:sp macro="" textlink="">
      <xdr:nvSpPr>
        <xdr:cNvPr id="97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B16FD4B-D12D-4788-8B08-018D740710DC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42</xdr:row>
      <xdr:rowOff>0</xdr:rowOff>
    </xdr:from>
    <xdr:ext cx="314325" cy="304800"/>
    <xdr:sp macro="" textlink="">
      <xdr:nvSpPr>
        <xdr:cNvPr id="97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8F16242-7542-458A-A908-6FEBB931AD53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42</xdr:row>
      <xdr:rowOff>0</xdr:rowOff>
    </xdr:from>
    <xdr:ext cx="314325" cy="304800"/>
    <xdr:sp macro="" textlink="">
      <xdr:nvSpPr>
        <xdr:cNvPr id="97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35B43C9-63FD-4E42-A0A7-CED903374377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43</xdr:row>
      <xdr:rowOff>0</xdr:rowOff>
    </xdr:from>
    <xdr:ext cx="314325" cy="304800"/>
    <xdr:sp macro="" textlink="">
      <xdr:nvSpPr>
        <xdr:cNvPr id="97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1A14CE9-5BE6-4A98-AEBF-FDCF9C471CCD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44</xdr:row>
      <xdr:rowOff>0</xdr:rowOff>
    </xdr:from>
    <xdr:ext cx="314325" cy="304800"/>
    <xdr:sp macro="" textlink="">
      <xdr:nvSpPr>
        <xdr:cNvPr id="97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8693D4D-5106-44C4-B04B-34F4A2B7223F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45</xdr:row>
      <xdr:rowOff>0</xdr:rowOff>
    </xdr:from>
    <xdr:ext cx="314325" cy="304800"/>
    <xdr:sp macro="" textlink="">
      <xdr:nvSpPr>
        <xdr:cNvPr id="97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7112FF6-3CA8-4E82-9E47-D96D4EC04683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45</xdr:row>
      <xdr:rowOff>0</xdr:rowOff>
    </xdr:from>
    <xdr:ext cx="314325" cy="304800"/>
    <xdr:sp macro="" textlink="">
      <xdr:nvSpPr>
        <xdr:cNvPr id="97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AF07A5F-084A-4B32-A6D6-296B1B59CBE3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46</xdr:row>
      <xdr:rowOff>0</xdr:rowOff>
    </xdr:from>
    <xdr:ext cx="314325" cy="304800"/>
    <xdr:sp macro="" textlink="">
      <xdr:nvSpPr>
        <xdr:cNvPr id="97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E81324F-153C-4F74-BC5A-DCE891B421AD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46</xdr:row>
      <xdr:rowOff>0</xdr:rowOff>
    </xdr:from>
    <xdr:ext cx="314325" cy="304800"/>
    <xdr:sp macro="" textlink="">
      <xdr:nvSpPr>
        <xdr:cNvPr id="97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2352C5D-54A5-4584-A71B-BA445A10C21D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47</xdr:row>
      <xdr:rowOff>0</xdr:rowOff>
    </xdr:from>
    <xdr:ext cx="314325" cy="304800"/>
    <xdr:sp macro="" textlink="">
      <xdr:nvSpPr>
        <xdr:cNvPr id="98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642AC5A-56C6-4461-A010-DDA3E5CDE153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44</xdr:row>
      <xdr:rowOff>0</xdr:rowOff>
    </xdr:from>
    <xdr:ext cx="314325" cy="304800"/>
    <xdr:sp macro="" textlink="">
      <xdr:nvSpPr>
        <xdr:cNvPr id="98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F552104-8B27-4ADD-ADD7-4456CBCB4AC9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45</xdr:row>
      <xdr:rowOff>0</xdr:rowOff>
    </xdr:from>
    <xdr:ext cx="314325" cy="304800"/>
    <xdr:sp macro="" textlink="">
      <xdr:nvSpPr>
        <xdr:cNvPr id="98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D5236DD-8543-4AAA-A21D-5ADC5A30B2EE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46</xdr:row>
      <xdr:rowOff>0</xdr:rowOff>
    </xdr:from>
    <xdr:ext cx="314325" cy="304800"/>
    <xdr:sp macro="" textlink="">
      <xdr:nvSpPr>
        <xdr:cNvPr id="98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3C3174C-E8B0-4E68-861A-AE78BF4F72D8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47</xdr:row>
      <xdr:rowOff>0</xdr:rowOff>
    </xdr:from>
    <xdr:ext cx="314325" cy="304800"/>
    <xdr:sp macro="" textlink="">
      <xdr:nvSpPr>
        <xdr:cNvPr id="98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70466B8-24CE-4148-BD0A-EB366F84C6D8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48</xdr:row>
      <xdr:rowOff>0</xdr:rowOff>
    </xdr:from>
    <xdr:ext cx="314325" cy="304800"/>
    <xdr:sp macro="" textlink="">
      <xdr:nvSpPr>
        <xdr:cNvPr id="98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4D37272-2571-46FB-8A06-C0E3F6A210FC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49</xdr:row>
      <xdr:rowOff>0</xdr:rowOff>
    </xdr:from>
    <xdr:ext cx="314325" cy="304800"/>
    <xdr:sp macro="" textlink="">
      <xdr:nvSpPr>
        <xdr:cNvPr id="98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A27AB6A-F1CF-41A0-A07A-41E1DDD0F19B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50</xdr:row>
      <xdr:rowOff>0</xdr:rowOff>
    </xdr:from>
    <xdr:ext cx="314325" cy="304800"/>
    <xdr:sp macro="" textlink="">
      <xdr:nvSpPr>
        <xdr:cNvPr id="98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8647319-4A30-4234-8853-6C6BB663DFAD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51</xdr:row>
      <xdr:rowOff>0</xdr:rowOff>
    </xdr:from>
    <xdr:ext cx="314325" cy="304800"/>
    <xdr:sp macro="" textlink="">
      <xdr:nvSpPr>
        <xdr:cNvPr id="98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F4FD75E-FEAB-4DB6-9840-BBCAA85DD3BC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41</xdr:row>
      <xdr:rowOff>0</xdr:rowOff>
    </xdr:from>
    <xdr:ext cx="314325" cy="304800"/>
    <xdr:sp macro="" textlink="">
      <xdr:nvSpPr>
        <xdr:cNvPr id="98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9A6E983-BAE5-46B5-A771-AE8CC1A24C03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42</xdr:row>
      <xdr:rowOff>0</xdr:rowOff>
    </xdr:from>
    <xdr:ext cx="314325" cy="304800"/>
    <xdr:sp macro="" textlink="">
      <xdr:nvSpPr>
        <xdr:cNvPr id="99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33E9028-941F-4552-91DD-E8EC6B591E24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42</xdr:row>
      <xdr:rowOff>0</xdr:rowOff>
    </xdr:from>
    <xdr:ext cx="314325" cy="304800"/>
    <xdr:sp macro="" textlink="">
      <xdr:nvSpPr>
        <xdr:cNvPr id="99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82602B5-65C5-4D2B-B82D-748377D4BA42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41</xdr:row>
      <xdr:rowOff>0</xdr:rowOff>
    </xdr:from>
    <xdr:ext cx="314325" cy="304800"/>
    <xdr:sp macro="" textlink="">
      <xdr:nvSpPr>
        <xdr:cNvPr id="99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1A9741F-9B9A-4558-AA29-81E7656B6407}"/>
            </a:ext>
          </a:extLst>
        </xdr:cNvPr>
        <xdr:cNvSpPr/>
      </xdr:nvSpPr>
      <xdr:spPr>
        <a:xfrm>
          <a:off x="5648325" y="87344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" refreshedDate="44686.851132986114" createdVersion="7" refreshedVersion="7" minRefreshableVersion="3" recordCount="180" xr:uid="{E1A8422D-47BB-4A04-B6AA-EEE715539B1F}">
  <cacheSource type="worksheet">
    <worksheetSource ref="C116:I296" sheet="inverse variance"/>
  </cacheSource>
  <cacheFields count="8">
    <cacheField name="Year" numFmtId="0">
      <sharedItems containsSemiMixedTypes="0" containsString="0" containsNumber="1" containsInteger="1" minValue="2012" maxValue="2021" count="10">
        <n v="2012"/>
        <n v="2013"/>
        <n v="2014"/>
        <n v="2015"/>
        <n v="2016"/>
        <n v="2017"/>
        <n v="2018"/>
        <n v="2019"/>
        <n v="2020"/>
        <n v="2021"/>
      </sharedItems>
    </cacheField>
    <cacheField name="Model" numFmtId="0">
      <sharedItems count="18">
        <s v="m1"/>
        <s v="m2"/>
        <s v="m3"/>
        <s v="m4"/>
        <s v="m5"/>
        <s v="m6"/>
        <s v="m7"/>
        <s v="m8"/>
        <s v="m9"/>
        <s v="m10"/>
        <s v="m11"/>
        <s v="m12"/>
        <s v="m13"/>
        <s v="m14"/>
        <s v="m15"/>
        <s v="m16"/>
        <s v="m17"/>
        <s v="m18"/>
      </sharedItems>
    </cacheField>
    <cacheField name="Harvest (observed)" numFmtId="2">
      <sharedItems containsSemiMixedTypes="0" containsString="0" containsNumber="1" minValue="8.062989" maxValue="94.719412000000005"/>
    </cacheField>
    <cacheField name="Forecast" numFmtId="2">
      <sharedItems containsSemiMixedTypes="0" containsString="0" containsNumber="1" minValue="9.444729015082288" maxValue="73.442242595124824"/>
    </cacheField>
    <cacheField name="Forecast performance" numFmtId="9">
      <sharedItems containsSemiMixedTypes="0" containsString="0" containsNumber="1" minValue="-0.63795461177912771" maxValue="1.3663781244562589"/>
    </cacheField>
    <cacheField name="Absolute deviation" numFmtId="2">
      <sharedItems containsSemiMixedTypes="0" containsString="0" containsNumber="1" minValue="7.6129391945300995E-3" maxValue="43.260334371752734"/>
    </cacheField>
    <cacheField name="Absolute % deviation" numFmtId="9">
      <sharedItems containsSemiMixedTypes="0" containsString="0" containsNumber="1" minValue="3.5780104122345053E-4" maxValue="1.3663781244562589"/>
    </cacheField>
    <cacheField name="MAPE" numFmtId="0">
      <sharedItems containsSemiMixedTypes="0" containsString="0" containsNumber="1" minValue="3.5780104122345053E-4" maxValue="1.36637812445625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" refreshedDate="44687.512901736111" createdVersion="7" refreshedVersion="7" minRefreshableVersion="3" recordCount="200" xr:uid="{7804DBC4-7818-455C-99DB-F6DC6FF5FDBD}">
  <cacheSource type="worksheet">
    <worksheetSource ref="C336:J536" sheet="inverse variance"/>
  </cacheSource>
  <cacheFields count="8">
    <cacheField name="Year" numFmtId="0">
      <sharedItems containsSemiMixedTypes="0" containsString="0" containsNumber="1" containsInteger="1" minValue="2012" maxValue="2021" count="10">
        <n v="2012"/>
        <n v="2013"/>
        <n v="2014"/>
        <n v="2015"/>
        <n v="2016"/>
        <n v="2017"/>
        <n v="2018"/>
        <n v="2019"/>
        <n v="2020"/>
        <n v="2021"/>
      </sharedItems>
    </cacheField>
    <cacheField name="Model" numFmtId="0">
      <sharedItems count="20">
        <s v="m18"/>
        <s v="m9"/>
        <s v="m6"/>
        <s v="m16"/>
        <s v="m12"/>
        <s v="m7"/>
        <s v="m14"/>
        <s v="m4"/>
        <s v="m8"/>
        <s v="m10"/>
        <s v="m15"/>
        <s v="m20"/>
        <s v="m19"/>
        <s v="m3"/>
        <s v="m11"/>
        <s v="m1"/>
        <s v="m5"/>
        <s v="m17"/>
        <s v="m13"/>
        <s v="m2"/>
      </sharedItems>
    </cacheField>
    <cacheField name="Harvest (observed)" numFmtId="2">
      <sharedItems containsSemiMixedTypes="0" containsString="0" containsNumber="1" minValue="8.062989" maxValue="94.719412000000005"/>
    </cacheField>
    <cacheField name="Forecast" numFmtId="2">
      <sharedItems containsSemiMixedTypes="0" containsString="0" containsNumber="1" minValue="9.444729015082288" maxValue="73.442242595124824"/>
    </cacheField>
    <cacheField name="Forecast performance" numFmtId="9">
      <sharedItems containsSemiMixedTypes="0" containsString="0" containsNumber="1" minValue="-1.3663781244562589" maxValue="0.63795461177912771"/>
    </cacheField>
    <cacheField name="Absolute deviation" numFmtId="2">
      <sharedItems containsSemiMixedTypes="0" containsString="0" containsNumber="1" minValue="7.6129391945300995E-3" maxValue="43.260334371752734"/>
    </cacheField>
    <cacheField name="Absolute % deviation" numFmtId="9">
      <sharedItems containsSemiMixedTypes="0" containsString="0" containsNumber="1" minValue="3.5780104122345053E-4" maxValue="1.3663781244562589"/>
    </cacheField>
    <cacheField name="MAPE" numFmtId="9">
      <sharedItems containsSemiMixedTypes="0" containsString="0" containsNumber="1" minValue="3.5780104122345053E-4" maxValue="1.36637812445625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x v="0"/>
    <x v="0"/>
    <n v="21.277018000000002"/>
    <n v="22.868189014867525"/>
    <n v="7.4783553544369955E-2"/>
    <n v="1.5911710148675233"/>
    <n v="7.4783553544369955E-2"/>
    <n v="7.4783553544369955E-2"/>
  </r>
  <r>
    <x v="1"/>
    <x v="0"/>
    <n v="94.719412000000005"/>
    <n v="51.459077628247272"/>
    <n v="-0.45672089235259117"/>
    <n v="43.260334371752734"/>
    <n v="0.45672089235259117"/>
    <n v="0.45672089235259117"/>
  </r>
  <r>
    <x v="2"/>
    <x v="0"/>
    <n v="37.173864700000003"/>
    <n v="30.418099934180848"/>
    <n v="-0.18173425927972334"/>
    <n v="6.7557647658191549"/>
    <n v="0.18173425927972334"/>
    <n v="0.18173425927972334"/>
  </r>
  <r>
    <x v="3"/>
    <x v="0"/>
    <n v="35.092568"/>
    <n v="62.370619493255525"/>
    <n v="0.77731705166904641"/>
    <n v="27.278051493255525"/>
    <n v="0.77731705166904641"/>
    <n v="0.77731705166904641"/>
  </r>
  <r>
    <x v="4"/>
    <x v="0"/>
    <n v="18.374199999999998"/>
    <n v="34.801347216887471"/>
    <n v="0.89403333026131615"/>
    <n v="16.427147216887473"/>
    <n v="0.89403333026131615"/>
    <n v="0.89403333026131615"/>
  </r>
  <r>
    <x v="5"/>
    <x v="0"/>
    <n v="34.734366000000001"/>
    <n v="73.442242595124824"/>
    <n v="1.1143970958077893"/>
    <n v="38.707876595124823"/>
    <n v="1.1143970958077893"/>
    <n v="1.1143970958077893"/>
  </r>
  <r>
    <x v="6"/>
    <x v="0"/>
    <n v="8.0677000000000003"/>
    <n v="15.554287161341461"/>
    <n v="0.92797044527454675"/>
    <n v="7.4865871613414612"/>
    <n v="0.92797044527454675"/>
    <n v="0.92797044527454675"/>
  </r>
  <r>
    <x v="7"/>
    <x v="0"/>
    <n v="21.141928"/>
    <n v="18.932193844509868"/>
    <n v="-0.10451904648857625"/>
    <n v="2.209734155490132"/>
    <n v="0.10451904648857625"/>
    <n v="0.10451904648857625"/>
  </r>
  <r>
    <x v="8"/>
    <x v="0"/>
    <n v="8.062989"/>
    <n v="19.080080787331447"/>
    <n v="1.3663781244562589"/>
    <n v="11.017091787331447"/>
    <n v="1.3663781244562589"/>
    <n v="1.3663781244562589"/>
  </r>
  <r>
    <x v="9"/>
    <x v="0"/>
    <n v="48.503718999999997"/>
    <n v="27.542052481593913"/>
    <n v="-0.43216617097765397"/>
    <n v="20.961666518406084"/>
    <n v="0.43216617097765397"/>
    <n v="0.43216617097765397"/>
  </r>
  <r>
    <x v="0"/>
    <x v="1"/>
    <n v="21.277018000000002"/>
    <n v="24.51093291449564"/>
    <n v="0.15199098456821528"/>
    <n v="3.2339149144956387"/>
    <n v="0.15199098456821528"/>
    <n v="0.15199098456821528"/>
  </r>
  <r>
    <x v="1"/>
    <x v="1"/>
    <n v="94.719412000000005"/>
    <n v="64.985448868838859"/>
    <n v="-0.31391625542566864"/>
    <n v="29.733963131161147"/>
    <n v="0.31391625542566864"/>
    <n v="0.31391625542566864"/>
  </r>
  <r>
    <x v="2"/>
    <x v="1"/>
    <n v="37.173864700000003"/>
    <n v="30.362922731209636"/>
    <n v="-0.18321856023730473"/>
    <n v="6.8109419687903667"/>
    <n v="0.18321856023730473"/>
    <n v="0.18321856023730473"/>
  </r>
  <r>
    <x v="3"/>
    <x v="1"/>
    <n v="35.092568"/>
    <n v="58.840021322977528"/>
    <n v="0.67670890665446681"/>
    <n v="23.747453322977528"/>
    <n v="0.67670890665446681"/>
    <n v="0.67670890665446681"/>
  </r>
  <r>
    <x v="4"/>
    <x v="1"/>
    <n v="18.374199999999998"/>
    <n v="24.237139408075151"/>
    <n v="0.31908542456679223"/>
    <n v="5.8629394080751531"/>
    <n v="0.31908542456679223"/>
    <n v="0.31908542456679223"/>
  </r>
  <r>
    <x v="5"/>
    <x v="1"/>
    <n v="34.734366000000001"/>
    <n v="41.11377020867932"/>
    <n v="0.18366260690289607"/>
    <n v="6.3794042086793183"/>
    <n v="0.18366260690289607"/>
    <n v="0.18366260690289607"/>
  </r>
  <r>
    <x v="6"/>
    <x v="1"/>
    <n v="8.0677000000000003"/>
    <n v="15.636674821562034"/>
    <n v="0.93818248342923427"/>
    <n v="7.5689748215620334"/>
    <n v="0.93818248342923427"/>
    <n v="0.93818248342923427"/>
  </r>
  <r>
    <x v="7"/>
    <x v="1"/>
    <n v="21.141928"/>
    <n v="16.760346855095314"/>
    <n v="-0.20724605366666116"/>
    <n v="4.3815811449046862"/>
    <n v="0.20724605366666116"/>
    <n v="0.20724605366666116"/>
  </r>
  <r>
    <x v="8"/>
    <x v="1"/>
    <n v="8.062989"/>
    <n v="10.175091587579882"/>
    <n v="0.26195032482121478"/>
    <n v="2.1121025875798818"/>
    <n v="0.26195032482121478"/>
    <n v="0.26195032482121478"/>
  </r>
  <r>
    <x v="9"/>
    <x v="1"/>
    <n v="48.503718999999997"/>
    <n v="28.131751694156318"/>
    <n v="-0.42000835659310332"/>
    <n v="20.371967305843679"/>
    <n v="0.42000835659310332"/>
    <n v="0.42000835659310332"/>
  </r>
  <r>
    <x v="0"/>
    <x v="2"/>
    <n v="21.277018000000002"/>
    <n v="20.135083675376237"/>
    <n v="-5.3669848125511059E-2"/>
    <n v="1.1419343246237652"/>
    <n v="5.3669848125511059E-2"/>
    <n v="5.3669848125511059E-2"/>
  </r>
  <r>
    <x v="1"/>
    <x v="2"/>
    <n v="94.719412000000005"/>
    <n v="60.030217583173417"/>
    <n v="-0.36623109966969164"/>
    <n v="34.689194416826588"/>
    <n v="0.36623109966969164"/>
    <n v="0.36623109966969164"/>
  </r>
  <r>
    <x v="2"/>
    <x v="2"/>
    <n v="37.173864700000003"/>
    <n v="37.025320406947273"/>
    <n v="-3.9959335477091212E-3"/>
    <n v="0.14854429305272987"/>
    <n v="3.9959335477091212E-3"/>
    <n v="3.9959335477091212E-3"/>
  </r>
  <r>
    <x v="3"/>
    <x v="2"/>
    <n v="35.092568"/>
    <n v="43.617108046486187"/>
    <n v="0.24291582327306988"/>
    <n v="8.5245400464861874"/>
    <n v="0.24291582327306988"/>
    <n v="0.24291582327306988"/>
  </r>
  <r>
    <x v="4"/>
    <x v="2"/>
    <n v="18.374199999999998"/>
    <n v="14.924218561216261"/>
    <n v="-0.18776226659031348"/>
    <n v="3.4499814387837375"/>
    <n v="0.18776226659031348"/>
    <n v="0.18776226659031348"/>
  </r>
  <r>
    <x v="5"/>
    <x v="2"/>
    <n v="34.734366000000001"/>
    <n v="40.79225359780434"/>
    <n v="0.17440616586479046"/>
    <n v="6.0578875978043385"/>
    <n v="0.17440616586479046"/>
    <n v="0.17440616586479046"/>
  </r>
  <r>
    <x v="6"/>
    <x v="2"/>
    <n v="8.0677000000000003"/>
    <n v="10.079577910901664"/>
    <n v="0.24937440793555332"/>
    <n v="2.0118779109016636"/>
    <n v="0.24937440793555332"/>
    <n v="0.24937440793555332"/>
  </r>
  <r>
    <x v="7"/>
    <x v="2"/>
    <n v="21.141928"/>
    <n v="16.280254771328469"/>
    <n v="-0.22995410960965959"/>
    <n v="4.8616732286715312"/>
    <n v="0.22995410960965959"/>
    <n v="0.22995410960965959"/>
  </r>
  <r>
    <x v="8"/>
    <x v="2"/>
    <n v="8.062989"/>
    <n v="11.145516451770511"/>
    <n v="0.3823057989748605"/>
    <n v="3.0825274517705115"/>
    <n v="0.3823057989748605"/>
    <n v="0.3823057989748605"/>
  </r>
  <r>
    <x v="9"/>
    <x v="2"/>
    <n v="48.503718999999997"/>
    <n v="18.998627539634008"/>
    <n v="-0.60830575610843352"/>
    <n v="29.505091460365989"/>
    <n v="0.60830575610843352"/>
    <n v="0.60830575610843352"/>
  </r>
  <r>
    <x v="0"/>
    <x v="3"/>
    <n v="21.277018000000002"/>
    <n v="21.798026466173305"/>
    <n v="2.4486911942890811E-2"/>
    <n v="0.52100846617330276"/>
    <n v="2.4486911942890811E-2"/>
    <n v="2.4486911942890811E-2"/>
  </r>
  <r>
    <x v="1"/>
    <x v="3"/>
    <n v="94.719412000000005"/>
    <n v="60.194299724999993"/>
    <n v="-0.36449880279028768"/>
    <n v="34.525112275000012"/>
    <n v="0.36449880279028768"/>
    <n v="0.36449880279028768"/>
  </r>
  <r>
    <x v="2"/>
    <x v="3"/>
    <n v="37.173864700000003"/>
    <n v="28.663607701069164"/>
    <n v="-0.22893118774736482"/>
    <n v="8.5102569989308385"/>
    <n v="0.22893118774736482"/>
    <n v="0.22893118774736482"/>
  </r>
  <r>
    <x v="3"/>
    <x v="3"/>
    <n v="35.092568"/>
    <n v="55.8173344576565"/>
    <n v="0.59057423377099394"/>
    <n v="20.7247664576565"/>
    <n v="0.59057423377099394"/>
    <n v="0.59057423377099394"/>
  </r>
  <r>
    <x v="4"/>
    <x v="3"/>
    <n v="18.374199999999998"/>
    <n v="23.233066381128513"/>
    <n v="0.26443961539160971"/>
    <n v="4.8588663811285144"/>
    <n v="0.26443961539160971"/>
    <n v="0.26443961539160971"/>
  </r>
  <r>
    <x v="5"/>
    <x v="3"/>
    <n v="34.734366000000001"/>
    <n v="43.448852457664437"/>
    <n v="0.25088946369899007"/>
    <n v="8.7144864576644352"/>
    <n v="0.25088946369899007"/>
    <n v="0.25088946369899007"/>
  </r>
  <r>
    <x v="6"/>
    <x v="3"/>
    <n v="8.0677000000000003"/>
    <n v="13.109012409908248"/>
    <n v="0.62487603776891143"/>
    <n v="5.0413124099082474"/>
    <n v="0.62487603776891143"/>
    <n v="0.62487603776891143"/>
  </r>
  <r>
    <x v="7"/>
    <x v="3"/>
    <n v="21.141928"/>
    <n v="15.661090686544533"/>
    <n v="-0.25924018440775443"/>
    <n v="5.4808373134554671"/>
    <n v="0.25924018440775443"/>
    <n v="0.25924018440775443"/>
  </r>
  <r>
    <x v="8"/>
    <x v="3"/>
    <n v="8.062989"/>
    <n v="12.448891949148789"/>
    <n v="0.54395497118361313"/>
    <n v="4.3859029491487895"/>
    <n v="0.54395497118361313"/>
    <n v="0.54395497118361313"/>
  </r>
  <r>
    <x v="9"/>
    <x v="3"/>
    <n v="48.503718999999997"/>
    <n v="23.556030952569483"/>
    <n v="-0.51434588031137396"/>
    <n v="24.947688047430514"/>
    <n v="0.51434588031137396"/>
    <n v="0.51434588031137396"/>
  </r>
  <r>
    <x v="0"/>
    <x v="4"/>
    <n v="21.277018000000002"/>
    <n v="19.6735962580048"/>
    <n v="-7.5359326292584891E-2"/>
    <n v="1.6034217419952022"/>
    <n v="7.5359326292584891E-2"/>
    <n v="7.5359326292584891E-2"/>
  </r>
  <r>
    <x v="1"/>
    <x v="4"/>
    <n v="94.719412000000005"/>
    <n v="60.527862182407326"/>
    <n v="-0.36097721782302322"/>
    <n v="34.19154981759268"/>
    <n v="0.36097721782302322"/>
    <n v="0.36097721782302322"/>
  </r>
  <r>
    <x v="2"/>
    <x v="4"/>
    <n v="37.173864700000003"/>
    <n v="32.769126460526024"/>
    <n v="-0.11849018860484468"/>
    <n v="4.4047382394739785"/>
    <n v="0.11849018860484468"/>
    <n v="0.11849018860484468"/>
  </r>
  <r>
    <x v="3"/>
    <x v="4"/>
    <n v="35.092568"/>
    <n v="55.641863867913216"/>
    <n v="0.58557401293382738"/>
    <n v="20.549295867913216"/>
    <n v="0.58557401293382738"/>
    <n v="0.58557401293382738"/>
  </r>
  <r>
    <x v="4"/>
    <x v="4"/>
    <n v="18.374199999999998"/>
    <n v="16.35393615286997"/>
    <n v="-0.10995111880408553"/>
    <n v="2.0202638471300283"/>
    <n v="0.10995111880408553"/>
    <n v="0.10995111880408553"/>
  </r>
  <r>
    <x v="5"/>
    <x v="4"/>
    <n v="34.734366000000001"/>
    <n v="35.438335019491042"/>
    <n v="2.0267219487784534E-2"/>
    <n v="0.70396901949104063"/>
    <n v="2.0267219487784534E-2"/>
    <n v="2.0267219487784534E-2"/>
  </r>
  <r>
    <x v="6"/>
    <x v="4"/>
    <n v="8.0677000000000003"/>
    <n v="10.695498647792592"/>
    <n v="0.32571843868668782"/>
    <n v="2.6277986477925914"/>
    <n v="0.32571843868668782"/>
    <n v="0.32571843868668782"/>
  </r>
  <r>
    <x v="7"/>
    <x v="4"/>
    <n v="21.141928"/>
    <n v="16.154630612583034"/>
    <n v="-0.23589605391792867"/>
    <n v="4.9872973874169659"/>
    <n v="0.23589605391792867"/>
    <n v="0.23589605391792867"/>
  </r>
  <r>
    <x v="8"/>
    <x v="4"/>
    <n v="8.062989"/>
    <n v="11.217748936509295"/>
    <n v="0.39126432350450874"/>
    <n v="3.1547599365092953"/>
    <n v="0.39126432350450874"/>
    <n v="0.39126432350450874"/>
  </r>
  <r>
    <x v="9"/>
    <x v="4"/>
    <n v="48.503718999999997"/>
    <n v="22.854723216296591"/>
    <n v="-0.52880472492642072"/>
    <n v="25.648995783703405"/>
    <n v="0.52880472492642072"/>
    <n v="0.52880472492642072"/>
  </r>
  <r>
    <x v="0"/>
    <x v="5"/>
    <n v="21.277018000000002"/>
    <n v="21.416500094389978"/>
    <n v="6.5555283353135258E-3"/>
    <n v="0.13948209438997594"/>
    <n v="6.5555283353135258E-3"/>
    <n v="6.5555283353135258E-3"/>
  </r>
  <r>
    <x v="1"/>
    <x v="5"/>
    <n v="94.719412000000005"/>
    <n v="61.259483377067269"/>
    <n v="-0.35325312854489355"/>
    <n v="33.459928622932736"/>
    <n v="0.35325312854489355"/>
    <n v="0.35325312854489355"/>
  </r>
  <r>
    <x v="2"/>
    <x v="5"/>
    <n v="37.173864700000003"/>
    <n v="29.954664595899633"/>
    <n v="-0.19420095710684526"/>
    <n v="7.2192001041003699"/>
    <n v="0.19420095710684526"/>
    <n v="0.19420095710684526"/>
  </r>
  <r>
    <x v="3"/>
    <x v="5"/>
    <n v="35.092568"/>
    <n v="58.203990066613606"/>
    <n v="0.65858452042077986"/>
    <n v="23.111422066613606"/>
    <n v="0.65858452042077986"/>
    <n v="0.65858452042077986"/>
  </r>
  <r>
    <x v="4"/>
    <x v="5"/>
    <n v="18.374199999999998"/>
    <n v="20.665294036961946"/>
    <n v="0.12469081848254333"/>
    <n v="2.2910940369619475"/>
    <n v="0.12469081848254333"/>
    <n v="0.12469081848254333"/>
  </r>
  <r>
    <x v="5"/>
    <x v="5"/>
    <n v="34.734366000000001"/>
    <n v="38.253089993443666"/>
    <n v="0.10130382093180179"/>
    <n v="3.5187239934436647"/>
    <n v="0.10130382093180179"/>
    <n v="0.10130382093180179"/>
  </r>
  <r>
    <x v="6"/>
    <x v="5"/>
    <n v="8.0677000000000003"/>
    <n v="11.624060724052516"/>
    <n v="0.44081469614047564"/>
    <n v="3.5563607240525155"/>
    <n v="0.44081469614047564"/>
    <n v="0.44081469614047564"/>
  </r>
  <r>
    <x v="7"/>
    <x v="5"/>
    <n v="21.141928"/>
    <n v="15.460122834702359"/>
    <n v="-0.26874583837848853"/>
    <n v="5.6818051652976411"/>
    <n v="0.26874583837848853"/>
    <n v="0.26874583837848853"/>
  </r>
  <r>
    <x v="8"/>
    <x v="5"/>
    <n v="8.062989"/>
    <n v="11.166945484959289"/>
    <n v="0.38496350236361343"/>
    <n v="3.1039564849592889"/>
    <n v="0.38496350236361343"/>
    <n v="0.38496350236361343"/>
  </r>
  <r>
    <x v="9"/>
    <x v="5"/>
    <n v="48.503718999999997"/>
    <n v="23.945993918047893"/>
    <n v="-0.50630602329590657"/>
    <n v="24.557725081952103"/>
    <n v="0.50630602329590657"/>
    <n v="0.50630602329590657"/>
  </r>
  <r>
    <x v="0"/>
    <x v="6"/>
    <n v="21.277018000000002"/>
    <n v="21.648810108433786"/>
    <n v="1.747388230971952E-2"/>
    <n v="0.37179210843378385"/>
    <n v="1.747388230971952E-2"/>
    <n v="1.747388230971952E-2"/>
  </r>
  <r>
    <x v="1"/>
    <x v="6"/>
    <n v="94.719412000000005"/>
    <n v="54.84160313942899"/>
    <n v="-0.42100988613158846"/>
    <n v="39.877808860571015"/>
    <n v="0.42100988613158846"/>
    <n v="0.42100988613158846"/>
  </r>
  <r>
    <x v="2"/>
    <x v="6"/>
    <n v="37.173864700000003"/>
    <n v="36.512067026190721"/>
    <n v="-1.7802767593579853E-2"/>
    <n v="0.66179767380928212"/>
    <n v="1.7802767593579853E-2"/>
    <n v="1.7802767593579853E-2"/>
  </r>
  <r>
    <x v="3"/>
    <x v="6"/>
    <n v="35.092568"/>
    <n v="44.366734298406996"/>
    <n v="0.26427721956418226"/>
    <n v="9.2741662984069961"/>
    <n v="0.26427721956418226"/>
    <n v="0.26427721956418226"/>
  </r>
  <r>
    <x v="4"/>
    <x v="6"/>
    <n v="18.374199999999998"/>
    <n v="17.68709105409166"/>
    <n v="-3.7395312226292228E-2"/>
    <n v="0.6871089459083386"/>
    <n v="3.7395312226292228E-2"/>
    <n v="3.7395312226292228E-2"/>
  </r>
  <r>
    <x v="5"/>
    <x v="6"/>
    <n v="34.734366000000001"/>
    <n v="38.090271927381053"/>
    <n v="9.6616300046502984E-2"/>
    <n v="3.3559059273810519"/>
    <n v="9.6616300046502984E-2"/>
    <n v="9.6616300046502984E-2"/>
  </r>
  <r>
    <x v="6"/>
    <x v="6"/>
    <n v="8.0677000000000003"/>
    <n v="10.286580458339683"/>
    <n v="0.27503259396602292"/>
    <n v="2.2188804583396831"/>
    <n v="0.27503259396602292"/>
    <n v="0.27503259396602292"/>
  </r>
  <r>
    <x v="7"/>
    <x v="6"/>
    <n v="21.141928"/>
    <n v="17.00465753923454"/>
    <n v="-0.19569031077796975"/>
    <n v="4.1372704607654605"/>
    <n v="0.19569031077796975"/>
    <n v="0.19569031077796975"/>
  </r>
  <r>
    <x v="8"/>
    <x v="6"/>
    <n v="8.062989"/>
    <n v="11.586270730423687"/>
    <n v="0.43696968089919097"/>
    <n v="3.5232817304236868"/>
    <n v="0.43696968089919097"/>
    <n v="0.43696968089919097"/>
  </r>
  <r>
    <x v="9"/>
    <x v="6"/>
    <n v="48.503718999999997"/>
    <n v="18.218943765602997"/>
    <n v="-0.62438047759589321"/>
    <n v="30.284775234396999"/>
    <n v="0.62438047759589321"/>
    <n v="0.62438047759589321"/>
  </r>
  <r>
    <x v="0"/>
    <x v="7"/>
    <n v="21.277018000000002"/>
    <n v="21.953219134276075"/>
    <n v="3.1780822588770359E-2"/>
    <n v="0.67620113427607365"/>
    <n v="3.1780822588770359E-2"/>
    <n v="3.1780822588770359E-2"/>
  </r>
  <r>
    <x v="1"/>
    <x v="7"/>
    <n v="94.719412000000005"/>
    <n v="61.881436257900447"/>
    <n v="-0.34668686226746803"/>
    <n v="32.837975742099559"/>
    <n v="0.34668686226746803"/>
    <n v="0.34668686226746803"/>
  </r>
  <r>
    <x v="2"/>
    <x v="7"/>
    <n v="37.173864700000003"/>
    <n v="29.011372532147501"/>
    <n v="-0.21957609825411833"/>
    <n v="8.162492167852502"/>
    <n v="0.21957609825411833"/>
    <n v="0.21957609825411833"/>
  </r>
  <r>
    <x v="3"/>
    <x v="7"/>
    <n v="35.092568"/>
    <n v="55.945841893539011"/>
    <n v="0.5942361896552858"/>
    <n v="20.853273893539011"/>
    <n v="0.5942361896552858"/>
    <n v="0.5942361896552858"/>
  </r>
  <r>
    <x v="4"/>
    <x v="7"/>
    <n v="18.374199999999998"/>
    <n v="25.206170604311836"/>
    <n v="0.37182411230485346"/>
    <n v="6.831970604311838"/>
    <n v="0.37182411230485346"/>
    <n v="0.37182411230485346"/>
  </r>
  <r>
    <x v="5"/>
    <x v="7"/>
    <n v="34.734366000000001"/>
    <n v="39.061757525869794"/>
    <n v="0.12458530338137717"/>
    <n v="4.3273915258697926"/>
    <n v="0.12458530338137717"/>
    <n v="0.12458530338137717"/>
  </r>
  <r>
    <x v="6"/>
    <x v="7"/>
    <n v="8.0677000000000003"/>
    <n v="13.461423747824925"/>
    <n v="0.66855779811159621"/>
    <n v="5.3937237478249251"/>
    <n v="0.66855779811159621"/>
    <n v="0.66855779811159621"/>
  </r>
  <r>
    <x v="7"/>
    <x v="7"/>
    <n v="21.141928"/>
    <n v="16.53600561492771"/>
    <n v="-0.21785725431816294"/>
    <n v="4.6059223850722901"/>
    <n v="0.21785725431816294"/>
    <n v="0.21785725431816294"/>
  </r>
  <r>
    <x v="8"/>
    <x v="7"/>
    <n v="8.062989"/>
    <n v="12.592755740163248"/>
    <n v="0.56179745999445718"/>
    <n v="4.5297667401632484"/>
    <n v="0.56179745999445718"/>
    <n v="0.56179745999445718"/>
  </r>
  <r>
    <x v="9"/>
    <x v="7"/>
    <n v="48.503718999999997"/>
    <n v="22.042584946088212"/>
    <n v="-0.54554855997561313"/>
    <n v="26.461134053911785"/>
    <n v="0.54554855997561313"/>
    <n v="0.54554855997561313"/>
  </r>
  <r>
    <x v="0"/>
    <x v="8"/>
    <n v="21.277018000000002"/>
    <n v="21.308258463202069"/>
    <n v="1.4682726311585253E-3"/>
    <n v="3.1240463202067303E-2"/>
    <n v="1.4682726311585253E-3"/>
    <n v="1.4682726311585253E-3"/>
  </r>
  <r>
    <x v="1"/>
    <x v="8"/>
    <n v="94.719412000000005"/>
    <n v="59.192701578188306"/>
    <n v="-0.37507317319296385"/>
    <n v="35.5267104218117"/>
    <n v="0.37507317319296385"/>
    <n v="0.37507317319296385"/>
  </r>
  <r>
    <x v="2"/>
    <x v="8"/>
    <n v="37.173864700000003"/>
    <n v="33.152261928707304"/>
    <n v="-0.1081836070515611"/>
    <n v="4.0216027712926987"/>
    <n v="0.1081836070515611"/>
    <n v="0.1081836070515611"/>
  </r>
  <r>
    <x v="3"/>
    <x v="8"/>
    <n v="35.092568"/>
    <n v="54.547565175428282"/>
    <n v="0.55439080934254459"/>
    <n v="19.454997175428282"/>
    <n v="0.55439080934254459"/>
    <n v="0.55439080934254459"/>
  </r>
  <r>
    <x v="4"/>
    <x v="8"/>
    <n v="18.374199999999998"/>
    <n v="18.387836863435755"/>
    <n v="7.4217454015721243E-4"/>
    <n v="1.3636863435756652E-2"/>
    <n v="7.4217454015721243E-4"/>
    <n v="7.4217454015721243E-4"/>
  </r>
  <r>
    <x v="5"/>
    <x v="8"/>
    <n v="34.734366000000001"/>
    <n v="29.256552735383011"/>
    <n v="-0.1577058658452839"/>
    <n v="5.4778132646169908"/>
    <n v="0.1577058658452839"/>
    <n v="0.1577058658452839"/>
  </r>
  <r>
    <x v="6"/>
    <x v="8"/>
    <n v="8.0677000000000003"/>
    <n v="10.414654411621454"/>
    <n v="0.29090749676133887"/>
    <n v="2.3469544116214536"/>
    <n v="0.29090749676133887"/>
    <n v="0.29090749676133887"/>
  </r>
  <r>
    <x v="7"/>
    <x v="8"/>
    <n v="21.141928"/>
    <n v="15.470327921328842"/>
    <n v="-0.26826314414991659"/>
    <n v="5.6716000786711582"/>
    <n v="0.26826314414991659"/>
    <n v="0.26826314414991659"/>
  </r>
  <r>
    <x v="8"/>
    <x v="8"/>
    <n v="8.062989"/>
    <n v="11.325245279602637"/>
    <n v="0.40459639466240582"/>
    <n v="3.2622562796026369"/>
    <n v="0.40459639466240582"/>
    <n v="0.40459639466240582"/>
  </r>
  <r>
    <x v="9"/>
    <x v="8"/>
    <n v="48.503718999999997"/>
    <n v="20.298148188297414"/>
    <n v="-0.58151357036565765"/>
    <n v="28.205570811702582"/>
    <n v="0.58151357036565765"/>
    <n v="0.58151357036565765"/>
  </r>
  <r>
    <x v="0"/>
    <x v="9"/>
    <n v="21.277018000000002"/>
    <n v="21.972815933057415"/>
    <n v="3.2701853852706866E-2"/>
    <n v="0.69579793305741333"/>
    <n v="3.2701853852706866E-2"/>
    <n v="3.2701853852706866E-2"/>
  </r>
  <r>
    <x v="1"/>
    <x v="9"/>
    <n v="94.719412000000005"/>
    <n v="62.666041907108145"/>
    <n v="-0.3384033897179583"/>
    <n v="32.053370092891861"/>
    <n v="0.3384033897179583"/>
    <n v="0.3384033897179583"/>
  </r>
  <r>
    <x v="2"/>
    <x v="9"/>
    <n v="37.173864700000003"/>
    <n v="30.150108758102586"/>
    <n v="-0.1889433880114546"/>
    <n v="7.0237559418974165"/>
    <n v="0.1889433880114546"/>
    <n v="0.1889433880114546"/>
  </r>
  <r>
    <x v="3"/>
    <x v="9"/>
    <n v="35.092568"/>
    <n v="58.1795247474167"/>
    <n v="0.65788735516354058"/>
    <n v="23.0869567474167"/>
    <n v="0.65788735516354058"/>
    <n v="0.65788735516354058"/>
  </r>
  <r>
    <x v="4"/>
    <x v="9"/>
    <n v="18.374199999999998"/>
    <n v="22.95073137939012"/>
    <n v="0.24907377624006066"/>
    <n v="4.5765313793901221"/>
    <n v="0.24907377624006066"/>
    <n v="0.24907377624006066"/>
  </r>
  <r>
    <x v="5"/>
    <x v="9"/>
    <n v="34.734366000000001"/>
    <n v="34.068941523612814"/>
    <n v="-1.9157524751918238E-2"/>
    <n v="0.66542447638718727"/>
    <n v="1.9157524751918238E-2"/>
    <n v="1.9157524751918238E-2"/>
  </r>
  <r>
    <x v="6"/>
    <x v="9"/>
    <n v="8.0677000000000003"/>
    <n v="11.892416390567629"/>
    <n v="0.47407766656762501"/>
    <n v="3.8247163905676285"/>
    <n v="0.47407766656762501"/>
    <n v="0.47407766656762501"/>
  </r>
  <r>
    <x v="7"/>
    <x v="9"/>
    <n v="21.141928"/>
    <n v="15.657500887703074"/>
    <n v="-0.25940997965260904"/>
    <n v="5.4844271122969257"/>
    <n v="0.25940997965260904"/>
    <n v="0.25940997965260904"/>
  </r>
  <r>
    <x v="8"/>
    <x v="9"/>
    <n v="8.062989"/>
    <n v="11.315757440813721"/>
    <n v="0.40341967982515181"/>
    <n v="3.2527684408137212"/>
    <n v="0.40341967982515181"/>
    <n v="0.40341967982515181"/>
  </r>
  <r>
    <x v="9"/>
    <x v="9"/>
    <n v="48.503718999999997"/>
    <n v="21.957046475275718"/>
    <n v="-0.54731210455685431"/>
    <n v="26.546672524724279"/>
    <n v="0.54731210455685431"/>
    <n v="0.54731210455685431"/>
  </r>
  <r>
    <x v="0"/>
    <x v="10"/>
    <n v="21.277018000000002"/>
    <n v="19.781036171949193"/>
    <n v="-7.0309750551078576E-2"/>
    <n v="1.4959818280508088"/>
    <n v="7.0309750551078576E-2"/>
    <n v="7.0309750551078576E-2"/>
  </r>
  <r>
    <x v="1"/>
    <x v="10"/>
    <n v="94.719412000000005"/>
    <n v="60.2568191406273"/>
    <n v="-0.36383875418665712"/>
    <n v="34.462592859372705"/>
    <n v="0.36383875418665712"/>
    <n v="0.36383875418665712"/>
  </r>
  <r>
    <x v="2"/>
    <x v="10"/>
    <n v="37.173864700000003"/>
    <n v="38.14486749413603"/>
    <n v="2.6120576969120634E-2"/>
    <n v="0.97100279413602664"/>
    <n v="2.6120576969120634E-2"/>
    <n v="2.6120576969120634E-2"/>
  </r>
  <r>
    <x v="3"/>
    <x v="10"/>
    <n v="35.092568"/>
    <n v="41.215987799922239"/>
    <n v="0.17449335141053909"/>
    <n v="6.1234197999222388"/>
    <n v="0.17449335141053909"/>
    <n v="0.17449335141053909"/>
  </r>
  <r>
    <x v="4"/>
    <x v="10"/>
    <n v="18.374199999999998"/>
    <n v="13.757837522328424"/>
    <n v="-0.25124154943734012"/>
    <n v="4.6163624776715739"/>
    <n v="0.25124154943734012"/>
    <n v="0.25124154943734012"/>
  </r>
  <r>
    <x v="5"/>
    <x v="10"/>
    <n v="34.734366000000001"/>
    <n v="39.525040146294472"/>
    <n v="0.13792317805065077"/>
    <n v="4.7906741462944709"/>
    <n v="0.13792317805065077"/>
    <n v="0.13792317805065077"/>
  </r>
  <r>
    <x v="6"/>
    <x v="10"/>
    <n v="8.0677000000000003"/>
    <n v="9.444729015082288"/>
    <n v="0.17068421174340737"/>
    <n v="1.3770290150822877"/>
    <n v="0.17068421174340737"/>
    <n v="0.17068421174340737"/>
  </r>
  <r>
    <x v="7"/>
    <x v="10"/>
    <n v="21.141928"/>
    <n v="15.040753626039384"/>
    <n v="-0.28858174022542388"/>
    <n v="6.1011743739606157"/>
    <n v="0.28858174022542388"/>
    <n v="0.28858174022542388"/>
  </r>
  <r>
    <x v="8"/>
    <x v="10"/>
    <n v="8.062989"/>
    <n v="10.479108411407804"/>
    <n v="0.29965555098832503"/>
    <n v="2.416119411407804"/>
    <n v="0.29965555098832503"/>
    <n v="0.29965555098832503"/>
  </r>
  <r>
    <x v="9"/>
    <x v="10"/>
    <n v="48.503718999999997"/>
    <n v="17.560547775511097"/>
    <n v="-0.63795461177912771"/>
    <n v="30.9431712244889"/>
    <n v="0.63795461177912771"/>
    <n v="0.63795461177912771"/>
  </r>
  <r>
    <x v="0"/>
    <x v="11"/>
    <n v="21.277018000000002"/>
    <n v="20.947657705362754"/>
    <n v="-1.5479626639280342E-2"/>
    <n v="0.32936029463724736"/>
    <n v="1.5479626639280342E-2"/>
    <n v="1.5479626639280342E-2"/>
  </r>
  <r>
    <x v="1"/>
    <x v="11"/>
    <n v="94.719412000000005"/>
    <n v="61.660271793197559"/>
    <n v="-0.349021805654816"/>
    <n v="33.059140206802446"/>
    <n v="0.349021805654816"/>
    <n v="0.349021805654816"/>
  </r>
  <r>
    <x v="2"/>
    <x v="11"/>
    <n v="37.173864700000003"/>
    <n v="28.30206796052699"/>
    <n v="-0.23865683084258418"/>
    <n v="8.8717967394730124"/>
    <n v="0.23865683084258418"/>
    <n v="0.23865683084258418"/>
  </r>
  <r>
    <x v="3"/>
    <x v="11"/>
    <n v="35.092568"/>
    <n v="54.11354877838297"/>
    <n v="0.54202305110252891"/>
    <n v="19.02098077838297"/>
    <n v="0.54202305110252891"/>
    <n v="0.54202305110252891"/>
  </r>
  <r>
    <x v="4"/>
    <x v="11"/>
    <n v="18.374199999999998"/>
    <n v="20.598819194375913"/>
    <n v="0.12107298246323188"/>
    <n v="2.224619194375915"/>
    <n v="0.12107298246323188"/>
    <n v="0.12107298246323188"/>
  </r>
  <r>
    <x v="5"/>
    <x v="11"/>
    <n v="34.734366000000001"/>
    <n v="40.063491482431573"/>
    <n v="0.15342515485762923"/>
    <n v="5.3291254824315715"/>
    <n v="0.15342515485762923"/>
    <n v="0.15342515485762923"/>
  </r>
  <r>
    <x v="6"/>
    <x v="11"/>
    <n v="8.0677000000000003"/>
    <n v="12.062220022431708"/>
    <n v="0.49512500742859894"/>
    <n v="3.9945200224317077"/>
    <n v="0.49512500742859894"/>
    <n v="0.49512500742859894"/>
  </r>
  <r>
    <x v="7"/>
    <x v="11"/>
    <n v="21.141928"/>
    <n v="14.125086679646323"/>
    <n v="-0.33189221533408292"/>
    <n v="7.0168413203536772"/>
    <n v="0.33189221533408292"/>
    <n v="0.33189221533408292"/>
  </r>
  <r>
    <x v="8"/>
    <x v="11"/>
    <n v="8.062989"/>
    <n v="10.751908540633393"/>
    <n v="0.33348917388246374"/>
    <n v="2.6889195406333926"/>
    <n v="0.33348917388246374"/>
    <n v="0.33348917388246374"/>
  </r>
  <r>
    <x v="9"/>
    <x v="11"/>
    <n v="48.503718999999997"/>
    <n v="21.700007613366179"/>
    <n v="-0.5526114685480884"/>
    <n v="26.803711386633818"/>
    <n v="0.5526114685480884"/>
    <n v="0.5526114685480884"/>
  </r>
  <r>
    <x v="0"/>
    <x v="12"/>
    <n v="21.277018000000002"/>
    <n v="18.725046900963523"/>
    <n v="-0.11994026132028832"/>
    <n v="2.5519710990364786"/>
    <n v="0.11994026132028832"/>
    <n v="0.11994026132028832"/>
  </r>
  <r>
    <x v="1"/>
    <x v="12"/>
    <n v="94.719412000000005"/>
    <n v="60.491939619770122"/>
    <n v="-0.36135647020517697"/>
    <n v="34.227472380229884"/>
    <n v="0.36135647020517697"/>
    <n v="0.36135647020517697"/>
  </r>
  <r>
    <x v="2"/>
    <x v="12"/>
    <n v="37.173864700000003"/>
    <n v="33.38549315213195"/>
    <n v="-0.10190954258969077"/>
    <n v="3.7883715478680529"/>
    <n v="0.10190954258969077"/>
    <n v="0.10190954258969077"/>
  </r>
  <r>
    <x v="3"/>
    <x v="12"/>
    <n v="35.092568"/>
    <n v="54.098350244393423"/>
    <n v="0.54158995273282429"/>
    <n v="19.005782244393423"/>
    <n v="0.54158995273282429"/>
    <n v="0.54158995273282429"/>
  </r>
  <r>
    <x v="4"/>
    <x v="12"/>
    <n v="18.374199999999998"/>
    <n v="14.241954851337699"/>
    <n v="-0.2248938810213397"/>
    <n v="4.1322451486622995"/>
    <n v="0.2248938810213397"/>
    <n v="0.2248938810213397"/>
  </r>
  <r>
    <x v="5"/>
    <x v="12"/>
    <n v="34.734366000000001"/>
    <n v="32.886608029483064"/>
    <n v="-5.3196824450946867E-2"/>
    <n v="1.8477579705169376"/>
    <n v="5.3196824450946867E-2"/>
    <n v="5.3196824450946867E-2"/>
  </r>
  <r>
    <x v="6"/>
    <x v="12"/>
    <n v="8.0677000000000003"/>
    <n v="9.6911925167809603"/>
    <n v="0.20123362504567099"/>
    <n v="1.62349251678096"/>
    <n v="0.20123362504567099"/>
    <n v="0.20123362504567099"/>
  </r>
  <r>
    <x v="7"/>
    <x v="12"/>
    <n v="21.141928"/>
    <n v="14.93643951064815"/>
    <n v="-0.29351573278235793"/>
    <n v="6.2054884893518505"/>
    <n v="0.29351573278235793"/>
    <n v="0.29351573278235793"/>
  </r>
  <r>
    <x v="8"/>
    <x v="12"/>
    <n v="8.062989"/>
    <n v="10.204331623414877"/>
    <n v="0.26557677598405216"/>
    <n v="2.1413426234148769"/>
    <n v="0.26557677598405216"/>
    <n v="0.26557677598405216"/>
  </r>
  <r>
    <x v="9"/>
    <x v="12"/>
    <n v="48.503718999999997"/>
    <n v="20.663868723408665"/>
    <n v="-0.57397351894998672"/>
    <n v="27.839850276591331"/>
    <n v="0.57397351894998672"/>
    <n v="0.57397351894998672"/>
  </r>
  <r>
    <x v="0"/>
    <x v="13"/>
    <n v="21.277018000000002"/>
    <n v="20.836194312924398"/>
    <n v="-2.0718302117129547E-2"/>
    <n v="0.44082368707560349"/>
    <n v="2.0718302117129547E-2"/>
    <n v="2.0718302117129547E-2"/>
  </r>
  <r>
    <x v="1"/>
    <x v="13"/>
    <n v="94.719412000000005"/>
    <n v="62.631890807435816"/>
    <n v="-0.33876393988345482"/>
    <n v="32.087521192564189"/>
    <n v="0.33876393988345482"/>
    <n v="0.33876393988345482"/>
  </r>
  <r>
    <x v="2"/>
    <x v="13"/>
    <n v="37.173864700000003"/>
    <n v="29.802990893179171"/>
    <n v="-0.19828107371415787"/>
    <n v="7.3708738068208319"/>
    <n v="0.19828107371415787"/>
    <n v="0.19828107371415787"/>
  </r>
  <r>
    <x v="3"/>
    <x v="13"/>
    <n v="35.092568"/>
    <n v="57.268286737007749"/>
    <n v="0.63192066015253567"/>
    <n v="22.175718737007749"/>
    <n v="0.63192066015253567"/>
    <n v="0.63192066015253567"/>
  </r>
  <r>
    <x v="4"/>
    <x v="13"/>
    <n v="18.374199999999998"/>
    <n v="18.590530009977194"/>
    <n v="1.1773574358458884E-2"/>
    <n v="0.2163300099771952"/>
    <n v="1.1773574358458884E-2"/>
    <n v="1.1773574358458884E-2"/>
  </r>
  <r>
    <x v="5"/>
    <x v="13"/>
    <n v="34.734366000000001"/>
    <n v="35.254421504759435"/>
    <n v="1.4972362091176026E-2"/>
    <n v="0.52005550475943352"/>
    <n v="1.4972362091176026E-2"/>
    <n v="1.4972362091176026E-2"/>
  </r>
  <r>
    <x v="6"/>
    <x v="13"/>
    <n v="8.0677000000000003"/>
    <n v="10.599916261114934"/>
    <n v="0.31387090014687385"/>
    <n v="2.5322162611149341"/>
    <n v="0.31387090014687385"/>
    <n v="0.31387090014687385"/>
  </r>
  <r>
    <x v="7"/>
    <x v="13"/>
    <n v="21.141928"/>
    <n v="14.060725286777746"/>
    <n v="-0.3349364690496654"/>
    <n v="7.0812027132222539"/>
    <n v="0.3349364690496654"/>
    <n v="0.3349364690496654"/>
  </r>
  <r>
    <x v="8"/>
    <x v="13"/>
    <n v="8.062989"/>
    <n v="10.014595571768339"/>
    <n v="0.24204504951803102"/>
    <n v="1.9516065717683393"/>
    <n v="0.24204504951803102"/>
    <n v="0.24204504951803102"/>
  </r>
  <r>
    <x v="9"/>
    <x v="13"/>
    <n v="48.503718999999997"/>
    <n v="21.857806698275738"/>
    <n v="-0.5493581286359559"/>
    <n v="26.645912301724259"/>
    <n v="0.5493581286359559"/>
    <n v="0.5493581286359559"/>
  </r>
  <r>
    <x v="0"/>
    <x v="14"/>
    <n v="21.277018000000002"/>
    <n v="20.307246480687379"/>
    <n v="-4.5578356859623033E-2"/>
    <n v="0.96977151931262284"/>
    <n v="4.5578356859623033E-2"/>
    <n v="4.5578356859623033E-2"/>
  </r>
  <r>
    <x v="1"/>
    <x v="14"/>
    <n v="94.719412000000005"/>
    <n v="61.337378104972409"/>
    <n v="-0.35243075511308702"/>
    <n v="33.382033895027597"/>
    <n v="0.35243075511308702"/>
    <n v="0.35243075511308702"/>
  </r>
  <r>
    <x v="2"/>
    <x v="14"/>
    <n v="37.173864700000003"/>
    <n v="31.64869893662301"/>
    <n v="-0.14863038341496393"/>
    <n v="5.5251657633769931"/>
    <n v="0.14863038341496393"/>
    <n v="0.14863038341496393"/>
  </r>
  <r>
    <x v="3"/>
    <x v="14"/>
    <n v="35.092568"/>
    <n v="44.417575435961993"/>
    <n v="0.26572599178156447"/>
    <n v="9.325007435961993"/>
    <n v="0.26572599178156447"/>
    <n v="0.26572599178156447"/>
  </r>
  <r>
    <x v="4"/>
    <x v="14"/>
    <n v="18.374199999999998"/>
    <n v="13.042502865513137"/>
    <n v="-0.29017302165464953"/>
    <n v="5.3316971344868609"/>
    <n v="0.29017302165464953"/>
    <n v="0.29017302165464953"/>
  </r>
  <r>
    <x v="5"/>
    <x v="14"/>
    <n v="34.734366000000001"/>
    <n v="39.388190737086752"/>
    <n v="0.13398329300401657"/>
    <n v="4.6538247370867509"/>
    <n v="0.13398329300401657"/>
    <n v="0.13398329300401657"/>
  </r>
  <r>
    <x v="6"/>
    <x v="14"/>
    <n v="8.0677000000000003"/>
    <n v="9.9584375514845451"/>
    <n v="0.23435893147793604"/>
    <n v="1.8907375514845448"/>
    <n v="0.23435893147793604"/>
    <n v="0.23435893147793604"/>
  </r>
  <r>
    <x v="7"/>
    <x v="14"/>
    <n v="21.141928"/>
    <n v="13.993593312837158"/>
    <n v="-0.33811176952087069"/>
    <n v="7.1483346871628424"/>
    <n v="0.33811176952087069"/>
    <n v="0.33811176952087069"/>
  </r>
  <r>
    <x v="8"/>
    <x v="14"/>
    <n v="8.062989"/>
    <n v="10.906438458665511"/>
    <n v="0.35265451294371236"/>
    <n v="2.8434494586655106"/>
    <n v="0.35265451294371236"/>
    <n v="0.35265451294371236"/>
  </r>
  <r>
    <x v="9"/>
    <x v="14"/>
    <n v="48.503718999999997"/>
    <n v="17.679828905619729"/>
    <n v="-0.6354953956083299"/>
    <n v="30.823890094380268"/>
    <n v="0.6354953956083299"/>
    <n v="0.6354953956083299"/>
  </r>
  <r>
    <x v="0"/>
    <x v="15"/>
    <n v="21.277018000000002"/>
    <n v="21.462817612527832"/>
    <n v="8.7324084854292303E-3"/>
    <n v="0.1857996125278305"/>
    <n v="8.7324084854292303E-3"/>
    <n v="8.7324084854292303E-3"/>
  </r>
  <r>
    <x v="1"/>
    <x v="15"/>
    <n v="94.719412000000005"/>
    <n v="59.246836670416002"/>
    <n v="-0.37450164206661252"/>
    <n v="35.472575329584004"/>
    <n v="0.37450164206661252"/>
    <n v="0.37450164206661252"/>
  </r>
  <r>
    <x v="2"/>
    <x v="15"/>
    <n v="37.173864700000003"/>
    <n v="25.675099673744072"/>
    <n v="-0.30932390589606712"/>
    <n v="11.498765026255931"/>
    <n v="0.30932390589606712"/>
    <n v="0.30932390589606712"/>
  </r>
  <r>
    <x v="3"/>
    <x v="15"/>
    <n v="35.092568"/>
    <n v="53.917568307477325"/>
    <n v="0.53643837941632899"/>
    <n v="18.825000307477325"/>
    <n v="0.53643837941632899"/>
    <n v="0.53643837941632899"/>
  </r>
  <r>
    <x v="4"/>
    <x v="15"/>
    <n v="18.374199999999998"/>
    <n v="20.835437450030692"/>
    <n v="0.13395072710815678"/>
    <n v="2.4612374500306942"/>
    <n v="0.13395072710815678"/>
    <n v="0.13395072710815678"/>
  </r>
  <r>
    <x v="5"/>
    <x v="15"/>
    <n v="34.734366000000001"/>
    <n v="42.84532254073752"/>
    <n v="0.23351387904237314"/>
    <n v="8.1109565407375186"/>
    <n v="0.23351387904237314"/>
    <n v="0.23351387904237314"/>
  </r>
  <r>
    <x v="6"/>
    <x v="15"/>
    <n v="8.0677000000000003"/>
    <n v="12.268836125869866"/>
    <n v="0.52073529331406287"/>
    <n v="4.2011361258698656"/>
    <n v="0.52073529331406287"/>
    <n v="0.52073529331406287"/>
  </r>
  <r>
    <x v="7"/>
    <x v="15"/>
    <n v="21.141928"/>
    <n v="13.330315552638961"/>
    <n v="-0.36948439363529378"/>
    <n v="7.8116124473610391"/>
    <n v="0.36948439363529378"/>
    <n v="0.36948439363529378"/>
  </r>
  <r>
    <x v="8"/>
    <x v="15"/>
    <n v="8.062989"/>
    <n v="11.168684572591086"/>
    <n v="0.38517919007344381"/>
    <n v="3.1056955725910864"/>
    <n v="0.38517919007344381"/>
    <n v="0.38517919007344381"/>
  </r>
  <r>
    <x v="9"/>
    <x v="15"/>
    <n v="48.503718999999997"/>
    <n v="22.532894731728732"/>
    <n v="-0.53543985499897995"/>
    <n v="25.970824268271265"/>
    <n v="0.53543985499897995"/>
    <n v="0.53543985499897995"/>
  </r>
  <r>
    <x v="0"/>
    <x v="16"/>
    <n v="21.277018000000002"/>
    <n v="19.488342421300182"/>
    <n v="-8.4066083823391979E-2"/>
    <n v="1.7886755786998201"/>
    <n v="8.4066083823391979E-2"/>
    <n v="8.4066083823391979E-2"/>
  </r>
  <r>
    <x v="1"/>
    <x v="16"/>
    <n v="94.719412000000005"/>
    <n v="61.347111819736213"/>
    <n v="-0.35232799143921828"/>
    <n v="33.372300180263792"/>
    <n v="0.35232799143921828"/>
    <n v="0.35232799143921828"/>
  </r>
  <r>
    <x v="2"/>
    <x v="16"/>
    <n v="37.173864700000003"/>
    <n v="28.417972211734916"/>
    <n v="-0.23553893465010339"/>
    <n v="8.7558924882650864"/>
    <n v="0.23553893465010339"/>
    <n v="0.23553893465010339"/>
  </r>
  <r>
    <x v="3"/>
    <x v="16"/>
    <n v="35.092568"/>
    <n v="56.215512795184196"/>
    <n v="0.60192074843836441"/>
    <n v="21.122944795184196"/>
    <n v="0.60192074843836441"/>
    <n v="0.60192074843836441"/>
  </r>
  <r>
    <x v="4"/>
    <x v="16"/>
    <n v="18.374199999999998"/>
    <n v="14.704413338510747"/>
    <n v="-0.19972497640655112"/>
    <n v="3.6697866614892511"/>
    <n v="0.19972497640655112"/>
    <n v="0.19972497640655112"/>
  </r>
  <r>
    <x v="5"/>
    <x v="16"/>
    <n v="34.734366000000001"/>
    <n v="35.443618879439519"/>
    <n v="2.0419341451043554E-2"/>
    <n v="0.70925287943951787"/>
    <n v="2.0419341451043554E-2"/>
    <n v="2.0419341451043554E-2"/>
  </r>
  <r>
    <x v="6"/>
    <x v="16"/>
    <n v="8.0677000000000003"/>
    <n v="10.209048917359882"/>
    <n v="0.26542247695872195"/>
    <n v="2.1413489173598812"/>
    <n v="0.26542247695872195"/>
    <n v="0.26542247695872195"/>
  </r>
  <r>
    <x v="7"/>
    <x v="16"/>
    <n v="21.141928"/>
    <n v="14.263910691382707"/>
    <n v="-0.32532592621719708"/>
    <n v="6.8780173086172933"/>
    <n v="0.32532592621719708"/>
    <n v="0.32532592621719708"/>
  </r>
  <r>
    <x v="8"/>
    <x v="16"/>
    <n v="8.062989"/>
    <n v="10.510915939284109"/>
    <n v="0.30360043146333315"/>
    <n v="2.447926939284109"/>
    <n v="0.30360043146333315"/>
    <n v="0.30360043146333315"/>
  </r>
  <r>
    <x v="9"/>
    <x v="16"/>
    <n v="48.503718999999997"/>
    <n v="20.902479433150837"/>
    <n v="-0.56905408772570942"/>
    <n v="27.601239566849159"/>
    <n v="0.56905408772570942"/>
    <n v="0.56905408772570942"/>
  </r>
  <r>
    <x v="0"/>
    <x v="17"/>
    <n v="21.277018000000002"/>
    <n v="21.284630939194532"/>
    <n v="3.5780104122345053E-4"/>
    <n v="7.6129391945300995E-3"/>
    <n v="3.5780104122345053E-4"/>
    <n v="3.5780104122345053E-4"/>
  </r>
  <r>
    <x v="1"/>
    <x v="17"/>
    <n v="94.719412000000005"/>
    <n v="60.606406401386693"/>
    <n v="-0.36014798739051834"/>
    <n v="34.113005598613313"/>
    <n v="0.36014798739051834"/>
    <n v="0.36014798739051834"/>
  </r>
  <r>
    <x v="2"/>
    <x v="17"/>
    <n v="37.173864700000003"/>
    <n v="26.425439874338529"/>
    <n v="-0.28913928945519274"/>
    <n v="10.748424825661473"/>
    <n v="0.28913928945519274"/>
    <n v="0.28913928945519274"/>
  </r>
  <r>
    <x v="3"/>
    <x v="17"/>
    <n v="35.092568"/>
    <n v="56.669673329098309"/>
    <n v="0.6148625352552799"/>
    <n v="21.577105329098309"/>
    <n v="0.6148625352552799"/>
    <n v="0.6148625352552799"/>
  </r>
  <r>
    <x v="4"/>
    <x v="17"/>
    <n v="18.374199999999998"/>
    <n v="18.771198394009495"/>
    <n v="2.1606295458278295E-2"/>
    <n v="0.39699839400949699"/>
    <n v="2.1606295458278295E-2"/>
    <n v="2.1606295458278295E-2"/>
  </r>
  <r>
    <x v="5"/>
    <x v="17"/>
    <n v="34.734366000000001"/>
    <n v="38.116223143436436"/>
    <n v="9.7363433765753321E-2"/>
    <n v="3.3818571434364344"/>
    <n v="9.7363433765753321E-2"/>
    <n v="9.7363433765753321E-2"/>
  </r>
  <r>
    <x v="6"/>
    <x v="17"/>
    <n v="8.0677000000000003"/>
    <n v="10.945557185093119"/>
    <n v="0.3567134604773502"/>
    <n v="2.8778571850931183"/>
    <n v="0.3567134604773502"/>
    <n v="0.3567134604773502"/>
  </r>
  <r>
    <x v="7"/>
    <x v="17"/>
    <n v="21.141928"/>
    <n v="13.280573358445075"/>
    <n v="-0.37183716837721353"/>
    <n v="7.8613546415549251"/>
    <n v="0.37183716837721353"/>
    <n v="0.37183716837721353"/>
  </r>
  <r>
    <x v="8"/>
    <x v="17"/>
    <n v="8.062989"/>
    <n v="10.45384404947416"/>
    <n v="0.29652217676027587"/>
    <n v="2.3908550494741601"/>
    <n v="0.29652217676027587"/>
    <n v="0.29652217676027587"/>
  </r>
  <r>
    <x v="9"/>
    <x v="17"/>
    <n v="48.503718999999997"/>
    <n v="22.263341908196857"/>
    <n v="-0.54099721903392894"/>
    <n v="26.24037709180314"/>
    <n v="0.54099721903392894"/>
    <n v="0.5409972190339289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  <n v="21.277018000000002"/>
    <n v="21.284630939194532"/>
    <n v="-3.5780104122345053E-4"/>
    <n v="7.6129391945300995E-3"/>
    <n v="3.5780104122345053E-4"/>
    <n v="3.5780104122345053E-4"/>
  </r>
  <r>
    <x v="0"/>
    <x v="1"/>
    <n v="21.277018000000002"/>
    <n v="21.308258463202069"/>
    <n v="-1.4682726311585253E-3"/>
    <n v="3.1240463202067303E-2"/>
    <n v="1.4682726311585253E-3"/>
    <n v="1.4682726311585253E-3"/>
  </r>
  <r>
    <x v="0"/>
    <x v="2"/>
    <n v="21.277018000000002"/>
    <n v="21.416500094389978"/>
    <n v="-6.5555283353135258E-3"/>
    <n v="0.13948209438997594"/>
    <n v="6.5555283353135258E-3"/>
    <n v="6.5555283353135258E-3"/>
  </r>
  <r>
    <x v="0"/>
    <x v="3"/>
    <n v="21.277018000000002"/>
    <n v="21.462817612527832"/>
    <n v="-8.7324084854292303E-3"/>
    <n v="0.1857996125278305"/>
    <n v="8.7324084854292303E-3"/>
    <n v="8.7324084854292303E-3"/>
  </r>
  <r>
    <x v="0"/>
    <x v="4"/>
    <n v="21.277018000000002"/>
    <n v="20.947657705362754"/>
    <n v="1.5479626639280342E-2"/>
    <n v="0.32936029463724736"/>
    <n v="1.5479626639280342E-2"/>
    <n v="1.5479626639280342E-2"/>
  </r>
  <r>
    <x v="0"/>
    <x v="5"/>
    <n v="21.277018000000002"/>
    <n v="21.648810108433786"/>
    <n v="-1.747388230971952E-2"/>
    <n v="0.37179210843378385"/>
    <n v="1.747388230971952E-2"/>
    <n v="1.747388230971952E-2"/>
  </r>
  <r>
    <x v="0"/>
    <x v="6"/>
    <n v="21.277018000000002"/>
    <n v="20.836194312924398"/>
    <n v="2.0718302117129547E-2"/>
    <n v="0.44082368707560349"/>
    <n v="2.0718302117129547E-2"/>
    <n v="2.0718302117129547E-2"/>
  </r>
  <r>
    <x v="0"/>
    <x v="7"/>
    <n v="21.277018000000002"/>
    <n v="21.798026466173305"/>
    <n v="-2.4486911942890811E-2"/>
    <n v="0.52100846617330276"/>
    <n v="2.4486911942890811E-2"/>
    <n v="2.4486911942890811E-2"/>
  </r>
  <r>
    <x v="0"/>
    <x v="8"/>
    <n v="21.277018000000002"/>
    <n v="21.953219134276075"/>
    <n v="-3.1780822588770359E-2"/>
    <n v="0.67620113427607365"/>
    <n v="3.1780822588770359E-2"/>
    <n v="3.1780822588770359E-2"/>
  </r>
  <r>
    <x v="0"/>
    <x v="9"/>
    <n v="21.277018000000002"/>
    <n v="21.972815933057415"/>
    <n v="-3.2701853852706866E-2"/>
    <n v="0.69579793305741333"/>
    <n v="3.2701853852706866E-2"/>
    <n v="3.2701853852706866E-2"/>
  </r>
  <r>
    <x v="0"/>
    <x v="10"/>
    <n v="21.277018000000002"/>
    <n v="20.307246480687379"/>
    <n v="4.5578356859623033E-2"/>
    <n v="0.96977151931262284"/>
    <n v="4.5578356859623033E-2"/>
    <n v="4.5578356859623033E-2"/>
  </r>
  <r>
    <x v="0"/>
    <x v="11"/>
    <n v="21.277018000000002"/>
    <n v="20.249323566858969"/>
    <n v="4.8300679782337576E-2"/>
    <n v="1.0276944331410327"/>
    <n v="4.8300679782337576E-2"/>
    <n v="4.8300679782337576E-2"/>
  </r>
  <r>
    <x v="0"/>
    <x v="12"/>
    <n v="21.277018000000002"/>
    <n v="20.228678627786405"/>
    <n v="4.9270972662315608E-2"/>
    <n v="1.0483393722135972"/>
    <n v="4.9270972662315608E-2"/>
    <n v="4.9270972662315608E-2"/>
  </r>
  <r>
    <x v="0"/>
    <x v="13"/>
    <n v="21.277018000000002"/>
    <n v="20.135083675376237"/>
    <n v="5.3669848125511059E-2"/>
    <n v="1.1419343246237652"/>
    <n v="5.3669848125511059E-2"/>
    <n v="5.3669848125511059E-2"/>
  </r>
  <r>
    <x v="0"/>
    <x v="14"/>
    <n v="21.277018000000002"/>
    <n v="19.781036171949193"/>
    <n v="7.0309750551078576E-2"/>
    <n v="1.4959818280508088"/>
    <n v="7.0309750551078576E-2"/>
    <n v="7.0309750551078576E-2"/>
  </r>
  <r>
    <x v="0"/>
    <x v="15"/>
    <n v="21.277018000000002"/>
    <n v="22.868189014867525"/>
    <n v="-7.4783553544369955E-2"/>
    <n v="1.5911710148675233"/>
    <n v="7.4783553544369955E-2"/>
    <n v="7.4783553544369955E-2"/>
  </r>
  <r>
    <x v="0"/>
    <x v="16"/>
    <n v="21.277018000000002"/>
    <n v="19.6735962580048"/>
    <n v="7.5359326292584891E-2"/>
    <n v="1.6034217419952022"/>
    <n v="7.5359326292584891E-2"/>
    <n v="7.5359326292584891E-2"/>
  </r>
  <r>
    <x v="0"/>
    <x v="17"/>
    <n v="21.277018000000002"/>
    <n v="19.488342421300182"/>
    <n v="8.4066083823391979E-2"/>
    <n v="1.7886755786998201"/>
    <n v="8.4066083823391979E-2"/>
    <n v="8.4066083823391979E-2"/>
  </r>
  <r>
    <x v="0"/>
    <x v="18"/>
    <n v="21.277018000000002"/>
    <n v="18.725046900963523"/>
    <n v="0.11994026132028832"/>
    <n v="2.5519710990364786"/>
    <n v="0.11994026132028832"/>
    <n v="0.11994026132028832"/>
  </r>
  <r>
    <x v="0"/>
    <x v="19"/>
    <n v="21.277018000000002"/>
    <n v="24.51093291449564"/>
    <n v="-0.15199098456821528"/>
    <n v="3.2339149144956387"/>
    <n v="0.15199098456821528"/>
    <n v="0.15199098456821528"/>
  </r>
  <r>
    <x v="1"/>
    <x v="19"/>
    <n v="94.719412000000005"/>
    <n v="64.985448868838859"/>
    <n v="0.31391625542566864"/>
    <n v="29.733963131161147"/>
    <n v="0.31391625542566864"/>
    <n v="0.31391625542566864"/>
  </r>
  <r>
    <x v="1"/>
    <x v="9"/>
    <n v="94.719412000000005"/>
    <n v="62.666041907108145"/>
    <n v="0.3384033897179583"/>
    <n v="32.053370092891861"/>
    <n v="0.3384033897179583"/>
    <n v="0.3384033897179583"/>
  </r>
  <r>
    <x v="1"/>
    <x v="6"/>
    <n v="94.719412000000005"/>
    <n v="62.631890807435816"/>
    <n v="0.33876393988345482"/>
    <n v="32.087521192564189"/>
    <n v="0.33876393988345482"/>
    <n v="0.33876393988345482"/>
  </r>
  <r>
    <x v="1"/>
    <x v="8"/>
    <n v="94.719412000000005"/>
    <n v="61.881436257900447"/>
    <n v="0.34668686226746803"/>
    <n v="32.837975742099559"/>
    <n v="0.34668686226746803"/>
    <n v="0.34668686226746803"/>
  </r>
  <r>
    <x v="1"/>
    <x v="4"/>
    <n v="94.719412000000005"/>
    <n v="61.660271793197559"/>
    <n v="0.349021805654816"/>
    <n v="33.059140206802446"/>
    <n v="0.349021805654816"/>
    <n v="0.349021805654816"/>
  </r>
  <r>
    <x v="1"/>
    <x v="17"/>
    <n v="94.719412000000005"/>
    <n v="61.347111819736213"/>
    <n v="0.35232799143921828"/>
    <n v="33.372300180263792"/>
    <n v="0.35232799143921828"/>
    <n v="0.35232799143921828"/>
  </r>
  <r>
    <x v="1"/>
    <x v="10"/>
    <n v="94.719412000000005"/>
    <n v="61.337378104972409"/>
    <n v="0.35243075511308702"/>
    <n v="33.382033895027597"/>
    <n v="0.35243075511308702"/>
    <n v="0.35243075511308702"/>
  </r>
  <r>
    <x v="1"/>
    <x v="2"/>
    <n v="94.719412000000005"/>
    <n v="61.259483377067269"/>
    <n v="0.35325312854489355"/>
    <n v="33.459928622932736"/>
    <n v="0.35325312854489355"/>
    <n v="0.35325312854489355"/>
  </r>
  <r>
    <x v="1"/>
    <x v="0"/>
    <n v="94.719412000000005"/>
    <n v="60.606406401386693"/>
    <n v="0.36014798739051834"/>
    <n v="34.113005598613313"/>
    <n v="0.36014798739051834"/>
    <n v="0.36014798739051834"/>
  </r>
  <r>
    <x v="1"/>
    <x v="16"/>
    <n v="94.719412000000005"/>
    <n v="60.527862182407326"/>
    <n v="0.36097721782302322"/>
    <n v="34.19154981759268"/>
    <n v="0.36097721782302322"/>
    <n v="0.36097721782302322"/>
  </r>
  <r>
    <x v="1"/>
    <x v="18"/>
    <n v="94.719412000000005"/>
    <n v="60.491939619770122"/>
    <n v="0.36135647020517697"/>
    <n v="34.227472380229884"/>
    <n v="0.36135647020517697"/>
    <n v="0.36135647020517697"/>
  </r>
  <r>
    <x v="1"/>
    <x v="14"/>
    <n v="94.719412000000005"/>
    <n v="60.2568191406273"/>
    <n v="0.36383875418665712"/>
    <n v="34.462592859372705"/>
    <n v="0.36383875418665712"/>
    <n v="0.36383875418665712"/>
  </r>
  <r>
    <x v="1"/>
    <x v="7"/>
    <n v="94.719412000000005"/>
    <n v="60.194299724999993"/>
    <n v="0.36449880279028768"/>
    <n v="34.525112275000012"/>
    <n v="0.36449880279028768"/>
    <n v="0.36449880279028768"/>
  </r>
  <r>
    <x v="1"/>
    <x v="13"/>
    <n v="94.719412000000005"/>
    <n v="60.030217583173417"/>
    <n v="0.36623109966969164"/>
    <n v="34.689194416826588"/>
    <n v="0.36623109966969164"/>
    <n v="0.36623109966969164"/>
  </r>
  <r>
    <x v="1"/>
    <x v="3"/>
    <n v="94.719412000000005"/>
    <n v="59.246836670416002"/>
    <n v="0.37450164206661252"/>
    <n v="35.472575329584004"/>
    <n v="0.37450164206661252"/>
    <n v="0.37450164206661252"/>
  </r>
  <r>
    <x v="1"/>
    <x v="1"/>
    <n v="94.719412000000005"/>
    <n v="59.192701578188306"/>
    <n v="0.37507317319296385"/>
    <n v="35.5267104218117"/>
    <n v="0.37507317319296385"/>
    <n v="0.37507317319296385"/>
  </r>
  <r>
    <x v="1"/>
    <x v="11"/>
    <n v="94.719412000000005"/>
    <n v="57.998465630825841"/>
    <n v="0.38768131678408396"/>
    <n v="36.720946369174165"/>
    <n v="0.38768131678408396"/>
    <n v="0.38768131678408396"/>
  </r>
  <r>
    <x v="1"/>
    <x v="12"/>
    <n v="94.719412000000005"/>
    <n v="57.907012360497028"/>
    <n v="0.38864683450001752"/>
    <n v="36.812399639502978"/>
    <n v="0.38864683450001752"/>
    <n v="0.38864683450001752"/>
  </r>
  <r>
    <x v="1"/>
    <x v="5"/>
    <n v="94.719412000000005"/>
    <n v="54.84160313942899"/>
    <n v="0.42100988613158846"/>
    <n v="39.877808860571015"/>
    <n v="0.42100988613158846"/>
    <n v="0.42100988613158846"/>
  </r>
  <r>
    <x v="1"/>
    <x v="15"/>
    <n v="94.719412000000005"/>
    <n v="51.459077628247272"/>
    <n v="0.45672089235259117"/>
    <n v="43.260334371752734"/>
    <n v="0.45672089235259117"/>
    <n v="0.45672089235259117"/>
  </r>
  <r>
    <x v="2"/>
    <x v="13"/>
    <n v="37.173864700000003"/>
    <n v="37.025320406947273"/>
    <n v="3.9959335477091212E-3"/>
    <n v="0.14854429305272987"/>
    <n v="3.9959335477091212E-3"/>
    <n v="3.9959335477091212E-3"/>
  </r>
  <r>
    <x v="2"/>
    <x v="5"/>
    <n v="37.173864700000003"/>
    <n v="36.512067026190721"/>
    <n v="1.7802767593579853E-2"/>
    <n v="0.66179767380928212"/>
    <n v="1.7802767593579853E-2"/>
    <n v="1.7802767593579853E-2"/>
  </r>
  <r>
    <x v="2"/>
    <x v="14"/>
    <n v="37.173864700000003"/>
    <n v="38.14486749413603"/>
    <n v="-2.6120576969120634E-2"/>
    <n v="0.97100279413602664"/>
    <n v="2.6120576969120634E-2"/>
    <n v="2.6120576969120634E-2"/>
  </r>
  <r>
    <x v="2"/>
    <x v="18"/>
    <n v="37.173864700000003"/>
    <n v="33.38549315213195"/>
    <n v="0.10190954258969077"/>
    <n v="3.7883715478680529"/>
    <n v="0.10190954258969077"/>
    <n v="0.10190954258969077"/>
  </r>
  <r>
    <x v="2"/>
    <x v="1"/>
    <n v="37.173864700000003"/>
    <n v="33.152261928707304"/>
    <n v="0.1081836070515611"/>
    <n v="4.0216027712926987"/>
    <n v="0.1081836070515611"/>
    <n v="0.1081836070515611"/>
  </r>
  <r>
    <x v="2"/>
    <x v="16"/>
    <n v="37.173864700000003"/>
    <n v="32.769126460526024"/>
    <n v="0.11849018860484468"/>
    <n v="4.4047382394739785"/>
    <n v="0.11849018860484468"/>
    <n v="0.11849018860484468"/>
  </r>
  <r>
    <x v="2"/>
    <x v="10"/>
    <n v="37.173864700000003"/>
    <n v="31.64869893662301"/>
    <n v="0.14863038341496393"/>
    <n v="5.5251657633769931"/>
    <n v="0.14863038341496393"/>
    <n v="0.14863038341496393"/>
  </r>
  <r>
    <x v="2"/>
    <x v="15"/>
    <n v="37.173864700000003"/>
    <n v="30.418099934180848"/>
    <n v="0.18173425927972334"/>
    <n v="6.7557647658191549"/>
    <n v="0.18173425927972334"/>
    <n v="0.18173425927972334"/>
  </r>
  <r>
    <x v="2"/>
    <x v="19"/>
    <n v="37.173864700000003"/>
    <n v="30.362922731209636"/>
    <n v="0.18321856023730473"/>
    <n v="6.8109419687903667"/>
    <n v="0.18321856023730473"/>
    <n v="0.18321856023730473"/>
  </r>
  <r>
    <x v="2"/>
    <x v="9"/>
    <n v="37.173864700000003"/>
    <n v="30.150108758102586"/>
    <n v="0.1889433880114546"/>
    <n v="7.0237559418974165"/>
    <n v="0.1889433880114546"/>
    <n v="0.1889433880114546"/>
  </r>
  <r>
    <x v="2"/>
    <x v="2"/>
    <n v="37.173864700000003"/>
    <n v="29.954664595899633"/>
    <n v="0.19420095710684526"/>
    <n v="7.2192001041003699"/>
    <n v="0.19420095710684526"/>
    <n v="0.19420095710684526"/>
  </r>
  <r>
    <x v="2"/>
    <x v="6"/>
    <n v="37.173864700000003"/>
    <n v="29.802990893179171"/>
    <n v="0.19828107371415787"/>
    <n v="7.3708738068208319"/>
    <n v="0.19828107371415787"/>
    <n v="0.19828107371415787"/>
  </r>
  <r>
    <x v="2"/>
    <x v="12"/>
    <n v="37.173864700000003"/>
    <n v="29.659590945462401"/>
    <n v="0.20213862118397394"/>
    <n v="7.5142737545376015"/>
    <n v="0.20213862118397394"/>
    <n v="0.20213862118397394"/>
  </r>
  <r>
    <x v="2"/>
    <x v="11"/>
    <n v="37.173864700000003"/>
    <n v="29.643294491728913"/>
    <n v="0.2025770058895999"/>
    <n v="7.5305702082710901"/>
    <n v="0.2025770058895999"/>
    <n v="0.2025770058895999"/>
  </r>
  <r>
    <x v="2"/>
    <x v="8"/>
    <n v="37.173864700000003"/>
    <n v="29.011372532147501"/>
    <n v="0.21957609825411833"/>
    <n v="8.162492167852502"/>
    <n v="0.21957609825411833"/>
    <n v="0.21957609825411833"/>
  </r>
  <r>
    <x v="2"/>
    <x v="7"/>
    <n v="37.173864700000003"/>
    <n v="28.663607701069164"/>
    <n v="0.22893118774736482"/>
    <n v="8.5102569989308385"/>
    <n v="0.22893118774736482"/>
    <n v="0.22893118774736482"/>
  </r>
  <r>
    <x v="2"/>
    <x v="17"/>
    <n v="37.173864700000003"/>
    <n v="28.417972211734916"/>
    <n v="0.23553893465010339"/>
    <n v="8.7558924882650864"/>
    <n v="0.23553893465010339"/>
    <n v="0.23553893465010339"/>
  </r>
  <r>
    <x v="2"/>
    <x v="4"/>
    <n v="37.173864700000003"/>
    <n v="28.30206796052699"/>
    <n v="0.23865683084258418"/>
    <n v="8.8717967394730124"/>
    <n v="0.23865683084258418"/>
    <n v="0.23865683084258418"/>
  </r>
  <r>
    <x v="2"/>
    <x v="0"/>
    <n v="37.173864700000003"/>
    <n v="26.425439874338529"/>
    <n v="0.28913928945519274"/>
    <n v="10.748424825661473"/>
    <n v="0.28913928945519274"/>
    <n v="0.28913928945519274"/>
  </r>
  <r>
    <x v="2"/>
    <x v="3"/>
    <n v="37.173864700000003"/>
    <n v="25.675099673744072"/>
    <n v="0.30932390589606712"/>
    <n v="11.498765026255931"/>
    <n v="0.30932390589606712"/>
    <n v="0.30932390589606712"/>
  </r>
  <r>
    <x v="3"/>
    <x v="14"/>
    <n v="35.092568"/>
    <n v="41.215987799922239"/>
    <n v="-0.17449335141053909"/>
    <n v="6.1234197999222388"/>
    <n v="0.17449335141053909"/>
    <n v="0.17449335141053909"/>
  </r>
  <r>
    <x v="3"/>
    <x v="13"/>
    <n v="35.092568"/>
    <n v="43.617108046486187"/>
    <n v="-0.24291582327306988"/>
    <n v="8.5245400464861874"/>
    <n v="0.24291582327306988"/>
    <n v="0.24291582327306988"/>
  </r>
  <r>
    <x v="3"/>
    <x v="5"/>
    <n v="35.092568"/>
    <n v="44.366734298406996"/>
    <n v="-0.26427721956418226"/>
    <n v="9.2741662984069961"/>
    <n v="0.26427721956418226"/>
    <n v="0.26427721956418226"/>
  </r>
  <r>
    <x v="3"/>
    <x v="10"/>
    <n v="35.092568"/>
    <n v="44.417575435961993"/>
    <n v="-0.26572599178156447"/>
    <n v="9.325007435961993"/>
    <n v="0.26572599178156447"/>
    <n v="0.26572599178156447"/>
  </r>
  <r>
    <x v="3"/>
    <x v="12"/>
    <n v="35.092568"/>
    <n v="50.72113567749993"/>
    <n v="-0.4453526364186266"/>
    <n v="15.62856767749993"/>
    <n v="0.4453526364186266"/>
    <n v="0.4453526364186266"/>
  </r>
  <r>
    <x v="3"/>
    <x v="11"/>
    <n v="35.092568"/>
    <n v="51.136955960692745"/>
    <n v="-0.45720187706675514"/>
    <n v="16.044387960692745"/>
    <n v="0.45720187706675514"/>
    <n v="0.45720187706675514"/>
  </r>
  <r>
    <x v="3"/>
    <x v="3"/>
    <n v="35.092568"/>
    <n v="53.917568307477325"/>
    <n v="-0.53643837941632899"/>
    <n v="18.825000307477325"/>
    <n v="0.53643837941632899"/>
    <n v="0.53643837941632899"/>
  </r>
  <r>
    <x v="3"/>
    <x v="18"/>
    <n v="35.092568"/>
    <n v="54.098350244393423"/>
    <n v="-0.54158995273282429"/>
    <n v="19.005782244393423"/>
    <n v="0.54158995273282429"/>
    <n v="0.54158995273282429"/>
  </r>
  <r>
    <x v="3"/>
    <x v="4"/>
    <n v="35.092568"/>
    <n v="54.11354877838297"/>
    <n v="-0.54202305110252891"/>
    <n v="19.02098077838297"/>
    <n v="0.54202305110252891"/>
    <n v="0.54202305110252891"/>
  </r>
  <r>
    <x v="3"/>
    <x v="1"/>
    <n v="35.092568"/>
    <n v="54.547565175428282"/>
    <n v="-0.55439080934254459"/>
    <n v="19.454997175428282"/>
    <n v="0.55439080934254459"/>
    <n v="0.55439080934254459"/>
  </r>
  <r>
    <x v="3"/>
    <x v="16"/>
    <n v="35.092568"/>
    <n v="55.641863867913216"/>
    <n v="-0.58557401293382738"/>
    <n v="20.549295867913216"/>
    <n v="0.58557401293382738"/>
    <n v="0.58557401293382738"/>
  </r>
  <r>
    <x v="3"/>
    <x v="7"/>
    <n v="35.092568"/>
    <n v="55.8173344576565"/>
    <n v="-0.59057423377099394"/>
    <n v="20.7247664576565"/>
    <n v="0.59057423377099394"/>
    <n v="0.59057423377099394"/>
  </r>
  <r>
    <x v="3"/>
    <x v="8"/>
    <n v="35.092568"/>
    <n v="55.945841893539011"/>
    <n v="-0.5942361896552858"/>
    <n v="20.853273893539011"/>
    <n v="0.5942361896552858"/>
    <n v="0.5942361896552858"/>
  </r>
  <r>
    <x v="3"/>
    <x v="17"/>
    <n v="35.092568"/>
    <n v="56.215512795184196"/>
    <n v="-0.60192074843836441"/>
    <n v="21.122944795184196"/>
    <n v="0.60192074843836441"/>
    <n v="0.60192074843836441"/>
  </r>
  <r>
    <x v="3"/>
    <x v="0"/>
    <n v="35.092568"/>
    <n v="56.669673329098309"/>
    <n v="-0.6148625352552799"/>
    <n v="21.577105329098309"/>
    <n v="0.6148625352552799"/>
    <n v="0.6148625352552799"/>
  </r>
  <r>
    <x v="3"/>
    <x v="6"/>
    <n v="35.092568"/>
    <n v="57.268286737007749"/>
    <n v="-0.63192066015253567"/>
    <n v="22.175718737007749"/>
    <n v="0.63192066015253567"/>
    <n v="0.63192066015253567"/>
  </r>
  <r>
    <x v="3"/>
    <x v="9"/>
    <n v="35.092568"/>
    <n v="58.1795247474167"/>
    <n v="-0.65788735516354058"/>
    <n v="23.0869567474167"/>
    <n v="0.65788735516354058"/>
    <n v="0.65788735516354058"/>
  </r>
  <r>
    <x v="3"/>
    <x v="2"/>
    <n v="35.092568"/>
    <n v="58.203990066613606"/>
    <n v="-0.65858452042077986"/>
    <n v="23.111422066613606"/>
    <n v="0.65858452042077986"/>
    <n v="0.65858452042077986"/>
  </r>
  <r>
    <x v="3"/>
    <x v="19"/>
    <n v="35.092568"/>
    <n v="58.840021322977528"/>
    <n v="-0.67670890665446681"/>
    <n v="23.747453322977528"/>
    <n v="0.67670890665446681"/>
    <n v="0.67670890665446681"/>
  </r>
  <r>
    <x v="3"/>
    <x v="15"/>
    <n v="35.092568"/>
    <n v="62.370619493255525"/>
    <n v="-0.77731705166904641"/>
    <n v="27.278051493255525"/>
    <n v="0.77731705166904641"/>
    <n v="0.77731705166904641"/>
  </r>
  <r>
    <x v="4"/>
    <x v="1"/>
    <n v="18.374199999999998"/>
    <n v="18.387836863435755"/>
    <n v="-7.4217454015721243E-4"/>
    <n v="1.3636863435756652E-2"/>
    <n v="7.4217454015721243E-4"/>
    <n v="7.4217454015721243E-4"/>
  </r>
  <r>
    <x v="4"/>
    <x v="11"/>
    <n v="18.374199999999998"/>
    <n v="18.204216120405619"/>
    <n v="9.2512261537579746E-3"/>
    <n v="0.16998387959437977"/>
    <n v="9.2512261537579746E-3"/>
    <n v="9.2512261537579746E-3"/>
  </r>
  <r>
    <x v="4"/>
    <x v="6"/>
    <n v="18.374199999999998"/>
    <n v="18.590530009977194"/>
    <n v="-1.1773574358458884E-2"/>
    <n v="0.2163300099771952"/>
    <n v="1.1773574358458884E-2"/>
    <n v="1.1773574358458884E-2"/>
  </r>
  <r>
    <x v="4"/>
    <x v="0"/>
    <n v="18.374199999999998"/>
    <n v="18.771198394009495"/>
    <n v="-2.1606295458278295E-2"/>
    <n v="0.39699839400949699"/>
    <n v="2.1606295458278295E-2"/>
    <n v="2.1606295458278295E-2"/>
  </r>
  <r>
    <x v="4"/>
    <x v="5"/>
    <n v="18.374199999999998"/>
    <n v="17.68709105409166"/>
    <n v="3.7395312226292228E-2"/>
    <n v="0.6871089459083386"/>
    <n v="3.7395312226292228E-2"/>
    <n v="3.7395312226292228E-2"/>
  </r>
  <r>
    <x v="4"/>
    <x v="12"/>
    <n v="18.374199999999998"/>
    <n v="17.370357712120931"/>
    <n v="5.4633251400282301E-2"/>
    <n v="1.0038422878790669"/>
    <n v="5.4633251400282301E-2"/>
    <n v="5.4633251400282301E-2"/>
  </r>
  <r>
    <x v="4"/>
    <x v="16"/>
    <n v="18.374199999999998"/>
    <n v="16.35393615286997"/>
    <n v="0.10995111880408553"/>
    <n v="2.0202638471300283"/>
    <n v="0.10995111880408553"/>
    <n v="0.10995111880408553"/>
  </r>
  <r>
    <x v="4"/>
    <x v="4"/>
    <n v="18.374199999999998"/>
    <n v="20.598819194375913"/>
    <n v="-0.12107298246323188"/>
    <n v="2.224619194375915"/>
    <n v="0.12107298246323188"/>
    <n v="0.12107298246323188"/>
  </r>
  <r>
    <x v="4"/>
    <x v="2"/>
    <n v="18.374199999999998"/>
    <n v="20.665294036961946"/>
    <n v="-0.12469081848254333"/>
    <n v="2.2910940369619475"/>
    <n v="0.12469081848254333"/>
    <n v="0.12469081848254333"/>
  </r>
  <r>
    <x v="4"/>
    <x v="3"/>
    <n v="18.374199999999998"/>
    <n v="20.835437450030692"/>
    <n v="-0.13395072710815678"/>
    <n v="2.4612374500306942"/>
    <n v="0.13395072710815678"/>
    <n v="0.13395072710815678"/>
  </r>
  <r>
    <x v="4"/>
    <x v="13"/>
    <n v="18.374199999999998"/>
    <n v="14.924218561216261"/>
    <n v="0.18776226659031348"/>
    <n v="3.4499814387837375"/>
    <n v="0.18776226659031348"/>
    <n v="0.18776226659031348"/>
  </r>
  <r>
    <x v="4"/>
    <x v="17"/>
    <n v="18.374199999999998"/>
    <n v="14.704413338510747"/>
    <n v="0.19972497640655112"/>
    <n v="3.6697866614892511"/>
    <n v="0.19972497640655112"/>
    <n v="0.19972497640655112"/>
  </r>
  <r>
    <x v="4"/>
    <x v="18"/>
    <n v="18.374199999999998"/>
    <n v="14.241954851337699"/>
    <n v="0.2248938810213397"/>
    <n v="4.1322451486622995"/>
    <n v="0.2248938810213397"/>
    <n v="0.2248938810213397"/>
  </r>
  <r>
    <x v="4"/>
    <x v="9"/>
    <n v="18.374199999999998"/>
    <n v="22.95073137939012"/>
    <n v="-0.24907377624006066"/>
    <n v="4.5765313793901221"/>
    <n v="0.24907377624006066"/>
    <n v="0.24907377624006066"/>
  </r>
  <r>
    <x v="4"/>
    <x v="14"/>
    <n v="18.374199999999998"/>
    <n v="13.757837522328424"/>
    <n v="0.25124154943734012"/>
    <n v="4.6163624776715739"/>
    <n v="0.25124154943734012"/>
    <n v="0.25124154943734012"/>
  </r>
  <r>
    <x v="4"/>
    <x v="7"/>
    <n v="18.374199999999998"/>
    <n v="23.233066381128513"/>
    <n v="-0.26443961539160971"/>
    <n v="4.8588663811285144"/>
    <n v="0.26443961539160971"/>
    <n v="0.26443961539160971"/>
  </r>
  <r>
    <x v="4"/>
    <x v="10"/>
    <n v="18.374199999999998"/>
    <n v="13.042502865513137"/>
    <n v="0.29017302165464953"/>
    <n v="5.3316971344868609"/>
    <n v="0.29017302165464953"/>
    <n v="0.29017302165464953"/>
  </r>
  <r>
    <x v="4"/>
    <x v="19"/>
    <n v="18.374199999999998"/>
    <n v="24.237139408075151"/>
    <n v="-0.31908542456679223"/>
    <n v="5.8629394080751531"/>
    <n v="0.31908542456679223"/>
    <n v="0.31908542456679223"/>
  </r>
  <r>
    <x v="4"/>
    <x v="8"/>
    <n v="18.374199999999998"/>
    <n v="25.206170604311836"/>
    <n v="-0.37182411230485346"/>
    <n v="6.831970604311838"/>
    <n v="0.37182411230485346"/>
    <n v="0.37182411230485346"/>
  </r>
  <r>
    <x v="4"/>
    <x v="15"/>
    <n v="18.374199999999998"/>
    <n v="34.801347216887471"/>
    <n v="-0.89403333026131615"/>
    <n v="16.427147216887473"/>
    <n v="0.89403333026131615"/>
    <n v="0.89403333026131615"/>
  </r>
  <r>
    <x v="5"/>
    <x v="6"/>
    <n v="34.734366000000001"/>
    <n v="35.254421504759435"/>
    <n v="-1.4972362091176026E-2"/>
    <n v="0.52005550475943352"/>
    <n v="1.4972362091176026E-2"/>
    <n v="1.4972362091176026E-2"/>
  </r>
  <r>
    <x v="5"/>
    <x v="9"/>
    <n v="34.734366000000001"/>
    <n v="34.068941523612814"/>
    <n v="1.9157524751918238E-2"/>
    <n v="0.66542447638718727"/>
    <n v="1.9157524751918238E-2"/>
    <n v="1.9157524751918238E-2"/>
  </r>
  <r>
    <x v="5"/>
    <x v="16"/>
    <n v="34.734366000000001"/>
    <n v="35.438335019491042"/>
    <n v="-2.0267219487784534E-2"/>
    <n v="0.70396901949104063"/>
    <n v="2.0267219487784534E-2"/>
    <n v="2.0267219487784534E-2"/>
  </r>
  <r>
    <x v="5"/>
    <x v="17"/>
    <n v="34.734366000000001"/>
    <n v="35.443618879439519"/>
    <n v="-2.0419341451043554E-2"/>
    <n v="0.70925287943951787"/>
    <n v="2.0419341451043554E-2"/>
    <n v="2.0419341451043554E-2"/>
  </r>
  <r>
    <x v="5"/>
    <x v="18"/>
    <n v="34.734366000000001"/>
    <n v="32.886608029483064"/>
    <n v="5.3196824450946867E-2"/>
    <n v="1.8477579705169376"/>
    <n v="5.3196824450946867E-2"/>
    <n v="5.3196824450946867E-2"/>
  </r>
  <r>
    <x v="5"/>
    <x v="12"/>
    <n v="34.734366000000001"/>
    <n v="36.796677504355216"/>
    <n v="-5.9373805883061598E-2"/>
    <n v="2.0623115043552147"/>
    <n v="5.9373805883061598E-2"/>
    <n v="5.9373805883061598E-2"/>
  </r>
  <r>
    <x v="5"/>
    <x v="11"/>
    <n v="34.734366000000001"/>
    <n v="37.477384335706397"/>
    <n v="-7.8971308579704469E-2"/>
    <n v="2.7430183357063953"/>
    <n v="7.8971308579704469E-2"/>
    <n v="7.8971308579704469E-2"/>
  </r>
  <r>
    <x v="5"/>
    <x v="5"/>
    <n v="34.734366000000001"/>
    <n v="38.090271927381053"/>
    <n v="-9.6616300046502984E-2"/>
    <n v="3.3559059273810519"/>
    <n v="9.6616300046502984E-2"/>
    <n v="9.6616300046502984E-2"/>
  </r>
  <r>
    <x v="5"/>
    <x v="0"/>
    <n v="34.734366000000001"/>
    <n v="38.116223143436436"/>
    <n v="-9.7363433765753321E-2"/>
    <n v="3.3818571434364344"/>
    <n v="9.7363433765753321E-2"/>
    <n v="9.7363433765753321E-2"/>
  </r>
  <r>
    <x v="5"/>
    <x v="2"/>
    <n v="34.734366000000001"/>
    <n v="38.253089993443666"/>
    <n v="-0.10130382093180179"/>
    <n v="3.5187239934436647"/>
    <n v="0.10130382093180179"/>
    <n v="0.10130382093180179"/>
  </r>
  <r>
    <x v="5"/>
    <x v="8"/>
    <n v="34.734366000000001"/>
    <n v="39.061757525869794"/>
    <n v="-0.12458530338137717"/>
    <n v="4.3273915258697926"/>
    <n v="0.12458530338137717"/>
    <n v="0.12458530338137717"/>
  </r>
  <r>
    <x v="5"/>
    <x v="10"/>
    <n v="34.734366000000001"/>
    <n v="39.388190737086752"/>
    <n v="-0.13398329300401657"/>
    <n v="4.6538247370867509"/>
    <n v="0.13398329300401657"/>
    <n v="0.13398329300401657"/>
  </r>
  <r>
    <x v="5"/>
    <x v="14"/>
    <n v="34.734366000000001"/>
    <n v="39.525040146294472"/>
    <n v="-0.13792317805065077"/>
    <n v="4.7906741462944709"/>
    <n v="0.13792317805065077"/>
    <n v="0.13792317805065077"/>
  </r>
  <r>
    <x v="5"/>
    <x v="4"/>
    <n v="34.734366000000001"/>
    <n v="40.063491482431573"/>
    <n v="-0.15342515485762923"/>
    <n v="5.3291254824315715"/>
    <n v="0.15342515485762923"/>
    <n v="0.15342515485762923"/>
  </r>
  <r>
    <x v="5"/>
    <x v="1"/>
    <n v="34.734366000000001"/>
    <n v="29.256552735383011"/>
    <n v="0.1577058658452839"/>
    <n v="5.4778132646169908"/>
    <n v="0.1577058658452839"/>
    <n v="0.1577058658452839"/>
  </r>
  <r>
    <x v="5"/>
    <x v="13"/>
    <n v="34.734366000000001"/>
    <n v="40.79225359780434"/>
    <n v="-0.17440616586479046"/>
    <n v="6.0578875978043385"/>
    <n v="0.17440616586479046"/>
    <n v="0.17440616586479046"/>
  </r>
  <r>
    <x v="5"/>
    <x v="19"/>
    <n v="34.734366000000001"/>
    <n v="41.11377020867932"/>
    <n v="-0.18366260690289607"/>
    <n v="6.3794042086793183"/>
    <n v="0.18366260690289607"/>
    <n v="0.18366260690289607"/>
  </r>
  <r>
    <x v="5"/>
    <x v="3"/>
    <n v="34.734366000000001"/>
    <n v="42.84532254073752"/>
    <n v="-0.23351387904237314"/>
    <n v="8.1109565407375186"/>
    <n v="0.23351387904237314"/>
    <n v="0.23351387904237314"/>
  </r>
  <r>
    <x v="5"/>
    <x v="7"/>
    <n v="34.734366000000001"/>
    <n v="43.448852457664437"/>
    <n v="-0.25088946369899007"/>
    <n v="8.7144864576644352"/>
    <n v="0.25088946369899007"/>
    <n v="0.25088946369899007"/>
  </r>
  <r>
    <x v="5"/>
    <x v="15"/>
    <n v="34.734366000000001"/>
    <n v="73.442242595124824"/>
    <n v="-1.1143970958077893"/>
    <n v="38.707876595124823"/>
    <n v="1.1143970958077893"/>
    <n v="1.1143970958077893"/>
  </r>
  <r>
    <x v="6"/>
    <x v="14"/>
    <n v="8.0677000000000003"/>
    <n v="9.444729015082288"/>
    <n v="-0.17068421174340737"/>
    <n v="1.3770290150822877"/>
    <n v="0.17068421174340737"/>
    <n v="0.17068421174340737"/>
  </r>
  <r>
    <x v="6"/>
    <x v="18"/>
    <n v="8.0677000000000003"/>
    <n v="9.6911925167809603"/>
    <n v="-0.20123362504567099"/>
    <n v="1.62349251678096"/>
    <n v="0.20123362504567099"/>
    <n v="0.20123362504567099"/>
  </r>
  <r>
    <x v="6"/>
    <x v="10"/>
    <n v="8.0677000000000003"/>
    <n v="9.9584375514845451"/>
    <n v="-0.23435893147793604"/>
    <n v="1.8907375514845448"/>
    <n v="0.23435893147793604"/>
    <n v="0.23435893147793604"/>
  </r>
  <r>
    <x v="6"/>
    <x v="13"/>
    <n v="8.0677000000000003"/>
    <n v="10.079577910901664"/>
    <n v="-0.24937440793555332"/>
    <n v="2.0118779109016636"/>
    <n v="0.24937440793555332"/>
    <n v="0.24937440793555332"/>
  </r>
  <r>
    <x v="6"/>
    <x v="17"/>
    <n v="8.0677000000000003"/>
    <n v="10.209048917359882"/>
    <n v="-0.26542247695872195"/>
    <n v="2.1413489173598812"/>
    <n v="0.26542247695872195"/>
    <n v="0.26542247695872195"/>
  </r>
  <r>
    <x v="6"/>
    <x v="5"/>
    <n v="8.0677000000000003"/>
    <n v="10.286580458339683"/>
    <n v="-0.27503259396602292"/>
    <n v="2.2188804583396831"/>
    <n v="0.27503259396602292"/>
    <n v="0.27503259396602292"/>
  </r>
  <r>
    <x v="6"/>
    <x v="1"/>
    <n v="8.0677000000000003"/>
    <n v="10.414654411621454"/>
    <n v="-0.29090749676133887"/>
    <n v="2.3469544116214536"/>
    <n v="0.29090749676133887"/>
    <n v="0.29090749676133887"/>
  </r>
  <r>
    <x v="6"/>
    <x v="6"/>
    <n v="8.0677000000000003"/>
    <n v="10.599916261114934"/>
    <n v="-0.31387090014687385"/>
    <n v="2.5322162611149341"/>
    <n v="0.31387090014687385"/>
    <n v="0.31387090014687385"/>
  </r>
  <r>
    <x v="6"/>
    <x v="16"/>
    <n v="8.0677000000000003"/>
    <n v="10.695498647792592"/>
    <n v="-0.32571843868668782"/>
    <n v="2.6277986477925914"/>
    <n v="0.32571843868668782"/>
    <n v="0.32571843868668782"/>
  </r>
  <r>
    <x v="6"/>
    <x v="12"/>
    <n v="8.0677000000000003"/>
    <n v="10.727781282211856"/>
    <n v="-0.32971990557554887"/>
    <n v="2.6600812822118556"/>
    <n v="0.32971990557554887"/>
    <n v="0.32971990557554887"/>
  </r>
  <r>
    <x v="6"/>
    <x v="0"/>
    <n v="8.0677000000000003"/>
    <n v="10.945557185093119"/>
    <n v="-0.3567134604773502"/>
    <n v="2.8778571850931183"/>
    <n v="0.3567134604773502"/>
    <n v="0.3567134604773502"/>
  </r>
  <r>
    <x v="6"/>
    <x v="11"/>
    <n v="8.0677000000000003"/>
    <n v="10.973673774982229"/>
    <n v="-0.36019854171352789"/>
    <n v="2.905973774982229"/>
    <n v="0.36019854171352789"/>
    <n v="0.36019854171352789"/>
  </r>
  <r>
    <x v="6"/>
    <x v="2"/>
    <n v="8.0677000000000003"/>
    <n v="11.624060724052516"/>
    <n v="-0.44081469614047564"/>
    <n v="3.5563607240525155"/>
    <n v="0.44081469614047564"/>
    <n v="0.44081469614047564"/>
  </r>
  <r>
    <x v="6"/>
    <x v="9"/>
    <n v="8.0677000000000003"/>
    <n v="11.892416390567629"/>
    <n v="-0.47407766656762501"/>
    <n v="3.8247163905676285"/>
    <n v="0.47407766656762501"/>
    <n v="0.47407766656762501"/>
  </r>
  <r>
    <x v="6"/>
    <x v="4"/>
    <n v="8.0677000000000003"/>
    <n v="12.062220022431708"/>
    <n v="-0.49512500742859894"/>
    <n v="3.9945200224317077"/>
    <n v="0.49512500742859894"/>
    <n v="0.49512500742859894"/>
  </r>
  <r>
    <x v="6"/>
    <x v="3"/>
    <n v="8.0677000000000003"/>
    <n v="12.268836125869866"/>
    <n v="-0.52073529331406287"/>
    <n v="4.2011361258698656"/>
    <n v="0.52073529331406287"/>
    <n v="0.52073529331406287"/>
  </r>
  <r>
    <x v="6"/>
    <x v="7"/>
    <n v="8.0677000000000003"/>
    <n v="13.109012409908248"/>
    <n v="-0.62487603776891143"/>
    <n v="5.0413124099082474"/>
    <n v="0.62487603776891143"/>
    <n v="0.62487603776891143"/>
  </r>
  <r>
    <x v="6"/>
    <x v="8"/>
    <n v="8.0677000000000003"/>
    <n v="13.461423747824925"/>
    <n v="-0.66855779811159621"/>
    <n v="5.3937237478249251"/>
    <n v="0.66855779811159621"/>
    <n v="0.66855779811159621"/>
  </r>
  <r>
    <x v="6"/>
    <x v="15"/>
    <n v="8.0677000000000003"/>
    <n v="15.554287161341461"/>
    <n v="-0.92797044527454675"/>
    <n v="7.4865871613414612"/>
    <n v="0.92797044527454675"/>
    <n v="0.92797044527454675"/>
  </r>
  <r>
    <x v="6"/>
    <x v="19"/>
    <n v="8.0677000000000003"/>
    <n v="15.636674821562034"/>
    <n v="-0.93818248342923427"/>
    <n v="7.5689748215620334"/>
    <n v="0.93818248342923427"/>
    <n v="0.93818248342923427"/>
  </r>
  <r>
    <x v="7"/>
    <x v="15"/>
    <n v="21.141928"/>
    <n v="18.932193844509868"/>
    <n v="0.10451904648857625"/>
    <n v="2.209734155490132"/>
    <n v="0.10451904648857625"/>
    <n v="0.10451904648857625"/>
  </r>
  <r>
    <x v="7"/>
    <x v="5"/>
    <n v="21.141928"/>
    <n v="17.00465753923454"/>
    <n v="0.19569031077796975"/>
    <n v="4.1372704607654605"/>
    <n v="0.19569031077796975"/>
    <n v="0.19569031077796975"/>
  </r>
  <r>
    <x v="7"/>
    <x v="19"/>
    <n v="21.141928"/>
    <n v="16.760346855095314"/>
    <n v="0.20724605366666116"/>
    <n v="4.3815811449046862"/>
    <n v="0.20724605366666116"/>
    <n v="0.20724605366666116"/>
  </r>
  <r>
    <x v="7"/>
    <x v="8"/>
    <n v="21.141928"/>
    <n v="16.53600561492771"/>
    <n v="0.21785725431816294"/>
    <n v="4.6059223850722901"/>
    <n v="0.21785725431816294"/>
    <n v="0.21785725431816294"/>
  </r>
  <r>
    <x v="7"/>
    <x v="13"/>
    <n v="21.141928"/>
    <n v="16.280254771328469"/>
    <n v="0.22995410960965959"/>
    <n v="4.8616732286715312"/>
    <n v="0.22995410960965959"/>
    <n v="0.22995410960965959"/>
  </r>
  <r>
    <x v="7"/>
    <x v="16"/>
    <n v="21.141928"/>
    <n v="16.154630612583034"/>
    <n v="0.23589605391792867"/>
    <n v="4.9872973874169659"/>
    <n v="0.23589605391792867"/>
    <n v="0.23589605391792867"/>
  </r>
  <r>
    <x v="7"/>
    <x v="7"/>
    <n v="21.141928"/>
    <n v="15.661090686544533"/>
    <n v="0.25924018440775443"/>
    <n v="5.4808373134554671"/>
    <n v="0.25924018440775443"/>
    <n v="0.25924018440775443"/>
  </r>
  <r>
    <x v="7"/>
    <x v="9"/>
    <n v="21.141928"/>
    <n v="15.657500887703074"/>
    <n v="0.25940997965260904"/>
    <n v="5.4844271122969257"/>
    <n v="0.25940997965260904"/>
    <n v="0.25940997965260904"/>
  </r>
  <r>
    <x v="7"/>
    <x v="1"/>
    <n v="21.141928"/>
    <n v="15.470327921328842"/>
    <n v="0.26826314414991659"/>
    <n v="5.6716000786711582"/>
    <n v="0.26826314414991659"/>
    <n v="0.26826314414991659"/>
  </r>
  <r>
    <x v="7"/>
    <x v="2"/>
    <n v="21.141928"/>
    <n v="15.460122834702359"/>
    <n v="0.26874583837848853"/>
    <n v="5.6818051652976411"/>
    <n v="0.26874583837848853"/>
    <n v="0.26874583837848853"/>
  </r>
  <r>
    <x v="7"/>
    <x v="14"/>
    <n v="21.141928"/>
    <n v="15.040753626039384"/>
    <n v="0.28858174022542388"/>
    <n v="6.1011743739606157"/>
    <n v="0.28858174022542388"/>
    <n v="0.28858174022542388"/>
  </r>
  <r>
    <x v="7"/>
    <x v="18"/>
    <n v="21.141928"/>
    <n v="14.93643951064815"/>
    <n v="0.29351573278235793"/>
    <n v="6.2054884893518505"/>
    <n v="0.29351573278235793"/>
    <n v="0.29351573278235793"/>
  </r>
  <r>
    <x v="7"/>
    <x v="12"/>
    <n v="21.141928"/>
    <n v="14.882452835473911"/>
    <n v="0.29606926882572343"/>
    <n v="6.2594751645260889"/>
    <n v="0.29606926882572343"/>
    <n v="0.29606926882572343"/>
  </r>
  <r>
    <x v="7"/>
    <x v="11"/>
    <n v="21.141928"/>
    <n v="14.720646844202825"/>
    <n v="0.30372259123184864"/>
    <n v="6.4212811557971747"/>
    <n v="0.30372259123184864"/>
    <n v="0.30372259123184864"/>
  </r>
  <r>
    <x v="7"/>
    <x v="17"/>
    <n v="21.141928"/>
    <n v="14.263910691382707"/>
    <n v="0.32532592621719708"/>
    <n v="6.8780173086172933"/>
    <n v="0.32532592621719708"/>
    <n v="0.32532592621719708"/>
  </r>
  <r>
    <x v="7"/>
    <x v="4"/>
    <n v="21.141928"/>
    <n v="14.125086679646323"/>
    <n v="0.33189221533408292"/>
    <n v="7.0168413203536772"/>
    <n v="0.33189221533408292"/>
    <n v="0.33189221533408292"/>
  </r>
  <r>
    <x v="7"/>
    <x v="6"/>
    <n v="21.141928"/>
    <n v="14.060725286777746"/>
    <n v="0.3349364690496654"/>
    <n v="7.0812027132222539"/>
    <n v="0.3349364690496654"/>
    <n v="0.3349364690496654"/>
  </r>
  <r>
    <x v="7"/>
    <x v="10"/>
    <n v="21.141928"/>
    <n v="13.993593312837158"/>
    <n v="0.33811176952087069"/>
    <n v="7.1483346871628424"/>
    <n v="0.33811176952087069"/>
    <n v="0.33811176952087069"/>
  </r>
  <r>
    <x v="7"/>
    <x v="3"/>
    <n v="21.141928"/>
    <n v="13.330315552638961"/>
    <n v="0.36948439363529378"/>
    <n v="7.8116124473610391"/>
    <n v="0.36948439363529378"/>
    <n v="0.36948439363529378"/>
  </r>
  <r>
    <x v="7"/>
    <x v="0"/>
    <n v="21.141928"/>
    <n v="13.280573358445075"/>
    <n v="0.37183716837721353"/>
    <n v="7.8613546415549251"/>
    <n v="0.37183716837721353"/>
    <n v="0.37183716837721353"/>
  </r>
  <r>
    <x v="8"/>
    <x v="6"/>
    <n v="8.062989"/>
    <n v="10.014595571768339"/>
    <n v="-0.24204504951803102"/>
    <n v="1.9516065717683393"/>
    <n v="0.24204504951803102"/>
    <n v="0.24204504951803102"/>
  </r>
  <r>
    <x v="8"/>
    <x v="19"/>
    <n v="8.062989"/>
    <n v="10.175091587579882"/>
    <n v="-0.26195032482121478"/>
    <n v="2.1121025875798818"/>
    <n v="0.26195032482121478"/>
    <n v="0.26195032482121478"/>
  </r>
  <r>
    <x v="8"/>
    <x v="18"/>
    <n v="8.062989"/>
    <n v="10.204331623414877"/>
    <n v="-0.26557677598405216"/>
    <n v="2.1413426234148769"/>
    <n v="0.26557677598405216"/>
    <n v="0.26557677598405216"/>
  </r>
  <r>
    <x v="8"/>
    <x v="0"/>
    <n v="8.062989"/>
    <n v="10.45384404947416"/>
    <n v="-0.29652217676027587"/>
    <n v="2.3908550494741601"/>
    <n v="0.29652217676027587"/>
    <n v="0.29652217676027587"/>
  </r>
  <r>
    <x v="8"/>
    <x v="14"/>
    <n v="8.062989"/>
    <n v="10.479108411407804"/>
    <n v="-0.29965555098832503"/>
    <n v="2.416119411407804"/>
    <n v="0.29965555098832503"/>
    <n v="0.29965555098832503"/>
  </r>
  <r>
    <x v="8"/>
    <x v="17"/>
    <n v="8.062989"/>
    <n v="10.510915939284109"/>
    <n v="-0.30360043146333315"/>
    <n v="2.447926939284109"/>
    <n v="0.30360043146333315"/>
    <n v="0.30360043146333315"/>
  </r>
  <r>
    <x v="8"/>
    <x v="12"/>
    <n v="8.062989"/>
    <n v="10.734457166422905"/>
    <n v="-0.33132479362466011"/>
    <n v="2.6714681664229047"/>
    <n v="0.33132479362466011"/>
    <n v="0.33132479362466011"/>
  </r>
  <r>
    <x v="8"/>
    <x v="4"/>
    <n v="8.062989"/>
    <n v="10.751908540633393"/>
    <n v="-0.33348917388246374"/>
    <n v="2.6889195406333926"/>
    <n v="0.33348917388246374"/>
    <n v="0.33348917388246374"/>
  </r>
  <r>
    <x v="8"/>
    <x v="11"/>
    <n v="8.062989"/>
    <n v="10.889500968104736"/>
    <n v="-0.35055386632733049"/>
    <n v="2.8265119681047359"/>
    <n v="0.35055386632733049"/>
    <n v="0.35055386632733049"/>
  </r>
  <r>
    <x v="8"/>
    <x v="10"/>
    <n v="8.062989"/>
    <n v="10.906438458665511"/>
    <n v="-0.35265451294371236"/>
    <n v="2.8434494586655106"/>
    <n v="0.35265451294371236"/>
    <n v="0.35265451294371236"/>
  </r>
  <r>
    <x v="8"/>
    <x v="13"/>
    <n v="8.062989"/>
    <n v="11.145516451770511"/>
    <n v="-0.3823057989748605"/>
    <n v="3.0825274517705115"/>
    <n v="0.3823057989748605"/>
    <n v="0.3823057989748605"/>
  </r>
  <r>
    <x v="8"/>
    <x v="2"/>
    <n v="8.062989"/>
    <n v="11.166945484959289"/>
    <n v="-0.38496350236361343"/>
    <n v="3.1039564849592889"/>
    <n v="0.38496350236361343"/>
    <n v="0.38496350236361343"/>
  </r>
  <r>
    <x v="8"/>
    <x v="3"/>
    <n v="8.062989"/>
    <n v="11.168684572591086"/>
    <n v="-0.38517919007344381"/>
    <n v="3.1056955725910864"/>
    <n v="0.38517919007344381"/>
    <n v="0.38517919007344381"/>
  </r>
  <r>
    <x v="8"/>
    <x v="16"/>
    <n v="8.062989"/>
    <n v="11.217748936509295"/>
    <n v="-0.39126432350450874"/>
    <n v="3.1547599365092953"/>
    <n v="0.39126432350450874"/>
    <n v="0.39126432350450874"/>
  </r>
  <r>
    <x v="8"/>
    <x v="9"/>
    <n v="8.062989"/>
    <n v="11.315757440813721"/>
    <n v="-0.40341967982515181"/>
    <n v="3.2527684408137212"/>
    <n v="0.40341967982515181"/>
    <n v="0.40341967982515181"/>
  </r>
  <r>
    <x v="8"/>
    <x v="1"/>
    <n v="8.062989"/>
    <n v="11.325245279602637"/>
    <n v="-0.40459639466240582"/>
    <n v="3.2622562796026369"/>
    <n v="0.40459639466240582"/>
    <n v="0.40459639466240582"/>
  </r>
  <r>
    <x v="8"/>
    <x v="5"/>
    <n v="8.062989"/>
    <n v="11.586270730423687"/>
    <n v="-0.43696968089919097"/>
    <n v="3.5232817304236868"/>
    <n v="0.43696968089919097"/>
    <n v="0.43696968089919097"/>
  </r>
  <r>
    <x v="8"/>
    <x v="7"/>
    <n v="8.062989"/>
    <n v="12.448891949148789"/>
    <n v="-0.54395497118361313"/>
    <n v="4.3859029491487895"/>
    <n v="0.54395497118361313"/>
    <n v="0.54395497118361313"/>
  </r>
  <r>
    <x v="8"/>
    <x v="8"/>
    <n v="8.062989"/>
    <n v="12.592755740163248"/>
    <n v="-0.56179745999445718"/>
    <n v="4.5297667401632484"/>
    <n v="0.56179745999445718"/>
    <n v="0.56179745999445718"/>
  </r>
  <r>
    <x v="8"/>
    <x v="15"/>
    <n v="8.062989"/>
    <n v="19.080080787331447"/>
    <n v="-1.3663781244562589"/>
    <n v="11.017091787331447"/>
    <n v="1.3663781244562589"/>
    <n v="1.3663781244562589"/>
  </r>
  <r>
    <x v="9"/>
    <x v="19"/>
    <n v="48.503718999999997"/>
    <n v="28.131751694156318"/>
    <n v="0.42000835659310332"/>
    <n v="20.371967305843679"/>
    <n v="0.42000835659310332"/>
    <n v="0.42000835659310332"/>
  </r>
  <r>
    <x v="9"/>
    <x v="15"/>
    <n v="48.503718999999997"/>
    <n v="27.542052481593913"/>
    <n v="0.43216617097765397"/>
    <n v="20.961666518406084"/>
    <n v="0.43216617097765397"/>
    <n v="0.43216617097765397"/>
  </r>
  <r>
    <x v="9"/>
    <x v="2"/>
    <n v="48.503718999999997"/>
    <n v="23.945993918047893"/>
    <n v="0.50630602329590657"/>
    <n v="24.557725081952103"/>
    <n v="0.50630602329590657"/>
    <n v="0.50630602329590657"/>
  </r>
  <r>
    <x v="9"/>
    <x v="7"/>
    <n v="48.503718999999997"/>
    <n v="23.556030952569483"/>
    <n v="0.51434588031137396"/>
    <n v="24.947688047430514"/>
    <n v="0.51434588031137396"/>
    <n v="0.51434588031137396"/>
  </r>
  <r>
    <x v="9"/>
    <x v="16"/>
    <n v="48.503718999999997"/>
    <n v="22.854723216296591"/>
    <n v="0.52880472492642072"/>
    <n v="25.648995783703405"/>
    <n v="0.52880472492642072"/>
    <n v="0.52880472492642072"/>
  </r>
  <r>
    <x v="9"/>
    <x v="3"/>
    <n v="48.503718999999997"/>
    <n v="22.532894731728732"/>
    <n v="0.53543985499897995"/>
    <n v="25.970824268271265"/>
    <n v="0.53543985499897995"/>
    <n v="0.53543985499897995"/>
  </r>
  <r>
    <x v="9"/>
    <x v="0"/>
    <n v="48.503718999999997"/>
    <n v="22.263341908196857"/>
    <n v="0.54099721903392894"/>
    <n v="26.24037709180314"/>
    <n v="0.54099721903392894"/>
    <n v="0.54099721903392894"/>
  </r>
  <r>
    <x v="9"/>
    <x v="8"/>
    <n v="48.503718999999997"/>
    <n v="22.042584946088212"/>
    <n v="0.54554855997561313"/>
    <n v="26.461134053911785"/>
    <n v="0.54554855997561313"/>
    <n v="0.54554855997561313"/>
  </r>
  <r>
    <x v="9"/>
    <x v="9"/>
    <n v="48.503718999999997"/>
    <n v="21.957046475275718"/>
    <n v="0.54731210455685431"/>
    <n v="26.546672524724279"/>
    <n v="0.54731210455685431"/>
    <n v="0.54731210455685431"/>
  </r>
  <r>
    <x v="9"/>
    <x v="6"/>
    <n v="48.503718999999997"/>
    <n v="21.857806698275738"/>
    <n v="0.5493581286359559"/>
    <n v="26.645912301724259"/>
    <n v="0.5493581286359559"/>
    <n v="0.5493581286359559"/>
  </r>
  <r>
    <x v="9"/>
    <x v="4"/>
    <n v="48.503718999999997"/>
    <n v="21.700007613366179"/>
    <n v="0.5526114685480884"/>
    <n v="26.803711386633818"/>
    <n v="0.5526114685480884"/>
    <n v="0.5526114685480884"/>
  </r>
  <r>
    <x v="9"/>
    <x v="17"/>
    <n v="48.503718999999997"/>
    <n v="20.902479433150837"/>
    <n v="0.56905408772570942"/>
    <n v="27.601239566849159"/>
    <n v="0.56905408772570942"/>
    <n v="0.56905408772570942"/>
  </r>
  <r>
    <x v="9"/>
    <x v="11"/>
    <n v="48.503718999999997"/>
    <n v="20.766041982130819"/>
    <n v="0.57186701534925966"/>
    <n v="27.737677017869178"/>
    <n v="0.57186701534925966"/>
    <n v="0.57186701534925966"/>
  </r>
  <r>
    <x v="9"/>
    <x v="18"/>
    <n v="48.503718999999997"/>
    <n v="20.663868723408665"/>
    <n v="0.57397351894998672"/>
    <n v="27.839850276591331"/>
    <n v="0.57397351894998672"/>
    <n v="0.57397351894998672"/>
  </r>
  <r>
    <x v="9"/>
    <x v="12"/>
    <n v="48.503718999999997"/>
    <n v="20.308782890998078"/>
    <n v="0.58129431495762052"/>
    <n v="28.194936109001919"/>
    <n v="0.58129431495762052"/>
    <n v="0.58129431495762052"/>
  </r>
  <r>
    <x v="9"/>
    <x v="1"/>
    <n v="48.503718999999997"/>
    <n v="20.298148188297414"/>
    <n v="0.58151357036565765"/>
    <n v="28.205570811702582"/>
    <n v="0.58151357036565765"/>
    <n v="0.58151357036565765"/>
  </r>
  <r>
    <x v="9"/>
    <x v="13"/>
    <n v="48.503718999999997"/>
    <n v="18.998627539634008"/>
    <n v="0.60830575610843352"/>
    <n v="29.505091460365989"/>
    <n v="0.60830575610843352"/>
    <n v="0.60830575610843352"/>
  </r>
  <r>
    <x v="9"/>
    <x v="5"/>
    <n v="48.503718999999997"/>
    <n v="18.218943765602997"/>
    <n v="0.62438047759589321"/>
    <n v="30.284775234396999"/>
    <n v="0.62438047759589321"/>
    <n v="0.62438047759589321"/>
  </r>
  <r>
    <x v="9"/>
    <x v="10"/>
    <n v="48.503718999999997"/>
    <n v="17.679828905619729"/>
    <n v="0.6354953956083299"/>
    <n v="30.823890094380268"/>
    <n v="0.6354953956083299"/>
    <n v="0.6354953956083299"/>
  </r>
  <r>
    <x v="9"/>
    <x v="14"/>
    <n v="48.503718999999997"/>
    <n v="17.560547775511097"/>
    <n v="0.63795461177912771"/>
    <n v="30.9431712244889"/>
    <n v="0.63795461177912771"/>
    <n v="0.637954611779127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7DD36C-0D8C-4A83-86FA-6E9E52422570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312:F333" firstHeaderRow="1" firstDataRow="1" firstDataCol="1" rowPageCount="1" colPageCount="1"/>
  <pivotFields count="8">
    <pivotField axis="axisPage" multipleItemSelectionAllowe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21">
        <item x="15"/>
        <item x="9"/>
        <item x="14"/>
        <item x="4"/>
        <item x="18"/>
        <item x="6"/>
        <item x="10"/>
        <item x="3"/>
        <item x="17"/>
        <item x="0"/>
        <item x="12"/>
        <item x="19"/>
        <item x="11"/>
        <item x="13"/>
        <item x="7"/>
        <item x="16"/>
        <item x="2"/>
        <item x="5"/>
        <item x="8"/>
        <item x="1"/>
        <item t="default"/>
      </items>
    </pivotField>
    <pivotField numFmtId="2" showAll="0"/>
    <pivotField numFmtId="2" showAll="0"/>
    <pivotField numFmtId="9" showAll="0"/>
    <pivotField numFmtId="2" showAll="0"/>
    <pivotField numFmtId="9" showAll="0"/>
    <pivotField dataField="1" numFmtId="9" showAl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0" hier="-1"/>
  </pageFields>
  <dataFields count="1">
    <dataField name="Average of MAPE" fld="7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F9C263-8226-4773-AD1D-2F116E09977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L116:M135" firstHeaderRow="1" firstDataRow="1" firstDataCol="1" rowPageCount="1" colPageCount="1"/>
  <pivotFields count="8">
    <pivotField axis="axisPage" multipleItemSelectionAllowe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19">
        <item x="0"/>
        <item x="9"/>
        <item x="10"/>
        <item x="11"/>
        <item x="12"/>
        <item x="13"/>
        <item x="14"/>
        <item x="15"/>
        <item x="16"/>
        <item x="17"/>
        <item x="1"/>
        <item x="2"/>
        <item x="3"/>
        <item x="4"/>
        <item x="5"/>
        <item x="6"/>
        <item x="7"/>
        <item x="8"/>
        <item t="default"/>
      </items>
    </pivotField>
    <pivotField numFmtId="2" showAll="0"/>
    <pivotField numFmtId="2" showAll="0"/>
    <pivotField numFmtId="9" showAll="0"/>
    <pivotField numFmtId="2" showAll="0"/>
    <pivotField numFmtId="9" showAll="0"/>
    <pivotField dataField="1"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ageFields count="1">
    <pageField fld="0" hier="-1"/>
  </pageFields>
  <dataFields count="1">
    <dataField name="Average of MAPE" fld="7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comments" Target="../comments5.xml"/><Relationship Id="rId5" Type="http://schemas.openxmlformats.org/officeDocument/2006/relationships/vmlDrawing" Target="../drawings/vmlDrawing5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188D-9972-4FE4-B74E-E96782EFC1C7}">
  <dimension ref="A1:Y32"/>
  <sheetViews>
    <sheetView topLeftCell="F1" workbookViewId="0">
      <selection activeCell="Q4" sqref="Q4"/>
    </sheetView>
  </sheetViews>
  <sheetFormatPr defaultRowHeight="15" x14ac:dyDescent="0.25"/>
  <cols>
    <col min="1" max="1" width="22.42578125" style="1" bestFit="1" customWidth="1"/>
    <col min="2" max="2" width="25.5703125" style="1" bestFit="1" customWidth="1"/>
    <col min="3" max="10" width="9.140625" style="1"/>
    <col min="11" max="11" width="9.42578125" style="1" customWidth="1"/>
    <col min="12" max="12" width="13.42578125" style="1" customWidth="1"/>
    <col min="13" max="13" width="17.42578125" style="1" customWidth="1"/>
    <col min="14" max="14" width="19" style="1" bestFit="1" customWidth="1"/>
    <col min="15" max="15" width="19" style="1" customWidth="1"/>
    <col min="16" max="16" width="32.7109375" style="1" bestFit="1" customWidth="1"/>
    <col min="17" max="17" width="21.7109375" style="1" bestFit="1" customWidth="1"/>
    <col min="18" max="18" width="11" style="1" bestFit="1" customWidth="1"/>
    <col min="19" max="19" width="22.28515625" style="1" customWidth="1"/>
    <col min="20" max="20" width="35.140625" style="1" customWidth="1"/>
    <col min="21" max="21" width="5.5703125" style="1" bestFit="1" customWidth="1"/>
    <col min="22" max="22" width="19.140625" style="1" customWidth="1"/>
    <col min="23" max="23" width="24.7109375" style="1" customWidth="1"/>
  </cols>
  <sheetData>
    <row r="1" spans="1:25" ht="30" x14ac:dyDescent="0.25">
      <c r="A1" s="23" t="s">
        <v>134</v>
      </c>
      <c r="B1" s="2" t="s">
        <v>57</v>
      </c>
      <c r="R1" s="1" t="s">
        <v>78</v>
      </c>
    </row>
    <row r="2" spans="1:25" x14ac:dyDescent="0.25">
      <c r="C2" s="183" t="s">
        <v>56</v>
      </c>
      <c r="D2" s="183"/>
      <c r="E2" s="183"/>
      <c r="F2" s="183"/>
      <c r="G2" s="183"/>
      <c r="H2" s="183"/>
      <c r="I2" s="183"/>
      <c r="L2" s="183" t="s">
        <v>46</v>
      </c>
      <c r="M2" s="183"/>
      <c r="P2" s="22"/>
      <c r="R2" s="24" t="s">
        <v>77</v>
      </c>
      <c r="S2" s="183" t="s">
        <v>47</v>
      </c>
      <c r="T2" s="183"/>
      <c r="V2" s="183" t="s">
        <v>47</v>
      </c>
      <c r="W2" s="183"/>
    </row>
    <row r="3" spans="1:25" s="4" customFormat="1" ht="15.75" x14ac:dyDescent="0.25">
      <c r="A3" s="3" t="s">
        <v>44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84</v>
      </c>
      <c r="L3" s="3" t="s">
        <v>41</v>
      </c>
      <c r="M3" s="3" t="s">
        <v>42</v>
      </c>
      <c r="N3" s="3" t="s">
        <v>37</v>
      </c>
      <c r="O3" s="3" t="s">
        <v>37</v>
      </c>
      <c r="P3" s="3" t="s">
        <v>76</v>
      </c>
      <c r="Q3" s="3" t="s">
        <v>38</v>
      </c>
      <c r="R3" s="3" t="s">
        <v>81</v>
      </c>
      <c r="S3" s="3" t="s">
        <v>41</v>
      </c>
      <c r="T3" s="3" t="s">
        <v>42</v>
      </c>
      <c r="U3" s="3" t="s">
        <v>1</v>
      </c>
      <c r="V3" s="3" t="s">
        <v>41</v>
      </c>
      <c r="W3" s="3" t="s">
        <v>42</v>
      </c>
    </row>
    <row r="4" spans="1:25" s="13" customFormat="1" x14ac:dyDescent="0.25">
      <c r="A4" s="36" t="s">
        <v>11</v>
      </c>
      <c r="B4" s="36" t="s">
        <v>10</v>
      </c>
      <c r="C4" s="36">
        <f>'inverse variance-Buckland CI'!C4</f>
        <v>2.7134987753970501</v>
      </c>
      <c r="D4" s="36">
        <f>'inverse variance-Buckland CI'!D4</f>
        <v>0.15515670035065199</v>
      </c>
      <c r="E4" s="36">
        <f>'inverse variance-Buckland CI'!E4</f>
        <v>2.5085000421862702</v>
      </c>
      <c r="F4" s="36">
        <f>'inverse variance-Buckland CI'!F4</f>
        <v>2.9184975086078202</v>
      </c>
      <c r="G4" s="36">
        <f>'inverse variance-Buckland CI'!G4</f>
        <v>32.571484305050198</v>
      </c>
      <c r="H4" s="36">
        <f>'inverse variance-Buckland CI'!H4</f>
        <v>0.42899999999999999</v>
      </c>
      <c r="I4" s="36">
        <f>'inverse variance-Buckland CI'!I4</f>
        <v>22</v>
      </c>
      <c r="J4" s="37">
        <f>D4*SQRT(I4)</f>
        <v>0.7277494325668995</v>
      </c>
      <c r="K4" s="37">
        <v>1.321237</v>
      </c>
      <c r="L4" s="37">
        <f>N4-(K4*D4)</f>
        <v>2.6005205020958555</v>
      </c>
      <c r="M4" s="37">
        <f>N4+(K4*D4)</f>
        <v>3.0105180486982444</v>
      </c>
      <c r="N4" s="38">
        <f>C4+((H4*H4)/2)</f>
        <v>2.8055192753970499</v>
      </c>
      <c r="O4" s="41">
        <f>EXP(N4)</f>
        <v>16.535660238589298</v>
      </c>
      <c r="P4" s="39">
        <f>1/18</f>
        <v>5.5555555555555552E-2</v>
      </c>
      <c r="Q4" s="37" cm="1">
        <f t="array" ref="Q4">SUM($C$4:$C$21*$P$4:$P$21)</f>
        <v>2.6127724050864236</v>
      </c>
      <c r="R4" s="40">
        <f>hindcasts!Z24</f>
        <v>0.9222916103273241</v>
      </c>
      <c r="S4" s="37">
        <f>Q4-1.28*R4</f>
        <v>1.4322391438674487</v>
      </c>
      <c r="T4" s="37">
        <f>Q4+1.28*R4</f>
        <v>3.7933056663053986</v>
      </c>
      <c r="U4" s="41">
        <f>EXP(Q4)</f>
        <v>13.636805240630441</v>
      </c>
      <c r="V4" s="41">
        <f>EXP(S4)</f>
        <v>4.1880663839242747</v>
      </c>
      <c r="W4" s="68">
        <f>EXP(T4)</f>
        <v>44.402939238187649</v>
      </c>
    </row>
    <row r="5" spans="1:25" s="12" customFormat="1" x14ac:dyDescent="0.25">
      <c r="A5" s="10" t="s">
        <v>12</v>
      </c>
      <c r="B5" s="10" t="s">
        <v>19</v>
      </c>
      <c r="C5" s="10">
        <f>'inverse variance-Buckland CI'!C5</f>
        <v>2.7018002590068702</v>
      </c>
      <c r="D5" s="10">
        <f>'inverse variance-Buckland CI'!D5</f>
        <v>0.10674608553136</v>
      </c>
      <c r="E5" s="10">
        <f>'inverse variance-Buckland CI'!E5</f>
        <v>2.5605551330492</v>
      </c>
      <c r="F5" s="10">
        <f>'inverse variance-Buckland CI'!F5</f>
        <v>2.8430453849645398</v>
      </c>
      <c r="G5" s="10">
        <f>'inverse variance-Buckland CI'!G5</f>
        <v>16.397796532519799</v>
      </c>
      <c r="H5" s="10">
        <f>'inverse variance-Buckland CI'!H5</f>
        <v>0.29499999999999998</v>
      </c>
      <c r="I5" s="10">
        <f>'inverse variance-Buckland CI'!I5</f>
        <v>21</v>
      </c>
      <c r="J5" s="5">
        <f t="shared" ref="J5:J21" si="0">D5*SQRT(I5)</f>
        <v>0.48917201708768759</v>
      </c>
      <c r="K5" s="5">
        <v>1.323188</v>
      </c>
      <c r="L5" s="5">
        <f t="shared" ref="L5:L21" si="1">N5-(1.28*J5)</f>
        <v>2.1191725771346297</v>
      </c>
      <c r="M5" s="5">
        <f t="shared" ref="M5:M21" si="2">N5+(K5*D5)</f>
        <v>2.8865578984289391</v>
      </c>
      <c r="N5" s="11">
        <f t="shared" ref="N5:N21" si="3">C5+((H5*H5)/2)</f>
        <v>2.74531275900687</v>
      </c>
      <c r="O5" s="42">
        <f t="shared" ref="O5:O21" si="4">EXP(N5)</f>
        <v>15.569482666710917</v>
      </c>
      <c r="P5" s="11">
        <f t="shared" ref="P5:P21" si="5">1/18</f>
        <v>5.5555555555555552E-2</v>
      </c>
      <c r="Q5" s="5" cm="1">
        <f t="array" ref="Q5">SUM($C$4:$C$21*$P$4:$P$21)</f>
        <v>2.6127724050864236</v>
      </c>
      <c r="R5" s="20">
        <f>R4</f>
        <v>0.9222916103273241</v>
      </c>
      <c r="S5" s="5">
        <f t="shared" ref="S5:S21" si="6">Q5-1.28*R5</f>
        <v>1.4322391438674487</v>
      </c>
      <c r="T5" s="5">
        <f t="shared" ref="T5:T21" si="7">Q5+1.28*R5</f>
        <v>3.7933056663053986</v>
      </c>
      <c r="U5" s="42">
        <f t="shared" ref="U5:U21" si="8">EXP(Q5)</f>
        <v>13.636805240630441</v>
      </c>
      <c r="V5" s="42">
        <f t="shared" ref="V5:W21" si="9">EXP(S5)</f>
        <v>4.1880663839242747</v>
      </c>
      <c r="W5" s="42">
        <f t="shared" si="9"/>
        <v>44.402939238187649</v>
      </c>
    </row>
    <row r="6" spans="1:25" s="12" customFormat="1" x14ac:dyDescent="0.25">
      <c r="A6" s="10" t="s">
        <v>13</v>
      </c>
      <c r="B6" s="10" t="s">
        <v>48</v>
      </c>
      <c r="C6" s="10">
        <f>'inverse variance-Buckland CI'!C6</f>
        <v>2.7511831057059202</v>
      </c>
      <c r="D6" s="10">
        <f>'inverse variance-Buckland CI'!D6</f>
        <v>0.11205585296192801</v>
      </c>
      <c r="E6" s="10">
        <f>'inverse variance-Buckland CI'!E6</f>
        <v>2.6029121598710798</v>
      </c>
      <c r="F6" s="10">
        <f>'inverse variance-Buckland CI'!F6</f>
        <v>2.8994540515407601</v>
      </c>
      <c r="G6" s="10">
        <f>'inverse variance-Buckland CI'!G6</f>
        <v>18.612079070521901</v>
      </c>
      <c r="H6" s="10">
        <f>'inverse variance-Buckland CI'!H6</f>
        <v>0.309</v>
      </c>
      <c r="I6" s="10">
        <f>'inverse variance-Buckland CI'!I6</f>
        <v>21</v>
      </c>
      <c r="J6" s="5">
        <f t="shared" si="0"/>
        <v>0.51350442826087661</v>
      </c>
      <c r="K6" s="5">
        <v>1.323188</v>
      </c>
      <c r="L6" s="5">
        <f t="shared" si="1"/>
        <v>2.141637937531998</v>
      </c>
      <c r="M6" s="5">
        <f t="shared" si="2"/>
        <v>2.9471945656749079</v>
      </c>
      <c r="N6" s="11">
        <f t="shared" si="3"/>
        <v>2.7989236057059204</v>
      </c>
      <c r="O6" s="42">
        <f t="shared" si="4"/>
        <v>16.426955370314055</v>
      </c>
      <c r="P6" s="11">
        <f t="shared" si="5"/>
        <v>5.5555555555555552E-2</v>
      </c>
      <c r="Q6" s="5" cm="1">
        <f t="array" ref="Q6">SUM($C$4:$C$21*$P$4:$P$21)</f>
        <v>2.6127724050864236</v>
      </c>
      <c r="R6" s="20">
        <f t="shared" ref="R6:R21" si="10">R5</f>
        <v>0.9222916103273241</v>
      </c>
      <c r="S6" s="5">
        <f t="shared" si="6"/>
        <v>1.4322391438674487</v>
      </c>
      <c r="T6" s="5">
        <f t="shared" si="7"/>
        <v>3.7933056663053986</v>
      </c>
      <c r="U6" s="42">
        <f t="shared" si="8"/>
        <v>13.636805240630441</v>
      </c>
      <c r="V6" s="42">
        <f t="shared" si="9"/>
        <v>4.1880663839242747</v>
      </c>
      <c r="W6" s="42">
        <f t="shared" si="9"/>
        <v>44.402939238187649</v>
      </c>
    </row>
    <row r="7" spans="1:25" s="12" customFormat="1" x14ac:dyDescent="0.25">
      <c r="A7" s="10" t="s">
        <v>14</v>
      </c>
      <c r="B7" s="10" t="s">
        <v>49</v>
      </c>
      <c r="C7" s="10">
        <f>'inverse variance-Buckland CI'!C7</f>
        <v>2.53121969937837</v>
      </c>
      <c r="D7" s="10">
        <f>'inverse variance-Buckland CI'!D7</f>
        <v>0.133466683767723</v>
      </c>
      <c r="E7" s="10">
        <f>'inverse variance-Buckland CI'!E7</f>
        <v>2.3546182018519199</v>
      </c>
      <c r="F7" s="10">
        <f>'inverse variance-Buckland CI'!F7</f>
        <v>2.7078211969048098</v>
      </c>
      <c r="G7" s="10">
        <f>'inverse variance-Buckland CI'!G7</f>
        <v>23.563275054890301</v>
      </c>
      <c r="H7" s="10">
        <f>'inverse variance-Buckland CI'!H7</f>
        <v>0.34200000000000003</v>
      </c>
      <c r="I7" s="10">
        <f>'inverse variance-Buckland CI'!I7</f>
        <v>21</v>
      </c>
      <c r="J7" s="5">
        <f t="shared" si="0"/>
        <v>0.61162118112032449</v>
      </c>
      <c r="K7" s="5">
        <v>1.323188</v>
      </c>
      <c r="L7" s="5">
        <f t="shared" si="1"/>
        <v>1.8068265875443548</v>
      </c>
      <c r="M7" s="5">
        <f t="shared" si="2"/>
        <v>2.766303213739616</v>
      </c>
      <c r="N7" s="11">
        <f t="shared" si="3"/>
        <v>2.5897016993783701</v>
      </c>
      <c r="O7" s="42">
        <f t="shared" si="4"/>
        <v>13.325795917044662</v>
      </c>
      <c r="P7" s="11">
        <f t="shared" si="5"/>
        <v>5.5555555555555552E-2</v>
      </c>
      <c r="Q7" s="5" cm="1">
        <f t="array" ref="Q7">SUM($C$4:$C$21*$P$4:$P$21)</f>
        <v>2.6127724050864236</v>
      </c>
      <c r="R7" s="20">
        <f t="shared" si="10"/>
        <v>0.9222916103273241</v>
      </c>
      <c r="S7" s="5">
        <f t="shared" si="6"/>
        <v>1.4322391438674487</v>
      </c>
      <c r="T7" s="5">
        <f t="shared" si="7"/>
        <v>3.7933056663053986</v>
      </c>
      <c r="U7" s="42">
        <f t="shared" si="8"/>
        <v>13.636805240630441</v>
      </c>
      <c r="V7" s="42">
        <f t="shared" si="9"/>
        <v>4.1880663839242747</v>
      </c>
      <c r="W7" s="42">
        <f t="shared" si="9"/>
        <v>44.402939238187649</v>
      </c>
    </row>
    <row r="8" spans="1:25" s="12" customFormat="1" x14ac:dyDescent="0.25">
      <c r="A8" s="10" t="s">
        <v>15</v>
      </c>
      <c r="B8" s="10" t="s">
        <v>50</v>
      </c>
      <c r="C8" s="10">
        <f>'inverse variance-Buckland CI'!C8</f>
        <v>2.65193890172046</v>
      </c>
      <c r="D8" s="10">
        <f>'inverse variance-Buckland CI'!D8</f>
        <v>0.111708584367011</v>
      </c>
      <c r="E8" s="10">
        <f>'inverse variance-Buckland CI'!E8</f>
        <v>2.5041274574793899</v>
      </c>
      <c r="F8" s="10">
        <f>'inverse variance-Buckland CI'!F8</f>
        <v>2.7997503459615301</v>
      </c>
      <c r="G8" s="10">
        <f>'inverse variance-Buckland CI'!G8</f>
        <v>18.257177826155701</v>
      </c>
      <c r="H8" s="10">
        <f>'inverse variance-Buckland CI'!H8</f>
        <v>0.307</v>
      </c>
      <c r="I8" s="10">
        <f>'inverse variance-Buckland CI'!I8</f>
        <v>21</v>
      </c>
      <c r="J8" s="5">
        <f t="shared" si="0"/>
        <v>0.51191304363818857</v>
      </c>
      <c r="K8" s="5">
        <v>1.323188</v>
      </c>
      <c r="L8" s="5">
        <f t="shared" si="1"/>
        <v>2.0438147058635785</v>
      </c>
      <c r="M8" s="5">
        <f t="shared" si="2"/>
        <v>2.8468748600518765</v>
      </c>
      <c r="N8" s="11">
        <f t="shared" si="3"/>
        <v>2.6990634017204598</v>
      </c>
      <c r="O8" s="42">
        <f t="shared" si="4"/>
        <v>14.865801918074126</v>
      </c>
      <c r="P8" s="11">
        <f t="shared" si="5"/>
        <v>5.5555555555555552E-2</v>
      </c>
      <c r="Q8" s="5" cm="1">
        <f t="array" ref="Q8">SUM($C$4:$C$21*$P$4:$P$21)</f>
        <v>2.6127724050864236</v>
      </c>
      <c r="R8" s="20">
        <f t="shared" si="10"/>
        <v>0.9222916103273241</v>
      </c>
      <c r="S8" s="5">
        <f t="shared" si="6"/>
        <v>1.4322391438674487</v>
      </c>
      <c r="T8" s="5">
        <f t="shared" si="7"/>
        <v>3.7933056663053986</v>
      </c>
      <c r="U8" s="42">
        <f t="shared" si="8"/>
        <v>13.636805240630441</v>
      </c>
      <c r="V8" s="42">
        <f t="shared" si="9"/>
        <v>4.1880663839242747</v>
      </c>
      <c r="W8" s="42">
        <f t="shared" si="9"/>
        <v>44.402939238187649</v>
      </c>
    </row>
    <row r="9" spans="1:25" s="12" customFormat="1" x14ac:dyDescent="0.25">
      <c r="A9" s="10" t="s">
        <v>16</v>
      </c>
      <c r="B9" s="10" t="s">
        <v>51</v>
      </c>
      <c r="C9" s="10">
        <f>'inverse variance-Buckland CI'!C9</f>
        <v>2.5408846544961499</v>
      </c>
      <c r="D9" s="10">
        <f>'inverse variance-Buckland CI'!D9</f>
        <v>0.123163440825217</v>
      </c>
      <c r="E9" s="10">
        <f>'inverse variance-Buckland CI'!E9</f>
        <v>2.3779162830927101</v>
      </c>
      <c r="F9" s="10">
        <f>'inverse variance-Buckland CI'!F9</f>
        <v>2.7038530258995901</v>
      </c>
      <c r="G9" s="10">
        <f>'inverse variance-Buckland CI'!G9</f>
        <v>20.527184459579601</v>
      </c>
      <c r="H9" s="10">
        <f>'inverse variance-Buckland CI'!H9</f>
        <v>0.32100000000000001</v>
      </c>
      <c r="I9" s="10">
        <f>'inverse variance-Buckland CI'!I9</f>
        <v>21</v>
      </c>
      <c r="J9" s="5">
        <f t="shared" si="0"/>
        <v>0.56440579043277128</v>
      </c>
      <c r="K9" s="5">
        <v>1.323188</v>
      </c>
      <c r="L9" s="5">
        <f t="shared" si="1"/>
        <v>1.8699657427422027</v>
      </c>
      <c r="M9" s="5">
        <f t="shared" si="2"/>
        <v>2.7553735414347873</v>
      </c>
      <c r="N9" s="11">
        <f t="shared" si="3"/>
        <v>2.5924051544961499</v>
      </c>
      <c r="O9" s="42">
        <f t="shared" si="4"/>
        <v>13.361870349047656</v>
      </c>
      <c r="P9" s="11">
        <f t="shared" si="5"/>
        <v>5.5555555555555552E-2</v>
      </c>
      <c r="Q9" s="5" cm="1">
        <f t="array" ref="Q9">SUM($C$4:$C$21*$P$4:$P$21)</f>
        <v>2.6127724050864236</v>
      </c>
      <c r="R9" s="20">
        <f t="shared" si="10"/>
        <v>0.9222916103273241</v>
      </c>
      <c r="S9" s="5">
        <f t="shared" si="6"/>
        <v>1.4322391438674487</v>
      </c>
      <c r="T9" s="5">
        <f t="shared" si="7"/>
        <v>3.7933056663053986</v>
      </c>
      <c r="U9" s="42">
        <f t="shared" si="8"/>
        <v>13.636805240630441</v>
      </c>
      <c r="V9" s="42">
        <f t="shared" si="9"/>
        <v>4.1880663839242747</v>
      </c>
      <c r="W9" s="42">
        <f t="shared" si="9"/>
        <v>44.402939238187649</v>
      </c>
    </row>
    <row r="10" spans="1:25" s="12" customFormat="1" x14ac:dyDescent="0.25">
      <c r="A10" s="10" t="s">
        <v>17</v>
      </c>
      <c r="B10" s="10" t="s">
        <v>28</v>
      </c>
      <c r="C10" s="10">
        <f>'inverse variance-Buckland CI'!C10</f>
        <v>2.7155142441756999</v>
      </c>
      <c r="D10" s="10">
        <f>'inverse variance-Buckland CI'!D10</f>
        <v>0.11613403374069201</v>
      </c>
      <c r="E10" s="10">
        <f>'inverse variance-Buckland CI'!E10</f>
        <v>2.5618470989869699</v>
      </c>
      <c r="F10" s="10">
        <f>'inverse variance-Buckland CI'!F10</f>
        <v>2.8691813893644298</v>
      </c>
      <c r="G10" s="10">
        <f>'inverse variance-Buckland CI'!G10</f>
        <v>20.4547231552773</v>
      </c>
      <c r="H10" s="10">
        <f>'inverse variance-Buckland CI'!H10</f>
        <v>0.32100000000000001</v>
      </c>
      <c r="I10" s="10">
        <f>'inverse variance-Buckland CI'!I10</f>
        <v>21</v>
      </c>
      <c r="J10" s="5">
        <f t="shared" si="0"/>
        <v>0.53219300037727657</v>
      </c>
      <c r="K10" s="5">
        <v>1.323188</v>
      </c>
      <c r="L10" s="5">
        <f t="shared" si="1"/>
        <v>2.0858277036927859</v>
      </c>
      <c r="M10" s="5">
        <f t="shared" si="2"/>
        <v>2.9207019040129789</v>
      </c>
      <c r="N10" s="11">
        <f t="shared" si="3"/>
        <v>2.7670347441756999</v>
      </c>
      <c r="O10" s="42">
        <f t="shared" si="4"/>
        <v>15.911382668129054</v>
      </c>
      <c r="P10" s="11">
        <f t="shared" si="5"/>
        <v>5.5555555555555552E-2</v>
      </c>
      <c r="Q10" s="5" cm="1">
        <f t="array" ref="Q10">SUM($C$4:$C$21*$P$4:$P$21)</f>
        <v>2.6127724050864236</v>
      </c>
      <c r="R10" s="20">
        <f t="shared" si="10"/>
        <v>0.9222916103273241</v>
      </c>
      <c r="S10" s="5">
        <f t="shared" si="6"/>
        <v>1.4322391438674487</v>
      </c>
      <c r="T10" s="5">
        <f t="shared" si="7"/>
        <v>3.7933056663053986</v>
      </c>
      <c r="U10" s="42">
        <f t="shared" si="8"/>
        <v>13.636805240630441</v>
      </c>
      <c r="V10" s="42">
        <f t="shared" si="9"/>
        <v>4.1880663839242747</v>
      </c>
      <c r="W10" s="42">
        <f t="shared" si="9"/>
        <v>44.402939238187649</v>
      </c>
    </row>
    <row r="11" spans="1:25" s="12" customFormat="1" x14ac:dyDescent="0.25">
      <c r="A11" s="10" t="s">
        <v>18</v>
      </c>
      <c r="B11" s="10" t="s">
        <v>26</v>
      </c>
      <c r="C11" s="10">
        <f>'inverse variance-Buckland CI'!C11</f>
        <v>2.5595786046086002</v>
      </c>
      <c r="D11" s="10">
        <f>'inverse variance-Buckland CI'!D11</f>
        <v>0.13462214796042299</v>
      </c>
      <c r="E11" s="10">
        <f>'inverse variance-Buckland CI'!E11</f>
        <v>2.3814482108736801</v>
      </c>
      <c r="F11" s="10">
        <f>'inverse variance-Buckland CI'!F11</f>
        <v>2.7377089983435101</v>
      </c>
      <c r="G11" s="10">
        <f>'inverse variance-Buckland CI'!G11</f>
        <v>24.740100875554401</v>
      </c>
      <c r="H11" s="10">
        <f>'inverse variance-Buckland CI'!H11</f>
        <v>0.35099999999999998</v>
      </c>
      <c r="I11" s="10">
        <f>'inverse variance-Buckland CI'!I11</f>
        <v>21</v>
      </c>
      <c r="J11" s="5">
        <f t="shared" si="0"/>
        <v>0.61691618324618325</v>
      </c>
      <c r="K11" s="5">
        <v>1.323188</v>
      </c>
      <c r="L11" s="5">
        <f t="shared" si="1"/>
        <v>1.8315263900534857</v>
      </c>
      <c r="M11" s="5">
        <f t="shared" si="2"/>
        <v>2.7993095153240564</v>
      </c>
      <c r="N11" s="11">
        <f t="shared" si="3"/>
        <v>2.6211791046086002</v>
      </c>
      <c r="O11" s="42">
        <f t="shared" si="4"/>
        <v>13.751928992117096</v>
      </c>
      <c r="P11" s="11">
        <f t="shared" si="5"/>
        <v>5.5555555555555552E-2</v>
      </c>
      <c r="Q11" s="5" cm="1">
        <f t="array" ref="Q11">SUM($C$4:$C$21*$P$4:$P$21)</f>
        <v>2.6127724050864236</v>
      </c>
      <c r="R11" s="20">
        <f t="shared" si="10"/>
        <v>0.9222916103273241</v>
      </c>
      <c r="S11" s="5">
        <f t="shared" si="6"/>
        <v>1.4322391438674487</v>
      </c>
      <c r="T11" s="5">
        <f t="shared" si="7"/>
        <v>3.7933056663053986</v>
      </c>
      <c r="U11" s="42">
        <f t="shared" si="8"/>
        <v>13.636805240630441</v>
      </c>
      <c r="V11" s="42">
        <f t="shared" si="9"/>
        <v>4.1880663839242747</v>
      </c>
      <c r="W11" s="42">
        <f t="shared" si="9"/>
        <v>44.402939238187649</v>
      </c>
    </row>
    <row r="12" spans="1:25" s="12" customFormat="1" x14ac:dyDescent="0.25">
      <c r="A12" s="10" t="s">
        <v>20</v>
      </c>
      <c r="B12" s="10" t="s">
        <v>52</v>
      </c>
      <c r="C12" s="10">
        <f>'inverse variance-Buckland CI'!C12</f>
        <v>2.6115196118677999</v>
      </c>
      <c r="D12" s="10">
        <f>'inverse variance-Buckland CI'!D12</f>
        <v>0.121362415071312</v>
      </c>
      <c r="E12" s="10">
        <f>'inverse variance-Buckland CI'!E12</f>
        <v>2.45093433590245</v>
      </c>
      <c r="F12" s="10">
        <f>'inverse variance-Buckland CI'!F12</f>
        <v>2.7721048878331498</v>
      </c>
      <c r="G12" s="10">
        <f>'inverse variance-Buckland CI'!G12</f>
        <v>21.523063419841701</v>
      </c>
      <c r="H12" s="10">
        <f>'inverse variance-Buckland CI'!H12</f>
        <v>0.32800000000000001</v>
      </c>
      <c r="I12" s="10">
        <f>'inverse variance-Buckland CI'!I12</f>
        <v>21</v>
      </c>
      <c r="J12" s="5">
        <f t="shared" si="0"/>
        <v>0.55615245358693666</v>
      </c>
      <c r="K12" s="5">
        <v>1.323188</v>
      </c>
      <c r="L12" s="5">
        <f t="shared" si="1"/>
        <v>1.9534364712765209</v>
      </c>
      <c r="M12" s="5">
        <f t="shared" si="2"/>
        <v>2.8258969031411789</v>
      </c>
      <c r="N12" s="11">
        <f t="shared" si="3"/>
        <v>2.6653116118678</v>
      </c>
      <c r="O12" s="42">
        <f t="shared" si="4"/>
        <v>14.372427467241701</v>
      </c>
      <c r="P12" s="11">
        <f t="shared" si="5"/>
        <v>5.5555555555555552E-2</v>
      </c>
      <c r="Q12" s="5" cm="1">
        <f t="array" ref="Q12">SUM($C$4:$C$21*$P$4:$P$21)</f>
        <v>2.6127724050864236</v>
      </c>
      <c r="R12" s="20">
        <f t="shared" si="10"/>
        <v>0.9222916103273241</v>
      </c>
      <c r="S12" s="5">
        <f t="shared" si="6"/>
        <v>1.4322391438674487</v>
      </c>
      <c r="T12" s="5">
        <f t="shared" si="7"/>
        <v>3.7933056663053986</v>
      </c>
      <c r="U12" s="42">
        <f t="shared" si="8"/>
        <v>13.636805240630441</v>
      </c>
      <c r="V12" s="42">
        <f t="shared" si="9"/>
        <v>4.1880663839242747</v>
      </c>
      <c r="W12" s="42">
        <f t="shared" si="9"/>
        <v>44.402939238187649</v>
      </c>
    </row>
    <row r="13" spans="1:25" s="12" customFormat="1" x14ac:dyDescent="0.25">
      <c r="A13" s="10" t="s">
        <v>21</v>
      </c>
      <c r="B13" s="10" t="s">
        <v>30</v>
      </c>
      <c r="C13" s="10">
        <f>'inverse variance-Buckland CI'!C13</f>
        <v>2.5547300867066101</v>
      </c>
      <c r="D13" s="10">
        <f>'inverse variance-Buckland CI'!D13</f>
        <v>0.12905708679672501</v>
      </c>
      <c r="E13" s="10">
        <f>'inverse variance-Buckland CI'!E13</f>
        <v>2.3839633144208201</v>
      </c>
      <c r="F13" s="10">
        <f>'inverse variance-Buckland CI'!F13</f>
        <v>2.7254968589924</v>
      </c>
      <c r="G13" s="10">
        <f>'inverse variance-Buckland CI'!G13</f>
        <v>22.8745384232992</v>
      </c>
      <c r="H13" s="10">
        <f>'inverse variance-Buckland CI'!H13</f>
        <v>0.33800000000000002</v>
      </c>
      <c r="I13" s="10">
        <f>'inverse variance-Buckland CI'!I13</f>
        <v>21</v>
      </c>
      <c r="J13" s="5">
        <f t="shared" si="0"/>
        <v>0.59141386921647821</v>
      </c>
      <c r="K13" s="5">
        <v>1.323188</v>
      </c>
      <c r="L13" s="5">
        <f t="shared" si="1"/>
        <v>1.8548423341095179</v>
      </c>
      <c r="M13" s="5">
        <f t="shared" si="2"/>
        <v>2.7826188752709951</v>
      </c>
      <c r="N13" s="11">
        <f t="shared" si="3"/>
        <v>2.6118520867066102</v>
      </c>
      <c r="O13" s="42">
        <f t="shared" si="4"/>
        <v>13.624260811445337</v>
      </c>
      <c r="P13" s="11">
        <f t="shared" si="5"/>
        <v>5.5555555555555552E-2</v>
      </c>
      <c r="Q13" s="5" cm="1">
        <f t="array" ref="Q13">SUM($C$4:$C$21*$P$4:$P$21)</f>
        <v>2.6127724050864236</v>
      </c>
      <c r="R13" s="20">
        <f t="shared" si="10"/>
        <v>0.9222916103273241</v>
      </c>
      <c r="S13" s="5">
        <f t="shared" si="6"/>
        <v>1.4322391438674487</v>
      </c>
      <c r="T13" s="5">
        <f t="shared" si="7"/>
        <v>3.7933056663053986</v>
      </c>
      <c r="U13" s="42">
        <f t="shared" si="8"/>
        <v>13.636805240630441</v>
      </c>
      <c r="V13" s="42">
        <f t="shared" si="9"/>
        <v>4.1880663839242747</v>
      </c>
      <c r="W13" s="42">
        <f t="shared" si="9"/>
        <v>44.402939238187649</v>
      </c>
    </row>
    <row r="14" spans="1:25" s="12" customFormat="1" x14ac:dyDescent="0.25">
      <c r="A14" s="10" t="s">
        <v>22</v>
      </c>
      <c r="B14" s="10" t="s">
        <v>33</v>
      </c>
      <c r="C14" s="10">
        <f>'inverse variance-Buckland CI'!C14</f>
        <v>2.7386056832110102</v>
      </c>
      <c r="D14" s="10">
        <f>'inverse variance-Buckland CI'!D14</f>
        <v>0.11502880133766399</v>
      </c>
      <c r="E14" s="10">
        <f>'inverse variance-Buckland CI'!E14</f>
        <v>2.58640096813577</v>
      </c>
      <c r="F14" s="10">
        <f>'inverse variance-Buckland CI'!F14</f>
        <v>2.8908103982862499</v>
      </c>
      <c r="G14" s="10">
        <f>'inverse variance-Buckland CI'!G14</f>
        <v>19.936268573053699</v>
      </c>
      <c r="H14" s="10">
        <f>'inverse variance-Buckland CI'!H14</f>
        <v>0.317</v>
      </c>
      <c r="I14" s="10">
        <f>'inverse variance-Buckland CI'!I14</f>
        <v>21</v>
      </c>
      <c r="J14" s="5">
        <f t="shared" si="0"/>
        <v>0.5271281892298828</v>
      </c>
      <c r="K14" s="5">
        <v>1.323188</v>
      </c>
      <c r="L14" s="5">
        <f t="shared" si="1"/>
        <v>2.11412610099676</v>
      </c>
      <c r="M14" s="5">
        <f t="shared" si="2"/>
        <v>2.9410549127953911</v>
      </c>
      <c r="N14" s="11">
        <f t="shared" si="3"/>
        <v>2.78885018321101</v>
      </c>
      <c r="O14" s="42">
        <f t="shared" si="4"/>
        <v>16.262310370149034</v>
      </c>
      <c r="P14" s="11">
        <f t="shared" si="5"/>
        <v>5.5555555555555552E-2</v>
      </c>
      <c r="Q14" s="5" cm="1">
        <f t="array" ref="Q14">SUM($C$4:$C$21*$P$4:$P$21)</f>
        <v>2.6127724050864236</v>
      </c>
      <c r="R14" s="20">
        <f t="shared" si="10"/>
        <v>0.9222916103273241</v>
      </c>
      <c r="S14" s="5">
        <f t="shared" si="6"/>
        <v>1.4322391438674487</v>
      </c>
      <c r="T14" s="5">
        <f t="shared" si="7"/>
        <v>3.7933056663053986</v>
      </c>
      <c r="U14" s="42">
        <f t="shared" si="8"/>
        <v>13.636805240630441</v>
      </c>
      <c r="V14" s="42">
        <f t="shared" si="9"/>
        <v>4.1880663839242747</v>
      </c>
      <c r="W14" s="42">
        <f t="shared" si="9"/>
        <v>44.402939238187649</v>
      </c>
    </row>
    <row r="15" spans="1:25" s="12" customFormat="1" x14ac:dyDescent="0.25">
      <c r="A15" s="10" t="s">
        <v>23</v>
      </c>
      <c r="B15" s="10" t="s">
        <v>31</v>
      </c>
      <c r="C15" s="10">
        <f>'inverse variance-Buckland CI'!C15</f>
        <v>2.5199833209339002</v>
      </c>
      <c r="D15" s="10">
        <f>'inverse variance-Buckland CI'!D15</f>
        <v>0.13280147362074701</v>
      </c>
      <c r="E15" s="10">
        <f>'inverse variance-Buckland CI'!E15</f>
        <v>2.3442620214074998</v>
      </c>
      <c r="F15" s="10">
        <f>'inverse variance-Buckland CI'!F15</f>
        <v>2.6957046204602899</v>
      </c>
      <c r="G15" s="10">
        <f>'inverse variance-Buckland CI'!G15</f>
        <v>23.027843900216102</v>
      </c>
      <c r="H15" s="10">
        <f>'inverse variance-Buckland CI'!H15</f>
        <v>0.33900000000000002</v>
      </c>
      <c r="I15" s="10">
        <f>'inverse variance-Buckland CI'!I15</f>
        <v>21</v>
      </c>
      <c r="J15" s="5">
        <f t="shared" si="0"/>
        <v>0.60857280526875435</v>
      </c>
      <c r="K15" s="5">
        <v>1.323188</v>
      </c>
      <c r="L15" s="5">
        <f t="shared" si="1"/>
        <v>1.7984706301898945</v>
      </c>
      <c r="M15" s="5">
        <f t="shared" si="2"/>
        <v>2.7531651372111892</v>
      </c>
      <c r="N15" s="11">
        <f t="shared" si="3"/>
        <v>2.5774438209339001</v>
      </c>
      <c r="O15" s="42">
        <f t="shared" si="4"/>
        <v>13.163446990038443</v>
      </c>
      <c r="P15" s="11">
        <f t="shared" si="5"/>
        <v>5.5555555555555552E-2</v>
      </c>
      <c r="Q15" s="5" cm="1">
        <f t="array" ref="Q15">SUM($C$4:$C$21*$P$4:$P$21)</f>
        <v>2.6127724050864236</v>
      </c>
      <c r="R15" s="20">
        <f t="shared" si="10"/>
        <v>0.9222916103273241</v>
      </c>
      <c r="S15" s="5">
        <f t="shared" si="6"/>
        <v>1.4322391438674487</v>
      </c>
      <c r="T15" s="5">
        <f t="shared" si="7"/>
        <v>3.7933056663053986</v>
      </c>
      <c r="U15" s="42">
        <f t="shared" si="8"/>
        <v>13.636805240630441</v>
      </c>
      <c r="V15" s="42">
        <f t="shared" si="9"/>
        <v>4.1880663839242747</v>
      </c>
      <c r="W15" s="42">
        <f t="shared" si="9"/>
        <v>44.402939238187649</v>
      </c>
      <c r="Y15" s="12">
        <v>15.6</v>
      </c>
    </row>
    <row r="16" spans="1:25" s="12" customFormat="1" x14ac:dyDescent="0.25">
      <c r="A16" s="10" t="s">
        <v>24</v>
      </c>
      <c r="B16" s="10" t="s">
        <v>53</v>
      </c>
      <c r="C16" s="10">
        <f>'inverse variance-Buckland CI'!C16</f>
        <v>2.61423000672491</v>
      </c>
      <c r="D16" s="10">
        <f>'inverse variance-Buckland CI'!D16</f>
        <v>0.115836171755717</v>
      </c>
      <c r="E16" s="10">
        <f>'inverse variance-Buckland CI'!E16</f>
        <v>2.46095698890278</v>
      </c>
      <c r="F16" s="10">
        <f>'inverse variance-Buckland CI'!F16</f>
        <v>2.76750302454704</v>
      </c>
      <c r="G16" s="10">
        <f>'inverse variance-Buckland CI'!G16</f>
        <v>19.432927366971601</v>
      </c>
      <c r="H16" s="10">
        <f>'inverse variance-Buckland CI'!H16</f>
        <v>0.314</v>
      </c>
      <c r="I16" s="10">
        <f>'inverse variance-Buckland CI'!I16</f>
        <v>21</v>
      </c>
      <c r="J16" s="5">
        <f t="shared" si="0"/>
        <v>0.53082802528447892</v>
      </c>
      <c r="K16" s="5">
        <v>1.323188</v>
      </c>
      <c r="L16" s="5">
        <f t="shared" si="1"/>
        <v>1.9840681343607769</v>
      </c>
      <c r="M16" s="5">
        <f t="shared" si="2"/>
        <v>2.8168010391580136</v>
      </c>
      <c r="N16" s="11">
        <f t="shared" si="3"/>
        <v>2.6635280067249099</v>
      </c>
      <c r="O16" s="42">
        <f t="shared" si="4"/>
        <v>14.346815579232713</v>
      </c>
      <c r="P16" s="11">
        <f t="shared" si="5"/>
        <v>5.5555555555555552E-2</v>
      </c>
      <c r="Q16" s="5" cm="1">
        <f t="array" ref="Q16">SUM($C$4:$C$21*$P$4:$P$21)</f>
        <v>2.6127724050864236</v>
      </c>
      <c r="R16" s="20">
        <f t="shared" si="10"/>
        <v>0.9222916103273241</v>
      </c>
      <c r="S16" s="5">
        <f t="shared" si="6"/>
        <v>1.4322391438674487</v>
      </c>
      <c r="T16" s="5">
        <f t="shared" si="7"/>
        <v>3.7933056663053986</v>
      </c>
      <c r="U16" s="42">
        <f t="shared" si="8"/>
        <v>13.636805240630441</v>
      </c>
      <c r="V16" s="42">
        <f t="shared" si="9"/>
        <v>4.1880663839242747</v>
      </c>
      <c r="W16" s="42">
        <f t="shared" si="9"/>
        <v>44.402939238187649</v>
      </c>
      <c r="Y16" s="12">
        <v>14.3</v>
      </c>
    </row>
    <row r="17" spans="1:25" s="12" customFormat="1" x14ac:dyDescent="0.25">
      <c r="A17" s="10" t="s">
        <v>25</v>
      </c>
      <c r="B17" s="10" t="s">
        <v>34</v>
      </c>
      <c r="C17" s="10">
        <f>'inverse variance-Buckland CI'!C17</f>
        <v>2.5255224006689501</v>
      </c>
      <c r="D17" s="10">
        <f>'inverse variance-Buckland CI'!D17</f>
        <v>0.12644726450567501</v>
      </c>
      <c r="E17" s="10">
        <f>'inverse variance-Buckland CI'!E17</f>
        <v>2.3582089135916098</v>
      </c>
      <c r="F17" s="10">
        <f>'inverse variance-Buckland CI'!F17</f>
        <v>2.6928358877462801</v>
      </c>
      <c r="G17" s="10">
        <f>'inverse variance-Buckland CI'!G17</f>
        <v>21.2083411794416</v>
      </c>
      <c r="H17" s="10">
        <f>'inverse variance-Buckland CI'!H17</f>
        <v>0.32600000000000001</v>
      </c>
      <c r="I17" s="10">
        <f>'inverse variance-Buckland CI'!I17</f>
        <v>21</v>
      </c>
      <c r="J17" s="5">
        <f t="shared" si="0"/>
        <v>0.57945416101735858</v>
      </c>
      <c r="K17" s="5">
        <v>1.323188</v>
      </c>
      <c r="L17" s="5">
        <f t="shared" si="1"/>
        <v>1.8369590745667312</v>
      </c>
      <c r="M17" s="5">
        <f t="shared" si="2"/>
        <v>2.7459739036956852</v>
      </c>
      <c r="N17" s="11">
        <f t="shared" si="3"/>
        <v>2.5786604006689502</v>
      </c>
      <c r="O17" s="42">
        <f t="shared" si="4"/>
        <v>13.179471118228346</v>
      </c>
      <c r="P17" s="11">
        <f t="shared" si="5"/>
        <v>5.5555555555555552E-2</v>
      </c>
      <c r="Q17" s="5" cm="1">
        <f t="array" ref="Q17">SUM($C$4:$C$21*$P$4:$P$21)</f>
        <v>2.6127724050864236</v>
      </c>
      <c r="R17" s="20">
        <f t="shared" si="10"/>
        <v>0.9222916103273241</v>
      </c>
      <c r="S17" s="5">
        <f t="shared" si="6"/>
        <v>1.4322391438674487</v>
      </c>
      <c r="T17" s="5">
        <f t="shared" si="7"/>
        <v>3.7933056663053986</v>
      </c>
      <c r="U17" s="42">
        <f t="shared" si="8"/>
        <v>13.636805240630441</v>
      </c>
      <c r="V17" s="42">
        <f t="shared" si="9"/>
        <v>4.1880663839242747</v>
      </c>
      <c r="W17" s="42">
        <f t="shared" si="9"/>
        <v>44.402939238187649</v>
      </c>
      <c r="Y17" s="12">
        <v>14.4</v>
      </c>
    </row>
    <row r="18" spans="1:25" s="12" customFormat="1" x14ac:dyDescent="0.25">
      <c r="A18" s="10" t="s">
        <v>27</v>
      </c>
      <c r="B18" s="10" t="s">
        <v>36</v>
      </c>
      <c r="C18" s="10">
        <f>'inverse variance-Buckland CI'!C18</f>
        <v>2.7004108818662602</v>
      </c>
      <c r="D18" s="10">
        <f>'inverse variance-Buckland CI'!D18</f>
        <v>0.119595694012175</v>
      </c>
      <c r="E18" s="10">
        <f>'inverse variance-Buckland CI'!E18</f>
        <v>2.5421633097828602</v>
      </c>
      <c r="F18" s="10">
        <f>'inverse variance-Buckland CI'!F18</f>
        <v>2.8586584539496598</v>
      </c>
      <c r="G18" s="10">
        <f>'inverse variance-Buckland CI'!G18</f>
        <v>21.847059575502001</v>
      </c>
      <c r="H18" s="10">
        <f>'inverse variance-Buckland CI'!H18</f>
        <v>0.33</v>
      </c>
      <c r="I18" s="10">
        <f>'inverse variance-Buckland CI'!I18</f>
        <v>21</v>
      </c>
      <c r="J18" s="5">
        <f t="shared" si="0"/>
        <v>0.54805632060156884</v>
      </c>
      <c r="K18" s="5">
        <v>1.323188</v>
      </c>
      <c r="L18" s="5">
        <f t="shared" si="1"/>
        <v>2.0533487914962523</v>
      </c>
      <c r="M18" s="5">
        <f t="shared" si="2"/>
        <v>2.9131084690348423</v>
      </c>
      <c r="N18" s="11">
        <f t="shared" si="3"/>
        <v>2.7548608818662603</v>
      </c>
      <c r="O18" s="42">
        <f t="shared" si="4"/>
        <v>15.718853973057074</v>
      </c>
      <c r="P18" s="11">
        <f t="shared" si="5"/>
        <v>5.5555555555555552E-2</v>
      </c>
      <c r="Q18" s="5" cm="1">
        <f t="array" ref="Q18">SUM($C$4:$C$21*$P$4:$P$21)</f>
        <v>2.6127724050864236</v>
      </c>
      <c r="R18" s="20">
        <f t="shared" si="10"/>
        <v>0.9222916103273241</v>
      </c>
      <c r="S18" s="5">
        <f t="shared" si="6"/>
        <v>1.4322391438674487</v>
      </c>
      <c r="T18" s="5">
        <f t="shared" si="7"/>
        <v>3.7933056663053986</v>
      </c>
      <c r="U18" s="42">
        <f t="shared" si="8"/>
        <v>13.636805240630441</v>
      </c>
      <c r="V18" s="42">
        <f t="shared" si="9"/>
        <v>4.1880663839242747</v>
      </c>
      <c r="W18" s="42">
        <f t="shared" si="9"/>
        <v>44.402939238187649</v>
      </c>
      <c r="Y18" s="12">
        <f>Y15-Y16</f>
        <v>1.2999999999999989</v>
      </c>
    </row>
    <row r="19" spans="1:25" s="12" customFormat="1" x14ac:dyDescent="0.25">
      <c r="A19" s="10" t="s">
        <v>29</v>
      </c>
      <c r="B19" s="10" t="s">
        <v>35</v>
      </c>
      <c r="C19" s="10">
        <f>'inverse variance-Buckland CI'!C19</f>
        <v>2.5104391121635201</v>
      </c>
      <c r="D19" s="10">
        <f>'inverse variance-Buckland CI'!D19</f>
        <v>0.13833692670317199</v>
      </c>
      <c r="E19" s="10">
        <f>'inverse variance-Buckland CI'!E19</f>
        <v>2.32739336824211</v>
      </c>
      <c r="F19" s="10">
        <f>'inverse variance-Buckland CI'!F19</f>
        <v>2.6934848560849298</v>
      </c>
      <c r="G19" s="10">
        <f>'inverse variance-Buckland CI'!G19</f>
        <v>24.296314278671701</v>
      </c>
      <c r="H19" s="10">
        <f>'inverse variance-Buckland CI'!H19</f>
        <v>0.34799999999999998</v>
      </c>
      <c r="I19" s="10">
        <f>'inverse variance-Buckland CI'!I19</f>
        <v>21</v>
      </c>
      <c r="J19" s="5">
        <f t="shared" si="0"/>
        <v>0.63393943802484343</v>
      </c>
      <c r="K19" s="5">
        <v>1.323188</v>
      </c>
      <c r="L19" s="5">
        <f t="shared" si="1"/>
        <v>1.7595486314917204</v>
      </c>
      <c r="M19" s="5">
        <f t="shared" si="2"/>
        <v>2.7540368735340368</v>
      </c>
      <c r="N19" s="11">
        <f t="shared" si="3"/>
        <v>2.5709911121635201</v>
      </c>
      <c r="O19" s="42">
        <f t="shared" si="4"/>
        <v>13.078780557886368</v>
      </c>
      <c r="P19" s="11">
        <f t="shared" si="5"/>
        <v>5.5555555555555552E-2</v>
      </c>
      <c r="Q19" s="5" cm="1">
        <f t="array" ref="Q19">SUM($C$4:$C$21*$P$4:$P$21)</f>
        <v>2.6127724050864236</v>
      </c>
      <c r="R19" s="20">
        <f t="shared" si="10"/>
        <v>0.9222916103273241</v>
      </c>
      <c r="S19" s="5">
        <f t="shared" si="6"/>
        <v>1.4322391438674487</v>
      </c>
      <c r="T19" s="5">
        <f t="shared" si="7"/>
        <v>3.7933056663053986</v>
      </c>
      <c r="U19" s="42">
        <f t="shared" si="8"/>
        <v>13.636805240630441</v>
      </c>
      <c r="V19" s="42">
        <f t="shared" si="9"/>
        <v>4.1880663839242747</v>
      </c>
      <c r="W19" s="42">
        <f t="shared" si="9"/>
        <v>44.402939238187649</v>
      </c>
      <c r="Y19" s="12">
        <f>Y15-Y17</f>
        <v>1.1999999999999993</v>
      </c>
    </row>
    <row r="20" spans="1:25" s="12" customFormat="1" x14ac:dyDescent="0.25">
      <c r="A20" s="10" t="s">
        <v>45</v>
      </c>
      <c r="B20" s="10" t="s">
        <v>54</v>
      </c>
      <c r="C20" s="10">
        <f>'inverse variance-Buckland CI'!C20</f>
        <v>2.5791672052573098</v>
      </c>
      <c r="D20" s="10">
        <f>'inverse variance-Buckland CI'!D20</f>
        <v>0.12156265332511799</v>
      </c>
      <c r="E20" s="10">
        <f>'inverse variance-Buckland CI'!E20</f>
        <v>2.4183169764626302</v>
      </c>
      <c r="F20" s="10">
        <f>'inverse variance-Buckland CI'!F20</f>
        <v>2.7400174340519801</v>
      </c>
      <c r="G20" s="10">
        <f>'inverse variance-Buckland CI'!G20</f>
        <v>20.914495722242801</v>
      </c>
      <c r="H20" s="10">
        <f>'inverse variance-Buckland CI'!H20</f>
        <v>0.32400000000000001</v>
      </c>
      <c r="I20" s="10">
        <f>'inverse variance-Buckland CI'!I20</f>
        <v>21</v>
      </c>
      <c r="J20" s="5">
        <f t="shared" si="0"/>
        <v>0.55707006054202846</v>
      </c>
      <c r="K20" s="5">
        <v>1.323188</v>
      </c>
      <c r="L20" s="5">
        <f t="shared" si="1"/>
        <v>1.9186055277635132</v>
      </c>
      <c r="M20" s="5">
        <f t="shared" si="2"/>
        <v>2.7925054493852661</v>
      </c>
      <c r="N20" s="11">
        <f t="shared" si="3"/>
        <v>2.6316552052573097</v>
      </c>
      <c r="O20" s="42">
        <f t="shared" si="4"/>
        <v>13.896752854515217</v>
      </c>
      <c r="P20" s="11">
        <f t="shared" si="5"/>
        <v>5.5555555555555552E-2</v>
      </c>
      <c r="Q20" s="5" cm="1">
        <f t="array" ref="Q20">SUM($C$4:$C$21*$P$4:$P$21)</f>
        <v>2.6127724050864236</v>
      </c>
      <c r="R20" s="20">
        <f t="shared" si="10"/>
        <v>0.9222916103273241</v>
      </c>
      <c r="S20" s="5">
        <f t="shared" si="6"/>
        <v>1.4322391438674487</v>
      </c>
      <c r="T20" s="5">
        <f t="shared" si="7"/>
        <v>3.7933056663053986</v>
      </c>
      <c r="U20" s="42">
        <f t="shared" si="8"/>
        <v>13.636805240630441</v>
      </c>
      <c r="V20" s="42">
        <f t="shared" si="9"/>
        <v>4.1880663839242747</v>
      </c>
      <c r="W20" s="42">
        <f t="shared" si="9"/>
        <v>44.402939238187649</v>
      </c>
    </row>
    <row r="21" spans="1:25" s="17" customFormat="1" x14ac:dyDescent="0.25">
      <c r="A21" s="14" t="s">
        <v>32</v>
      </c>
      <c r="B21" s="14" t="s">
        <v>55</v>
      </c>
      <c r="C21" s="14">
        <f>'inverse variance-Buckland CI'!C21</f>
        <v>2.5096767376662399</v>
      </c>
      <c r="D21" s="14">
        <f>'inverse variance-Buckland CI'!D21</f>
        <v>0.13289375029991499</v>
      </c>
      <c r="E21" s="14">
        <f>'inverse variance-Buckland CI'!E21</f>
        <v>2.3338333387569299</v>
      </c>
      <c r="F21" s="14">
        <f>'inverse variance-Buckland CI'!F21</f>
        <v>2.6855201365755601</v>
      </c>
      <c r="G21" s="14">
        <f>'inverse variance-Buckland CI'!G21</f>
        <v>22.7409979664674</v>
      </c>
      <c r="H21" s="14">
        <f>'inverse variance-Buckland CI'!H21</f>
        <v>0.33700000000000002</v>
      </c>
      <c r="I21" s="14">
        <f>'inverse variance-Buckland CI'!I21</f>
        <v>21</v>
      </c>
      <c r="J21" s="15">
        <f t="shared" si="0"/>
        <v>0.60899567013592082</v>
      </c>
      <c r="K21" s="15">
        <v>1.323188</v>
      </c>
      <c r="L21" s="15">
        <f t="shared" si="1"/>
        <v>1.7869467798922614</v>
      </c>
      <c r="M21" s="15">
        <f t="shared" si="2"/>
        <v>2.7423046533380839</v>
      </c>
      <c r="N21" s="16">
        <f t="shared" si="3"/>
        <v>2.5664612376662399</v>
      </c>
      <c r="O21" s="43">
        <f t="shared" si="4"/>
        <v>13.019669307732997</v>
      </c>
      <c r="P21" s="16">
        <f t="shared" si="5"/>
        <v>5.5555555555555552E-2</v>
      </c>
      <c r="Q21" s="15" cm="1">
        <f t="array" ref="Q21">SUM($C$4:$C$21*$P$4:$P$21)</f>
        <v>2.6127724050864236</v>
      </c>
      <c r="R21" s="21">
        <f t="shared" si="10"/>
        <v>0.9222916103273241</v>
      </c>
      <c r="S21" s="15">
        <f t="shared" si="6"/>
        <v>1.4322391438674487</v>
      </c>
      <c r="T21" s="15">
        <f t="shared" si="7"/>
        <v>3.7933056663053986</v>
      </c>
      <c r="U21" s="43">
        <f t="shared" si="8"/>
        <v>13.636805240630441</v>
      </c>
      <c r="V21" s="43">
        <f t="shared" si="9"/>
        <v>4.1880663839242747</v>
      </c>
      <c r="W21" s="43">
        <f t="shared" si="9"/>
        <v>44.402939238187649</v>
      </c>
    </row>
    <row r="22" spans="1:25" x14ac:dyDescent="0.25">
      <c r="Q22" s="15" cm="1">
        <f t="array" ref="Q22">SUM($C$4:$C$21*$P$4:$P$21)</f>
        <v>2.6127724050864236</v>
      </c>
    </row>
    <row r="26" spans="1:25" x14ac:dyDescent="0.25">
      <c r="A26" s="6" t="s">
        <v>66</v>
      </c>
    </row>
    <row r="27" spans="1:25" x14ac:dyDescent="0.25">
      <c r="A27" s="7"/>
      <c r="B27" s="8" t="s">
        <v>10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25" x14ac:dyDescent="0.25">
      <c r="A28" s="8" t="s">
        <v>58</v>
      </c>
      <c r="B28" s="9">
        <v>0.87545412199999995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V28" s="1">
        <f>15.6-14.3</f>
        <v>1.2999999999999989</v>
      </c>
    </row>
    <row r="29" spans="1:25" ht="15.75" x14ac:dyDescent="0.25">
      <c r="A29" s="8" t="s">
        <v>59</v>
      </c>
      <c r="B29" s="8" t="s">
        <v>60</v>
      </c>
      <c r="C29" s="8" t="s">
        <v>61</v>
      </c>
      <c r="D29" s="8" t="s">
        <v>62</v>
      </c>
      <c r="E29" s="8" t="s">
        <v>63</v>
      </c>
      <c r="F29" s="8" t="s">
        <v>64</v>
      </c>
      <c r="G29" s="8" t="s">
        <v>1</v>
      </c>
      <c r="H29" s="184" t="s">
        <v>37</v>
      </c>
      <c r="I29" s="184"/>
      <c r="J29" s="184"/>
      <c r="K29" s="184"/>
      <c r="L29" s="184"/>
      <c r="M29" s="184"/>
    </row>
    <row r="30" spans="1:25" x14ac:dyDescent="0.25">
      <c r="A30" s="8" t="s">
        <v>11</v>
      </c>
      <c r="B30" s="8" t="s">
        <v>65</v>
      </c>
      <c r="C30" s="7">
        <v>2.3352742900000001</v>
      </c>
      <c r="D30" s="7">
        <v>0.21099999999999999</v>
      </c>
      <c r="E30" s="7">
        <v>11.051</v>
      </c>
      <c r="F30" s="7">
        <v>0</v>
      </c>
      <c r="G30" s="5">
        <f>C30+(C31*B28)</f>
        <v>2.712148762597852</v>
      </c>
      <c r="H30" s="5">
        <f>G30+((H4*H4)/2)</f>
        <v>2.8041692625978518</v>
      </c>
      <c r="I30" s="5">
        <f>EXP(G30)*EXP(0.5*H4*H4)</f>
        <v>16.513351947251564</v>
      </c>
      <c r="J30" s="18">
        <f>EXP(H30)</f>
        <v>16.513351947251564</v>
      </c>
      <c r="K30" s="18"/>
      <c r="L30" s="5">
        <f>LN(I30)</f>
        <v>2.8041692625978518</v>
      </c>
      <c r="M30" s="5">
        <f>EXP(C30+C31*B28+0.5*H4*H4)</f>
        <v>16.513351947251564</v>
      </c>
    </row>
    <row r="31" spans="1:25" x14ac:dyDescent="0.25">
      <c r="A31" s="8" t="s">
        <v>11</v>
      </c>
      <c r="B31" s="8" t="s">
        <v>10</v>
      </c>
      <c r="C31" s="7">
        <v>0.43049026000000001</v>
      </c>
      <c r="D31" s="7">
        <v>7.2999999999999995E-2</v>
      </c>
      <c r="E31" s="7">
        <v>5.8920000000000003</v>
      </c>
      <c r="F31" s="7">
        <v>0</v>
      </c>
      <c r="G31" s="7"/>
      <c r="H31" s="7"/>
      <c r="I31" s="7"/>
      <c r="J31" s="7"/>
      <c r="K31" s="7"/>
      <c r="L31" s="7"/>
      <c r="M31" s="7"/>
    </row>
    <row r="32" spans="1:25" x14ac:dyDescent="0.25">
      <c r="A32" s="7"/>
      <c r="B32" s="7"/>
      <c r="C32" s="7"/>
      <c r="D32" s="7"/>
      <c r="E32" s="7"/>
      <c r="F32" s="7"/>
      <c r="G32" s="7"/>
      <c r="H32" s="7"/>
      <c r="I32" s="7"/>
      <c r="J32" s="19"/>
      <c r="K32" s="19"/>
      <c r="L32" s="7"/>
      <c r="M32" s="7"/>
    </row>
  </sheetData>
  <mergeCells count="5">
    <mergeCell ref="C2:I2"/>
    <mergeCell ref="L2:M2"/>
    <mergeCell ref="S2:T2"/>
    <mergeCell ref="V2:W2"/>
    <mergeCell ref="H29:M2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723F-44A1-4211-B943-6C66678064B3}">
  <dimension ref="A1:AA32"/>
  <sheetViews>
    <sheetView topLeftCell="K1" workbookViewId="0">
      <selection activeCell="T30" sqref="T30"/>
    </sheetView>
  </sheetViews>
  <sheetFormatPr defaultRowHeight="15" x14ac:dyDescent="0.25"/>
  <cols>
    <col min="1" max="1" width="22.42578125" style="1" bestFit="1" customWidth="1"/>
    <col min="2" max="2" width="25.5703125" style="1" bestFit="1" customWidth="1"/>
    <col min="3" max="10" width="9.140625" style="1"/>
    <col min="11" max="11" width="9.42578125" style="1" customWidth="1"/>
    <col min="12" max="12" width="13.42578125" style="1" customWidth="1"/>
    <col min="13" max="13" width="17.42578125" style="1" customWidth="1"/>
    <col min="14" max="14" width="19" style="1" bestFit="1" customWidth="1"/>
    <col min="15" max="15" width="19" style="1" customWidth="1"/>
    <col min="16" max="16" width="32.7109375" style="1" bestFit="1" customWidth="1"/>
    <col min="17" max="17" width="32.7109375" style="1" customWidth="1"/>
    <col min="18" max="18" width="21.7109375" style="1" bestFit="1" customWidth="1"/>
    <col min="19" max="19" width="22.28515625" style="1" customWidth="1"/>
    <col min="20" max="20" width="35.140625" style="1" customWidth="1"/>
    <col min="21" max="21" width="5.5703125" style="1" bestFit="1" customWidth="1"/>
    <col min="22" max="22" width="19.140625" style="1" customWidth="1"/>
    <col min="23" max="23" width="24.7109375" style="1" customWidth="1"/>
  </cols>
  <sheetData>
    <row r="1" spans="1:27" ht="45" x14ac:dyDescent="0.25">
      <c r="A1" s="23" t="s">
        <v>132</v>
      </c>
      <c r="B1" s="2" t="s">
        <v>57</v>
      </c>
    </row>
    <row r="2" spans="1:27" x14ac:dyDescent="0.25">
      <c r="C2" s="183" t="s">
        <v>56</v>
      </c>
      <c r="D2" s="183"/>
      <c r="E2" s="183"/>
      <c r="F2" s="183"/>
      <c r="G2" s="183"/>
      <c r="H2" s="183"/>
      <c r="I2" s="183"/>
      <c r="L2" s="183" t="s">
        <v>46</v>
      </c>
      <c r="M2" s="183"/>
      <c r="P2" s="22"/>
      <c r="Q2" s="22"/>
      <c r="S2" s="183" t="s">
        <v>47</v>
      </c>
      <c r="T2" s="183"/>
      <c r="V2" s="183" t="s">
        <v>47</v>
      </c>
      <c r="W2" s="183"/>
    </row>
    <row r="3" spans="1:27" s="4" customFormat="1" ht="15.75" x14ac:dyDescent="0.25">
      <c r="A3" s="3" t="s">
        <v>44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84</v>
      </c>
      <c r="L3" s="3" t="s">
        <v>41</v>
      </c>
      <c r="M3" s="3" t="s">
        <v>42</v>
      </c>
      <c r="N3" s="3" t="s">
        <v>37</v>
      </c>
      <c r="O3" s="3" t="s">
        <v>37</v>
      </c>
      <c r="P3" s="3" t="s">
        <v>76</v>
      </c>
      <c r="Q3" s="3" t="s">
        <v>76</v>
      </c>
      <c r="R3" s="3" t="s">
        <v>38</v>
      </c>
      <c r="S3" s="3" t="s">
        <v>9</v>
      </c>
      <c r="T3" s="3" t="s">
        <v>39</v>
      </c>
      <c r="U3" s="3" t="s">
        <v>40</v>
      </c>
      <c r="V3" s="3" t="s">
        <v>136</v>
      </c>
      <c r="W3" s="3" t="s">
        <v>41</v>
      </c>
      <c r="X3" s="3" t="s">
        <v>42</v>
      </c>
      <c r="Y3" s="3" t="s">
        <v>1</v>
      </c>
      <c r="Z3" s="3" t="s">
        <v>41</v>
      </c>
      <c r="AA3" s="3" t="s">
        <v>42</v>
      </c>
    </row>
    <row r="4" spans="1:27" s="13" customFormat="1" x14ac:dyDescent="0.25">
      <c r="A4" s="36" t="s">
        <v>11</v>
      </c>
      <c r="B4" s="36" t="s">
        <v>10</v>
      </c>
      <c r="C4" s="36">
        <f>'inverse variance-Buckland CI'!C4</f>
        <v>2.7134987753970501</v>
      </c>
      <c r="D4" s="36">
        <f>'inverse variance-Buckland CI'!D4</f>
        <v>0.15515670035065199</v>
      </c>
      <c r="E4" s="36">
        <f>'inverse variance-Buckland CI'!E4</f>
        <v>2.5085000421862702</v>
      </c>
      <c r="F4" s="36">
        <f>'inverse variance-Buckland CI'!F4</f>
        <v>2.9184975086078202</v>
      </c>
      <c r="G4" s="36">
        <f>'inverse variance-Buckland CI'!G4</f>
        <v>32.571484305050198</v>
      </c>
      <c r="H4" s="36">
        <f>'inverse variance-Buckland CI'!H4</f>
        <v>0.42899999999999999</v>
      </c>
      <c r="I4" s="36">
        <f>'inverse variance-Buckland CI'!I4</f>
        <v>22</v>
      </c>
      <c r="J4" s="37">
        <f>D4*SQRT(I4)</f>
        <v>0.7277494325668995</v>
      </c>
      <c r="K4" s="37">
        <v>1.321237</v>
      </c>
      <c r="L4" s="37">
        <f>N4-(K4*D4)</f>
        <v>2.6005205020958555</v>
      </c>
      <c r="M4" s="37">
        <f>N4+(K4*D4)</f>
        <v>3.0105180486982444</v>
      </c>
      <c r="N4" s="38">
        <f>C4+((H4*H4)/2)</f>
        <v>2.8055192753970499</v>
      </c>
      <c r="O4" s="41">
        <f>EXP(N4)</f>
        <v>16.535660238589298</v>
      </c>
      <c r="P4" s="39">
        <f>1/18</f>
        <v>5.5555555555555552E-2</v>
      </c>
      <c r="Q4" s="39">
        <f>P4</f>
        <v>5.5555555555555552E-2</v>
      </c>
      <c r="R4" s="37" cm="1">
        <f t="array" ref="R4">SUM($C$4:$C$21*$P$4:$P$21)</f>
        <v>2.6127724050864236</v>
      </c>
      <c r="S4" s="37">
        <f>J4*J4</f>
        <v>0.52961923660144417</v>
      </c>
      <c r="T4" s="38">
        <f>S4+((C4-R4)^2)</f>
        <v>0.53976503827739764</v>
      </c>
      <c r="U4" s="37">
        <f>SQRT(T4)*Q4</f>
        <v>4.0815946346554395E-2</v>
      </c>
      <c r="V4" s="40">
        <f>SUM($U$4:$U$21)</f>
        <v>0.57900211133572577</v>
      </c>
      <c r="W4" s="37">
        <f>R4-1.28*V4</f>
        <v>1.8716497025766947</v>
      </c>
      <c r="X4" s="37">
        <f>R4+1.28*V4</f>
        <v>3.3538951075961525</v>
      </c>
      <c r="Y4" s="39">
        <f>EXP(R4)</f>
        <v>13.636805240630441</v>
      </c>
      <c r="Z4" s="41">
        <f>EXP(W4)</f>
        <v>6.4990089924416958</v>
      </c>
      <c r="AA4" s="41">
        <f>EXP(X4)</f>
        <v>28.613971358888556</v>
      </c>
    </row>
    <row r="5" spans="1:27" s="12" customFormat="1" x14ac:dyDescent="0.25">
      <c r="A5" s="10" t="s">
        <v>12</v>
      </c>
      <c r="B5" s="10" t="s">
        <v>19</v>
      </c>
      <c r="C5" s="10">
        <f>'inverse variance-Buckland CI'!C5</f>
        <v>2.7018002590068702</v>
      </c>
      <c r="D5" s="10">
        <f>'inverse variance-Buckland CI'!D5</f>
        <v>0.10674608553136</v>
      </c>
      <c r="E5" s="10">
        <f>'inverse variance-Buckland CI'!E5</f>
        <v>2.5605551330492</v>
      </c>
      <c r="F5" s="10">
        <f>'inverse variance-Buckland CI'!F5</f>
        <v>2.8430453849645398</v>
      </c>
      <c r="G5" s="10">
        <f>'inverse variance-Buckland CI'!G5</f>
        <v>16.397796532519799</v>
      </c>
      <c r="H5" s="10">
        <f>'inverse variance-Buckland CI'!H5</f>
        <v>0.29499999999999998</v>
      </c>
      <c r="I5" s="10">
        <f>'inverse variance-Buckland CI'!I5</f>
        <v>21</v>
      </c>
      <c r="J5" s="5">
        <f t="shared" ref="J5:J21" si="0">D5*SQRT(I5)</f>
        <v>0.48917201708768759</v>
      </c>
      <c r="K5" s="5">
        <v>1.323188</v>
      </c>
      <c r="L5" s="5">
        <f t="shared" ref="L5:L21" si="1">N5-(1.28*J5)</f>
        <v>2.1191725771346297</v>
      </c>
      <c r="M5" s="5">
        <f t="shared" ref="M5:M21" si="2">N5+(K5*D5)</f>
        <v>2.8865578984289391</v>
      </c>
      <c r="N5" s="11">
        <f t="shared" ref="N5:N21" si="3">C5+((H5*H5)/2)</f>
        <v>2.74531275900687</v>
      </c>
      <c r="O5" s="42">
        <f t="shared" ref="O5:O21" si="4">EXP(N5)</f>
        <v>15.569482666710917</v>
      </c>
      <c r="P5" s="11">
        <f t="shared" ref="P5:P21" si="5">1/18</f>
        <v>5.5555555555555552E-2</v>
      </c>
      <c r="Q5" s="11">
        <f t="shared" ref="Q5:Q20" si="6">P5</f>
        <v>5.5555555555555552E-2</v>
      </c>
      <c r="R5" s="5" cm="1">
        <f t="array" ref="R5">SUM($C$4:$C$21*$P$4:$P$21)</f>
        <v>2.6127724050864236</v>
      </c>
      <c r="S5" s="5">
        <f t="shared" ref="S5:S21" si="7">J5*J5</f>
        <v>0.23928926230163691</v>
      </c>
      <c r="T5" s="66">
        <f t="shared" ref="T5:T21" si="8">S5+((C5-R5)^2)</f>
        <v>0.24721522107531729</v>
      </c>
      <c r="U5" s="5">
        <f t="shared" ref="U5:U21" si="9">SQRT(T5)*Q5</f>
        <v>2.7622634588150449E-2</v>
      </c>
      <c r="V5" s="20">
        <f t="shared" ref="V5:V21" si="10">SUM($U$4:$U$21)</f>
        <v>0.57900211133572577</v>
      </c>
      <c r="W5" s="5">
        <f t="shared" ref="W5:W21" si="11">R5-1.28*V5</f>
        <v>1.8716497025766947</v>
      </c>
      <c r="X5" s="5">
        <f t="shared" ref="X5:X21" si="12">R5+1.28*V5</f>
        <v>3.3538951075961525</v>
      </c>
      <c r="Y5" s="11">
        <f t="shared" ref="Y5:Y21" si="13">EXP(R5)</f>
        <v>13.636805240630441</v>
      </c>
      <c r="Z5" s="42">
        <f t="shared" ref="Z5:AA21" si="14">EXP(W5)</f>
        <v>6.4990089924416958</v>
      </c>
      <c r="AA5" s="42">
        <f t="shared" si="14"/>
        <v>28.613971358888556</v>
      </c>
    </row>
    <row r="6" spans="1:27" s="12" customFormat="1" x14ac:dyDescent="0.25">
      <c r="A6" s="10" t="s">
        <v>13</v>
      </c>
      <c r="B6" s="10" t="s">
        <v>48</v>
      </c>
      <c r="C6" s="10">
        <f>'inverse variance-Buckland CI'!C6</f>
        <v>2.7511831057059202</v>
      </c>
      <c r="D6" s="10">
        <f>'inverse variance-Buckland CI'!D6</f>
        <v>0.11205585296192801</v>
      </c>
      <c r="E6" s="10">
        <f>'inverse variance-Buckland CI'!E6</f>
        <v>2.6029121598710798</v>
      </c>
      <c r="F6" s="10">
        <f>'inverse variance-Buckland CI'!F6</f>
        <v>2.8994540515407601</v>
      </c>
      <c r="G6" s="10">
        <f>'inverse variance-Buckland CI'!G6</f>
        <v>18.612079070521901</v>
      </c>
      <c r="H6" s="10">
        <f>'inverse variance-Buckland CI'!H6</f>
        <v>0.309</v>
      </c>
      <c r="I6" s="10">
        <f>'inverse variance-Buckland CI'!I6</f>
        <v>21</v>
      </c>
      <c r="J6" s="5">
        <f t="shared" si="0"/>
        <v>0.51350442826087661</v>
      </c>
      <c r="K6" s="5">
        <v>1.323188</v>
      </c>
      <c r="L6" s="5">
        <f t="shared" si="1"/>
        <v>2.141637937531998</v>
      </c>
      <c r="M6" s="5">
        <f t="shared" si="2"/>
        <v>2.9471945656749079</v>
      </c>
      <c r="N6" s="11">
        <f t="shared" si="3"/>
        <v>2.7989236057059204</v>
      </c>
      <c r="O6" s="42">
        <f t="shared" si="4"/>
        <v>16.426955370314055</v>
      </c>
      <c r="P6" s="11">
        <f t="shared" si="5"/>
        <v>5.5555555555555552E-2</v>
      </c>
      <c r="Q6" s="11">
        <f t="shared" si="6"/>
        <v>5.5555555555555552E-2</v>
      </c>
      <c r="R6" s="5" cm="1">
        <f t="array" ref="R6">SUM($C$4:$C$21*$P$4:$P$21)</f>
        <v>2.6127724050864236</v>
      </c>
      <c r="S6" s="5">
        <f t="shared" si="7"/>
        <v>0.26368679784352977</v>
      </c>
      <c r="T6" s="66">
        <f t="shared" si="8"/>
        <v>0.2828443198895097</v>
      </c>
      <c r="U6" s="5">
        <f t="shared" si="9"/>
        <v>2.9546172272483566E-2</v>
      </c>
      <c r="V6" s="20">
        <f t="shared" si="10"/>
        <v>0.57900211133572577</v>
      </c>
      <c r="W6" s="5">
        <f t="shared" si="11"/>
        <v>1.8716497025766947</v>
      </c>
      <c r="X6" s="5">
        <f t="shared" si="12"/>
        <v>3.3538951075961525</v>
      </c>
      <c r="Y6" s="11">
        <f t="shared" si="13"/>
        <v>13.636805240630441</v>
      </c>
      <c r="Z6" s="42">
        <f t="shared" si="14"/>
        <v>6.4990089924416958</v>
      </c>
      <c r="AA6" s="42">
        <f t="shared" si="14"/>
        <v>28.613971358888556</v>
      </c>
    </row>
    <row r="7" spans="1:27" s="12" customFormat="1" x14ac:dyDescent="0.25">
      <c r="A7" s="10" t="s">
        <v>14</v>
      </c>
      <c r="B7" s="10" t="s">
        <v>49</v>
      </c>
      <c r="C7" s="10">
        <f>'inverse variance-Buckland CI'!C7</f>
        <v>2.53121969937837</v>
      </c>
      <c r="D7" s="10">
        <f>'inverse variance-Buckland CI'!D7</f>
        <v>0.133466683767723</v>
      </c>
      <c r="E7" s="10">
        <f>'inverse variance-Buckland CI'!E7</f>
        <v>2.3546182018519199</v>
      </c>
      <c r="F7" s="10">
        <f>'inverse variance-Buckland CI'!F7</f>
        <v>2.7078211969048098</v>
      </c>
      <c r="G7" s="10">
        <f>'inverse variance-Buckland CI'!G7</f>
        <v>23.563275054890301</v>
      </c>
      <c r="H7" s="10">
        <f>'inverse variance-Buckland CI'!H7</f>
        <v>0.34200000000000003</v>
      </c>
      <c r="I7" s="10">
        <f>'inverse variance-Buckland CI'!I7</f>
        <v>21</v>
      </c>
      <c r="J7" s="5">
        <f t="shared" si="0"/>
        <v>0.61162118112032449</v>
      </c>
      <c r="K7" s="5">
        <v>1.323188</v>
      </c>
      <c r="L7" s="5">
        <f t="shared" si="1"/>
        <v>1.8068265875443548</v>
      </c>
      <c r="M7" s="5">
        <f t="shared" si="2"/>
        <v>2.766303213739616</v>
      </c>
      <c r="N7" s="11">
        <f t="shared" si="3"/>
        <v>2.5897016993783701</v>
      </c>
      <c r="O7" s="42">
        <f t="shared" si="4"/>
        <v>13.325795917044662</v>
      </c>
      <c r="P7" s="11">
        <f t="shared" si="5"/>
        <v>5.5555555555555552E-2</v>
      </c>
      <c r="Q7" s="11">
        <f t="shared" si="6"/>
        <v>5.5555555555555552E-2</v>
      </c>
      <c r="R7" s="5" cm="1">
        <f t="array" ref="R7">SUM($C$4:$C$21*$P$4:$P$21)</f>
        <v>2.6127724050864236</v>
      </c>
      <c r="S7" s="5">
        <f t="shared" si="7"/>
        <v>0.37408046919502075</v>
      </c>
      <c r="T7" s="66">
        <f t="shared" si="8"/>
        <v>0.38073131300332513</v>
      </c>
      <c r="U7" s="5">
        <f t="shared" si="9"/>
        <v>3.4279682686279213E-2</v>
      </c>
      <c r="V7" s="20">
        <f t="shared" si="10"/>
        <v>0.57900211133572577</v>
      </c>
      <c r="W7" s="5">
        <f t="shared" si="11"/>
        <v>1.8716497025766947</v>
      </c>
      <c r="X7" s="5">
        <f t="shared" si="12"/>
        <v>3.3538951075961525</v>
      </c>
      <c r="Y7" s="11">
        <f t="shared" si="13"/>
        <v>13.636805240630441</v>
      </c>
      <c r="Z7" s="42">
        <f t="shared" si="14"/>
        <v>6.4990089924416958</v>
      </c>
      <c r="AA7" s="42">
        <f t="shared" si="14"/>
        <v>28.613971358888556</v>
      </c>
    </row>
    <row r="8" spans="1:27" s="12" customFormat="1" x14ac:dyDescent="0.25">
      <c r="A8" s="10" t="s">
        <v>15</v>
      </c>
      <c r="B8" s="10" t="s">
        <v>50</v>
      </c>
      <c r="C8" s="10">
        <f>'inverse variance-Buckland CI'!C8</f>
        <v>2.65193890172046</v>
      </c>
      <c r="D8" s="10">
        <f>'inverse variance-Buckland CI'!D8</f>
        <v>0.111708584367011</v>
      </c>
      <c r="E8" s="10">
        <f>'inverse variance-Buckland CI'!E8</f>
        <v>2.5041274574793899</v>
      </c>
      <c r="F8" s="10">
        <f>'inverse variance-Buckland CI'!F8</f>
        <v>2.7997503459615301</v>
      </c>
      <c r="G8" s="10">
        <f>'inverse variance-Buckland CI'!G8</f>
        <v>18.257177826155701</v>
      </c>
      <c r="H8" s="10">
        <f>'inverse variance-Buckland CI'!H8</f>
        <v>0.307</v>
      </c>
      <c r="I8" s="10">
        <f>'inverse variance-Buckland CI'!I8</f>
        <v>21</v>
      </c>
      <c r="J8" s="5">
        <f t="shared" si="0"/>
        <v>0.51191304363818857</v>
      </c>
      <c r="K8" s="5">
        <v>1.323188</v>
      </c>
      <c r="L8" s="5">
        <f t="shared" si="1"/>
        <v>2.0438147058635785</v>
      </c>
      <c r="M8" s="5">
        <f t="shared" si="2"/>
        <v>2.8468748600518765</v>
      </c>
      <c r="N8" s="11">
        <f t="shared" si="3"/>
        <v>2.6990634017204598</v>
      </c>
      <c r="O8" s="42">
        <f t="shared" si="4"/>
        <v>14.865801918074126</v>
      </c>
      <c r="P8" s="11">
        <f t="shared" si="5"/>
        <v>5.5555555555555552E-2</v>
      </c>
      <c r="Q8" s="11">
        <f t="shared" si="6"/>
        <v>5.5555555555555552E-2</v>
      </c>
      <c r="R8" s="5" cm="1">
        <f t="array" ref="R8">SUM($C$4:$C$21*$P$4:$P$21)</f>
        <v>2.6127724050864236</v>
      </c>
      <c r="S8" s="5">
        <f t="shared" si="7"/>
        <v>0.26205496424691394</v>
      </c>
      <c r="T8" s="66">
        <f t="shared" si="8"/>
        <v>0.26358897870549791</v>
      </c>
      <c r="U8" s="5">
        <f t="shared" si="9"/>
        <v>2.8522731821698361E-2</v>
      </c>
      <c r="V8" s="20">
        <f t="shared" si="10"/>
        <v>0.57900211133572577</v>
      </c>
      <c r="W8" s="5">
        <f t="shared" si="11"/>
        <v>1.8716497025766947</v>
      </c>
      <c r="X8" s="5">
        <f t="shared" si="12"/>
        <v>3.3538951075961525</v>
      </c>
      <c r="Y8" s="11">
        <f t="shared" si="13"/>
        <v>13.636805240630441</v>
      </c>
      <c r="Z8" s="42">
        <f t="shared" si="14"/>
        <v>6.4990089924416958</v>
      </c>
      <c r="AA8" s="42">
        <f t="shared" si="14"/>
        <v>28.613971358888556</v>
      </c>
    </row>
    <row r="9" spans="1:27" s="12" customFormat="1" x14ac:dyDescent="0.25">
      <c r="A9" s="10" t="s">
        <v>16</v>
      </c>
      <c r="B9" s="10" t="s">
        <v>51</v>
      </c>
      <c r="C9" s="10">
        <f>'inverse variance-Buckland CI'!C9</f>
        <v>2.5408846544961499</v>
      </c>
      <c r="D9" s="10">
        <f>'inverse variance-Buckland CI'!D9</f>
        <v>0.123163440825217</v>
      </c>
      <c r="E9" s="10">
        <f>'inverse variance-Buckland CI'!E9</f>
        <v>2.3779162830927101</v>
      </c>
      <c r="F9" s="10">
        <f>'inverse variance-Buckland CI'!F9</f>
        <v>2.7038530258995901</v>
      </c>
      <c r="G9" s="10">
        <f>'inverse variance-Buckland CI'!G9</f>
        <v>20.527184459579601</v>
      </c>
      <c r="H9" s="10">
        <f>'inverse variance-Buckland CI'!H9</f>
        <v>0.32100000000000001</v>
      </c>
      <c r="I9" s="10">
        <f>'inverse variance-Buckland CI'!I9</f>
        <v>21</v>
      </c>
      <c r="J9" s="5">
        <f t="shared" si="0"/>
        <v>0.56440579043277128</v>
      </c>
      <c r="K9" s="5">
        <v>1.323188</v>
      </c>
      <c r="L9" s="5">
        <f t="shared" si="1"/>
        <v>1.8699657427422027</v>
      </c>
      <c r="M9" s="5">
        <f t="shared" si="2"/>
        <v>2.7553735414347873</v>
      </c>
      <c r="N9" s="11">
        <f t="shared" si="3"/>
        <v>2.5924051544961499</v>
      </c>
      <c r="O9" s="42">
        <f t="shared" si="4"/>
        <v>13.361870349047656</v>
      </c>
      <c r="P9" s="11">
        <f t="shared" si="5"/>
        <v>5.5555555555555552E-2</v>
      </c>
      <c r="Q9" s="11">
        <f t="shared" si="6"/>
        <v>5.5555555555555552E-2</v>
      </c>
      <c r="R9" s="5" cm="1">
        <f t="array" ref="R9">SUM($C$4:$C$21*$P$4:$P$21)</f>
        <v>2.6127724050864236</v>
      </c>
      <c r="S9" s="5">
        <f t="shared" si="7"/>
        <v>0.31855389627404135</v>
      </c>
      <c r="T9" s="66">
        <f t="shared" si="8"/>
        <v>0.32372174495897077</v>
      </c>
      <c r="U9" s="5">
        <f t="shared" si="9"/>
        <v>3.1609194677260782E-2</v>
      </c>
      <c r="V9" s="20">
        <f t="shared" si="10"/>
        <v>0.57900211133572577</v>
      </c>
      <c r="W9" s="5">
        <f t="shared" si="11"/>
        <v>1.8716497025766947</v>
      </c>
      <c r="X9" s="5">
        <f t="shared" si="12"/>
        <v>3.3538951075961525</v>
      </c>
      <c r="Y9" s="11">
        <f t="shared" si="13"/>
        <v>13.636805240630441</v>
      </c>
      <c r="Z9" s="42">
        <f t="shared" si="14"/>
        <v>6.4990089924416958</v>
      </c>
      <c r="AA9" s="42">
        <f t="shared" si="14"/>
        <v>28.613971358888556</v>
      </c>
    </row>
    <row r="10" spans="1:27" s="12" customFormat="1" x14ac:dyDescent="0.25">
      <c r="A10" s="10" t="s">
        <v>17</v>
      </c>
      <c r="B10" s="10" t="s">
        <v>28</v>
      </c>
      <c r="C10" s="10">
        <f>'inverse variance-Buckland CI'!C10</f>
        <v>2.7155142441756999</v>
      </c>
      <c r="D10" s="10">
        <f>'inverse variance-Buckland CI'!D10</f>
        <v>0.11613403374069201</v>
      </c>
      <c r="E10" s="10">
        <f>'inverse variance-Buckland CI'!E10</f>
        <v>2.5618470989869699</v>
      </c>
      <c r="F10" s="10">
        <f>'inverse variance-Buckland CI'!F10</f>
        <v>2.8691813893644298</v>
      </c>
      <c r="G10" s="10">
        <f>'inverse variance-Buckland CI'!G10</f>
        <v>20.4547231552773</v>
      </c>
      <c r="H10" s="10">
        <f>'inverse variance-Buckland CI'!H10</f>
        <v>0.32100000000000001</v>
      </c>
      <c r="I10" s="10">
        <f>'inverse variance-Buckland CI'!I10</f>
        <v>21</v>
      </c>
      <c r="J10" s="5">
        <f t="shared" si="0"/>
        <v>0.53219300037727657</v>
      </c>
      <c r="K10" s="5">
        <v>1.323188</v>
      </c>
      <c r="L10" s="5">
        <f t="shared" si="1"/>
        <v>2.0858277036927859</v>
      </c>
      <c r="M10" s="5">
        <f t="shared" si="2"/>
        <v>2.9207019040129789</v>
      </c>
      <c r="N10" s="11">
        <f t="shared" si="3"/>
        <v>2.7670347441756999</v>
      </c>
      <c r="O10" s="42">
        <f t="shared" si="4"/>
        <v>15.911382668129054</v>
      </c>
      <c r="P10" s="11">
        <f t="shared" si="5"/>
        <v>5.5555555555555552E-2</v>
      </c>
      <c r="Q10" s="11">
        <f t="shared" si="6"/>
        <v>5.5555555555555552E-2</v>
      </c>
      <c r="R10" s="5" cm="1">
        <f t="array" ref="R10">SUM($C$4:$C$21*$P$4:$P$21)</f>
        <v>2.6127724050864236</v>
      </c>
      <c r="S10" s="5">
        <f t="shared" si="7"/>
        <v>0.28322938965056788</v>
      </c>
      <c r="T10" s="66">
        <f t="shared" si="8"/>
        <v>0.29378527515001462</v>
      </c>
      <c r="U10" s="5">
        <f t="shared" si="9"/>
        <v>3.0112201453711979E-2</v>
      </c>
      <c r="V10" s="20">
        <f t="shared" si="10"/>
        <v>0.57900211133572577</v>
      </c>
      <c r="W10" s="5">
        <f t="shared" si="11"/>
        <v>1.8716497025766947</v>
      </c>
      <c r="X10" s="5">
        <f t="shared" si="12"/>
        <v>3.3538951075961525</v>
      </c>
      <c r="Y10" s="11">
        <f t="shared" si="13"/>
        <v>13.636805240630441</v>
      </c>
      <c r="Z10" s="42">
        <f t="shared" si="14"/>
        <v>6.4990089924416958</v>
      </c>
      <c r="AA10" s="42">
        <f t="shared" si="14"/>
        <v>28.613971358888556</v>
      </c>
    </row>
    <row r="11" spans="1:27" s="12" customFormat="1" x14ac:dyDescent="0.25">
      <c r="A11" s="10" t="s">
        <v>18</v>
      </c>
      <c r="B11" s="10" t="s">
        <v>26</v>
      </c>
      <c r="C11" s="10">
        <f>'inverse variance-Buckland CI'!C11</f>
        <v>2.5595786046086002</v>
      </c>
      <c r="D11" s="10">
        <f>'inverse variance-Buckland CI'!D11</f>
        <v>0.13462214796042299</v>
      </c>
      <c r="E11" s="10">
        <f>'inverse variance-Buckland CI'!E11</f>
        <v>2.3814482108736801</v>
      </c>
      <c r="F11" s="10">
        <f>'inverse variance-Buckland CI'!F11</f>
        <v>2.7377089983435101</v>
      </c>
      <c r="G11" s="10">
        <f>'inverse variance-Buckland CI'!G11</f>
        <v>24.740100875554401</v>
      </c>
      <c r="H11" s="10">
        <f>'inverse variance-Buckland CI'!H11</f>
        <v>0.35099999999999998</v>
      </c>
      <c r="I11" s="10">
        <f>'inverse variance-Buckland CI'!I11</f>
        <v>21</v>
      </c>
      <c r="J11" s="5">
        <f t="shared" si="0"/>
        <v>0.61691618324618325</v>
      </c>
      <c r="K11" s="5">
        <v>1.323188</v>
      </c>
      <c r="L11" s="5">
        <f t="shared" si="1"/>
        <v>1.8315263900534857</v>
      </c>
      <c r="M11" s="5">
        <f t="shared" si="2"/>
        <v>2.7993095153240564</v>
      </c>
      <c r="N11" s="11">
        <f t="shared" si="3"/>
        <v>2.6211791046086002</v>
      </c>
      <c r="O11" s="42">
        <f t="shared" si="4"/>
        <v>13.751928992117096</v>
      </c>
      <c r="P11" s="11">
        <f t="shared" si="5"/>
        <v>5.5555555555555552E-2</v>
      </c>
      <c r="Q11" s="11">
        <f t="shared" si="6"/>
        <v>5.5555555555555552E-2</v>
      </c>
      <c r="R11" s="5" cm="1">
        <f t="array" ref="R11">SUM($C$4:$C$21*$P$4:$P$21)</f>
        <v>2.6127724050864236</v>
      </c>
      <c r="S11" s="5">
        <f t="shared" si="7"/>
        <v>0.38058557715103836</v>
      </c>
      <c r="T11" s="66">
        <f t="shared" si="8"/>
        <v>0.38341515756031286</v>
      </c>
      <c r="U11" s="5">
        <f t="shared" si="9"/>
        <v>3.4400292381415759E-2</v>
      </c>
      <c r="V11" s="20">
        <f t="shared" si="10"/>
        <v>0.57900211133572577</v>
      </c>
      <c r="W11" s="5">
        <f t="shared" si="11"/>
        <v>1.8716497025766947</v>
      </c>
      <c r="X11" s="5">
        <f t="shared" si="12"/>
        <v>3.3538951075961525</v>
      </c>
      <c r="Y11" s="11">
        <f t="shared" si="13"/>
        <v>13.636805240630441</v>
      </c>
      <c r="Z11" s="42">
        <f t="shared" si="14"/>
        <v>6.4990089924416958</v>
      </c>
      <c r="AA11" s="42">
        <f t="shared" si="14"/>
        <v>28.613971358888556</v>
      </c>
    </row>
    <row r="12" spans="1:27" s="12" customFormat="1" x14ac:dyDescent="0.25">
      <c r="A12" s="10" t="s">
        <v>20</v>
      </c>
      <c r="B12" s="10" t="s">
        <v>52</v>
      </c>
      <c r="C12" s="10">
        <f>'inverse variance-Buckland CI'!C12</f>
        <v>2.6115196118677999</v>
      </c>
      <c r="D12" s="10">
        <f>'inverse variance-Buckland CI'!D12</f>
        <v>0.121362415071312</v>
      </c>
      <c r="E12" s="10">
        <f>'inverse variance-Buckland CI'!E12</f>
        <v>2.45093433590245</v>
      </c>
      <c r="F12" s="10">
        <f>'inverse variance-Buckland CI'!F12</f>
        <v>2.7721048878331498</v>
      </c>
      <c r="G12" s="10">
        <f>'inverse variance-Buckland CI'!G12</f>
        <v>21.523063419841701</v>
      </c>
      <c r="H12" s="10">
        <f>'inverse variance-Buckland CI'!H12</f>
        <v>0.32800000000000001</v>
      </c>
      <c r="I12" s="10">
        <f>'inverse variance-Buckland CI'!I12</f>
        <v>21</v>
      </c>
      <c r="J12" s="5">
        <f t="shared" si="0"/>
        <v>0.55615245358693666</v>
      </c>
      <c r="K12" s="5">
        <v>1.323188</v>
      </c>
      <c r="L12" s="5">
        <f t="shared" si="1"/>
        <v>1.9534364712765209</v>
      </c>
      <c r="M12" s="5">
        <f t="shared" si="2"/>
        <v>2.8258969031411789</v>
      </c>
      <c r="N12" s="11">
        <f t="shared" si="3"/>
        <v>2.6653116118678</v>
      </c>
      <c r="O12" s="42">
        <f t="shared" si="4"/>
        <v>14.372427467241701</v>
      </c>
      <c r="P12" s="11">
        <f t="shared" si="5"/>
        <v>5.5555555555555552E-2</v>
      </c>
      <c r="Q12" s="11">
        <f t="shared" si="6"/>
        <v>5.5555555555555552E-2</v>
      </c>
      <c r="R12" s="5" cm="1">
        <f t="array" ref="R12">SUM($C$4:$C$21*$P$4:$P$21)</f>
        <v>2.6127724050864236</v>
      </c>
      <c r="S12" s="5">
        <f t="shared" si="7"/>
        <v>0.30930555163076973</v>
      </c>
      <c r="T12" s="66">
        <f t="shared" si="8"/>
        <v>0.30930712112161834</v>
      </c>
      <c r="U12" s="5">
        <f t="shared" si="9"/>
        <v>3.0897436922826729E-2</v>
      </c>
      <c r="V12" s="20">
        <f t="shared" si="10"/>
        <v>0.57900211133572577</v>
      </c>
      <c r="W12" s="5">
        <f t="shared" si="11"/>
        <v>1.8716497025766947</v>
      </c>
      <c r="X12" s="5">
        <f t="shared" si="12"/>
        <v>3.3538951075961525</v>
      </c>
      <c r="Y12" s="11">
        <f t="shared" si="13"/>
        <v>13.636805240630441</v>
      </c>
      <c r="Z12" s="42">
        <f t="shared" si="14"/>
        <v>6.4990089924416958</v>
      </c>
      <c r="AA12" s="42">
        <f t="shared" si="14"/>
        <v>28.613971358888556</v>
      </c>
    </row>
    <row r="13" spans="1:27" s="12" customFormat="1" x14ac:dyDescent="0.25">
      <c r="A13" s="10" t="s">
        <v>21</v>
      </c>
      <c r="B13" s="10" t="s">
        <v>30</v>
      </c>
      <c r="C13" s="10">
        <f>'inverse variance-Buckland CI'!C13</f>
        <v>2.5547300867066101</v>
      </c>
      <c r="D13" s="10">
        <f>'inverse variance-Buckland CI'!D13</f>
        <v>0.12905708679672501</v>
      </c>
      <c r="E13" s="10">
        <f>'inverse variance-Buckland CI'!E13</f>
        <v>2.3839633144208201</v>
      </c>
      <c r="F13" s="10">
        <f>'inverse variance-Buckland CI'!F13</f>
        <v>2.7254968589924</v>
      </c>
      <c r="G13" s="10">
        <f>'inverse variance-Buckland CI'!G13</f>
        <v>22.8745384232992</v>
      </c>
      <c r="H13" s="10">
        <f>'inverse variance-Buckland CI'!H13</f>
        <v>0.33800000000000002</v>
      </c>
      <c r="I13" s="10">
        <f>'inverse variance-Buckland CI'!I13</f>
        <v>21</v>
      </c>
      <c r="J13" s="5">
        <f t="shared" si="0"/>
        <v>0.59141386921647821</v>
      </c>
      <c r="K13" s="5">
        <v>1.323188</v>
      </c>
      <c r="L13" s="5">
        <f t="shared" si="1"/>
        <v>1.8548423341095179</v>
      </c>
      <c r="M13" s="5">
        <f t="shared" si="2"/>
        <v>2.7826188752709951</v>
      </c>
      <c r="N13" s="11">
        <f t="shared" si="3"/>
        <v>2.6118520867066102</v>
      </c>
      <c r="O13" s="42">
        <f t="shared" si="4"/>
        <v>13.624260811445337</v>
      </c>
      <c r="P13" s="11">
        <f t="shared" si="5"/>
        <v>5.5555555555555552E-2</v>
      </c>
      <c r="Q13" s="11">
        <f t="shared" si="6"/>
        <v>5.5555555555555552E-2</v>
      </c>
      <c r="R13" s="5" cm="1">
        <f t="array" ref="R13">SUM($C$4:$C$21*$P$4:$P$21)</f>
        <v>2.6127724050864236</v>
      </c>
      <c r="S13" s="5">
        <f t="shared" si="7"/>
        <v>0.34977036470160561</v>
      </c>
      <c r="T13" s="66">
        <f t="shared" si="8"/>
        <v>0.35313927542450924</v>
      </c>
      <c r="U13" s="5">
        <f t="shared" si="9"/>
        <v>3.3014179306183444E-2</v>
      </c>
      <c r="V13" s="20">
        <f t="shared" si="10"/>
        <v>0.57900211133572577</v>
      </c>
      <c r="W13" s="5">
        <f t="shared" si="11"/>
        <v>1.8716497025766947</v>
      </c>
      <c r="X13" s="5">
        <f t="shared" si="12"/>
        <v>3.3538951075961525</v>
      </c>
      <c r="Y13" s="11">
        <f t="shared" si="13"/>
        <v>13.636805240630441</v>
      </c>
      <c r="Z13" s="42">
        <f t="shared" si="14"/>
        <v>6.4990089924416958</v>
      </c>
      <c r="AA13" s="42">
        <f t="shared" si="14"/>
        <v>28.613971358888556</v>
      </c>
    </row>
    <row r="14" spans="1:27" s="12" customFormat="1" x14ac:dyDescent="0.25">
      <c r="A14" s="10" t="s">
        <v>22</v>
      </c>
      <c r="B14" s="10" t="s">
        <v>33</v>
      </c>
      <c r="C14" s="10">
        <f>'inverse variance-Buckland CI'!C14</f>
        <v>2.7386056832110102</v>
      </c>
      <c r="D14" s="10">
        <f>'inverse variance-Buckland CI'!D14</f>
        <v>0.11502880133766399</v>
      </c>
      <c r="E14" s="10">
        <f>'inverse variance-Buckland CI'!E14</f>
        <v>2.58640096813577</v>
      </c>
      <c r="F14" s="10">
        <f>'inverse variance-Buckland CI'!F14</f>
        <v>2.8908103982862499</v>
      </c>
      <c r="G14" s="10">
        <f>'inverse variance-Buckland CI'!G14</f>
        <v>19.936268573053699</v>
      </c>
      <c r="H14" s="10">
        <f>'inverse variance-Buckland CI'!H14</f>
        <v>0.317</v>
      </c>
      <c r="I14" s="10">
        <f>'inverse variance-Buckland CI'!I14</f>
        <v>21</v>
      </c>
      <c r="J14" s="5">
        <f t="shared" si="0"/>
        <v>0.5271281892298828</v>
      </c>
      <c r="K14" s="5">
        <v>1.323188</v>
      </c>
      <c r="L14" s="5">
        <f t="shared" si="1"/>
        <v>2.11412610099676</v>
      </c>
      <c r="M14" s="5">
        <f t="shared" si="2"/>
        <v>2.9410549127953911</v>
      </c>
      <c r="N14" s="11">
        <f t="shared" si="3"/>
        <v>2.78885018321101</v>
      </c>
      <c r="O14" s="42">
        <f t="shared" si="4"/>
        <v>16.262310370149034</v>
      </c>
      <c r="P14" s="11">
        <f t="shared" si="5"/>
        <v>5.5555555555555552E-2</v>
      </c>
      <c r="Q14" s="11">
        <f t="shared" si="6"/>
        <v>5.5555555555555552E-2</v>
      </c>
      <c r="R14" s="5" cm="1">
        <f t="array" ref="R14">SUM($C$4:$C$21*$P$4:$P$21)</f>
        <v>2.6127724050864236</v>
      </c>
      <c r="S14" s="5">
        <f t="shared" si="7"/>
        <v>0.27786412788077514</v>
      </c>
      <c r="T14" s="66">
        <f t="shared" si="8"/>
        <v>0.29369814176435471</v>
      </c>
      <c r="U14" s="5">
        <f t="shared" si="9"/>
        <v>3.0107735653587101E-2</v>
      </c>
      <c r="V14" s="20">
        <f t="shared" si="10"/>
        <v>0.57900211133572577</v>
      </c>
      <c r="W14" s="5">
        <f t="shared" si="11"/>
        <v>1.8716497025766947</v>
      </c>
      <c r="X14" s="5">
        <f t="shared" si="12"/>
        <v>3.3538951075961525</v>
      </c>
      <c r="Y14" s="11">
        <f t="shared" si="13"/>
        <v>13.636805240630441</v>
      </c>
      <c r="Z14" s="42">
        <f t="shared" si="14"/>
        <v>6.4990089924416958</v>
      </c>
      <c r="AA14" s="42">
        <f t="shared" si="14"/>
        <v>28.613971358888556</v>
      </c>
    </row>
    <row r="15" spans="1:27" s="12" customFormat="1" x14ac:dyDescent="0.25">
      <c r="A15" s="10" t="s">
        <v>23</v>
      </c>
      <c r="B15" s="10" t="s">
        <v>31</v>
      </c>
      <c r="C15" s="10">
        <f>'inverse variance-Buckland CI'!C15</f>
        <v>2.5199833209339002</v>
      </c>
      <c r="D15" s="10">
        <f>'inverse variance-Buckland CI'!D15</f>
        <v>0.13280147362074701</v>
      </c>
      <c r="E15" s="10">
        <f>'inverse variance-Buckland CI'!E15</f>
        <v>2.3442620214074998</v>
      </c>
      <c r="F15" s="10">
        <f>'inverse variance-Buckland CI'!F15</f>
        <v>2.6957046204602899</v>
      </c>
      <c r="G15" s="10">
        <f>'inverse variance-Buckland CI'!G15</f>
        <v>23.027843900216102</v>
      </c>
      <c r="H15" s="10">
        <f>'inverse variance-Buckland CI'!H15</f>
        <v>0.33900000000000002</v>
      </c>
      <c r="I15" s="10">
        <f>'inverse variance-Buckland CI'!I15</f>
        <v>21</v>
      </c>
      <c r="J15" s="5">
        <f t="shared" si="0"/>
        <v>0.60857280526875435</v>
      </c>
      <c r="K15" s="5">
        <v>1.323188</v>
      </c>
      <c r="L15" s="5">
        <f t="shared" si="1"/>
        <v>1.7984706301898945</v>
      </c>
      <c r="M15" s="5">
        <f t="shared" si="2"/>
        <v>2.7531651372111892</v>
      </c>
      <c r="N15" s="11">
        <f t="shared" si="3"/>
        <v>2.5774438209339001</v>
      </c>
      <c r="O15" s="42">
        <f t="shared" si="4"/>
        <v>13.163446990038443</v>
      </c>
      <c r="P15" s="11">
        <f t="shared" si="5"/>
        <v>5.5555555555555552E-2</v>
      </c>
      <c r="Q15" s="11">
        <f t="shared" si="6"/>
        <v>5.5555555555555552E-2</v>
      </c>
      <c r="R15" s="5" cm="1">
        <f t="array" ref="R15">SUM($C$4:$C$21*$P$4:$P$21)</f>
        <v>2.6127724050864236</v>
      </c>
      <c r="S15" s="5">
        <f t="shared" si="7"/>
        <v>0.3703608593126812</v>
      </c>
      <c r="T15" s="66">
        <f t="shared" si="8"/>
        <v>0.37897067345054525</v>
      </c>
      <c r="U15" s="5">
        <f t="shared" si="9"/>
        <v>3.4200330003937476E-2</v>
      </c>
      <c r="V15" s="20">
        <f t="shared" si="10"/>
        <v>0.57900211133572577</v>
      </c>
      <c r="W15" s="5">
        <f t="shared" si="11"/>
        <v>1.8716497025766947</v>
      </c>
      <c r="X15" s="5">
        <f t="shared" si="12"/>
        <v>3.3538951075961525</v>
      </c>
      <c r="Y15" s="11">
        <f t="shared" si="13"/>
        <v>13.636805240630441</v>
      </c>
      <c r="Z15" s="42">
        <f t="shared" si="14"/>
        <v>6.4990089924416958</v>
      </c>
      <c r="AA15" s="42">
        <f t="shared" si="14"/>
        <v>28.613971358888556</v>
      </c>
    </row>
    <row r="16" spans="1:27" s="12" customFormat="1" x14ac:dyDescent="0.25">
      <c r="A16" s="10" t="s">
        <v>24</v>
      </c>
      <c r="B16" s="10" t="s">
        <v>53</v>
      </c>
      <c r="C16" s="10">
        <f>'inverse variance-Buckland CI'!C16</f>
        <v>2.61423000672491</v>
      </c>
      <c r="D16" s="10">
        <f>'inverse variance-Buckland CI'!D16</f>
        <v>0.115836171755717</v>
      </c>
      <c r="E16" s="10">
        <f>'inverse variance-Buckland CI'!E16</f>
        <v>2.46095698890278</v>
      </c>
      <c r="F16" s="10">
        <f>'inverse variance-Buckland CI'!F16</f>
        <v>2.76750302454704</v>
      </c>
      <c r="G16" s="10">
        <f>'inverse variance-Buckland CI'!G16</f>
        <v>19.432927366971601</v>
      </c>
      <c r="H16" s="10">
        <f>'inverse variance-Buckland CI'!H16</f>
        <v>0.314</v>
      </c>
      <c r="I16" s="10">
        <f>'inverse variance-Buckland CI'!I16</f>
        <v>21</v>
      </c>
      <c r="J16" s="5">
        <f t="shared" si="0"/>
        <v>0.53082802528447892</v>
      </c>
      <c r="K16" s="5">
        <v>1.323188</v>
      </c>
      <c r="L16" s="5">
        <f t="shared" si="1"/>
        <v>1.9840681343607769</v>
      </c>
      <c r="M16" s="5">
        <f t="shared" si="2"/>
        <v>2.8168010391580136</v>
      </c>
      <c r="N16" s="11">
        <f t="shared" si="3"/>
        <v>2.6635280067249099</v>
      </c>
      <c r="O16" s="42">
        <f t="shared" si="4"/>
        <v>14.346815579232713</v>
      </c>
      <c r="P16" s="11">
        <f t="shared" si="5"/>
        <v>5.5555555555555552E-2</v>
      </c>
      <c r="Q16" s="11">
        <f t="shared" si="6"/>
        <v>5.5555555555555552E-2</v>
      </c>
      <c r="R16" s="5" cm="1">
        <f t="array" ref="R16">SUM($C$4:$C$21*$P$4:$P$21)</f>
        <v>2.6127724050864236</v>
      </c>
      <c r="S16" s="5">
        <f t="shared" si="7"/>
        <v>0.28177839242741937</v>
      </c>
      <c r="T16" s="66">
        <f t="shared" si="8"/>
        <v>0.28178051702995588</v>
      </c>
      <c r="U16" s="5">
        <f t="shared" si="9"/>
        <v>2.9490557027566637E-2</v>
      </c>
      <c r="V16" s="20">
        <f t="shared" si="10"/>
        <v>0.57900211133572577</v>
      </c>
      <c r="W16" s="5">
        <f t="shared" si="11"/>
        <v>1.8716497025766947</v>
      </c>
      <c r="X16" s="5">
        <f t="shared" si="12"/>
        <v>3.3538951075961525</v>
      </c>
      <c r="Y16" s="11">
        <f t="shared" si="13"/>
        <v>13.636805240630441</v>
      </c>
      <c r="Z16" s="42">
        <f t="shared" si="14"/>
        <v>6.4990089924416958</v>
      </c>
      <c r="AA16" s="42">
        <f t="shared" si="14"/>
        <v>28.613971358888556</v>
      </c>
    </row>
    <row r="17" spans="1:27" s="12" customFormat="1" x14ac:dyDescent="0.25">
      <c r="A17" s="10" t="s">
        <v>25</v>
      </c>
      <c r="B17" s="10" t="s">
        <v>34</v>
      </c>
      <c r="C17" s="10">
        <f>'inverse variance-Buckland CI'!C17</f>
        <v>2.5255224006689501</v>
      </c>
      <c r="D17" s="10">
        <f>'inverse variance-Buckland CI'!D17</f>
        <v>0.12644726450567501</v>
      </c>
      <c r="E17" s="10">
        <f>'inverse variance-Buckland CI'!E17</f>
        <v>2.3582089135916098</v>
      </c>
      <c r="F17" s="10">
        <f>'inverse variance-Buckland CI'!F17</f>
        <v>2.6928358877462801</v>
      </c>
      <c r="G17" s="10">
        <f>'inverse variance-Buckland CI'!G17</f>
        <v>21.2083411794416</v>
      </c>
      <c r="H17" s="10">
        <f>'inverse variance-Buckland CI'!H17</f>
        <v>0.32600000000000001</v>
      </c>
      <c r="I17" s="10">
        <f>'inverse variance-Buckland CI'!I17</f>
        <v>21</v>
      </c>
      <c r="J17" s="5">
        <f t="shared" si="0"/>
        <v>0.57945416101735858</v>
      </c>
      <c r="K17" s="5">
        <v>1.323188</v>
      </c>
      <c r="L17" s="5">
        <f t="shared" si="1"/>
        <v>1.8369590745667312</v>
      </c>
      <c r="M17" s="5">
        <f t="shared" si="2"/>
        <v>2.7459739036956852</v>
      </c>
      <c r="N17" s="11">
        <f t="shared" si="3"/>
        <v>2.5786604006689502</v>
      </c>
      <c r="O17" s="42">
        <f t="shared" si="4"/>
        <v>13.179471118228346</v>
      </c>
      <c r="P17" s="11">
        <f t="shared" si="5"/>
        <v>5.5555555555555552E-2</v>
      </c>
      <c r="Q17" s="11">
        <f t="shared" si="6"/>
        <v>5.5555555555555552E-2</v>
      </c>
      <c r="R17" s="5" cm="1">
        <f t="array" ref="R17">SUM($C$4:$C$21*$P$4:$P$21)</f>
        <v>2.6127724050864236</v>
      </c>
      <c r="S17" s="5">
        <f t="shared" si="7"/>
        <v>0.33576712472033093</v>
      </c>
      <c r="T17" s="66">
        <f t="shared" si="8"/>
        <v>0.34337968799118007</v>
      </c>
      <c r="U17" s="5">
        <f t="shared" si="9"/>
        <v>3.2554782318802718E-2</v>
      </c>
      <c r="V17" s="20">
        <f t="shared" si="10"/>
        <v>0.57900211133572577</v>
      </c>
      <c r="W17" s="5">
        <f t="shared" si="11"/>
        <v>1.8716497025766947</v>
      </c>
      <c r="X17" s="5">
        <f t="shared" si="12"/>
        <v>3.3538951075961525</v>
      </c>
      <c r="Y17" s="11">
        <f t="shared" si="13"/>
        <v>13.636805240630441</v>
      </c>
      <c r="Z17" s="42">
        <f t="shared" si="14"/>
        <v>6.4990089924416958</v>
      </c>
      <c r="AA17" s="42">
        <f t="shared" si="14"/>
        <v>28.613971358888556</v>
      </c>
    </row>
    <row r="18" spans="1:27" s="12" customFormat="1" x14ac:dyDescent="0.25">
      <c r="A18" s="10" t="s">
        <v>27</v>
      </c>
      <c r="B18" s="10" t="s">
        <v>36</v>
      </c>
      <c r="C18" s="10">
        <f>'inverse variance-Buckland CI'!C18</f>
        <v>2.7004108818662602</v>
      </c>
      <c r="D18" s="10">
        <f>'inverse variance-Buckland CI'!D18</f>
        <v>0.119595694012175</v>
      </c>
      <c r="E18" s="10">
        <f>'inverse variance-Buckland CI'!E18</f>
        <v>2.5421633097828602</v>
      </c>
      <c r="F18" s="10">
        <f>'inverse variance-Buckland CI'!F18</f>
        <v>2.8586584539496598</v>
      </c>
      <c r="G18" s="10">
        <f>'inverse variance-Buckland CI'!G18</f>
        <v>21.847059575502001</v>
      </c>
      <c r="H18" s="10">
        <f>'inverse variance-Buckland CI'!H18</f>
        <v>0.33</v>
      </c>
      <c r="I18" s="10">
        <f>'inverse variance-Buckland CI'!I18</f>
        <v>21</v>
      </c>
      <c r="J18" s="5">
        <f t="shared" si="0"/>
        <v>0.54805632060156884</v>
      </c>
      <c r="K18" s="5">
        <v>1.323188</v>
      </c>
      <c r="L18" s="5">
        <f t="shared" si="1"/>
        <v>2.0533487914962523</v>
      </c>
      <c r="M18" s="5">
        <f t="shared" si="2"/>
        <v>2.9131084690348423</v>
      </c>
      <c r="N18" s="11">
        <f t="shared" si="3"/>
        <v>2.7548608818662603</v>
      </c>
      <c r="O18" s="42">
        <f t="shared" si="4"/>
        <v>15.718853973057074</v>
      </c>
      <c r="P18" s="11">
        <f t="shared" si="5"/>
        <v>5.5555555555555552E-2</v>
      </c>
      <c r="Q18" s="11">
        <f t="shared" si="6"/>
        <v>5.5555555555555552E-2</v>
      </c>
      <c r="R18" s="5" cm="1">
        <f t="array" ref="R18">SUM($C$4:$C$21*$P$4:$P$21)</f>
        <v>2.6127724050864236</v>
      </c>
      <c r="S18" s="5">
        <f t="shared" si="7"/>
        <v>0.30036573055132959</v>
      </c>
      <c r="T18" s="66">
        <f t="shared" si="8"/>
        <v>0.30804623316361956</v>
      </c>
      <c r="U18" s="5">
        <f t="shared" si="9"/>
        <v>3.0834396035921644E-2</v>
      </c>
      <c r="V18" s="20">
        <f t="shared" si="10"/>
        <v>0.57900211133572577</v>
      </c>
      <c r="W18" s="5">
        <f t="shared" si="11"/>
        <v>1.8716497025766947</v>
      </c>
      <c r="X18" s="5">
        <f t="shared" si="12"/>
        <v>3.3538951075961525</v>
      </c>
      <c r="Y18" s="11">
        <f t="shared" si="13"/>
        <v>13.636805240630441</v>
      </c>
      <c r="Z18" s="42">
        <f t="shared" si="14"/>
        <v>6.4990089924416958</v>
      </c>
      <c r="AA18" s="42">
        <f t="shared" si="14"/>
        <v>28.613971358888556</v>
      </c>
    </row>
    <row r="19" spans="1:27" s="12" customFormat="1" x14ac:dyDescent="0.25">
      <c r="A19" s="10" t="s">
        <v>29</v>
      </c>
      <c r="B19" s="10" t="s">
        <v>35</v>
      </c>
      <c r="C19" s="10">
        <f>'inverse variance-Buckland CI'!C19</f>
        <v>2.5104391121635201</v>
      </c>
      <c r="D19" s="10">
        <f>'inverse variance-Buckland CI'!D19</f>
        <v>0.13833692670317199</v>
      </c>
      <c r="E19" s="10">
        <f>'inverse variance-Buckland CI'!E19</f>
        <v>2.32739336824211</v>
      </c>
      <c r="F19" s="10">
        <f>'inverse variance-Buckland CI'!F19</f>
        <v>2.6934848560849298</v>
      </c>
      <c r="G19" s="10">
        <f>'inverse variance-Buckland CI'!G19</f>
        <v>24.296314278671701</v>
      </c>
      <c r="H19" s="10">
        <f>'inverse variance-Buckland CI'!H19</f>
        <v>0.34799999999999998</v>
      </c>
      <c r="I19" s="10">
        <f>'inverse variance-Buckland CI'!I19</f>
        <v>21</v>
      </c>
      <c r="J19" s="5">
        <f t="shared" si="0"/>
        <v>0.63393943802484343</v>
      </c>
      <c r="K19" s="5">
        <v>1.323188</v>
      </c>
      <c r="L19" s="5">
        <f t="shared" si="1"/>
        <v>1.7595486314917204</v>
      </c>
      <c r="M19" s="5">
        <f t="shared" si="2"/>
        <v>2.7540368735340368</v>
      </c>
      <c r="N19" s="11">
        <f t="shared" si="3"/>
        <v>2.5709911121635201</v>
      </c>
      <c r="O19" s="42">
        <f t="shared" si="4"/>
        <v>13.078780557886368</v>
      </c>
      <c r="P19" s="11">
        <f t="shared" si="5"/>
        <v>5.5555555555555552E-2</v>
      </c>
      <c r="Q19" s="11">
        <f t="shared" si="6"/>
        <v>5.5555555555555552E-2</v>
      </c>
      <c r="R19" s="5" cm="1">
        <f t="array" ref="R19">SUM($C$4:$C$21*$P$4:$P$21)</f>
        <v>2.6127724050864236</v>
      </c>
      <c r="S19" s="5">
        <f t="shared" si="7"/>
        <v>0.40187921108325431</v>
      </c>
      <c r="T19" s="66">
        <f t="shared" si="8"/>
        <v>0.41235131392369906</v>
      </c>
      <c r="U19" s="5">
        <f t="shared" si="9"/>
        <v>3.5674770363735266E-2</v>
      </c>
      <c r="V19" s="20">
        <f t="shared" si="10"/>
        <v>0.57900211133572577</v>
      </c>
      <c r="W19" s="5">
        <f t="shared" si="11"/>
        <v>1.8716497025766947</v>
      </c>
      <c r="X19" s="5">
        <f t="shared" si="12"/>
        <v>3.3538951075961525</v>
      </c>
      <c r="Y19" s="11">
        <f t="shared" si="13"/>
        <v>13.636805240630441</v>
      </c>
      <c r="Z19" s="42">
        <f t="shared" si="14"/>
        <v>6.4990089924416958</v>
      </c>
      <c r="AA19" s="42">
        <f t="shared" si="14"/>
        <v>28.613971358888556</v>
      </c>
    </row>
    <row r="20" spans="1:27" s="12" customFormat="1" x14ac:dyDescent="0.25">
      <c r="A20" s="10" t="s">
        <v>45</v>
      </c>
      <c r="B20" s="10" t="s">
        <v>54</v>
      </c>
      <c r="C20" s="10">
        <f>'inverse variance-Buckland CI'!C20</f>
        <v>2.5791672052573098</v>
      </c>
      <c r="D20" s="10">
        <f>'inverse variance-Buckland CI'!D20</f>
        <v>0.12156265332511799</v>
      </c>
      <c r="E20" s="10">
        <f>'inverse variance-Buckland CI'!E20</f>
        <v>2.4183169764626302</v>
      </c>
      <c r="F20" s="10">
        <f>'inverse variance-Buckland CI'!F20</f>
        <v>2.7400174340519801</v>
      </c>
      <c r="G20" s="10">
        <f>'inverse variance-Buckland CI'!G20</f>
        <v>20.914495722242801</v>
      </c>
      <c r="H20" s="10">
        <f>'inverse variance-Buckland CI'!H20</f>
        <v>0.32400000000000001</v>
      </c>
      <c r="I20" s="10">
        <f>'inverse variance-Buckland CI'!I20</f>
        <v>21</v>
      </c>
      <c r="J20" s="5">
        <f t="shared" si="0"/>
        <v>0.55707006054202846</v>
      </c>
      <c r="K20" s="5">
        <v>1.323188</v>
      </c>
      <c r="L20" s="5">
        <f t="shared" si="1"/>
        <v>1.9186055277635132</v>
      </c>
      <c r="M20" s="5">
        <f t="shared" si="2"/>
        <v>2.7925054493852661</v>
      </c>
      <c r="N20" s="11">
        <f t="shared" si="3"/>
        <v>2.6316552052573097</v>
      </c>
      <c r="O20" s="42">
        <f t="shared" si="4"/>
        <v>13.896752854515217</v>
      </c>
      <c r="P20" s="11">
        <f t="shared" si="5"/>
        <v>5.5555555555555552E-2</v>
      </c>
      <c r="Q20" s="11">
        <f t="shared" si="6"/>
        <v>5.5555555555555552E-2</v>
      </c>
      <c r="R20" s="5" cm="1">
        <f t="array" ref="R20">SUM($C$4:$C$21*$P$4:$P$21)</f>
        <v>2.6127724050864236</v>
      </c>
      <c r="S20" s="5">
        <f t="shared" si="7"/>
        <v>0.31032705235229924</v>
      </c>
      <c r="T20" s="66">
        <f t="shared" si="8"/>
        <v>0.31145636180785391</v>
      </c>
      <c r="U20" s="5">
        <f t="shared" si="9"/>
        <v>3.1004597518887275E-2</v>
      </c>
      <c r="V20" s="20">
        <f t="shared" si="10"/>
        <v>0.57900211133572577</v>
      </c>
      <c r="W20" s="5">
        <f t="shared" si="11"/>
        <v>1.8716497025766947</v>
      </c>
      <c r="X20" s="5">
        <f t="shared" si="12"/>
        <v>3.3538951075961525</v>
      </c>
      <c r="Y20" s="11">
        <f t="shared" si="13"/>
        <v>13.636805240630441</v>
      </c>
      <c r="Z20" s="42">
        <f t="shared" si="14"/>
        <v>6.4990089924416958</v>
      </c>
      <c r="AA20" s="42">
        <f t="shared" si="14"/>
        <v>28.613971358888556</v>
      </c>
    </row>
    <row r="21" spans="1:27" s="17" customFormat="1" x14ac:dyDescent="0.25">
      <c r="A21" s="14" t="s">
        <v>32</v>
      </c>
      <c r="B21" s="14" t="s">
        <v>55</v>
      </c>
      <c r="C21" s="14">
        <f>'inverse variance-Buckland CI'!C21</f>
        <v>2.5096767376662399</v>
      </c>
      <c r="D21" s="14">
        <f>'inverse variance-Buckland CI'!D21</f>
        <v>0.13289375029991499</v>
      </c>
      <c r="E21" s="14">
        <f>'inverse variance-Buckland CI'!E21</f>
        <v>2.3338333387569299</v>
      </c>
      <c r="F21" s="14">
        <f>'inverse variance-Buckland CI'!F21</f>
        <v>2.6855201365755601</v>
      </c>
      <c r="G21" s="14">
        <f>'inverse variance-Buckland CI'!G21</f>
        <v>22.7409979664674</v>
      </c>
      <c r="H21" s="14">
        <f>'inverse variance-Buckland CI'!H21</f>
        <v>0.33700000000000002</v>
      </c>
      <c r="I21" s="14">
        <f>'inverse variance-Buckland CI'!I21</f>
        <v>21</v>
      </c>
      <c r="J21" s="15">
        <f t="shared" si="0"/>
        <v>0.60899567013592082</v>
      </c>
      <c r="K21" s="15">
        <v>1.323188</v>
      </c>
      <c r="L21" s="15">
        <f t="shared" si="1"/>
        <v>1.7869467798922614</v>
      </c>
      <c r="M21" s="15">
        <f t="shared" si="2"/>
        <v>2.7423046533380839</v>
      </c>
      <c r="N21" s="16">
        <f t="shared" si="3"/>
        <v>2.5664612376662399</v>
      </c>
      <c r="O21" s="43">
        <f t="shared" si="4"/>
        <v>13.019669307732997</v>
      </c>
      <c r="P21" s="16">
        <f t="shared" si="5"/>
        <v>5.5555555555555552E-2</v>
      </c>
      <c r="Q21" s="16">
        <f>P21</f>
        <v>5.5555555555555552E-2</v>
      </c>
      <c r="R21" s="15" cm="1">
        <f t="array" ref="R21">SUM($C$4:$C$21*$P$4:$P$21)</f>
        <v>2.6127724050864236</v>
      </c>
      <c r="S21" s="15">
        <f t="shared" si="7"/>
        <v>0.37087572624429926</v>
      </c>
      <c r="T21" s="67">
        <f t="shared" si="8"/>
        <v>0.38150444288511237</v>
      </c>
      <c r="U21" s="15">
        <f t="shared" si="9"/>
        <v>3.431446995672293E-2</v>
      </c>
      <c r="V21" s="21">
        <f t="shared" si="10"/>
        <v>0.57900211133572577</v>
      </c>
      <c r="W21" s="15">
        <f t="shared" si="11"/>
        <v>1.8716497025766947</v>
      </c>
      <c r="X21" s="15">
        <f t="shared" si="12"/>
        <v>3.3538951075961525</v>
      </c>
      <c r="Y21" s="16">
        <f t="shared" si="13"/>
        <v>13.636805240630441</v>
      </c>
      <c r="Z21" s="43">
        <f t="shared" si="14"/>
        <v>6.4990089924416958</v>
      </c>
      <c r="AA21" s="43">
        <f t="shared" si="14"/>
        <v>28.613971358888556</v>
      </c>
    </row>
    <row r="23" spans="1:27" x14ac:dyDescent="0.25">
      <c r="P23" s="1">
        <f>1/18</f>
        <v>5.5555555555555552E-2</v>
      </c>
    </row>
    <row r="26" spans="1:27" x14ac:dyDescent="0.25">
      <c r="A26" s="6" t="s">
        <v>66</v>
      </c>
    </row>
    <row r="27" spans="1:27" x14ac:dyDescent="0.25">
      <c r="A27" s="7"/>
      <c r="B27" s="8" t="s">
        <v>10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27" x14ac:dyDescent="0.25">
      <c r="A28" s="8" t="s">
        <v>58</v>
      </c>
      <c r="B28" s="9">
        <v>0.87545412199999995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V28" s="1">
        <f>15.6-14.3</f>
        <v>1.2999999999999989</v>
      </c>
    </row>
    <row r="29" spans="1:27" ht="15.75" x14ac:dyDescent="0.25">
      <c r="A29" s="8" t="s">
        <v>59</v>
      </c>
      <c r="B29" s="8" t="s">
        <v>60</v>
      </c>
      <c r="C29" s="8" t="s">
        <v>61</v>
      </c>
      <c r="D29" s="8" t="s">
        <v>62</v>
      </c>
      <c r="E29" s="8" t="s">
        <v>63</v>
      </c>
      <c r="F29" s="8" t="s">
        <v>64</v>
      </c>
      <c r="G29" s="8" t="s">
        <v>1</v>
      </c>
      <c r="H29" s="184" t="s">
        <v>37</v>
      </c>
      <c r="I29" s="184"/>
      <c r="J29" s="184"/>
      <c r="K29" s="184"/>
      <c r="L29" s="184"/>
      <c r="M29" s="184"/>
    </row>
    <row r="30" spans="1:27" x14ac:dyDescent="0.25">
      <c r="A30" s="8" t="s">
        <v>11</v>
      </c>
      <c r="B30" s="8" t="s">
        <v>65</v>
      </c>
      <c r="C30" s="7">
        <v>2.3352742900000001</v>
      </c>
      <c r="D30" s="7">
        <v>0.21099999999999999</v>
      </c>
      <c r="E30" s="7">
        <v>11.051</v>
      </c>
      <c r="F30" s="7">
        <v>0</v>
      </c>
      <c r="G30" s="5">
        <f>C30+(C31*B28)</f>
        <v>2.712148762597852</v>
      </c>
      <c r="H30" s="5">
        <f>G30+((H4*H4)/2)</f>
        <v>2.8041692625978518</v>
      </c>
      <c r="I30" s="5">
        <f>EXP(G30)*EXP(0.5*H4*H4)</f>
        <v>16.513351947251564</v>
      </c>
      <c r="J30" s="18">
        <f>EXP(H30)</f>
        <v>16.513351947251564</v>
      </c>
      <c r="K30" s="18"/>
      <c r="L30" s="5">
        <f>LN(I30)</f>
        <v>2.8041692625978518</v>
      </c>
      <c r="M30" s="5">
        <f>EXP(C30+C31*B28+0.5*H4*H4)</f>
        <v>16.513351947251564</v>
      </c>
    </row>
    <row r="31" spans="1:27" x14ac:dyDescent="0.25">
      <c r="A31" s="8" t="s">
        <v>11</v>
      </c>
      <c r="B31" s="8" t="s">
        <v>10</v>
      </c>
      <c r="C31" s="7">
        <v>0.43049026000000001</v>
      </c>
      <c r="D31" s="7">
        <v>7.2999999999999995E-2</v>
      </c>
      <c r="E31" s="7">
        <v>5.8920000000000003</v>
      </c>
      <c r="F31" s="7">
        <v>0</v>
      </c>
      <c r="G31" s="7"/>
      <c r="H31" s="7"/>
      <c r="I31" s="7"/>
      <c r="J31" s="7"/>
      <c r="K31" s="7"/>
      <c r="L31" s="7"/>
      <c r="M31" s="7"/>
    </row>
    <row r="32" spans="1:27" x14ac:dyDescent="0.25">
      <c r="A32" s="7"/>
      <c r="B32" s="7"/>
      <c r="C32" s="7"/>
      <c r="D32" s="7"/>
      <c r="E32" s="7"/>
      <c r="F32" s="7"/>
      <c r="G32" s="7"/>
      <c r="H32" s="7"/>
      <c r="I32" s="7"/>
      <c r="J32" s="19"/>
      <c r="K32" s="19"/>
      <c r="L32" s="7"/>
      <c r="M32" s="7"/>
    </row>
  </sheetData>
  <mergeCells count="5">
    <mergeCell ref="C2:I2"/>
    <mergeCell ref="L2:M2"/>
    <mergeCell ref="S2:T2"/>
    <mergeCell ref="V2:W2"/>
    <mergeCell ref="H29:M29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34BA-6BDE-42A2-9778-368C24BD5CC2}">
  <dimension ref="A1:AC44"/>
  <sheetViews>
    <sheetView workbookViewId="0">
      <selection activeCell="B17" sqref="B17"/>
    </sheetView>
  </sheetViews>
  <sheetFormatPr defaultRowHeight="15" x14ac:dyDescent="0.25"/>
  <cols>
    <col min="1" max="1" width="22.42578125" style="1" bestFit="1" customWidth="1"/>
    <col min="2" max="2" width="25.5703125" style="1" bestFit="1" customWidth="1"/>
    <col min="3" max="11" width="9.140625" style="1"/>
    <col min="12" max="12" width="13.42578125" style="1" customWidth="1"/>
    <col min="13" max="15" width="17.42578125" style="1" customWidth="1"/>
    <col min="16" max="16" width="19" style="1" bestFit="1" customWidth="1"/>
    <col min="17" max="18" width="19" style="1" customWidth="1"/>
    <col min="19" max="19" width="32.7109375" style="1" bestFit="1" customWidth="1"/>
    <col min="20" max="20" width="21.7109375" style="1" bestFit="1" customWidth="1"/>
    <col min="21" max="22" width="9.140625" style="1"/>
    <col min="23" max="23" width="12" style="1" bestFit="1" customWidth="1"/>
    <col min="24" max="24" width="9.5703125" style="1" bestFit="1" customWidth="1"/>
    <col min="25" max="25" width="22.28515625" style="1" customWidth="1"/>
    <col min="26" max="26" width="35.140625" style="1" customWidth="1"/>
    <col min="27" max="27" width="8.5703125" style="1" bestFit="1" customWidth="1"/>
    <col min="28" max="28" width="19.140625" style="1" customWidth="1"/>
    <col min="29" max="29" width="24.7109375" style="1" customWidth="1"/>
  </cols>
  <sheetData>
    <row r="1" spans="1:29" ht="60" x14ac:dyDescent="0.25">
      <c r="A1" s="23" t="s">
        <v>133</v>
      </c>
      <c r="B1" s="2" t="s">
        <v>57</v>
      </c>
      <c r="M1" s="34"/>
      <c r="N1" s="34"/>
      <c r="O1" s="34"/>
    </row>
    <row r="2" spans="1:29" x14ac:dyDescent="0.25">
      <c r="C2" s="183" t="s">
        <v>56</v>
      </c>
      <c r="D2" s="183"/>
      <c r="E2" s="183"/>
      <c r="F2" s="183"/>
      <c r="G2" s="183"/>
      <c r="H2" s="183"/>
      <c r="I2" s="183"/>
      <c r="L2" s="183" t="s">
        <v>46</v>
      </c>
      <c r="M2" s="183"/>
      <c r="N2" s="80"/>
      <c r="O2" s="80"/>
      <c r="S2" s="22"/>
      <c r="U2" s="183" t="s">
        <v>43</v>
      </c>
      <c r="V2" s="183"/>
      <c r="W2" s="183"/>
      <c r="X2" s="183"/>
      <c r="Y2" s="183" t="s">
        <v>47</v>
      </c>
      <c r="Z2" s="183"/>
      <c r="AB2" s="183" t="s">
        <v>47</v>
      </c>
      <c r="AC2" s="183"/>
    </row>
    <row r="3" spans="1:29" s="4" customFormat="1" ht="15.75" x14ac:dyDescent="0.25">
      <c r="A3" s="3" t="s">
        <v>44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84</v>
      </c>
      <c r="L3" s="3" t="s">
        <v>41</v>
      </c>
      <c r="M3" s="3" t="s">
        <v>42</v>
      </c>
      <c r="N3" s="3" t="s">
        <v>41</v>
      </c>
      <c r="O3" s="3" t="s">
        <v>42</v>
      </c>
      <c r="P3" s="3" t="s">
        <v>37</v>
      </c>
      <c r="Q3" s="3" t="s">
        <v>37</v>
      </c>
      <c r="R3" s="3" t="s">
        <v>67</v>
      </c>
      <c r="S3" s="3" t="s">
        <v>68</v>
      </c>
      <c r="T3" s="3" t="s">
        <v>38</v>
      </c>
      <c r="U3" s="3" t="s">
        <v>9</v>
      </c>
      <c r="V3" s="3" t="s">
        <v>39</v>
      </c>
      <c r="W3" s="3" t="s">
        <v>40</v>
      </c>
      <c r="X3" s="3" t="s">
        <v>137</v>
      </c>
      <c r="Y3" s="3" t="s">
        <v>41</v>
      </c>
      <c r="Z3" s="3" t="s">
        <v>42</v>
      </c>
      <c r="AA3" s="3" t="s">
        <v>1</v>
      </c>
      <c r="AB3" s="3" t="s">
        <v>41</v>
      </c>
      <c r="AC3" s="3" t="s">
        <v>42</v>
      </c>
    </row>
    <row r="4" spans="1:29" s="13" customFormat="1" x14ac:dyDescent="0.25">
      <c r="A4" s="36" t="s">
        <v>11</v>
      </c>
      <c r="B4" s="36" t="s">
        <v>10</v>
      </c>
      <c r="C4" s="36">
        <v>2.7134987753970501</v>
      </c>
      <c r="D4" s="36">
        <v>0.15515670035065199</v>
      </c>
      <c r="E4" s="36">
        <v>2.5085000421862702</v>
      </c>
      <c r="F4" s="36">
        <v>2.9184975086078202</v>
      </c>
      <c r="G4" s="36">
        <v>32.571484305050198</v>
      </c>
      <c r="H4" s="36">
        <v>0.42899999999999999</v>
      </c>
      <c r="I4" s="36">
        <v>22</v>
      </c>
      <c r="J4" s="37">
        <f>D4*SQRT(I4)</f>
        <v>0.7277494325668995</v>
      </c>
      <c r="K4" s="5">
        <v>1.28</v>
      </c>
      <c r="L4" s="37">
        <f>P4-(K4*D4)</f>
        <v>2.6069186989482152</v>
      </c>
      <c r="M4" s="37">
        <f>P4+(K4*D4)</f>
        <v>3.0041198518458847</v>
      </c>
      <c r="N4" s="42">
        <v>9.0530000000000008</v>
      </c>
      <c r="O4" s="42">
        <v>30.204000000000001</v>
      </c>
      <c r="P4" s="38">
        <f>C4+((H4*H4)/2)</f>
        <v>2.8055192753970499</v>
      </c>
      <c r="Q4" s="41">
        <f>EXP(P4)</f>
        <v>16.535660238589298</v>
      </c>
      <c r="R4" s="51">
        <v>2.1379623298223098</v>
      </c>
      <c r="S4" s="39">
        <f>R4/SUM($R$4:$R$21)</f>
        <v>3.2467582370824304E-2</v>
      </c>
      <c r="T4" s="37" cm="1">
        <f t="array" ref="T4">SUM($C$4:$C$21*$S$4:$S$21)</f>
        <v>2.6075882255237608</v>
      </c>
      <c r="U4" s="37">
        <f>J4*J4</f>
        <v>0.52961923660144417</v>
      </c>
      <c r="V4" s="38">
        <f>U4+((C4-T4)^2)</f>
        <v>0.54083628117590665</v>
      </c>
      <c r="W4" s="37">
        <f>SQRT(V4)*S4</f>
        <v>2.3877170464856896E-2</v>
      </c>
      <c r="X4" s="40">
        <f>SUM($W$4:$W$21)</f>
        <v>0.57365008082015445</v>
      </c>
      <c r="Y4" s="37">
        <f>T4-1.28*X4</f>
        <v>1.8733161220739629</v>
      </c>
      <c r="Z4" s="37">
        <f>T4+1.28*X4</f>
        <v>3.3418603289735587</v>
      </c>
      <c r="AA4" s="39">
        <f>EXP(T4)</f>
        <v>13.566292526810143</v>
      </c>
      <c r="AB4" s="41">
        <f>EXP(Y4)</f>
        <v>6.5098480964784642</v>
      </c>
      <c r="AC4" s="68">
        <f>EXP(Z4)</f>
        <v>28.271672425435618</v>
      </c>
    </row>
    <row r="5" spans="1:29" s="12" customFormat="1" x14ac:dyDescent="0.25">
      <c r="A5" s="10" t="s">
        <v>12</v>
      </c>
      <c r="B5" s="10" t="s">
        <v>19</v>
      </c>
      <c r="C5" s="10">
        <v>2.7018002590068702</v>
      </c>
      <c r="D5" s="10">
        <v>0.10674608553136</v>
      </c>
      <c r="E5" s="10">
        <v>2.5605551330492</v>
      </c>
      <c r="F5" s="10">
        <v>2.8430453849645398</v>
      </c>
      <c r="G5" s="10">
        <v>16.397796532519799</v>
      </c>
      <c r="H5" s="10">
        <v>0.29499999999999998</v>
      </c>
      <c r="I5" s="10">
        <v>21</v>
      </c>
      <c r="J5" s="5">
        <f t="shared" ref="J5:J21" si="0">D5*SQRT(I5)</f>
        <v>0.48917201708768759</v>
      </c>
      <c r="K5" s="5">
        <v>1.28</v>
      </c>
      <c r="L5" s="5">
        <f t="shared" ref="L5:L21" si="1">P5-(1.28*J5)</f>
        <v>2.1191725771346297</v>
      </c>
      <c r="M5" s="5">
        <f t="shared" ref="M5:M21" si="2">P5+(K5*D5)</f>
        <v>2.8819477484870109</v>
      </c>
      <c r="N5" s="42">
        <v>10.281000000000001</v>
      </c>
      <c r="O5" s="42">
        <v>23.577999999999999</v>
      </c>
      <c r="P5" s="11">
        <f t="shared" ref="P5:P21" si="3">C5+((H5*H5)/2)</f>
        <v>2.74531275900687</v>
      </c>
      <c r="Q5" s="42">
        <f>EXP(P5)</f>
        <v>15.569482666710917</v>
      </c>
      <c r="R5" s="52">
        <v>4.6301110332988804</v>
      </c>
      <c r="S5" s="11">
        <f t="shared" ref="S5:S21" si="4">R5/SUM($R$4:$R$21)</f>
        <v>7.0313919596603894E-2</v>
      </c>
      <c r="T5" s="5" cm="1">
        <f t="array" ref="T5">SUM($C$4:$C$21*$S$4:$S$21)</f>
        <v>2.6075882255237608</v>
      </c>
      <c r="U5" s="5">
        <f t="shared" ref="U5:U21" si="5">J5*J5</f>
        <v>0.23928926230163691</v>
      </c>
      <c r="V5" s="66">
        <f t="shared" ref="V5:V21" si="6">U5+((C5-T5)^2)</f>
        <v>0.24816516955465942</v>
      </c>
      <c r="W5" s="5">
        <f t="shared" ref="W5:W21" si="7">SQRT(V5)*S5</f>
        <v>3.5027708086175002E-2</v>
      </c>
      <c r="X5" s="20">
        <f t="shared" ref="X5:X21" si="8">SUM($W$4:$W$21)</f>
        <v>0.57365008082015445</v>
      </c>
      <c r="Y5" s="5">
        <f t="shared" ref="Y5:Y21" si="9">T5-1.28*X5</f>
        <v>1.8733161220739629</v>
      </c>
      <c r="Z5" s="5">
        <f t="shared" ref="Z5:Z21" si="10">T5+1.28*X5</f>
        <v>3.3418603289735587</v>
      </c>
      <c r="AA5" s="42">
        <f t="shared" ref="AA5:AA11" si="11">EXP(T5)</f>
        <v>13.566292526810143</v>
      </c>
      <c r="AB5" s="42">
        <f t="shared" ref="AB5:AC21" si="12">EXP(Y5)</f>
        <v>6.5098480964784642</v>
      </c>
      <c r="AC5" s="42">
        <f t="shared" si="12"/>
        <v>28.271672425435618</v>
      </c>
    </row>
    <row r="6" spans="1:29" s="12" customFormat="1" x14ac:dyDescent="0.25">
      <c r="A6" s="10" t="s">
        <v>13</v>
      </c>
      <c r="B6" s="10" t="s">
        <v>48</v>
      </c>
      <c r="C6" s="10">
        <v>2.7511831057059202</v>
      </c>
      <c r="D6" s="10">
        <v>0.11205585296192801</v>
      </c>
      <c r="E6" s="10">
        <v>2.6029121598710798</v>
      </c>
      <c r="F6" s="10">
        <v>2.8994540515407601</v>
      </c>
      <c r="G6" s="10">
        <v>18.612079070521901</v>
      </c>
      <c r="H6" s="10">
        <v>0.309</v>
      </c>
      <c r="I6" s="10">
        <v>21</v>
      </c>
      <c r="J6" s="5">
        <f t="shared" si="0"/>
        <v>0.51350442826087661</v>
      </c>
      <c r="K6" s="5">
        <v>1.28</v>
      </c>
      <c r="L6" s="5">
        <f t="shared" si="1"/>
        <v>2.141637937531998</v>
      </c>
      <c r="M6" s="5">
        <f t="shared" si="2"/>
        <v>2.9423550974971882</v>
      </c>
      <c r="N6" s="42">
        <v>10.635999999999999</v>
      </c>
      <c r="O6" s="42">
        <v>25.372</v>
      </c>
      <c r="P6" s="11">
        <f t="shared" si="3"/>
        <v>2.7989236057059204</v>
      </c>
      <c r="Q6" s="42">
        <f t="shared" ref="Q6:Q21" si="13">EXP(P6)</f>
        <v>16.426955370314055</v>
      </c>
      <c r="R6" s="52">
        <v>3.4523836060642301</v>
      </c>
      <c r="S6" s="11">
        <f t="shared" si="4"/>
        <v>5.2428682929549046E-2</v>
      </c>
      <c r="T6" s="5" cm="1">
        <f t="array" ref="T6">SUM($C$4:$C$21*$S$4:$S$21)</f>
        <v>2.6075882255237608</v>
      </c>
      <c r="U6" s="5">
        <f t="shared" si="5"/>
        <v>0.26368679784352977</v>
      </c>
      <c r="V6" s="66">
        <f t="shared" si="6"/>
        <v>0.28430628745805847</v>
      </c>
      <c r="W6" s="5">
        <f t="shared" si="7"/>
        <v>2.7955172727289087E-2</v>
      </c>
      <c r="X6" s="20">
        <f t="shared" si="8"/>
        <v>0.57365008082015445</v>
      </c>
      <c r="Y6" s="5">
        <f t="shared" si="9"/>
        <v>1.8733161220739629</v>
      </c>
      <c r="Z6" s="5">
        <f t="shared" si="10"/>
        <v>3.3418603289735587</v>
      </c>
      <c r="AA6" s="42">
        <f t="shared" si="11"/>
        <v>13.566292526810143</v>
      </c>
      <c r="AB6" s="42">
        <f t="shared" si="12"/>
        <v>6.5098480964784642</v>
      </c>
      <c r="AC6" s="42">
        <f t="shared" si="12"/>
        <v>28.271672425435618</v>
      </c>
    </row>
    <row r="7" spans="1:29" s="12" customFormat="1" x14ac:dyDescent="0.25">
      <c r="A7" s="10" t="s">
        <v>14</v>
      </c>
      <c r="B7" s="10" t="s">
        <v>49</v>
      </c>
      <c r="C7" s="10">
        <v>2.53121969937837</v>
      </c>
      <c r="D7" s="10">
        <v>0.133466683767723</v>
      </c>
      <c r="E7" s="10">
        <v>2.3546182018519199</v>
      </c>
      <c r="F7" s="10">
        <v>2.7078211969048098</v>
      </c>
      <c r="G7" s="10">
        <v>23.563275054890301</v>
      </c>
      <c r="H7" s="10">
        <v>0.34200000000000003</v>
      </c>
      <c r="I7" s="10">
        <v>21</v>
      </c>
      <c r="J7" s="5">
        <f t="shared" si="0"/>
        <v>0.61162118112032449</v>
      </c>
      <c r="K7" s="5">
        <v>1.28</v>
      </c>
      <c r="L7" s="5">
        <f t="shared" si="1"/>
        <v>1.8068265875443548</v>
      </c>
      <c r="M7" s="5">
        <f t="shared" si="2"/>
        <v>2.7605390546010558</v>
      </c>
      <c r="N7" s="42">
        <v>8.1940000000000008</v>
      </c>
      <c r="O7" s="42">
        <v>21.670999999999999</v>
      </c>
      <c r="P7" s="11">
        <f t="shared" si="3"/>
        <v>2.5897016993783701</v>
      </c>
      <c r="Q7" s="42">
        <f t="shared" si="13"/>
        <v>13.325795917044662</v>
      </c>
      <c r="R7" s="52">
        <v>3.6765344602851902</v>
      </c>
      <c r="S7" s="11">
        <f t="shared" si="4"/>
        <v>5.5832688800650856E-2</v>
      </c>
      <c r="T7" s="5" cm="1">
        <f t="array" ref="T7">SUM($C$4:$C$21*$S$4:$S$21)</f>
        <v>2.6075882255237608</v>
      </c>
      <c r="U7" s="5">
        <f t="shared" si="5"/>
        <v>0.37408046919502075</v>
      </c>
      <c r="V7" s="66">
        <f t="shared" si="6"/>
        <v>0.37991262098063999</v>
      </c>
      <c r="W7" s="5">
        <f t="shared" si="7"/>
        <v>3.441362356744667E-2</v>
      </c>
      <c r="X7" s="20">
        <f t="shared" si="8"/>
        <v>0.57365008082015445</v>
      </c>
      <c r="Y7" s="5">
        <f t="shared" si="9"/>
        <v>1.8733161220739629</v>
      </c>
      <c r="Z7" s="5">
        <f t="shared" si="10"/>
        <v>3.3418603289735587</v>
      </c>
      <c r="AA7" s="42">
        <f t="shared" si="11"/>
        <v>13.566292526810143</v>
      </c>
      <c r="AB7" s="42">
        <f t="shared" si="12"/>
        <v>6.5098480964784642</v>
      </c>
      <c r="AC7" s="42">
        <f t="shared" si="12"/>
        <v>28.271672425435618</v>
      </c>
    </row>
    <row r="8" spans="1:29" s="12" customFormat="1" x14ac:dyDescent="0.25">
      <c r="A8" s="10" t="s">
        <v>15</v>
      </c>
      <c r="B8" s="10" t="s">
        <v>50</v>
      </c>
      <c r="C8" s="10">
        <v>2.65193890172046</v>
      </c>
      <c r="D8" s="10">
        <v>0.111708584367011</v>
      </c>
      <c r="E8" s="10">
        <v>2.5041274574793899</v>
      </c>
      <c r="F8" s="10">
        <v>2.7997503459615301</v>
      </c>
      <c r="G8" s="10">
        <v>18.257177826155701</v>
      </c>
      <c r="H8" s="10">
        <v>0.307</v>
      </c>
      <c r="I8" s="10">
        <v>21</v>
      </c>
      <c r="J8" s="5">
        <f t="shared" si="0"/>
        <v>0.51191304363818857</v>
      </c>
      <c r="K8" s="5">
        <v>1.28</v>
      </c>
      <c r="L8" s="5">
        <f t="shared" si="1"/>
        <v>2.0438147058635785</v>
      </c>
      <c r="M8" s="5">
        <f t="shared" si="2"/>
        <v>2.8420503897102338</v>
      </c>
      <c r="N8" s="42">
        <v>9.6539999999999999</v>
      </c>
      <c r="O8" s="42">
        <v>22.891999999999999</v>
      </c>
      <c r="P8" s="11">
        <f t="shared" si="3"/>
        <v>2.6990634017204598</v>
      </c>
      <c r="Q8" s="42">
        <f t="shared" si="13"/>
        <v>14.865801918074126</v>
      </c>
      <c r="R8" s="52">
        <v>4.6496036758389403</v>
      </c>
      <c r="S8" s="11">
        <f t="shared" si="4"/>
        <v>7.0609939301191971E-2</v>
      </c>
      <c r="T8" s="5" cm="1">
        <f t="array" ref="T8">SUM($C$4:$C$21*$S$4:$S$21)</f>
        <v>2.6075882255237608</v>
      </c>
      <c r="U8" s="5">
        <f t="shared" si="5"/>
        <v>0.26205496424691394</v>
      </c>
      <c r="V8" s="66">
        <f t="shared" si="6"/>
        <v>0.26402194672601842</v>
      </c>
      <c r="W8" s="5">
        <f t="shared" si="7"/>
        <v>3.6281551684145208E-2</v>
      </c>
      <c r="X8" s="20">
        <f t="shared" si="8"/>
        <v>0.57365008082015445</v>
      </c>
      <c r="Y8" s="5">
        <f t="shared" si="9"/>
        <v>1.8733161220739629</v>
      </c>
      <c r="Z8" s="5">
        <f t="shared" si="10"/>
        <v>3.3418603289735587</v>
      </c>
      <c r="AA8" s="42">
        <f t="shared" si="11"/>
        <v>13.566292526810143</v>
      </c>
      <c r="AB8" s="42">
        <f t="shared" si="12"/>
        <v>6.5098480964784642</v>
      </c>
      <c r="AC8" s="42">
        <f t="shared" si="12"/>
        <v>28.271672425435618</v>
      </c>
    </row>
    <row r="9" spans="1:29" s="12" customFormat="1" x14ac:dyDescent="0.25">
      <c r="A9" s="10" t="s">
        <v>16</v>
      </c>
      <c r="B9" s="10" t="s">
        <v>51</v>
      </c>
      <c r="C9" s="10">
        <v>2.5408846544961499</v>
      </c>
      <c r="D9" s="10">
        <v>0.123163440825217</v>
      </c>
      <c r="E9" s="10">
        <v>2.3779162830927101</v>
      </c>
      <c r="F9" s="10">
        <v>2.7038530258995901</v>
      </c>
      <c r="G9" s="10">
        <v>20.527184459579601</v>
      </c>
      <c r="H9" s="10">
        <v>0.32100000000000001</v>
      </c>
      <c r="I9" s="10">
        <v>21</v>
      </c>
      <c r="J9" s="5">
        <f t="shared" si="0"/>
        <v>0.56440579043277128</v>
      </c>
      <c r="K9" s="5">
        <v>1.28</v>
      </c>
      <c r="L9" s="5">
        <f t="shared" si="1"/>
        <v>1.8699657427422027</v>
      </c>
      <c r="M9" s="5">
        <f t="shared" si="2"/>
        <v>2.7500543587524278</v>
      </c>
      <c r="N9" s="42">
        <v>8.4740000000000002</v>
      </c>
      <c r="O9" s="42">
        <v>21.07</v>
      </c>
      <c r="P9" s="11">
        <f t="shared" si="3"/>
        <v>2.5924051544961499</v>
      </c>
      <c r="Q9" s="42">
        <f t="shared" si="13"/>
        <v>13.361870349047656</v>
      </c>
      <c r="R9" s="52">
        <v>4.5889999804526704</v>
      </c>
      <c r="S9" s="11">
        <f t="shared" si="4"/>
        <v>6.9689597794476268E-2</v>
      </c>
      <c r="T9" s="5" cm="1">
        <f t="array" ref="T9">SUM($C$4:$C$21*$S$4:$S$21)</f>
        <v>2.6075882255237608</v>
      </c>
      <c r="U9" s="5">
        <f t="shared" si="5"/>
        <v>0.31855389627404135</v>
      </c>
      <c r="V9" s="66">
        <f t="shared" si="6"/>
        <v>0.3230032626618769</v>
      </c>
      <c r="W9" s="5">
        <f t="shared" si="7"/>
        <v>3.9606951141667762E-2</v>
      </c>
      <c r="X9" s="20">
        <f t="shared" si="8"/>
        <v>0.57365008082015445</v>
      </c>
      <c r="Y9" s="5">
        <f t="shared" si="9"/>
        <v>1.8733161220739629</v>
      </c>
      <c r="Z9" s="5">
        <f t="shared" si="10"/>
        <v>3.3418603289735587</v>
      </c>
      <c r="AA9" s="42">
        <f t="shared" si="11"/>
        <v>13.566292526810143</v>
      </c>
      <c r="AB9" s="42">
        <f t="shared" si="12"/>
        <v>6.5098480964784642</v>
      </c>
      <c r="AC9" s="42">
        <f t="shared" si="12"/>
        <v>28.271672425435618</v>
      </c>
    </row>
    <row r="10" spans="1:29" s="12" customFormat="1" x14ac:dyDescent="0.25">
      <c r="A10" s="10" t="s">
        <v>17</v>
      </c>
      <c r="B10" s="10" t="s">
        <v>28</v>
      </c>
      <c r="C10" s="10">
        <v>2.7155142441756999</v>
      </c>
      <c r="D10" s="10">
        <v>0.11613403374069201</v>
      </c>
      <c r="E10" s="10">
        <v>2.5618470989869699</v>
      </c>
      <c r="F10" s="10">
        <v>2.8691813893644298</v>
      </c>
      <c r="G10" s="10">
        <v>20.4547231552773</v>
      </c>
      <c r="H10" s="10">
        <v>0.32100000000000001</v>
      </c>
      <c r="I10" s="10">
        <v>21</v>
      </c>
      <c r="J10" s="5">
        <f t="shared" si="0"/>
        <v>0.53219300037727657</v>
      </c>
      <c r="K10" s="5">
        <v>1.28</v>
      </c>
      <c r="L10" s="5">
        <f t="shared" si="1"/>
        <v>2.0858277036927859</v>
      </c>
      <c r="M10" s="5">
        <f t="shared" si="2"/>
        <v>2.9156863073637855</v>
      </c>
      <c r="N10" s="42">
        <v>10.129</v>
      </c>
      <c r="O10" s="42">
        <v>24.994</v>
      </c>
      <c r="P10" s="11">
        <f t="shared" si="3"/>
        <v>2.7670347441756999</v>
      </c>
      <c r="Q10" s="42">
        <f t="shared" si="13"/>
        <v>15.911382668129054</v>
      </c>
      <c r="R10" s="52">
        <v>3.22392548419581</v>
      </c>
      <c r="S10" s="11">
        <f t="shared" si="4"/>
        <v>4.8959265911961446E-2</v>
      </c>
      <c r="T10" s="5" cm="1">
        <f t="array" ref="T10">SUM($C$4:$C$21*$S$4:$S$21)</f>
        <v>2.6075882255237608</v>
      </c>
      <c r="U10" s="5">
        <f t="shared" si="5"/>
        <v>0.28322938965056788</v>
      </c>
      <c r="V10" s="66">
        <f t="shared" si="6"/>
        <v>0.29487741515262655</v>
      </c>
      <c r="W10" s="5">
        <f t="shared" si="7"/>
        <v>2.6586162376840743E-2</v>
      </c>
      <c r="X10" s="20">
        <f t="shared" si="8"/>
        <v>0.57365008082015445</v>
      </c>
      <c r="Y10" s="5">
        <f t="shared" si="9"/>
        <v>1.8733161220739629</v>
      </c>
      <c r="Z10" s="5">
        <f t="shared" si="10"/>
        <v>3.3418603289735587</v>
      </c>
      <c r="AA10" s="42">
        <f t="shared" si="11"/>
        <v>13.566292526810143</v>
      </c>
      <c r="AB10" s="42">
        <f t="shared" si="12"/>
        <v>6.5098480964784642</v>
      </c>
      <c r="AC10" s="42">
        <f t="shared" si="12"/>
        <v>28.271672425435618</v>
      </c>
    </row>
    <row r="11" spans="1:29" s="12" customFormat="1" x14ac:dyDescent="0.25">
      <c r="A11" s="10" t="s">
        <v>18</v>
      </c>
      <c r="B11" s="10" t="s">
        <v>26</v>
      </c>
      <c r="C11" s="10">
        <v>2.5595786046086002</v>
      </c>
      <c r="D11" s="10">
        <v>0.13462214796042299</v>
      </c>
      <c r="E11" s="10">
        <v>2.3814482108736801</v>
      </c>
      <c r="F11" s="10">
        <v>2.7377089983435101</v>
      </c>
      <c r="G11" s="10">
        <v>24.740100875554401</v>
      </c>
      <c r="H11" s="10">
        <v>0.35099999999999998</v>
      </c>
      <c r="I11" s="10">
        <v>21</v>
      </c>
      <c r="J11" s="5">
        <f t="shared" si="0"/>
        <v>0.61691618324618325</v>
      </c>
      <c r="K11" s="5">
        <v>1.28</v>
      </c>
      <c r="L11" s="5">
        <f t="shared" si="1"/>
        <v>1.8315263900534857</v>
      </c>
      <c r="M11" s="5">
        <f t="shared" si="2"/>
        <v>2.7934954539979415</v>
      </c>
      <c r="N11" s="42">
        <v>8.3640000000000008</v>
      </c>
      <c r="O11" s="42">
        <v>22.611999999999998</v>
      </c>
      <c r="P11" s="11">
        <f t="shared" si="3"/>
        <v>2.6211791046086002</v>
      </c>
      <c r="Q11" s="42">
        <f t="shared" si="13"/>
        <v>13.751928992117096</v>
      </c>
      <c r="R11" s="52">
        <v>3.4270230727498299</v>
      </c>
      <c r="S11" s="11">
        <f t="shared" si="4"/>
        <v>5.2043552100596711E-2</v>
      </c>
      <c r="T11" s="5" cm="1">
        <f t="array" ref="T11">SUM($C$4:$C$21*$S$4:$S$21)</f>
        <v>2.6075882255237608</v>
      </c>
      <c r="U11" s="5">
        <f t="shared" si="5"/>
        <v>0.38058557715103836</v>
      </c>
      <c r="V11" s="66">
        <f t="shared" si="6"/>
        <v>0.38289050085145576</v>
      </c>
      <c r="W11" s="5">
        <f t="shared" si="7"/>
        <v>3.2203585388384581E-2</v>
      </c>
      <c r="X11" s="20">
        <f t="shared" si="8"/>
        <v>0.57365008082015445</v>
      </c>
      <c r="Y11" s="5">
        <f t="shared" si="9"/>
        <v>1.8733161220739629</v>
      </c>
      <c r="Z11" s="5">
        <f t="shared" si="10"/>
        <v>3.3418603289735587</v>
      </c>
      <c r="AA11" s="42">
        <f t="shared" si="11"/>
        <v>13.566292526810143</v>
      </c>
      <c r="AB11" s="42">
        <f t="shared" si="12"/>
        <v>6.5098480964784642</v>
      </c>
      <c r="AC11" s="42">
        <f t="shared" si="12"/>
        <v>28.271672425435618</v>
      </c>
    </row>
    <row r="12" spans="1:29" s="12" customFormat="1" x14ac:dyDescent="0.25">
      <c r="A12" s="10" t="s">
        <v>20</v>
      </c>
      <c r="B12" s="10" t="s">
        <v>52</v>
      </c>
      <c r="C12" s="10">
        <v>2.6115196118677999</v>
      </c>
      <c r="D12" s="10">
        <v>0.121362415071312</v>
      </c>
      <c r="E12" s="10">
        <v>2.45093433590245</v>
      </c>
      <c r="F12" s="10">
        <v>2.7721048878331498</v>
      </c>
      <c r="G12" s="10">
        <v>21.523063419841701</v>
      </c>
      <c r="H12" s="10">
        <v>0.32800000000000001</v>
      </c>
      <c r="I12" s="10">
        <v>21</v>
      </c>
      <c r="J12" s="5">
        <f t="shared" si="0"/>
        <v>0.55615245358693666</v>
      </c>
      <c r="K12" s="5">
        <v>1.28</v>
      </c>
      <c r="L12" s="5">
        <f t="shared" si="1"/>
        <v>1.9534364712765209</v>
      </c>
      <c r="M12" s="5">
        <f t="shared" si="2"/>
        <v>2.8206555031590792</v>
      </c>
      <c r="N12" s="42">
        <v>9.0459999999999994</v>
      </c>
      <c r="O12" s="42">
        <v>22.834</v>
      </c>
      <c r="P12" s="11">
        <f t="shared" si="3"/>
        <v>2.6653116118678</v>
      </c>
      <c r="Q12" s="42">
        <f t="shared" si="13"/>
        <v>14.372427467241701</v>
      </c>
      <c r="R12" s="52">
        <v>3.5382878351427101</v>
      </c>
      <c r="S12" s="11">
        <f t="shared" si="4"/>
        <v>5.3733244097303352E-2</v>
      </c>
      <c r="T12" s="5" cm="1">
        <f t="array" ref="T12">SUM($C$4:$C$21*$S$4:$S$21)</f>
        <v>2.6075882255237608</v>
      </c>
      <c r="U12" s="5">
        <f t="shared" si="5"/>
        <v>0.30930555163076973</v>
      </c>
      <c r="V12" s="66">
        <f t="shared" si="6"/>
        <v>0.30932100742935581</v>
      </c>
      <c r="W12" s="5">
        <f t="shared" si="7"/>
        <v>2.9884622173551131E-2</v>
      </c>
      <c r="X12" s="20">
        <f t="shared" si="8"/>
        <v>0.57365008082015445</v>
      </c>
      <c r="Y12" s="5">
        <f t="shared" si="9"/>
        <v>1.8733161220739629</v>
      </c>
      <c r="Z12" s="5">
        <f t="shared" si="10"/>
        <v>3.3418603289735587</v>
      </c>
      <c r="AA12" s="42">
        <f t="shared" ref="AA12:AA21" si="14">EXP(T12)</f>
        <v>13.566292526810143</v>
      </c>
      <c r="AB12" s="42">
        <f t="shared" si="12"/>
        <v>6.5098480964784642</v>
      </c>
      <c r="AC12" s="42">
        <f t="shared" si="12"/>
        <v>28.271672425435618</v>
      </c>
    </row>
    <row r="13" spans="1:29" s="12" customFormat="1" x14ac:dyDescent="0.25">
      <c r="A13" s="10" t="s">
        <v>21</v>
      </c>
      <c r="B13" s="10" t="s">
        <v>30</v>
      </c>
      <c r="C13" s="10">
        <v>2.5547300867066101</v>
      </c>
      <c r="D13" s="10">
        <v>0.12905708679672501</v>
      </c>
      <c r="E13" s="10">
        <v>2.3839633144208201</v>
      </c>
      <c r="F13" s="10">
        <v>2.7254968589924</v>
      </c>
      <c r="G13" s="10">
        <v>22.8745384232992</v>
      </c>
      <c r="H13" s="10">
        <v>0.33800000000000002</v>
      </c>
      <c r="I13" s="10">
        <v>21</v>
      </c>
      <c r="J13" s="5">
        <f t="shared" si="0"/>
        <v>0.59141386921647821</v>
      </c>
      <c r="K13" s="5">
        <v>1.28</v>
      </c>
      <c r="L13" s="5">
        <f t="shared" si="1"/>
        <v>1.8548423341095179</v>
      </c>
      <c r="M13" s="5">
        <f t="shared" si="2"/>
        <v>2.7770451578064184</v>
      </c>
      <c r="N13" s="42">
        <v>8.4459999999999997</v>
      </c>
      <c r="O13" s="42">
        <v>21.977</v>
      </c>
      <c r="P13" s="11">
        <f t="shared" si="3"/>
        <v>2.6118520867066102</v>
      </c>
      <c r="Q13" s="42">
        <f t="shared" si="13"/>
        <v>13.624260811445337</v>
      </c>
      <c r="R13" s="52">
        <v>3.8945201757623802</v>
      </c>
      <c r="S13" s="11">
        <f t="shared" si="4"/>
        <v>5.9143069472094661E-2</v>
      </c>
      <c r="T13" s="5" cm="1">
        <f t="array" ref="T13">SUM($C$4:$C$21*$S$4:$S$21)</f>
        <v>2.6075882255237608</v>
      </c>
      <c r="U13" s="5">
        <f t="shared" si="5"/>
        <v>0.34977036470160561</v>
      </c>
      <c r="V13" s="66">
        <f t="shared" si="6"/>
        <v>0.35256434754081878</v>
      </c>
      <c r="W13" s="5">
        <f t="shared" si="7"/>
        <v>3.5117456790098367E-2</v>
      </c>
      <c r="X13" s="20">
        <f t="shared" si="8"/>
        <v>0.57365008082015445</v>
      </c>
      <c r="Y13" s="5">
        <f t="shared" si="9"/>
        <v>1.8733161220739629</v>
      </c>
      <c r="Z13" s="5">
        <f t="shared" si="10"/>
        <v>3.3418603289735587</v>
      </c>
      <c r="AA13" s="42">
        <f t="shared" si="14"/>
        <v>13.566292526810143</v>
      </c>
      <c r="AB13" s="42">
        <f t="shared" si="12"/>
        <v>6.5098480964784642</v>
      </c>
      <c r="AC13" s="42">
        <f t="shared" si="12"/>
        <v>28.271672425435618</v>
      </c>
    </row>
    <row r="14" spans="1:29" s="12" customFormat="1" x14ac:dyDescent="0.25">
      <c r="A14" s="146" t="s">
        <v>22</v>
      </c>
      <c r="B14" s="146" t="s">
        <v>33</v>
      </c>
      <c r="C14" s="10">
        <v>2.7386056832110102</v>
      </c>
      <c r="D14" s="10">
        <v>0.11502880133766399</v>
      </c>
      <c r="E14" s="10">
        <v>2.58640096813577</v>
      </c>
      <c r="F14" s="10">
        <v>2.8908103982862499</v>
      </c>
      <c r="G14" s="10">
        <v>19.936268573053699</v>
      </c>
      <c r="H14" s="10">
        <v>0.317</v>
      </c>
      <c r="I14" s="10">
        <v>21</v>
      </c>
      <c r="J14" s="5">
        <f t="shared" si="0"/>
        <v>0.5271281892298828</v>
      </c>
      <c r="K14" s="5">
        <v>1.28</v>
      </c>
      <c r="L14" s="5">
        <f t="shared" si="1"/>
        <v>2.11412610099676</v>
      </c>
      <c r="M14" s="5">
        <f t="shared" si="2"/>
        <v>2.9360870489232198</v>
      </c>
      <c r="N14" s="42">
        <v>10.403</v>
      </c>
      <c r="O14" s="42">
        <v>25.422999999999998</v>
      </c>
      <c r="P14" s="11">
        <f t="shared" si="3"/>
        <v>2.78885018321101</v>
      </c>
      <c r="Q14" s="42">
        <f t="shared" si="13"/>
        <v>16.262310370149034</v>
      </c>
      <c r="R14" s="52">
        <v>3.0607469710632502</v>
      </c>
      <c r="S14" s="11">
        <f t="shared" si="4"/>
        <v>4.6481199885082314E-2</v>
      </c>
      <c r="T14" s="5" cm="1">
        <f t="array" ref="T14">SUM($C$4:$C$21*$S$4:$S$21)</f>
        <v>2.6075882255237608</v>
      </c>
      <c r="U14" s="5">
        <f t="shared" si="5"/>
        <v>0.27786412788077514</v>
      </c>
      <c r="V14" s="66">
        <f t="shared" si="6"/>
        <v>0.29502970209960533</v>
      </c>
      <c r="W14" s="5">
        <f t="shared" si="7"/>
        <v>2.5247024469374785E-2</v>
      </c>
      <c r="X14" s="20">
        <f t="shared" si="8"/>
        <v>0.57365008082015445</v>
      </c>
      <c r="Y14" s="5">
        <f t="shared" si="9"/>
        <v>1.8733161220739629</v>
      </c>
      <c r="Z14" s="5">
        <f t="shared" si="10"/>
        <v>3.3418603289735587</v>
      </c>
      <c r="AA14" s="42">
        <f t="shared" si="14"/>
        <v>13.566292526810143</v>
      </c>
      <c r="AB14" s="42">
        <f t="shared" si="12"/>
        <v>6.5098480964784642</v>
      </c>
      <c r="AC14" s="42">
        <f t="shared" si="12"/>
        <v>28.271672425435618</v>
      </c>
    </row>
    <row r="15" spans="1:29" s="12" customFormat="1" x14ac:dyDescent="0.25">
      <c r="A15" s="10" t="s">
        <v>23</v>
      </c>
      <c r="B15" s="10" t="s">
        <v>31</v>
      </c>
      <c r="C15" s="10">
        <v>2.5199833209339002</v>
      </c>
      <c r="D15" s="10">
        <v>0.13280147362074701</v>
      </c>
      <c r="E15" s="10">
        <v>2.3442620214074998</v>
      </c>
      <c r="F15" s="10">
        <v>2.6957046204602899</v>
      </c>
      <c r="G15" s="10">
        <v>23.027843900216102</v>
      </c>
      <c r="H15" s="10">
        <v>0.33900000000000002</v>
      </c>
      <c r="I15" s="10">
        <v>21</v>
      </c>
      <c r="J15" s="5">
        <f t="shared" si="0"/>
        <v>0.60857280526875435</v>
      </c>
      <c r="K15" s="5">
        <v>1.28</v>
      </c>
      <c r="L15" s="5">
        <f t="shared" si="1"/>
        <v>1.7984706301898945</v>
      </c>
      <c r="M15" s="5">
        <f t="shared" si="2"/>
        <v>2.7474297071684561</v>
      </c>
      <c r="N15" s="42">
        <v>8.1349999999999998</v>
      </c>
      <c r="O15" s="42">
        <v>21.3</v>
      </c>
      <c r="P15" s="11">
        <f t="shared" si="3"/>
        <v>2.5774438209339001</v>
      </c>
      <c r="Q15" s="42">
        <f t="shared" si="13"/>
        <v>13.163446990038443</v>
      </c>
      <c r="R15" s="52">
        <v>3.5848212629665301</v>
      </c>
      <c r="S15" s="11">
        <f t="shared" si="4"/>
        <v>5.4439911319542129E-2</v>
      </c>
      <c r="T15" s="5" cm="1">
        <f t="array" ref="T15">SUM($C$4:$C$21*$S$4:$S$21)</f>
        <v>2.6075882255237608</v>
      </c>
      <c r="U15" s="5">
        <f t="shared" si="5"/>
        <v>0.3703608593126812</v>
      </c>
      <c r="V15" s="66">
        <f t="shared" si="6"/>
        <v>0.37803547862087977</v>
      </c>
      <c r="W15" s="5">
        <f t="shared" si="7"/>
        <v>3.3472156177066621E-2</v>
      </c>
      <c r="X15" s="20">
        <f t="shared" si="8"/>
        <v>0.57365008082015445</v>
      </c>
      <c r="Y15" s="5">
        <f t="shared" si="9"/>
        <v>1.8733161220739629</v>
      </c>
      <c r="Z15" s="5">
        <f t="shared" si="10"/>
        <v>3.3418603289735587</v>
      </c>
      <c r="AA15" s="42">
        <f t="shared" si="14"/>
        <v>13.566292526810143</v>
      </c>
      <c r="AB15" s="42">
        <f t="shared" si="12"/>
        <v>6.5098480964784642</v>
      </c>
      <c r="AC15" s="42">
        <f t="shared" si="12"/>
        <v>28.271672425435618</v>
      </c>
    </row>
    <row r="16" spans="1:29" s="12" customFormat="1" x14ac:dyDescent="0.25">
      <c r="A16" s="146" t="s">
        <v>24</v>
      </c>
      <c r="B16" s="146" t="s">
        <v>53</v>
      </c>
      <c r="C16" s="10">
        <v>2.61423000672491</v>
      </c>
      <c r="D16" s="10">
        <v>0.115836171755717</v>
      </c>
      <c r="E16" s="10">
        <v>2.46095698890278</v>
      </c>
      <c r="F16" s="10">
        <v>2.76750302454704</v>
      </c>
      <c r="G16" s="10">
        <v>19.432927366971601</v>
      </c>
      <c r="H16" s="10">
        <v>0.314</v>
      </c>
      <c r="I16" s="10">
        <v>21</v>
      </c>
      <c r="J16" s="5">
        <f t="shared" si="0"/>
        <v>0.53082802528447892</v>
      </c>
      <c r="K16" s="5">
        <v>1.28</v>
      </c>
      <c r="L16" s="5">
        <f t="shared" si="1"/>
        <v>1.9840681343607769</v>
      </c>
      <c r="M16" s="5">
        <f t="shared" si="2"/>
        <v>2.8117983065722276</v>
      </c>
      <c r="N16" s="42">
        <v>9.2119999999999997</v>
      </c>
      <c r="O16" s="42">
        <v>22.344000000000001</v>
      </c>
      <c r="P16" s="11">
        <f t="shared" si="3"/>
        <v>2.6635280067249099</v>
      </c>
      <c r="Q16" s="42">
        <f t="shared" si="13"/>
        <v>14.346815579232713</v>
      </c>
      <c r="R16" s="52">
        <v>3.99217833699542</v>
      </c>
      <c r="S16" s="11">
        <f t="shared" si="4"/>
        <v>6.0626128527808E-2</v>
      </c>
      <c r="T16" s="5" cm="1">
        <f t="array" ref="T16">SUM($C$4:$C$21*$S$4:$S$21)</f>
        <v>2.6075882255237608</v>
      </c>
      <c r="U16" s="5">
        <f t="shared" si="5"/>
        <v>0.28177839242741937</v>
      </c>
      <c r="V16" s="66">
        <f t="shared" si="6"/>
        <v>0.28182250568494333</v>
      </c>
      <c r="W16" s="5">
        <f t="shared" si="7"/>
        <v>3.2184567086838228E-2</v>
      </c>
      <c r="X16" s="20">
        <f t="shared" si="8"/>
        <v>0.57365008082015445</v>
      </c>
      <c r="Y16" s="5">
        <f t="shared" si="9"/>
        <v>1.8733161220739629</v>
      </c>
      <c r="Z16" s="5">
        <f t="shared" si="10"/>
        <v>3.3418603289735587</v>
      </c>
      <c r="AA16" s="42">
        <f t="shared" si="14"/>
        <v>13.566292526810143</v>
      </c>
      <c r="AB16" s="42">
        <f t="shared" si="12"/>
        <v>6.5098480964784642</v>
      </c>
      <c r="AC16" s="42">
        <f t="shared" si="12"/>
        <v>28.271672425435618</v>
      </c>
    </row>
    <row r="17" spans="1:29" s="12" customFormat="1" x14ac:dyDescent="0.25">
      <c r="A17" s="146" t="s">
        <v>25</v>
      </c>
      <c r="B17" s="146" t="s">
        <v>34</v>
      </c>
      <c r="C17" s="10">
        <v>2.5255224006689501</v>
      </c>
      <c r="D17" s="10">
        <v>0.12644726450567501</v>
      </c>
      <c r="E17" s="10">
        <v>2.3582089135916098</v>
      </c>
      <c r="F17" s="10">
        <v>2.6928358877462801</v>
      </c>
      <c r="G17" s="10">
        <v>21.2083411794416</v>
      </c>
      <c r="H17" s="10">
        <v>0.32600000000000001</v>
      </c>
      <c r="I17" s="10">
        <v>21</v>
      </c>
      <c r="J17" s="5">
        <f t="shared" si="0"/>
        <v>0.57945416101735858</v>
      </c>
      <c r="K17" s="5">
        <v>1.28</v>
      </c>
      <c r="L17" s="5">
        <f t="shared" si="1"/>
        <v>1.8369590745667312</v>
      </c>
      <c r="M17" s="5">
        <f t="shared" si="2"/>
        <v>2.7405128992362142</v>
      </c>
      <c r="N17" s="42">
        <v>8.298</v>
      </c>
      <c r="O17" s="42">
        <v>20.933</v>
      </c>
      <c r="P17" s="11">
        <f t="shared" si="3"/>
        <v>2.5786604006689502</v>
      </c>
      <c r="Q17" s="42">
        <f t="shared" si="13"/>
        <v>13.179471118228346</v>
      </c>
      <c r="R17" s="52">
        <v>4.0606570173372498</v>
      </c>
      <c r="S17" s="11">
        <f t="shared" si="4"/>
        <v>6.1666061347778911E-2</v>
      </c>
      <c r="T17" s="5" cm="1">
        <f t="array" ref="T17">SUM($C$4:$C$21*$S$4:$S$21)</f>
        <v>2.6075882255237608</v>
      </c>
      <c r="U17" s="5">
        <f t="shared" si="5"/>
        <v>0.33576712472033093</v>
      </c>
      <c r="V17" s="66">
        <f t="shared" si="6"/>
        <v>0.34250192432943138</v>
      </c>
      <c r="W17" s="5">
        <f t="shared" si="7"/>
        <v>3.6089238520495802E-2</v>
      </c>
      <c r="X17" s="20">
        <f t="shared" si="8"/>
        <v>0.57365008082015445</v>
      </c>
      <c r="Y17" s="5">
        <f t="shared" si="9"/>
        <v>1.8733161220739629</v>
      </c>
      <c r="Z17" s="5">
        <f t="shared" si="10"/>
        <v>3.3418603289735587</v>
      </c>
      <c r="AA17" s="42">
        <f t="shared" si="14"/>
        <v>13.566292526810143</v>
      </c>
      <c r="AB17" s="42">
        <f t="shared" si="12"/>
        <v>6.5098480964784642</v>
      </c>
      <c r="AC17" s="42">
        <f t="shared" si="12"/>
        <v>28.271672425435618</v>
      </c>
    </row>
    <row r="18" spans="1:29" s="12" customFormat="1" x14ac:dyDescent="0.25">
      <c r="A18" s="10" t="s">
        <v>27</v>
      </c>
      <c r="B18" s="10" t="s">
        <v>36</v>
      </c>
      <c r="C18" s="10">
        <v>2.7004108818662602</v>
      </c>
      <c r="D18" s="10">
        <v>0.119595694012175</v>
      </c>
      <c r="E18" s="10">
        <v>2.5421633097828602</v>
      </c>
      <c r="F18" s="10">
        <v>2.8586584539496598</v>
      </c>
      <c r="G18" s="10">
        <v>21.847059575502001</v>
      </c>
      <c r="H18" s="10">
        <v>0.33</v>
      </c>
      <c r="I18" s="10">
        <v>21</v>
      </c>
      <c r="J18" s="5">
        <f t="shared" si="0"/>
        <v>0.54805632060156884</v>
      </c>
      <c r="K18" s="5">
        <v>1.28</v>
      </c>
      <c r="L18" s="5">
        <f t="shared" si="1"/>
        <v>2.0533487914962523</v>
      </c>
      <c r="M18" s="5">
        <f t="shared" si="2"/>
        <v>2.9079433702018442</v>
      </c>
      <c r="N18" s="42">
        <v>9.875</v>
      </c>
      <c r="O18" s="42">
        <v>25.021999999999998</v>
      </c>
      <c r="P18" s="11">
        <f t="shared" si="3"/>
        <v>2.7548608818662603</v>
      </c>
      <c r="Q18" s="42">
        <f t="shared" si="13"/>
        <v>15.718853973057074</v>
      </c>
      <c r="R18" s="52">
        <v>2.86668315807737</v>
      </c>
      <c r="S18" s="11">
        <f t="shared" si="4"/>
        <v>4.3534102667593465E-2</v>
      </c>
      <c r="T18" s="5" cm="1">
        <f t="array" ref="T18">SUM($C$4:$C$21*$S$4:$S$21)</f>
        <v>2.6075882255237608</v>
      </c>
      <c r="U18" s="5">
        <f t="shared" si="5"/>
        <v>0.30036573055132959</v>
      </c>
      <c r="V18" s="66">
        <f t="shared" si="6"/>
        <v>0.30898177608180732</v>
      </c>
      <c r="W18" s="5">
        <f t="shared" si="7"/>
        <v>2.419892256026912E-2</v>
      </c>
      <c r="X18" s="20">
        <f t="shared" si="8"/>
        <v>0.57365008082015445</v>
      </c>
      <c r="Y18" s="5">
        <f t="shared" si="9"/>
        <v>1.8733161220739629</v>
      </c>
      <c r="Z18" s="5">
        <f t="shared" si="10"/>
        <v>3.3418603289735587</v>
      </c>
      <c r="AA18" s="42">
        <f t="shared" si="14"/>
        <v>13.566292526810143</v>
      </c>
      <c r="AB18" s="42">
        <f t="shared" si="12"/>
        <v>6.5098480964784642</v>
      </c>
      <c r="AC18" s="42">
        <f t="shared" si="12"/>
        <v>28.271672425435618</v>
      </c>
    </row>
    <row r="19" spans="1:29" s="12" customFormat="1" x14ac:dyDescent="0.25">
      <c r="A19" s="10" t="s">
        <v>29</v>
      </c>
      <c r="B19" s="10" t="s">
        <v>35</v>
      </c>
      <c r="C19" s="10">
        <v>2.5104391121635201</v>
      </c>
      <c r="D19" s="10">
        <v>0.13833692670317199</v>
      </c>
      <c r="E19" s="10">
        <v>2.32739336824211</v>
      </c>
      <c r="F19" s="10">
        <v>2.6934848560849298</v>
      </c>
      <c r="G19" s="10">
        <v>24.296314278671701</v>
      </c>
      <c r="H19" s="10">
        <v>0.34799999999999998</v>
      </c>
      <c r="I19" s="10">
        <v>21</v>
      </c>
      <c r="J19" s="5">
        <f t="shared" si="0"/>
        <v>0.63393943802484343</v>
      </c>
      <c r="K19" s="5">
        <v>1.28</v>
      </c>
      <c r="L19" s="5">
        <f t="shared" si="1"/>
        <v>1.7595486314917204</v>
      </c>
      <c r="M19" s="5">
        <f t="shared" si="2"/>
        <v>2.74806237834358</v>
      </c>
      <c r="N19" s="42">
        <v>7.9720000000000004</v>
      </c>
      <c r="O19" s="42">
        <v>21.457999999999998</v>
      </c>
      <c r="P19" s="11">
        <f t="shared" si="3"/>
        <v>2.5709911121635201</v>
      </c>
      <c r="Q19" s="42">
        <f t="shared" si="13"/>
        <v>13.078780557886368</v>
      </c>
      <c r="R19" s="52">
        <v>3.4387872891201798</v>
      </c>
      <c r="S19" s="11">
        <f t="shared" si="4"/>
        <v>5.2222206166996604E-2</v>
      </c>
      <c r="T19" s="5" cm="1">
        <f t="array" ref="T19">SUM($C$4:$C$21*$S$4:$S$21)</f>
        <v>2.6075882255237608</v>
      </c>
      <c r="U19" s="5">
        <f t="shared" si="5"/>
        <v>0.40187921108325431</v>
      </c>
      <c r="V19" s="66">
        <f t="shared" si="6"/>
        <v>0.41131716130993518</v>
      </c>
      <c r="W19" s="5">
        <f t="shared" si="7"/>
        <v>3.3492196449748338E-2</v>
      </c>
      <c r="X19" s="20">
        <f t="shared" si="8"/>
        <v>0.57365008082015445</v>
      </c>
      <c r="Y19" s="5">
        <f t="shared" si="9"/>
        <v>1.8733161220739629</v>
      </c>
      <c r="Z19" s="5">
        <f t="shared" si="10"/>
        <v>3.3418603289735587</v>
      </c>
      <c r="AA19" s="42">
        <f t="shared" si="14"/>
        <v>13.566292526810143</v>
      </c>
      <c r="AB19" s="42">
        <f t="shared" si="12"/>
        <v>6.5098480964784642</v>
      </c>
      <c r="AC19" s="42">
        <f t="shared" si="12"/>
        <v>28.271672425435618</v>
      </c>
    </row>
    <row r="20" spans="1:29" s="12" customFormat="1" x14ac:dyDescent="0.25">
      <c r="A20" s="10" t="s">
        <v>45</v>
      </c>
      <c r="B20" s="10" t="s">
        <v>54</v>
      </c>
      <c r="C20" s="10">
        <v>2.5791672052573098</v>
      </c>
      <c r="D20" s="10">
        <v>0.12156265332511799</v>
      </c>
      <c r="E20" s="10">
        <v>2.4183169764626302</v>
      </c>
      <c r="F20" s="10">
        <v>2.7400174340519801</v>
      </c>
      <c r="G20" s="10">
        <v>20.914495722242801</v>
      </c>
      <c r="H20" s="10">
        <v>0.32400000000000001</v>
      </c>
      <c r="I20" s="10">
        <v>21</v>
      </c>
      <c r="J20" s="5">
        <f t="shared" si="0"/>
        <v>0.55707006054202846</v>
      </c>
      <c r="K20" s="5">
        <v>1.28</v>
      </c>
      <c r="L20" s="5">
        <f t="shared" si="1"/>
        <v>1.9186055277635132</v>
      </c>
      <c r="M20" s="5">
        <f t="shared" si="2"/>
        <v>2.7872554015134607</v>
      </c>
      <c r="N20" s="42">
        <v>8.7910000000000004</v>
      </c>
      <c r="O20" s="42">
        <v>21.966999999999999</v>
      </c>
      <c r="P20" s="11">
        <f t="shared" si="3"/>
        <v>2.6316552052573097</v>
      </c>
      <c r="Q20" s="42">
        <f t="shared" si="13"/>
        <v>13.896752854515217</v>
      </c>
      <c r="R20" s="52">
        <v>3.8165238755081798</v>
      </c>
      <c r="S20" s="11">
        <f t="shared" si="4"/>
        <v>5.7958599910681356E-2</v>
      </c>
      <c r="T20" s="5" cm="1">
        <f t="array" ref="T20">SUM($C$4:$C$21*$S$4:$S$21)</f>
        <v>2.6075882255237608</v>
      </c>
      <c r="U20" s="5">
        <f t="shared" si="5"/>
        <v>0.31032705235229924</v>
      </c>
      <c r="V20" s="66">
        <f t="shared" si="6"/>
        <v>0.31113480674528526</v>
      </c>
      <c r="W20" s="5">
        <f t="shared" si="7"/>
        <v>3.2328993583878918E-2</v>
      </c>
      <c r="X20" s="20">
        <f t="shared" si="8"/>
        <v>0.57365008082015445</v>
      </c>
      <c r="Y20" s="5">
        <f t="shared" si="9"/>
        <v>1.8733161220739629</v>
      </c>
      <c r="Z20" s="5">
        <f t="shared" si="10"/>
        <v>3.3418603289735587</v>
      </c>
      <c r="AA20" s="42">
        <f t="shared" si="14"/>
        <v>13.566292526810143</v>
      </c>
      <c r="AB20" s="42">
        <f t="shared" si="12"/>
        <v>6.5098480964784642</v>
      </c>
      <c r="AC20" s="42">
        <f t="shared" si="12"/>
        <v>28.271672425435618</v>
      </c>
    </row>
    <row r="21" spans="1:29" s="17" customFormat="1" x14ac:dyDescent="0.25">
      <c r="A21" s="14" t="s">
        <v>32</v>
      </c>
      <c r="B21" s="14" t="s">
        <v>55</v>
      </c>
      <c r="C21" s="14">
        <v>2.5096767376662399</v>
      </c>
      <c r="D21" s="14">
        <v>0.13289375029991499</v>
      </c>
      <c r="E21" s="14">
        <v>2.3338333387569299</v>
      </c>
      <c r="F21" s="14">
        <v>2.6855201365755601</v>
      </c>
      <c r="G21" s="14">
        <v>22.7409979664674</v>
      </c>
      <c r="H21" s="14">
        <v>0.33700000000000002</v>
      </c>
      <c r="I21" s="14">
        <v>21</v>
      </c>
      <c r="J21" s="15">
        <f t="shared" si="0"/>
        <v>0.60899567013592082</v>
      </c>
      <c r="K21" s="5">
        <v>1.28</v>
      </c>
      <c r="L21" s="15">
        <f t="shared" si="1"/>
        <v>1.7869467798922614</v>
      </c>
      <c r="M21" s="15">
        <f t="shared" si="2"/>
        <v>2.7365652380501313</v>
      </c>
      <c r="N21" s="42">
        <v>8.0660000000000007</v>
      </c>
      <c r="O21" s="42">
        <v>21.015999999999998</v>
      </c>
      <c r="P21" s="16">
        <f t="shared" si="3"/>
        <v>2.5664612376662399</v>
      </c>
      <c r="Q21" s="43">
        <f t="shared" si="13"/>
        <v>13.019669307732997</v>
      </c>
      <c r="R21" s="53">
        <v>3.80938898231165</v>
      </c>
      <c r="S21" s="16">
        <f t="shared" si="4"/>
        <v>5.7850247799264773E-2</v>
      </c>
      <c r="T21" s="15" cm="1">
        <f t="array" ref="T21">SUM($C$4:$C$21*$S$4:$S$21)</f>
        <v>2.6075882255237608</v>
      </c>
      <c r="U21" s="15">
        <f t="shared" si="5"/>
        <v>0.37087572624429926</v>
      </c>
      <c r="V21" s="67">
        <f t="shared" si="6"/>
        <v>0.38046238569877272</v>
      </c>
      <c r="W21" s="15">
        <f t="shared" si="7"/>
        <v>3.568297757202725E-2</v>
      </c>
      <c r="X21" s="21">
        <f t="shared" si="8"/>
        <v>0.57365008082015445</v>
      </c>
      <c r="Y21" s="15">
        <f t="shared" si="9"/>
        <v>1.8733161220739629</v>
      </c>
      <c r="Z21" s="15">
        <f t="shared" si="10"/>
        <v>3.3418603289735587</v>
      </c>
      <c r="AA21" s="43">
        <f t="shared" si="14"/>
        <v>13.566292526810143</v>
      </c>
      <c r="AB21" s="43">
        <f t="shared" si="12"/>
        <v>6.5098480964784642</v>
      </c>
      <c r="AC21" s="43">
        <f t="shared" si="12"/>
        <v>28.271672425435618</v>
      </c>
    </row>
    <row r="22" spans="1:29" x14ac:dyDescent="0.25">
      <c r="S22" s="1" t="s">
        <v>166</v>
      </c>
      <c r="T22" s="15" cm="1">
        <f t="array" ref="T22">SUM($C$4:$C$21*$S$4:$S$21)</f>
        <v>2.6075882255237608</v>
      </c>
    </row>
    <row r="23" spans="1:29" x14ac:dyDescent="0.25">
      <c r="Q23" s="49">
        <f>MIN(Q4:Q21)</f>
        <v>13.019669307732997</v>
      </c>
      <c r="R23" s="49"/>
      <c r="T23" s="1">
        <f>EXP(T21)</f>
        <v>13.566292526810143</v>
      </c>
    </row>
    <row r="24" spans="1:29" x14ac:dyDescent="0.25">
      <c r="Q24" s="49">
        <f>MAX(Q4:Q21)</f>
        <v>16.535660238589298</v>
      </c>
      <c r="R24" s="49"/>
      <c r="T24" s="1">
        <f>EXP(T22)</f>
        <v>13.566292526810143</v>
      </c>
    </row>
    <row r="25" spans="1:29" x14ac:dyDescent="0.25">
      <c r="Q25" s="49"/>
      <c r="R25" s="49"/>
    </row>
    <row r="26" spans="1:29" x14ac:dyDescent="0.25">
      <c r="A26" s="6" t="s">
        <v>66</v>
      </c>
      <c r="Q26" s="49"/>
      <c r="R26" s="49"/>
    </row>
    <row r="27" spans="1:29" x14ac:dyDescent="0.25">
      <c r="A27" s="7"/>
      <c r="B27" s="8" t="s">
        <v>10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Q27" s="49"/>
      <c r="R27" s="49"/>
    </row>
    <row r="28" spans="1:29" x14ac:dyDescent="0.25">
      <c r="A28" s="8" t="s">
        <v>58</v>
      </c>
      <c r="B28" s="9">
        <v>0.87545412199999995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Q28" s="49"/>
      <c r="R28" s="49"/>
      <c r="AB28" s="1">
        <f>15.6-14.3</f>
        <v>1.2999999999999989</v>
      </c>
    </row>
    <row r="29" spans="1:29" ht="15.75" x14ac:dyDescent="0.25">
      <c r="A29" s="8" t="s">
        <v>59</v>
      </c>
      <c r="B29" s="8" t="s">
        <v>60</v>
      </c>
      <c r="C29" s="8" t="s">
        <v>61</v>
      </c>
      <c r="D29" s="8" t="s">
        <v>62</v>
      </c>
      <c r="E29" s="8" t="s">
        <v>63</v>
      </c>
      <c r="F29" s="8" t="s">
        <v>64</v>
      </c>
      <c r="G29" s="8" t="s">
        <v>1</v>
      </c>
      <c r="H29" s="184" t="s">
        <v>37</v>
      </c>
      <c r="I29" s="184"/>
      <c r="J29" s="184"/>
      <c r="K29" s="184"/>
      <c r="L29" s="184"/>
      <c r="M29" s="35"/>
      <c r="N29" s="35"/>
      <c r="O29" s="35"/>
      <c r="Q29" s="49"/>
      <c r="R29" s="49"/>
    </row>
    <row r="30" spans="1:29" x14ac:dyDescent="0.25">
      <c r="A30" s="8" t="s">
        <v>11</v>
      </c>
      <c r="B30" s="8" t="s">
        <v>65</v>
      </c>
      <c r="C30" s="7">
        <v>2.3352742900000001</v>
      </c>
      <c r="D30" s="7">
        <v>0.21099999999999999</v>
      </c>
      <c r="E30" s="7">
        <v>11.051</v>
      </c>
      <c r="F30" s="7">
        <v>0</v>
      </c>
      <c r="G30" s="5">
        <f>C30+(C31*B28)</f>
        <v>2.712148762597852</v>
      </c>
      <c r="H30" s="5">
        <f>G30+((H4*H4)/2)</f>
        <v>2.8041692625978518</v>
      </c>
      <c r="I30" s="5">
        <f>EXP(G30)*EXP(0.5*H4*H4)</f>
        <v>16.513351947251564</v>
      </c>
      <c r="J30" s="18">
        <f>EXP(H30)</f>
        <v>16.513351947251564</v>
      </c>
      <c r="K30" s="5">
        <f>LN(I30)</f>
        <v>2.8041692625978518</v>
      </c>
      <c r="L30" s="5">
        <f>EXP(C30+C31*B28+0.5*H4*H4)</f>
        <v>16.513351947251564</v>
      </c>
      <c r="Q30" s="49"/>
      <c r="R30" s="49"/>
    </row>
    <row r="31" spans="1:29" x14ac:dyDescent="0.25">
      <c r="A31" s="8" t="s">
        <v>11</v>
      </c>
      <c r="B31" s="8" t="s">
        <v>10</v>
      </c>
      <c r="C31" s="7">
        <v>0.43049026000000001</v>
      </c>
      <c r="D31" s="7">
        <v>7.2999999999999995E-2</v>
      </c>
      <c r="E31" s="7">
        <v>5.8920000000000003</v>
      </c>
      <c r="F31" s="7">
        <v>0</v>
      </c>
      <c r="G31" s="7"/>
      <c r="H31" s="7"/>
      <c r="I31" s="7"/>
      <c r="J31" s="7"/>
      <c r="K31" s="7"/>
      <c r="L31" s="7"/>
      <c r="M31" s="7"/>
      <c r="N31" s="7"/>
      <c r="O31" s="7"/>
      <c r="Q31" s="49"/>
      <c r="R31" s="49"/>
    </row>
    <row r="32" spans="1:29" x14ac:dyDescent="0.25">
      <c r="A32" s="7"/>
      <c r="B32" s="7"/>
      <c r="C32" s="7"/>
      <c r="D32" s="7"/>
      <c r="E32" s="7"/>
      <c r="F32" s="7"/>
      <c r="G32" s="7" t="s">
        <v>1</v>
      </c>
      <c r="H32" s="7" t="s">
        <v>82</v>
      </c>
      <c r="I32" s="7" t="s">
        <v>83</v>
      </c>
      <c r="J32" s="19"/>
      <c r="K32" s="19"/>
      <c r="L32" s="7"/>
      <c r="M32" s="7"/>
      <c r="N32" s="7"/>
      <c r="O32" s="7"/>
      <c r="Q32" s="49"/>
      <c r="R32" s="49"/>
    </row>
    <row r="33" spans="5:18" x14ac:dyDescent="0.25">
      <c r="G33" s="1">
        <v>2.7121490000000001</v>
      </c>
      <c r="H33" s="1">
        <v>2.5068670000000002</v>
      </c>
      <c r="I33" s="1">
        <v>2.9174310000000001</v>
      </c>
      <c r="K33" s="1">
        <f>EXP(H33)</f>
        <v>12.266439042295518</v>
      </c>
      <c r="L33" s="1">
        <f>EXP(I33)</f>
        <v>18.49371602393542</v>
      </c>
      <c r="M33" s="1" t="s">
        <v>208</v>
      </c>
      <c r="Q33" s="49"/>
      <c r="R33" s="49"/>
    </row>
    <row r="34" spans="5:18" x14ac:dyDescent="0.25">
      <c r="F34" s="1">
        <v>-1.321237</v>
      </c>
      <c r="H34" s="1">
        <f>H30+(F34*F35)</f>
        <v>2.5988870844234517</v>
      </c>
      <c r="I34" s="1">
        <f>H30-(F34*F35)</f>
        <v>3.0094514407722519</v>
      </c>
      <c r="K34" s="1">
        <f>EXP(H34)</f>
        <v>13.448762366097283</v>
      </c>
      <c r="L34" s="1">
        <f>EXP(I34)</f>
        <v>20.276274136660916</v>
      </c>
      <c r="M34" s="1" t="s">
        <v>181</v>
      </c>
      <c r="Q34" s="49"/>
      <c r="R34" s="49"/>
    </row>
    <row r="35" spans="5:18" x14ac:dyDescent="0.25">
      <c r="E35" s="1" t="s">
        <v>2</v>
      </c>
      <c r="F35" s="1">
        <v>0.15537119999999999</v>
      </c>
      <c r="H35" s="1" t="s">
        <v>207</v>
      </c>
      <c r="Q35" s="49"/>
      <c r="R35" s="49"/>
    </row>
    <row r="36" spans="5:18" x14ac:dyDescent="0.25">
      <c r="Q36" s="49"/>
      <c r="R36" s="49"/>
    </row>
    <row r="37" spans="5:18" x14ac:dyDescent="0.25">
      <c r="H37" s="1">
        <v>2.1097800000000002</v>
      </c>
      <c r="I37" s="1">
        <v>3.3145169999999999</v>
      </c>
      <c r="Q37" s="49"/>
      <c r="R37" s="49"/>
    </row>
    <row r="38" spans="5:18" x14ac:dyDescent="0.25">
      <c r="F38" s="1">
        <v>3.8769669024891731</v>
      </c>
      <c r="H38" s="1">
        <f>G33-(F38*F35)</f>
        <v>2.1097799999999745</v>
      </c>
      <c r="I38" s="1">
        <f>G33+(F38*F35)</f>
        <v>3.3145180000000258</v>
      </c>
      <c r="Q38" s="49"/>
      <c r="R38" s="49"/>
    </row>
    <row r="39" spans="5:18" x14ac:dyDescent="0.25">
      <c r="Q39" s="49"/>
      <c r="R39" s="49"/>
    </row>
    <row r="40" spans="5:18" x14ac:dyDescent="0.25">
      <c r="H40" s="1">
        <f>H38-H37</f>
        <v>-2.5757174171303632E-14</v>
      </c>
      <c r="I40" s="1">
        <f>I38-I37</f>
        <v>1.0000000258969521E-6</v>
      </c>
      <c r="Q40" s="49"/>
      <c r="R40" s="49"/>
    </row>
    <row r="43" spans="5:18" x14ac:dyDescent="0.25">
      <c r="H43" s="1">
        <f>EXP(H37)*EXP(0.5*F35*F35)</f>
        <v>8.3465652330051938</v>
      </c>
      <c r="I43" s="1">
        <f>EXP(I37)*EXP(0.5*F35*F35)</f>
        <v>27.843153599489305</v>
      </c>
      <c r="Q43" s="49">
        <f>MAX(Q23:Q40)</f>
        <v>16.535660238589298</v>
      </c>
    </row>
    <row r="44" spans="5:18" x14ac:dyDescent="0.25">
      <c r="Q44" s="49">
        <f>MIN(Q23:Q40)</f>
        <v>13.019669307732997</v>
      </c>
    </row>
  </sheetData>
  <mergeCells count="6">
    <mergeCell ref="H29:L29"/>
    <mergeCell ref="AB2:AC2"/>
    <mergeCell ref="C2:I2"/>
    <mergeCell ref="L2:M2"/>
    <mergeCell ref="U2:X2"/>
    <mergeCell ref="Y2:Z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23CB-DA4B-42B2-A9C1-274ED7AAC755}">
  <dimension ref="A1:BJ95"/>
  <sheetViews>
    <sheetView topLeftCell="C1" workbookViewId="0">
      <selection activeCell="U24" sqref="U24"/>
    </sheetView>
  </sheetViews>
  <sheetFormatPr defaultRowHeight="15" x14ac:dyDescent="0.25"/>
  <sheetData>
    <row r="1" spans="1:3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 t="s">
        <v>79</v>
      </c>
      <c r="AA1" t="s">
        <v>80</v>
      </c>
      <c r="AB1" t="s">
        <v>5</v>
      </c>
      <c r="AC1" t="s">
        <v>64</v>
      </c>
      <c r="AD1" t="s">
        <v>6</v>
      </c>
      <c r="AE1" t="s">
        <v>59</v>
      </c>
    </row>
    <row r="2" spans="1:32" x14ac:dyDescent="0.25">
      <c r="A2" t="s">
        <v>10</v>
      </c>
      <c r="B2">
        <v>3.4028618326034099</v>
      </c>
      <c r="C2">
        <v>4.7557368323709204</v>
      </c>
      <c r="D2">
        <v>3.0237121511399101</v>
      </c>
      <c r="E2">
        <v>3.94142672104589</v>
      </c>
      <c r="F2">
        <v>3.5708940777974698</v>
      </c>
      <c r="G2">
        <v>3.5321174058296099</v>
      </c>
      <c r="H2">
        <v>3.6613729790558098</v>
      </c>
      <c r="I2">
        <v>4.0146715458740703</v>
      </c>
      <c r="J2">
        <v>3.21328699187166</v>
      </c>
      <c r="K2">
        <v>3.4459470236788099</v>
      </c>
      <c r="L2">
        <v>2.8384458295156998</v>
      </c>
      <c r="M2">
        <v>3.3339255268827799</v>
      </c>
      <c r="N2">
        <v>3.3382340459903199</v>
      </c>
      <c r="O2">
        <v>4.1051504471324103</v>
      </c>
      <c r="P2">
        <v>2.9849354791720502</v>
      </c>
      <c r="Q2">
        <v>3.8509478197875602</v>
      </c>
      <c r="R2">
        <v>3.25637218294706</v>
      </c>
      <c r="S2">
        <v>3.9715863547986698</v>
      </c>
      <c r="T2">
        <v>3.3899362752808</v>
      </c>
      <c r="U2">
        <v>4.2085549057133598</v>
      </c>
      <c r="V2">
        <v>2.4851472626974398</v>
      </c>
      <c r="W2">
        <v>2.8384458295156998</v>
      </c>
      <c r="X2">
        <v>2.8255202721930801</v>
      </c>
      <c r="Y2">
        <v>3.2606807020546</v>
      </c>
      <c r="Z2">
        <v>0.61234223358950302</v>
      </c>
      <c r="AA2">
        <v>0.59472142602539002</v>
      </c>
      <c r="AB2">
        <v>32.571484305050198</v>
      </c>
      <c r="AC2" s="33">
        <v>6.2286758441946899E-6</v>
      </c>
      <c r="AD2">
        <v>0.42875901476960998</v>
      </c>
      <c r="AE2" t="s">
        <v>11</v>
      </c>
      <c r="AF2">
        <f>1/18</f>
        <v>5.5555555555555552E-2</v>
      </c>
    </row>
    <row r="3" spans="1:32" x14ac:dyDescent="0.25">
      <c r="A3" t="s">
        <v>19</v>
      </c>
      <c r="B3">
        <v>3.2729506646204398</v>
      </c>
      <c r="C3">
        <v>4.7556771723292401</v>
      </c>
      <c r="D3">
        <v>3.2422377508653399</v>
      </c>
      <c r="E3">
        <v>4.1759345716578</v>
      </c>
      <c r="F3">
        <v>3.6056355353512699</v>
      </c>
      <c r="G3">
        <v>4.02656652420192</v>
      </c>
      <c r="H3">
        <v>3.5523102127886301</v>
      </c>
      <c r="I3">
        <v>3.9458757119932999</v>
      </c>
      <c r="J3">
        <v>2.53432703852681</v>
      </c>
      <c r="K3">
        <v>3.6194702292613599</v>
      </c>
      <c r="L3">
        <v>2.8169201766624399</v>
      </c>
      <c r="M3">
        <v>3.96209035446733</v>
      </c>
      <c r="N3">
        <v>3.15405195796105</v>
      </c>
      <c r="O3">
        <v>4.03832516772228</v>
      </c>
      <c r="P3">
        <v>3.1473502934533499</v>
      </c>
      <c r="Q3">
        <v>4.2348666164624298</v>
      </c>
      <c r="R3">
        <v>3.3574179937364499</v>
      </c>
      <c r="S3">
        <v>4.0142535932593004</v>
      </c>
      <c r="T3">
        <v>3.0731198448902401</v>
      </c>
      <c r="U3">
        <v>3.68022566311119</v>
      </c>
      <c r="V3">
        <v>2.62519667816923</v>
      </c>
      <c r="W3">
        <v>2.8281336211464101</v>
      </c>
      <c r="X3">
        <v>2.2582591334451698</v>
      </c>
      <c r="Y3">
        <v>3.3287139888661099</v>
      </c>
      <c r="Z3">
        <v>0.824933374906344</v>
      </c>
      <c r="AA3">
        <v>0.80826036299266302</v>
      </c>
      <c r="AB3">
        <v>16.397796532519799</v>
      </c>
      <c r="AC3" s="33">
        <v>1.13144976206606E-8</v>
      </c>
      <c r="AD3">
        <v>0.29491196479964599</v>
      </c>
      <c r="AE3" t="s">
        <v>12</v>
      </c>
      <c r="AF3">
        <f t="shared" ref="AF3:AF19" si="0">1/18</f>
        <v>5.5555555555555552E-2</v>
      </c>
    </row>
    <row r="4" spans="1:32" x14ac:dyDescent="0.25">
      <c r="A4" t="s">
        <v>48</v>
      </c>
      <c r="B4">
        <v>3.4305731028764601</v>
      </c>
      <c r="C4">
        <v>4.8093247237228001</v>
      </c>
      <c r="D4">
        <v>3.2871225017785499</v>
      </c>
      <c r="E4">
        <v>4.1046698201674596</v>
      </c>
      <c r="F4">
        <v>3.9530675999952898</v>
      </c>
      <c r="G4">
        <v>4.06596480802766</v>
      </c>
      <c r="H4">
        <v>3.6208979102507399</v>
      </c>
      <c r="I4">
        <v>3.9188170593801801</v>
      </c>
      <c r="J4">
        <v>2.7536116554590699</v>
      </c>
      <c r="K4">
        <v>3.6229430048175102</v>
      </c>
      <c r="L4">
        <v>2.9871598558152601</v>
      </c>
      <c r="M4">
        <v>3.6706320534546899</v>
      </c>
      <c r="N4">
        <v>3.4379114773228201</v>
      </c>
      <c r="O4">
        <v>4.0080710570847797</v>
      </c>
      <c r="P4">
        <v>3.0323947909723201</v>
      </c>
      <c r="Q4">
        <v>4.1230133596839202</v>
      </c>
      <c r="R4">
        <v>3.5960500114439902</v>
      </c>
      <c r="S4">
        <v>3.7667962338970402</v>
      </c>
      <c r="T4">
        <v>2.7927320774439601</v>
      </c>
      <c r="U4">
        <v>3.6995397844692</v>
      </c>
      <c r="V4">
        <v>2.31264932641212</v>
      </c>
      <c r="W4">
        <v>2.8257635499836802</v>
      </c>
      <c r="X4">
        <v>2.4345002140160901</v>
      </c>
      <c r="Y4">
        <v>2.9957045164735101</v>
      </c>
      <c r="Z4">
        <v>0.80801286036674302</v>
      </c>
      <c r="AA4">
        <v>0.78972837087786196</v>
      </c>
      <c r="AB4">
        <v>18.612079070521901</v>
      </c>
      <c r="AC4" s="33">
        <v>2.9809689422389599E-8</v>
      </c>
      <c r="AD4">
        <v>0.30883519144872101</v>
      </c>
      <c r="AE4" t="s">
        <v>13</v>
      </c>
      <c r="AF4">
        <f t="shared" si="0"/>
        <v>5.5555555555555552E-2</v>
      </c>
    </row>
    <row r="5" spans="1:32" x14ac:dyDescent="0.25">
      <c r="A5" t="s">
        <v>49</v>
      </c>
      <c r="B5">
        <v>3.2672696654810398</v>
      </c>
      <c r="C5">
        <v>4.8344694979908196</v>
      </c>
      <c r="D5">
        <v>3.3951752346161799</v>
      </c>
      <c r="E5">
        <v>4.0226016981632204</v>
      </c>
      <c r="F5">
        <v>3.8727201771209199</v>
      </c>
      <c r="G5">
        <v>3.9128337261569701</v>
      </c>
      <c r="H5">
        <v>3.61962098271596</v>
      </c>
      <c r="I5">
        <v>3.7691020719661901</v>
      </c>
      <c r="J5">
        <v>2.7934765137097801</v>
      </c>
      <c r="K5">
        <v>3.45055750304219</v>
      </c>
      <c r="L5">
        <v>2.9123678528888801</v>
      </c>
      <c r="M5">
        <v>3.8444283952198099</v>
      </c>
      <c r="N5">
        <v>3.3477970873972098</v>
      </c>
      <c r="O5">
        <v>4.2223640651249399</v>
      </c>
      <c r="P5">
        <v>3.0388150848261399</v>
      </c>
      <c r="Q5">
        <v>4.1663288377196102</v>
      </c>
      <c r="R5">
        <v>3.30032334686463</v>
      </c>
      <c r="S5">
        <v>3.9276019058068501</v>
      </c>
      <c r="T5">
        <v>3.0072107113716302</v>
      </c>
      <c r="U5">
        <v>3.70069222639462</v>
      </c>
      <c r="V5">
        <v>2.4712279507091202</v>
      </c>
      <c r="W5">
        <v>2.7528669395680399</v>
      </c>
      <c r="X5">
        <v>2.46546497174648</v>
      </c>
      <c r="Y5">
        <v>3.1545940483478798</v>
      </c>
      <c r="Z5">
        <v>0.76402444447203599</v>
      </c>
      <c r="AA5">
        <v>0.74155058204080104</v>
      </c>
      <c r="AB5">
        <v>23.563275054890301</v>
      </c>
      <c r="AC5" s="33">
        <v>2.6007803802367098E-7</v>
      </c>
      <c r="AD5">
        <v>0.34239248292205099</v>
      </c>
      <c r="AE5" t="s">
        <v>14</v>
      </c>
      <c r="AF5">
        <f t="shared" si="0"/>
        <v>5.5555555555555552E-2</v>
      </c>
    </row>
    <row r="6" spans="1:32" x14ac:dyDescent="0.25">
      <c r="A6" t="s">
        <v>50</v>
      </c>
      <c r="B6">
        <v>3.4410690037172</v>
      </c>
      <c r="C6">
        <v>4.7925933694870002</v>
      </c>
      <c r="D6">
        <v>3.2702620528408</v>
      </c>
      <c r="E6">
        <v>4.0783077210085699</v>
      </c>
      <c r="F6">
        <v>3.8796481694393599</v>
      </c>
      <c r="G6">
        <v>4.0932580633325601</v>
      </c>
      <c r="H6">
        <v>3.5898708073399899</v>
      </c>
      <c r="I6">
        <v>3.9244839155453501</v>
      </c>
      <c r="J6">
        <v>2.77520242530003</v>
      </c>
      <c r="K6">
        <v>3.4944020528545399</v>
      </c>
      <c r="L6">
        <v>2.9836861148049101</v>
      </c>
      <c r="M6">
        <v>3.7708876162603402</v>
      </c>
      <c r="N6">
        <v>3.4974916339371598</v>
      </c>
      <c r="O6">
        <v>4.0412982200487697</v>
      </c>
      <c r="P6">
        <v>2.9970319248806701</v>
      </c>
      <c r="Q6">
        <v>4.1380397980563703</v>
      </c>
      <c r="R6">
        <v>3.48122209714183</v>
      </c>
      <c r="S6">
        <v>3.9781486734087599</v>
      </c>
      <c r="T6">
        <v>2.8167865561768499</v>
      </c>
      <c r="U6">
        <v>3.5465703012340799</v>
      </c>
      <c r="V6">
        <v>2.32807958559735</v>
      </c>
      <c r="W6">
        <v>2.8017898429036698</v>
      </c>
      <c r="X6">
        <v>2.39150300936477</v>
      </c>
      <c r="Y6">
        <v>3.1382775402681702</v>
      </c>
      <c r="Z6">
        <v>0.81083099215971499</v>
      </c>
      <c r="AA6">
        <v>0.79281489617492595</v>
      </c>
      <c r="AB6">
        <v>18.257177826155701</v>
      </c>
      <c r="AC6" s="33">
        <v>2.5522596439325599E-8</v>
      </c>
      <c r="AD6">
        <v>0.306560154167837</v>
      </c>
      <c r="AE6" t="s">
        <v>15</v>
      </c>
      <c r="AF6">
        <f t="shared" si="0"/>
        <v>5.5555555555555552E-2</v>
      </c>
    </row>
    <row r="7" spans="1:32" x14ac:dyDescent="0.25">
      <c r="A7" t="s">
        <v>51</v>
      </c>
      <c r="B7">
        <v>3.3355225898518799</v>
      </c>
      <c r="C7">
        <v>4.78092223552874</v>
      </c>
      <c r="D7">
        <v>3.3280163927439199</v>
      </c>
      <c r="E7">
        <v>4.03784069266516</v>
      </c>
      <c r="F7">
        <v>3.8613779908502601</v>
      </c>
      <c r="G7">
        <v>3.9919283209132899</v>
      </c>
      <c r="H7">
        <v>3.5830003015831098</v>
      </c>
      <c r="I7">
        <v>3.80349084029007</v>
      </c>
      <c r="J7">
        <v>2.7859827423288301</v>
      </c>
      <c r="K7">
        <v>3.4616107255410702</v>
      </c>
      <c r="L7">
        <v>2.93540397029602</v>
      </c>
      <c r="M7">
        <v>3.8579986050351001</v>
      </c>
      <c r="N7">
        <v>3.45864338212255</v>
      </c>
      <c r="O7">
        <v>4.1968506882156396</v>
      </c>
      <c r="P7">
        <v>3.0544746105894598</v>
      </c>
      <c r="Q7">
        <v>4.1692757956713997</v>
      </c>
      <c r="R7">
        <v>3.3791383843473102</v>
      </c>
      <c r="S7">
        <v>3.9975276246693001</v>
      </c>
      <c r="T7">
        <v>2.9434595572661699</v>
      </c>
      <c r="U7">
        <v>3.5915669487576398</v>
      </c>
      <c r="V7">
        <v>2.3947885115206602</v>
      </c>
      <c r="W7">
        <v>2.7569736869792001</v>
      </c>
      <c r="X7">
        <v>2.3701586039028002</v>
      </c>
      <c r="Y7">
        <v>3.1739572932795301</v>
      </c>
      <c r="Z7">
        <v>0.79206522545921398</v>
      </c>
      <c r="AA7">
        <v>0.77226191359818697</v>
      </c>
      <c r="AB7">
        <v>20.527184459579601</v>
      </c>
      <c r="AC7" s="33">
        <v>6.8902474846840303E-8</v>
      </c>
      <c r="AD7">
        <v>0.32140621890528498</v>
      </c>
      <c r="AE7" t="s">
        <v>16</v>
      </c>
      <c r="AF7">
        <f t="shared" si="0"/>
        <v>5.5555555555555552E-2</v>
      </c>
    </row>
    <row r="8" spans="1:32" x14ac:dyDescent="0.25">
      <c r="A8" t="s">
        <v>28</v>
      </c>
      <c r="B8">
        <v>3.4776019886685199</v>
      </c>
      <c r="C8">
        <v>4.9169348365097303</v>
      </c>
      <c r="D8">
        <v>3.38867814280409</v>
      </c>
      <c r="E8">
        <v>4.1016410494700404</v>
      </c>
      <c r="F8">
        <v>3.8965687226219901</v>
      </c>
      <c r="G8">
        <v>3.9438819986718698</v>
      </c>
      <c r="H8">
        <v>3.66137289247167</v>
      </c>
      <c r="I8">
        <v>3.9725417684436701</v>
      </c>
      <c r="J8">
        <v>2.67173090824843</v>
      </c>
      <c r="K8">
        <v>3.59937521524476</v>
      </c>
      <c r="L8">
        <v>3.0127077515529299</v>
      </c>
      <c r="M8">
        <v>3.6411739986214999</v>
      </c>
      <c r="N8">
        <v>3.3264922520149902</v>
      </c>
      <c r="O8">
        <v>4.0023668052642698</v>
      </c>
      <c r="P8">
        <v>3.0742169020365302</v>
      </c>
      <c r="Q8">
        <v>4.0381625692245704</v>
      </c>
      <c r="R8">
        <v>3.5759466944531</v>
      </c>
      <c r="S8">
        <v>3.76663493330524</v>
      </c>
      <c r="T8">
        <v>2.9030355939404102</v>
      </c>
      <c r="U8">
        <v>3.6602551404882799</v>
      </c>
      <c r="V8">
        <v>2.3187309566229302</v>
      </c>
      <c r="W8">
        <v>2.8570605757128602</v>
      </c>
      <c r="X8">
        <v>2.4760014806777999</v>
      </c>
      <c r="Y8">
        <v>2.9667973178789002</v>
      </c>
      <c r="Z8">
        <v>0.79269207971779798</v>
      </c>
      <c r="AA8">
        <v>0.77294846826234997</v>
      </c>
      <c r="AB8">
        <v>20.4547231552773</v>
      </c>
      <c r="AC8" s="33">
        <v>6.6752401632410402E-8</v>
      </c>
      <c r="AD8">
        <v>0.320921386746371</v>
      </c>
      <c r="AE8" t="s">
        <v>17</v>
      </c>
      <c r="AF8">
        <f t="shared" si="0"/>
        <v>5.5555555555555552E-2</v>
      </c>
    </row>
    <row r="9" spans="1:32" x14ac:dyDescent="0.25">
      <c r="A9" t="s">
        <v>26</v>
      </c>
      <c r="B9">
        <v>3.29438852544037</v>
      </c>
      <c r="C9">
        <v>4.8979413067318598</v>
      </c>
      <c r="D9">
        <v>3.3638366977896998</v>
      </c>
      <c r="E9">
        <v>4.0231278138787596</v>
      </c>
      <c r="F9">
        <v>3.76593657962797</v>
      </c>
      <c r="G9">
        <v>3.81463770268364</v>
      </c>
      <c r="H9">
        <v>3.66284249848152</v>
      </c>
      <c r="I9">
        <v>3.8103445128798201</v>
      </c>
      <c r="J9">
        <v>2.7479918817769899</v>
      </c>
      <c r="K9">
        <v>3.3847876707350801</v>
      </c>
      <c r="L9">
        <v>3.0000255471584198</v>
      </c>
      <c r="M9">
        <v>3.7925405778101502</v>
      </c>
      <c r="N9">
        <v>3.3663329252976499</v>
      </c>
      <c r="O9">
        <v>4.2290731279144902</v>
      </c>
      <c r="P9">
        <v>3.02117079870954</v>
      </c>
      <c r="Q9">
        <v>4.2052859399011204</v>
      </c>
      <c r="R9">
        <v>3.30091568959585</v>
      </c>
      <c r="S9">
        <v>3.9413246932377199</v>
      </c>
      <c r="T9">
        <v>3.11032665277326</v>
      </c>
      <c r="U9">
        <v>3.6379965379897898</v>
      </c>
      <c r="V9">
        <v>2.48487572408707</v>
      </c>
      <c r="W9">
        <v>2.80236543496861</v>
      </c>
      <c r="X9">
        <v>2.4918010905000099</v>
      </c>
      <c r="Y9">
        <v>3.10004056497973</v>
      </c>
      <c r="Z9">
        <v>0.75216514165625903</v>
      </c>
      <c r="AA9">
        <v>0.72856182181399798</v>
      </c>
      <c r="AB9">
        <v>24.740100875554401</v>
      </c>
      <c r="AC9" s="33">
        <v>4.3521624772253397E-7</v>
      </c>
      <c r="AD9">
        <v>0.35089074055605601</v>
      </c>
      <c r="AE9" t="s">
        <v>18</v>
      </c>
      <c r="AF9">
        <f t="shared" si="0"/>
        <v>5.5555555555555552E-2</v>
      </c>
    </row>
    <row r="10" spans="1:32" x14ac:dyDescent="0.25">
      <c r="A10" t="s">
        <v>52</v>
      </c>
      <c r="B10">
        <v>3.4800158477452698</v>
      </c>
      <c r="C10">
        <v>4.89117678119836</v>
      </c>
      <c r="D10">
        <v>3.3054245052462599</v>
      </c>
      <c r="E10">
        <v>4.0682154062443798</v>
      </c>
      <c r="F10">
        <v>3.7799253438229701</v>
      </c>
      <c r="G10">
        <v>3.9729263499518499</v>
      </c>
      <c r="H10">
        <v>3.6605834093046798</v>
      </c>
      <c r="I10">
        <v>3.98360290990647</v>
      </c>
      <c r="J10">
        <v>2.7900151456481899</v>
      </c>
      <c r="K10">
        <v>3.4351839962468098</v>
      </c>
      <c r="L10">
        <v>3.0501248576907201</v>
      </c>
      <c r="M10">
        <v>3.7078572935427001</v>
      </c>
      <c r="N10">
        <v>3.4459894189899098</v>
      </c>
      <c r="O10">
        <v>4.0272877460272802</v>
      </c>
      <c r="P10">
        <v>3.06368745633754</v>
      </c>
      <c r="Q10">
        <v>4.1035738528576804</v>
      </c>
      <c r="R10">
        <v>3.4763336594402201</v>
      </c>
      <c r="S10">
        <v>3.9691522993543602</v>
      </c>
      <c r="T10">
        <v>2.9762259218035001</v>
      </c>
      <c r="U10">
        <v>3.4879173704958699</v>
      </c>
      <c r="V10">
        <v>2.3318889434183898</v>
      </c>
      <c r="W10">
        <v>2.7734733681213402</v>
      </c>
      <c r="X10">
        <v>2.4277700076477799</v>
      </c>
      <c r="Y10">
        <v>3.0415586039065698</v>
      </c>
      <c r="Z10">
        <v>0.78325546471837704</v>
      </c>
      <c r="AA10">
        <v>0.76261312802488901</v>
      </c>
      <c r="AB10">
        <v>21.523063419841701</v>
      </c>
      <c r="AC10" s="33">
        <v>1.06526005867682E-7</v>
      </c>
      <c r="AD10">
        <v>0.32814424428653399</v>
      </c>
      <c r="AE10" t="s">
        <v>20</v>
      </c>
      <c r="AF10">
        <f t="shared" si="0"/>
        <v>5.5555555555555552E-2</v>
      </c>
    </row>
    <row r="11" spans="1:32" x14ac:dyDescent="0.25">
      <c r="A11" t="s">
        <v>30</v>
      </c>
      <c r="B11">
        <v>3.3592144780029698</v>
      </c>
      <c r="C11">
        <v>4.8562730268325298</v>
      </c>
      <c r="D11">
        <v>3.3111420006571901</v>
      </c>
      <c r="E11">
        <v>4.0327453196424399</v>
      </c>
      <c r="F11">
        <v>3.7448844939253698</v>
      </c>
      <c r="G11">
        <v>3.8772018828750698</v>
      </c>
      <c r="H11">
        <v>3.6239505567890302</v>
      </c>
      <c r="I11">
        <v>3.8464409519848299</v>
      </c>
      <c r="J11">
        <v>2.7740674260880902</v>
      </c>
      <c r="K11">
        <v>3.3933310664808398</v>
      </c>
      <c r="L11">
        <v>3.04021119797022</v>
      </c>
      <c r="M11">
        <v>3.7950803509758502</v>
      </c>
      <c r="N11">
        <v>3.4535127690896701</v>
      </c>
      <c r="O11">
        <v>4.2104175941934203</v>
      </c>
      <c r="P11">
        <v>3.0601491221247001</v>
      </c>
      <c r="Q11">
        <v>4.1952430207226303</v>
      </c>
      <c r="R11">
        <v>3.3716039258048198</v>
      </c>
      <c r="S11">
        <v>4.0016703992511804</v>
      </c>
      <c r="T11">
        <v>3.0677313654395602</v>
      </c>
      <c r="U11">
        <v>3.5450732947497099</v>
      </c>
      <c r="V11">
        <v>2.4159377513171898</v>
      </c>
      <c r="W11">
        <v>2.7723558303320601</v>
      </c>
      <c r="X11">
        <v>2.4023633858747102</v>
      </c>
      <c r="Y11">
        <v>3.0993092838250602</v>
      </c>
      <c r="Z11">
        <v>0.77070007523877804</v>
      </c>
      <c r="AA11">
        <v>0.74886198716628005</v>
      </c>
      <c r="AB11">
        <v>22.8745384232992</v>
      </c>
      <c r="AC11" s="33">
        <v>1.92415954021684E-7</v>
      </c>
      <c r="AD11">
        <v>0.33751468150397901</v>
      </c>
      <c r="AE11" t="s">
        <v>21</v>
      </c>
      <c r="AF11">
        <f t="shared" si="0"/>
        <v>5.5555555555555552E-2</v>
      </c>
    </row>
    <row r="12" spans="1:32" x14ac:dyDescent="0.25">
      <c r="A12" t="s">
        <v>33</v>
      </c>
      <c r="B12">
        <v>3.46080534647216</v>
      </c>
      <c r="C12">
        <v>4.8051717610866502</v>
      </c>
      <c r="D12">
        <v>3.3105662419030999</v>
      </c>
      <c r="E12">
        <v>4.0918200040087704</v>
      </c>
      <c r="F12">
        <v>3.9188864685119902</v>
      </c>
      <c r="G12">
        <v>3.9849865066814698</v>
      </c>
      <c r="H12">
        <v>3.6525755763225698</v>
      </c>
      <c r="I12">
        <v>3.9069228746799598</v>
      </c>
      <c r="J12">
        <v>2.8272998286069599</v>
      </c>
      <c r="K12">
        <v>3.6555462337670499</v>
      </c>
      <c r="L12">
        <v>3.0299652854044501</v>
      </c>
      <c r="M12">
        <v>3.6703801613423201</v>
      </c>
      <c r="N12">
        <v>3.4028558720636801</v>
      </c>
      <c r="O12">
        <v>4.0568997274395704</v>
      </c>
      <c r="P12">
        <v>3.0484394042473801</v>
      </c>
      <c r="Q12">
        <v>4.1059565891617504</v>
      </c>
      <c r="R12">
        <v>3.6064446655418299</v>
      </c>
      <c r="S12">
        <v>3.7562124219470001</v>
      </c>
      <c r="T12">
        <v>2.81837940732155</v>
      </c>
      <c r="U12">
        <v>3.7045112207399602</v>
      </c>
      <c r="V12">
        <v>2.30729427397939</v>
      </c>
      <c r="W12">
        <v>2.7777909783680101</v>
      </c>
      <c r="X12">
        <v>2.4075531801455998</v>
      </c>
      <c r="Y12">
        <v>2.9426464652059301</v>
      </c>
      <c r="Z12">
        <v>0.79712237772662398</v>
      </c>
      <c r="AA12">
        <v>0.77780069941487395</v>
      </c>
      <c r="AB12">
        <v>19.936268573053699</v>
      </c>
      <c r="AC12" s="33">
        <v>5.3205745914234802E-8</v>
      </c>
      <c r="AD12">
        <v>0.31747372369923399</v>
      </c>
      <c r="AE12" t="s">
        <v>22</v>
      </c>
      <c r="AF12">
        <f t="shared" si="0"/>
        <v>5.5555555555555552E-2</v>
      </c>
    </row>
    <row r="13" spans="1:32" x14ac:dyDescent="0.25">
      <c r="A13" t="s">
        <v>31</v>
      </c>
      <c r="B13">
        <v>3.3277614827086999</v>
      </c>
      <c r="C13">
        <v>4.7926700561189302</v>
      </c>
      <c r="D13">
        <v>3.39775639144574</v>
      </c>
      <c r="E13">
        <v>4.0253619625427399</v>
      </c>
      <c r="F13">
        <v>3.8441049203993898</v>
      </c>
      <c r="G13">
        <v>3.8762296063611301</v>
      </c>
      <c r="H13">
        <v>3.6653399880562998</v>
      </c>
      <c r="I13">
        <v>3.8115780359681901</v>
      </c>
      <c r="J13">
        <v>2.8700296157510299</v>
      </c>
      <c r="K13">
        <v>3.5006300628892899</v>
      </c>
      <c r="L13">
        <v>2.9871737656168</v>
      </c>
      <c r="M13">
        <v>3.8403918794877101</v>
      </c>
      <c r="N13">
        <v>3.3670824435446201</v>
      </c>
      <c r="O13">
        <v>4.2300607658386697</v>
      </c>
      <c r="P13">
        <v>3.0416700969686699</v>
      </c>
      <c r="Q13">
        <v>4.1699984570450503</v>
      </c>
      <c r="R13">
        <v>3.3244578081180101</v>
      </c>
      <c r="S13">
        <v>3.9160030132439099</v>
      </c>
      <c r="T13">
        <v>2.97727707754775</v>
      </c>
      <c r="U13">
        <v>3.6722848798099701</v>
      </c>
      <c r="V13">
        <v>2.4569907919962</v>
      </c>
      <c r="W13">
        <v>2.70134809870031</v>
      </c>
      <c r="X13">
        <v>2.3636618577296402</v>
      </c>
      <c r="Y13">
        <v>3.0900474370603499</v>
      </c>
      <c r="Z13">
        <v>0.76923068159470498</v>
      </c>
      <c r="AA13">
        <v>0.74725265127039098</v>
      </c>
      <c r="AB13">
        <v>23.027843900216102</v>
      </c>
      <c r="AC13" s="33">
        <v>2.0576414837048599E-7</v>
      </c>
      <c r="AD13">
        <v>0.33859438081790699</v>
      </c>
      <c r="AE13" t="s">
        <v>23</v>
      </c>
      <c r="AF13">
        <f t="shared" si="0"/>
        <v>5.5555555555555552E-2</v>
      </c>
    </row>
    <row r="14" spans="1:32" x14ac:dyDescent="0.25">
      <c r="A14" t="s">
        <v>53</v>
      </c>
      <c r="B14">
        <v>3.4785186283424099</v>
      </c>
      <c r="C14">
        <v>4.7752230297247698</v>
      </c>
      <c r="D14">
        <v>3.2962858016983101</v>
      </c>
      <c r="E14">
        <v>4.0612847162467496</v>
      </c>
      <c r="F14">
        <v>3.8533706760071902</v>
      </c>
      <c r="G14">
        <v>4.0113458440732801</v>
      </c>
      <c r="H14">
        <v>3.6560639038262299</v>
      </c>
      <c r="I14">
        <v>3.9402872576605601</v>
      </c>
      <c r="J14">
        <v>2.8460547800563099</v>
      </c>
      <c r="K14">
        <v>3.5446982743154098</v>
      </c>
      <c r="L14">
        <v>3.05761559499761</v>
      </c>
      <c r="M14">
        <v>3.7338621099137401</v>
      </c>
      <c r="N14">
        <v>3.4890154595599898</v>
      </c>
      <c r="O14">
        <v>4.0722793860107398</v>
      </c>
      <c r="P14">
        <v>3.01020639177545</v>
      </c>
      <c r="Q14">
        <v>4.1089101700044601</v>
      </c>
      <c r="R14">
        <v>3.5009809451607099</v>
      </c>
      <c r="S14">
        <v>3.9689057800223</v>
      </c>
      <c r="T14">
        <v>2.8409798271906199</v>
      </c>
      <c r="U14">
        <v>3.5445722225113001</v>
      </c>
      <c r="V14">
        <v>2.3043907767704499</v>
      </c>
      <c r="W14">
        <v>2.7582529581511199</v>
      </c>
      <c r="X14">
        <v>2.3402467573534098</v>
      </c>
      <c r="Y14">
        <v>3.0565592035759699</v>
      </c>
      <c r="Z14">
        <v>0.80133293149731299</v>
      </c>
      <c r="AA14">
        <v>0.78241225830658101</v>
      </c>
      <c r="AB14">
        <v>19.432927366971601</v>
      </c>
      <c r="AC14" s="33">
        <v>4.2689569601215799E-8</v>
      </c>
      <c r="AD14">
        <v>0.31416200105134301</v>
      </c>
      <c r="AE14" t="s">
        <v>24</v>
      </c>
      <c r="AF14">
        <f t="shared" si="0"/>
        <v>5.5555555555555552E-2</v>
      </c>
    </row>
    <row r="15" spans="1:32" x14ac:dyDescent="0.25">
      <c r="A15" t="s">
        <v>34</v>
      </c>
      <c r="B15">
        <v>3.38113685042293</v>
      </c>
      <c r="C15">
        <v>4.7520555959792699</v>
      </c>
      <c r="D15">
        <v>3.33454866676015</v>
      </c>
      <c r="E15">
        <v>4.0225510722272402</v>
      </c>
      <c r="F15">
        <v>3.82383971612217</v>
      </c>
      <c r="G15">
        <v>3.9243251533530299</v>
      </c>
      <c r="H15">
        <v>3.63173294224248</v>
      </c>
      <c r="I15">
        <v>3.8463219278613598</v>
      </c>
      <c r="J15">
        <v>2.8666384213922198</v>
      </c>
      <c r="K15">
        <v>3.5051775557048601</v>
      </c>
      <c r="L15">
        <v>3.0103631428253301</v>
      </c>
      <c r="M15">
        <v>3.8356557960995401</v>
      </c>
      <c r="N15">
        <v>3.4638940864897498</v>
      </c>
      <c r="O15">
        <v>4.2114021633421004</v>
      </c>
      <c r="P15">
        <v>3.0684637030959898</v>
      </c>
      <c r="Q15">
        <v>4.1608941873090002</v>
      </c>
      <c r="R15">
        <v>3.3963503703312901</v>
      </c>
      <c r="S15">
        <v>3.9910995165691299</v>
      </c>
      <c r="T15">
        <v>2.9519386901479598</v>
      </c>
      <c r="U15">
        <v>3.5833874036251401</v>
      </c>
      <c r="V15">
        <v>2.3754400975134899</v>
      </c>
      <c r="W15">
        <v>2.70733161141878</v>
      </c>
      <c r="X15">
        <v>2.3074590832154001</v>
      </c>
      <c r="Y15">
        <v>3.0979027409005</v>
      </c>
      <c r="Z15">
        <v>0.78607917357716595</v>
      </c>
      <c r="AA15">
        <v>0.76570576153689696</v>
      </c>
      <c r="AB15">
        <v>21.2083411794416</v>
      </c>
      <c r="AC15" s="33">
        <v>9.2823344170264304E-8</v>
      </c>
      <c r="AD15">
        <v>0.32599973469215099</v>
      </c>
      <c r="AE15" t="s">
        <v>25</v>
      </c>
      <c r="AF15">
        <f t="shared" si="0"/>
        <v>5.5555555555555552E-2</v>
      </c>
    </row>
    <row r="16" spans="1:32" x14ac:dyDescent="0.25">
      <c r="A16" t="s">
        <v>36</v>
      </c>
      <c r="B16">
        <v>3.4349568756826598</v>
      </c>
      <c r="C16">
        <v>4.7613502413737496</v>
      </c>
      <c r="D16">
        <v>3.30984093873115</v>
      </c>
      <c r="E16">
        <v>4.1248299797711399</v>
      </c>
      <c r="F16">
        <v>3.9498156873724</v>
      </c>
      <c r="G16">
        <v>3.97449424679241</v>
      </c>
      <c r="H16">
        <v>3.6516552967625802</v>
      </c>
      <c r="I16">
        <v>3.8820520689240898</v>
      </c>
      <c r="J16">
        <v>2.8893941436501902</v>
      </c>
      <c r="K16">
        <v>3.6185038519802202</v>
      </c>
      <c r="L16">
        <v>3.00581441576497</v>
      </c>
      <c r="M16">
        <v>3.64908442287848</v>
      </c>
      <c r="N16">
        <v>3.4538806924835401</v>
      </c>
      <c r="O16">
        <v>4.0909541504006297</v>
      </c>
      <c r="P16">
        <v>3.0791376691441599</v>
      </c>
      <c r="Q16">
        <v>4.1157919383870301</v>
      </c>
      <c r="R16">
        <v>3.45786445642206</v>
      </c>
      <c r="S16">
        <v>3.8206442282385802</v>
      </c>
      <c r="T16">
        <v>2.8139814544576098</v>
      </c>
      <c r="U16">
        <v>3.71054385476471</v>
      </c>
      <c r="V16">
        <v>2.3497812619251301</v>
      </c>
      <c r="W16">
        <v>2.7208230993368701</v>
      </c>
      <c r="X16">
        <v>2.4366555975268298</v>
      </c>
      <c r="Y16">
        <v>2.94805992217792</v>
      </c>
      <c r="Z16">
        <v>0.78030960865690402</v>
      </c>
      <c r="AA16">
        <v>0.75938671424327597</v>
      </c>
      <c r="AB16">
        <v>21.847059575502001</v>
      </c>
      <c r="AC16" s="33">
        <v>1.22748489364148E-7</v>
      </c>
      <c r="AD16">
        <v>0.330366683860707</v>
      </c>
      <c r="AE16" t="s">
        <v>27</v>
      </c>
      <c r="AF16">
        <f t="shared" si="0"/>
        <v>5.5555555555555552E-2</v>
      </c>
    </row>
    <row r="17" spans="1:32" x14ac:dyDescent="0.25">
      <c r="A17" t="s">
        <v>35</v>
      </c>
      <c r="B17">
        <v>3.3514353544165099</v>
      </c>
      <c r="C17">
        <v>4.7812102397310197</v>
      </c>
      <c r="D17">
        <v>3.4101040229469599</v>
      </c>
      <c r="E17">
        <v>4.0760066457408604</v>
      </c>
      <c r="F17">
        <v>3.89103490139071</v>
      </c>
      <c r="G17">
        <v>3.8780383042107398</v>
      </c>
      <c r="H17">
        <v>3.6739816507903398</v>
      </c>
      <c r="I17">
        <v>3.7838941074328201</v>
      </c>
      <c r="J17">
        <v>2.93128014220154</v>
      </c>
      <c r="K17">
        <v>3.5027418656723999</v>
      </c>
      <c r="L17">
        <v>2.95611379211334</v>
      </c>
      <c r="M17">
        <v>3.7742069209029299</v>
      </c>
      <c r="N17">
        <v>3.3884311509976701</v>
      </c>
      <c r="O17">
        <v>4.21716615812295</v>
      </c>
      <c r="P17">
        <v>3.0834211039680399</v>
      </c>
      <c r="Q17">
        <v>4.1132640777491503</v>
      </c>
      <c r="R17">
        <v>3.2317789284593599</v>
      </c>
      <c r="S17">
        <v>3.8965431596419098</v>
      </c>
      <c r="T17">
        <v>2.97093459872772</v>
      </c>
      <c r="U17">
        <v>3.7188120330745802</v>
      </c>
      <c r="V17">
        <v>2.47130792649163</v>
      </c>
      <c r="W17">
        <v>2.6500783562119299</v>
      </c>
      <c r="X17">
        <v>2.3805154460373901</v>
      </c>
      <c r="Y17">
        <v>3.1176096079166</v>
      </c>
      <c r="Z17">
        <v>0.75670577281010099</v>
      </c>
      <c r="AA17">
        <v>0.73353489403010996</v>
      </c>
      <c r="AB17">
        <v>24.296314278671701</v>
      </c>
      <c r="AC17" s="33">
        <v>3.5841315765356502E-7</v>
      </c>
      <c r="AD17">
        <v>0.347661512235932</v>
      </c>
      <c r="AE17" t="s">
        <v>29</v>
      </c>
      <c r="AF17">
        <f t="shared" si="0"/>
        <v>5.5555555555555552E-2</v>
      </c>
    </row>
    <row r="18" spans="1:32" x14ac:dyDescent="0.25">
      <c r="A18" t="s">
        <v>54</v>
      </c>
      <c r="B18">
        <v>3.4640657822955299</v>
      </c>
      <c r="C18">
        <v>4.7376357259920301</v>
      </c>
      <c r="D18">
        <v>3.3154668289259099</v>
      </c>
      <c r="E18">
        <v>4.1002685677803496</v>
      </c>
      <c r="F18">
        <v>3.89198808757993</v>
      </c>
      <c r="G18">
        <v>3.9928854320134599</v>
      </c>
      <c r="H18">
        <v>3.6626858647712801</v>
      </c>
      <c r="I18">
        <v>3.8800809429806602</v>
      </c>
      <c r="J18">
        <v>2.8798671982173101</v>
      </c>
      <c r="K18">
        <v>3.5239656290126198</v>
      </c>
      <c r="L18">
        <v>3.0206886342596899</v>
      </c>
      <c r="M18">
        <v>3.7164273999844402</v>
      </c>
      <c r="N18">
        <v>3.5143234246118</v>
      </c>
      <c r="O18">
        <v>4.1055535997391202</v>
      </c>
      <c r="P18">
        <v>3.0488693211840001</v>
      </c>
      <c r="Q18">
        <v>4.1182612505881204</v>
      </c>
      <c r="R18">
        <v>3.3715734962405302</v>
      </c>
      <c r="S18">
        <v>3.99014746539472</v>
      </c>
      <c r="T18">
        <v>2.8392699536257302</v>
      </c>
      <c r="U18">
        <v>3.5914974464660898</v>
      </c>
      <c r="V18">
        <v>2.3439249908310198</v>
      </c>
      <c r="W18">
        <v>2.7175053812149601</v>
      </c>
      <c r="X18">
        <v>2.35914332037233</v>
      </c>
      <c r="Y18">
        <v>3.06381475086746</v>
      </c>
      <c r="Z18">
        <v>0.788682357564359</v>
      </c>
      <c r="AA18">
        <v>0.76855686780858301</v>
      </c>
      <c r="AB18">
        <v>20.914495722242801</v>
      </c>
      <c r="AC18" s="33">
        <v>8.16254233569721E-8</v>
      </c>
      <c r="AD18">
        <v>0.32401013208812801</v>
      </c>
      <c r="AE18" t="s">
        <v>45</v>
      </c>
      <c r="AF18">
        <f t="shared" si="0"/>
        <v>5.5555555555555552E-2</v>
      </c>
    </row>
    <row r="19" spans="1:32" x14ac:dyDescent="0.25">
      <c r="A19" t="s">
        <v>55</v>
      </c>
      <c r="B19">
        <v>3.39995984918697</v>
      </c>
      <c r="C19">
        <v>4.7409548683047698</v>
      </c>
      <c r="D19">
        <v>3.3530168113875201</v>
      </c>
      <c r="E19">
        <v>4.0749264769683604</v>
      </c>
      <c r="F19">
        <v>3.8746852442591702</v>
      </c>
      <c r="G19">
        <v>3.9173505173222298</v>
      </c>
      <c r="H19">
        <v>3.6493539846337502</v>
      </c>
      <c r="I19">
        <v>3.8051805676881099</v>
      </c>
      <c r="J19">
        <v>2.9245616169641</v>
      </c>
      <c r="K19">
        <v>3.5022211973371999</v>
      </c>
      <c r="L19">
        <v>2.97428118245021</v>
      </c>
      <c r="M19">
        <v>3.7795312757330799</v>
      </c>
      <c r="N19">
        <v>3.4856940976035</v>
      </c>
      <c r="O19">
        <v>4.2028939031295502</v>
      </c>
      <c r="P19">
        <v>3.10171033889086</v>
      </c>
      <c r="Q19">
        <v>4.1203645788632004</v>
      </c>
      <c r="R19">
        <v>3.2900812447200498</v>
      </c>
      <c r="S19">
        <v>3.9705651371370299</v>
      </c>
      <c r="T19">
        <v>2.9432417955799899</v>
      </c>
      <c r="U19">
        <v>3.6357305823071102</v>
      </c>
      <c r="V19">
        <v>2.4016289900201402</v>
      </c>
      <c r="W19">
        <v>2.65837124692335</v>
      </c>
      <c r="X19">
        <v>2.3332823331192198</v>
      </c>
      <c r="Y19">
        <v>3.1103226544196101</v>
      </c>
      <c r="Z19">
        <v>0.77197239959434305</v>
      </c>
      <c r="AA19">
        <v>0.75025548526999497</v>
      </c>
      <c r="AB19">
        <v>22.7409979664674</v>
      </c>
      <c r="AC19" s="33">
        <v>1.8149634323576E-7</v>
      </c>
      <c r="AD19">
        <v>0.33657698929977697</v>
      </c>
      <c r="AE19" t="s">
        <v>32</v>
      </c>
      <c r="AF19">
        <f t="shared" si="0"/>
        <v>5.5555555555555552E-2</v>
      </c>
    </row>
    <row r="20" spans="1:32" x14ac:dyDescent="0.25">
      <c r="B20">
        <v>42.448748999999999</v>
      </c>
      <c r="C20">
        <v>77.818105000000003</v>
      </c>
      <c r="D20">
        <v>20.248977</v>
      </c>
      <c r="E20">
        <v>67.023652999999996</v>
      </c>
      <c r="F20">
        <v>45.315401000000001</v>
      </c>
      <c r="G20">
        <v>52.466735</v>
      </c>
      <c r="H20">
        <v>45.309744000000002</v>
      </c>
      <c r="I20">
        <v>59.121487000000002</v>
      </c>
      <c r="J20">
        <v>11.6065</v>
      </c>
      <c r="K20">
        <v>44.796396999999999</v>
      </c>
      <c r="L20">
        <v>15.908924000000001</v>
      </c>
      <c r="M20">
        <v>38.024357000000002</v>
      </c>
      <c r="N20">
        <v>24.141670999999999</v>
      </c>
      <c r="O20">
        <v>58.882053999999997</v>
      </c>
      <c r="P20">
        <v>21.277018000000002</v>
      </c>
      <c r="Q20">
        <v>94.719412000000005</v>
      </c>
      <c r="R20">
        <v>37.173864700000003</v>
      </c>
      <c r="S20">
        <v>35.092568</v>
      </c>
      <c r="T20">
        <v>18.374199999999998</v>
      </c>
      <c r="U20">
        <v>34.734366000000001</v>
      </c>
      <c r="V20">
        <v>8.0677000000000003</v>
      </c>
      <c r="W20">
        <v>21.141928</v>
      </c>
      <c r="X20">
        <v>8.062989</v>
      </c>
      <c r="Y20">
        <v>48.503718999999997</v>
      </c>
    </row>
    <row r="21" spans="1:32" x14ac:dyDescent="0.25">
      <c r="Z21" t="s">
        <v>8</v>
      </c>
    </row>
    <row r="23" spans="1:32" x14ac:dyDescent="0.25">
      <c r="U23" cm="1">
        <f t="array" ref="U23">SUM(U2:U19*$AF$2:$AF$19)</f>
        <v>3.6622073231501444</v>
      </c>
      <c r="V23" cm="1">
        <f t="array" ref="V23">SUM(V2:V19*$AF$2:$AF$19)</f>
        <v>2.3988489888932745</v>
      </c>
      <c r="W23" cm="1">
        <f t="array" ref="W23">SUM(W2:W19*$AF$2:$AF$19)</f>
        <v>2.7611516894198278</v>
      </c>
      <c r="X23" cm="1">
        <f t="array" ref="X23">SUM(X2:X19*$AF$2:$AF$19)</f>
        <v>2.4151033191593623</v>
      </c>
      <c r="Y23" cm="1">
        <f t="array" ref="Y23">SUM(Y2:Y19*$AF$2:$AF$19)</f>
        <v>3.0936998134446889</v>
      </c>
    </row>
    <row r="24" spans="1:32" x14ac:dyDescent="0.25">
      <c r="S24">
        <f>LN(U20)</f>
        <v>3.5477295714951795</v>
      </c>
      <c r="U24">
        <f>(LN(U20)-U23)^2</f>
        <v>1.3105155623975814E-2</v>
      </c>
      <c r="V24">
        <f>(LN(V20)-V23)^2</f>
        <v>9.6708904611124094E-2</v>
      </c>
      <c r="W24">
        <f>(LN(W20)-W23)^2</f>
        <v>8.41617745986529E-2</v>
      </c>
      <c r="X24">
        <f t="shared" ref="X24:Y24" si="1">(LN(X20)-X23)^2</f>
        <v>0.10746528870575836</v>
      </c>
      <c r="Y24">
        <f t="shared" si="1"/>
        <v>0.62085048678781296</v>
      </c>
      <c r="Z24">
        <f>SUM(U24:Y24)</f>
        <v>0.9222916103273241</v>
      </c>
    </row>
    <row r="26" spans="1:32" x14ac:dyDescent="0.25">
      <c r="U26">
        <f>EXP(U2)</f>
        <v>67.259273555650168</v>
      </c>
      <c r="V26">
        <f t="shared" ref="V26:Y26" si="2">EXP(V2)</f>
        <v>12.00288770230857</v>
      </c>
      <c r="W26">
        <f t="shared" si="2"/>
        <v>17.089185379929994</v>
      </c>
      <c r="X26">
        <f t="shared" si="2"/>
        <v>16.869719549297042</v>
      </c>
      <c r="Y26">
        <f t="shared" si="2"/>
        <v>26.067275152437617</v>
      </c>
    </row>
    <row r="27" spans="1:32" x14ac:dyDescent="0.25">
      <c r="D27" s="50" t="s">
        <v>135</v>
      </c>
      <c r="E27" s="50"/>
      <c r="F27" s="50"/>
    </row>
    <row r="28" spans="1:32" x14ac:dyDescent="0.25">
      <c r="D28" t="s">
        <v>71</v>
      </c>
      <c r="E28" t="s">
        <v>170</v>
      </c>
      <c r="F28" t="s">
        <v>85</v>
      </c>
      <c r="G28" t="s">
        <v>86</v>
      </c>
      <c r="H28" t="s">
        <v>87</v>
      </c>
      <c r="I28" t="s">
        <v>88</v>
      </c>
      <c r="J28" t="s">
        <v>89</v>
      </c>
      <c r="K28" t="s">
        <v>90</v>
      </c>
      <c r="L28" t="s">
        <v>91</v>
      </c>
      <c r="M28" t="s">
        <v>92</v>
      </c>
      <c r="N28" t="s">
        <v>93</v>
      </c>
      <c r="O28" t="s">
        <v>94</v>
      </c>
      <c r="P28" t="s">
        <v>95</v>
      </c>
      <c r="Q28" t="s">
        <v>96</v>
      </c>
      <c r="R28" t="s">
        <v>97</v>
      </c>
      <c r="S28" t="s">
        <v>98</v>
      </c>
      <c r="T28" t="s">
        <v>99</v>
      </c>
      <c r="U28" t="s">
        <v>100</v>
      </c>
      <c r="V28" t="s">
        <v>101</v>
      </c>
      <c r="W28" t="s">
        <v>102</v>
      </c>
      <c r="X28" t="s">
        <v>103</v>
      </c>
      <c r="Y28" t="s">
        <v>104</v>
      </c>
      <c r="Z28" t="s">
        <v>105</v>
      </c>
      <c r="AA28" t="s">
        <v>107</v>
      </c>
    </row>
    <row r="29" spans="1:32" x14ac:dyDescent="0.25">
      <c r="D29">
        <v>1997</v>
      </c>
      <c r="E29">
        <v>1998</v>
      </c>
      <c r="F29">
        <v>42.448748999999999</v>
      </c>
      <c r="G29">
        <v>9.2799999999999994</v>
      </c>
      <c r="H29">
        <v>10.08</v>
      </c>
      <c r="I29">
        <v>7.48</v>
      </c>
      <c r="J29">
        <v>8.83</v>
      </c>
      <c r="K29">
        <v>7.59</v>
      </c>
      <c r="L29">
        <v>10.3</v>
      </c>
      <c r="M29">
        <v>7.01</v>
      </c>
      <c r="N29">
        <v>8.83</v>
      </c>
      <c r="O29">
        <v>7.3</v>
      </c>
      <c r="P29">
        <v>10.02</v>
      </c>
      <c r="Q29">
        <v>7.35</v>
      </c>
      <c r="R29">
        <v>8.7100000000000009</v>
      </c>
      <c r="S29">
        <v>7.4</v>
      </c>
      <c r="T29">
        <v>10.47</v>
      </c>
      <c r="U29">
        <v>8</v>
      </c>
      <c r="V29">
        <v>9.1999999999999993</v>
      </c>
      <c r="W29">
        <v>7.99</v>
      </c>
      <c r="X29">
        <v>2.48</v>
      </c>
      <c r="Y29" t="s">
        <v>106</v>
      </c>
      <c r="Z29">
        <v>1E-3</v>
      </c>
      <c r="AA29">
        <f>LN(F29)</f>
        <v>3.7482974423584441</v>
      </c>
    </row>
    <row r="30" spans="1:32" x14ac:dyDescent="0.25">
      <c r="D30">
        <v>1998</v>
      </c>
      <c r="E30">
        <v>1999</v>
      </c>
      <c r="F30">
        <v>77.818105000000003</v>
      </c>
      <c r="G30">
        <v>9.4</v>
      </c>
      <c r="H30">
        <v>9.85</v>
      </c>
      <c r="I30">
        <v>7.83</v>
      </c>
      <c r="J30">
        <v>8.91</v>
      </c>
      <c r="K30">
        <v>7.88</v>
      </c>
      <c r="L30">
        <v>9.9700000000000006</v>
      </c>
      <c r="M30">
        <v>7.34</v>
      </c>
      <c r="N30">
        <v>8.85</v>
      </c>
      <c r="O30">
        <v>7.56</v>
      </c>
      <c r="P30">
        <v>9.89</v>
      </c>
      <c r="Q30">
        <v>7.65</v>
      </c>
      <c r="R30">
        <v>8.85</v>
      </c>
      <c r="S30">
        <v>7.71</v>
      </c>
      <c r="T30">
        <v>10.36</v>
      </c>
      <c r="U30">
        <v>8.3699999999999992</v>
      </c>
      <c r="V30">
        <v>9.3800000000000008</v>
      </c>
      <c r="W30">
        <v>8.3699999999999992</v>
      </c>
      <c r="X30">
        <v>5.62</v>
      </c>
      <c r="Y30" t="s">
        <v>106</v>
      </c>
      <c r="Z30">
        <v>1E-3</v>
      </c>
      <c r="AA30">
        <f t="shared" ref="AA30:AA51" si="3">LN(F30)</f>
        <v>4.3543741161933518</v>
      </c>
    </row>
    <row r="31" spans="1:32" x14ac:dyDescent="0.25">
      <c r="D31">
        <v>1999</v>
      </c>
      <c r="E31">
        <v>2000</v>
      </c>
      <c r="F31">
        <v>20.248977</v>
      </c>
      <c r="G31">
        <v>8.56</v>
      </c>
      <c r="H31">
        <v>8.9</v>
      </c>
      <c r="I31">
        <v>6.84</v>
      </c>
      <c r="J31">
        <v>8.0500000000000007</v>
      </c>
      <c r="K31">
        <v>7.12</v>
      </c>
      <c r="L31">
        <v>9.08</v>
      </c>
      <c r="M31">
        <v>6.17</v>
      </c>
      <c r="N31">
        <v>8.02</v>
      </c>
      <c r="O31">
        <v>6.78</v>
      </c>
      <c r="P31">
        <v>8.93</v>
      </c>
      <c r="Q31">
        <v>6.7</v>
      </c>
      <c r="R31">
        <v>7.98</v>
      </c>
      <c r="S31">
        <v>6.95</v>
      </c>
      <c r="T31">
        <v>9.3000000000000007</v>
      </c>
      <c r="U31">
        <v>7.23</v>
      </c>
      <c r="V31">
        <v>8.4</v>
      </c>
      <c r="W31">
        <v>7.43</v>
      </c>
      <c r="X31">
        <v>1.6</v>
      </c>
      <c r="Y31" t="s">
        <v>106</v>
      </c>
      <c r="Z31">
        <v>1E-3</v>
      </c>
      <c r="AA31">
        <f t="shared" si="3"/>
        <v>3.0081042737579264</v>
      </c>
    </row>
    <row r="32" spans="1:32" x14ac:dyDescent="0.25">
      <c r="D32">
        <v>2000</v>
      </c>
      <c r="E32">
        <v>2001</v>
      </c>
      <c r="F32">
        <v>67.023652999999996</v>
      </c>
      <c r="G32">
        <v>8.77</v>
      </c>
      <c r="H32">
        <v>9.6999999999999993</v>
      </c>
      <c r="I32">
        <v>7.34</v>
      </c>
      <c r="J32">
        <v>8.6199999999999992</v>
      </c>
      <c r="K32">
        <v>7.52</v>
      </c>
      <c r="L32">
        <v>9.94</v>
      </c>
      <c r="M32">
        <v>7.02</v>
      </c>
      <c r="N32">
        <v>8.67</v>
      </c>
      <c r="O32">
        <v>7.35</v>
      </c>
      <c r="P32">
        <v>9.6999999999999993</v>
      </c>
      <c r="Q32">
        <v>7.23</v>
      </c>
      <c r="R32">
        <v>8.57</v>
      </c>
      <c r="S32">
        <v>7.39</v>
      </c>
      <c r="T32">
        <v>10.02</v>
      </c>
      <c r="U32">
        <v>7.71</v>
      </c>
      <c r="V32">
        <v>8.9499999999999993</v>
      </c>
      <c r="W32">
        <v>7.86</v>
      </c>
      <c r="X32">
        <v>3.73</v>
      </c>
      <c r="Y32" t="s">
        <v>106</v>
      </c>
      <c r="Z32">
        <v>1E-3</v>
      </c>
      <c r="AA32">
        <f t="shared" si="3"/>
        <v>4.2050455869413366</v>
      </c>
    </row>
    <row r="33" spans="4:31" x14ac:dyDescent="0.25">
      <c r="D33">
        <v>2001</v>
      </c>
      <c r="E33">
        <v>2002</v>
      </c>
      <c r="F33">
        <v>45.315401000000001</v>
      </c>
      <c r="G33">
        <v>9.0299999999999994</v>
      </c>
      <c r="H33">
        <v>9.15</v>
      </c>
      <c r="I33">
        <v>6.74</v>
      </c>
      <c r="J33">
        <v>8.18</v>
      </c>
      <c r="K33">
        <v>7.12</v>
      </c>
      <c r="L33">
        <v>9.57</v>
      </c>
      <c r="M33">
        <v>6.48</v>
      </c>
      <c r="N33">
        <v>8.4</v>
      </c>
      <c r="O33">
        <v>7.08</v>
      </c>
      <c r="P33">
        <v>9.2200000000000006</v>
      </c>
      <c r="Q33">
        <v>6.66</v>
      </c>
      <c r="R33">
        <v>8.17</v>
      </c>
      <c r="S33">
        <v>7.01</v>
      </c>
      <c r="T33">
        <v>9.51</v>
      </c>
      <c r="U33">
        <v>7.1</v>
      </c>
      <c r="V33">
        <v>8.52</v>
      </c>
      <c r="W33">
        <v>7.45</v>
      </c>
      <c r="X33">
        <v>2.87</v>
      </c>
      <c r="Y33" t="s">
        <v>106</v>
      </c>
      <c r="Z33">
        <v>1E-3</v>
      </c>
      <c r="AA33">
        <f t="shared" si="3"/>
        <v>3.8136469526345338</v>
      </c>
    </row>
    <row r="34" spans="4:31" x14ac:dyDescent="0.25">
      <c r="D34">
        <v>2002</v>
      </c>
      <c r="E34">
        <v>2003</v>
      </c>
      <c r="F34">
        <v>52.466735</v>
      </c>
      <c r="G34">
        <v>8.1999999999999993</v>
      </c>
      <c r="H34">
        <v>8.9700000000000006</v>
      </c>
      <c r="I34">
        <v>6.39</v>
      </c>
      <c r="J34">
        <v>7.85</v>
      </c>
      <c r="K34">
        <v>6.64</v>
      </c>
      <c r="L34">
        <v>9.34</v>
      </c>
      <c r="M34">
        <v>6.26</v>
      </c>
      <c r="N34">
        <v>8.02</v>
      </c>
      <c r="O34">
        <v>6.6</v>
      </c>
      <c r="P34">
        <v>9.0500000000000007</v>
      </c>
      <c r="Q34">
        <v>6.39</v>
      </c>
      <c r="R34">
        <v>7.88</v>
      </c>
      <c r="S34">
        <v>6.61</v>
      </c>
      <c r="T34">
        <v>9.44</v>
      </c>
      <c r="U34">
        <v>6.92</v>
      </c>
      <c r="V34">
        <v>8.33</v>
      </c>
      <c r="W34">
        <v>7.14</v>
      </c>
      <c r="X34">
        <v>2.78</v>
      </c>
      <c r="Y34" t="s">
        <v>106</v>
      </c>
      <c r="Z34">
        <v>1E-3</v>
      </c>
      <c r="AA34">
        <f t="shared" si="3"/>
        <v>3.9601793497285764</v>
      </c>
    </row>
    <row r="35" spans="4:31" x14ac:dyDescent="0.25">
      <c r="D35">
        <v>2003</v>
      </c>
      <c r="E35">
        <v>2004</v>
      </c>
      <c r="F35">
        <v>45.309744000000002</v>
      </c>
      <c r="G35">
        <v>9.31</v>
      </c>
      <c r="H35">
        <v>9.92</v>
      </c>
      <c r="I35">
        <v>7.71</v>
      </c>
      <c r="J35">
        <v>8.9</v>
      </c>
      <c r="K35">
        <v>7.85</v>
      </c>
      <c r="L35">
        <v>10.08</v>
      </c>
      <c r="M35">
        <v>7.29</v>
      </c>
      <c r="N35">
        <v>8.8800000000000008</v>
      </c>
      <c r="O35">
        <v>7.53</v>
      </c>
      <c r="P35">
        <v>9.86</v>
      </c>
      <c r="Q35">
        <v>7.57</v>
      </c>
      <c r="R35">
        <v>8.76</v>
      </c>
      <c r="S35">
        <v>7.6</v>
      </c>
      <c r="T35">
        <v>10.32</v>
      </c>
      <c r="U35">
        <v>8.17</v>
      </c>
      <c r="V35">
        <v>9.25</v>
      </c>
      <c r="W35">
        <v>8.16</v>
      </c>
      <c r="X35">
        <v>3.08</v>
      </c>
      <c r="Y35" t="s">
        <v>106</v>
      </c>
      <c r="Z35">
        <v>1E-3</v>
      </c>
      <c r="AA35">
        <f t="shared" si="3"/>
        <v>3.813522108696191</v>
      </c>
    </row>
    <row r="36" spans="4:31" x14ac:dyDescent="0.25">
      <c r="D36">
        <v>2004</v>
      </c>
      <c r="E36">
        <v>2005</v>
      </c>
      <c r="F36">
        <v>59.121487000000002</v>
      </c>
      <c r="G36">
        <v>9.33</v>
      </c>
      <c r="H36">
        <v>10.43</v>
      </c>
      <c r="I36">
        <v>7.94</v>
      </c>
      <c r="J36">
        <v>9.2200000000000006</v>
      </c>
      <c r="K36">
        <v>7.96</v>
      </c>
      <c r="L36">
        <v>10.68</v>
      </c>
      <c r="M36">
        <v>7.53</v>
      </c>
      <c r="N36">
        <v>9.25</v>
      </c>
      <c r="O36">
        <v>7.69</v>
      </c>
      <c r="P36">
        <v>10.38</v>
      </c>
      <c r="Q36">
        <v>7.89</v>
      </c>
      <c r="R36">
        <v>9.09</v>
      </c>
      <c r="S36">
        <v>7.79</v>
      </c>
      <c r="T36">
        <v>10.98</v>
      </c>
      <c r="U36">
        <v>8.58</v>
      </c>
      <c r="V36">
        <v>9.74</v>
      </c>
      <c r="W36">
        <v>8.51</v>
      </c>
      <c r="X36">
        <v>3.9</v>
      </c>
      <c r="Y36" t="s">
        <v>106</v>
      </c>
      <c r="Z36">
        <v>1E-3</v>
      </c>
      <c r="AA36">
        <f t="shared" si="3"/>
        <v>4.0795944285563817</v>
      </c>
    </row>
    <row r="37" spans="4:31" x14ac:dyDescent="0.25">
      <c r="D37">
        <v>2005</v>
      </c>
      <c r="E37">
        <v>2006</v>
      </c>
      <c r="F37">
        <v>11.6065</v>
      </c>
      <c r="G37">
        <v>10.210000000000001</v>
      </c>
      <c r="H37">
        <v>10.67</v>
      </c>
      <c r="I37">
        <v>8.51</v>
      </c>
      <c r="J37">
        <v>9.48</v>
      </c>
      <c r="K37">
        <v>8.44</v>
      </c>
      <c r="L37">
        <v>11.16</v>
      </c>
      <c r="M37">
        <v>8.4</v>
      </c>
      <c r="N37">
        <v>9.64</v>
      </c>
      <c r="O37">
        <v>8.26</v>
      </c>
      <c r="P37">
        <v>10.63</v>
      </c>
      <c r="Q37">
        <v>8.42</v>
      </c>
      <c r="R37">
        <v>9.35</v>
      </c>
      <c r="S37">
        <v>8.26</v>
      </c>
      <c r="T37">
        <v>11.06</v>
      </c>
      <c r="U37">
        <v>8.92</v>
      </c>
      <c r="V37">
        <v>9.83</v>
      </c>
      <c r="W37">
        <v>8.82</v>
      </c>
      <c r="X37">
        <v>2.04</v>
      </c>
      <c r="Y37" t="s">
        <v>106</v>
      </c>
      <c r="Z37">
        <v>1E-3</v>
      </c>
      <c r="AA37">
        <f t="shared" si="3"/>
        <v>2.4515652860053647</v>
      </c>
    </row>
    <row r="38" spans="4:31" x14ac:dyDescent="0.25">
      <c r="D38">
        <v>2006</v>
      </c>
      <c r="E38">
        <v>2007</v>
      </c>
      <c r="F38">
        <v>44.796396999999999</v>
      </c>
      <c r="G38">
        <v>8.75</v>
      </c>
      <c r="H38">
        <v>9.7799999999999994</v>
      </c>
      <c r="I38">
        <v>7.16</v>
      </c>
      <c r="J38">
        <v>8.68</v>
      </c>
      <c r="K38">
        <v>7.58</v>
      </c>
      <c r="L38">
        <v>10.19</v>
      </c>
      <c r="M38">
        <v>6.84</v>
      </c>
      <c r="N38">
        <v>8.86</v>
      </c>
      <c r="O38">
        <v>7.49</v>
      </c>
      <c r="P38">
        <v>9.7200000000000006</v>
      </c>
      <c r="Q38">
        <v>6.98</v>
      </c>
      <c r="R38">
        <v>8.5500000000000007</v>
      </c>
      <c r="S38">
        <v>7.36</v>
      </c>
      <c r="T38">
        <v>10.19</v>
      </c>
      <c r="U38">
        <v>7.63</v>
      </c>
      <c r="V38">
        <v>9.07</v>
      </c>
      <c r="W38">
        <v>7.96</v>
      </c>
      <c r="X38">
        <v>2.58</v>
      </c>
      <c r="Y38" t="s">
        <v>106</v>
      </c>
      <c r="Z38">
        <v>1E-3</v>
      </c>
      <c r="AA38">
        <f t="shared" si="3"/>
        <v>3.8021277120796046</v>
      </c>
    </row>
    <row r="39" spans="4:31" x14ac:dyDescent="0.25">
      <c r="D39">
        <v>2007</v>
      </c>
      <c r="E39">
        <v>2008</v>
      </c>
      <c r="F39">
        <v>15.908924000000001</v>
      </c>
      <c r="G39">
        <v>8.94</v>
      </c>
      <c r="H39">
        <v>9.52</v>
      </c>
      <c r="I39">
        <v>7.04</v>
      </c>
      <c r="J39">
        <v>8.41</v>
      </c>
      <c r="K39">
        <v>7.27</v>
      </c>
      <c r="L39">
        <v>9.49</v>
      </c>
      <c r="M39">
        <v>6.55</v>
      </c>
      <c r="N39">
        <v>8.16</v>
      </c>
      <c r="O39">
        <v>6.87</v>
      </c>
      <c r="P39">
        <v>9.44</v>
      </c>
      <c r="Q39">
        <v>6.9</v>
      </c>
      <c r="R39">
        <v>8.24</v>
      </c>
      <c r="S39">
        <v>7.03</v>
      </c>
      <c r="T39">
        <v>9.99</v>
      </c>
      <c r="U39">
        <v>7.51</v>
      </c>
      <c r="V39">
        <v>8.82</v>
      </c>
      <c r="W39">
        <v>7.64</v>
      </c>
      <c r="X39">
        <v>1.17</v>
      </c>
      <c r="Y39" t="s">
        <v>106</v>
      </c>
      <c r="Z39">
        <v>1E-3</v>
      </c>
      <c r="AA39">
        <f t="shared" si="3"/>
        <v>2.7668802096415366</v>
      </c>
    </row>
    <row r="40" spans="4:31" x14ac:dyDescent="0.25">
      <c r="D40">
        <v>2008</v>
      </c>
      <c r="E40">
        <v>2009</v>
      </c>
      <c r="F40">
        <v>38.024357000000002</v>
      </c>
      <c r="G40">
        <v>7.91</v>
      </c>
      <c r="H40">
        <v>8.65</v>
      </c>
      <c r="I40">
        <v>6.77</v>
      </c>
      <c r="J40">
        <v>7.69</v>
      </c>
      <c r="K40">
        <v>6.83</v>
      </c>
      <c r="L40">
        <v>8.85</v>
      </c>
      <c r="M40">
        <v>6.43</v>
      </c>
      <c r="N40">
        <v>7.72</v>
      </c>
      <c r="O40">
        <v>6.68</v>
      </c>
      <c r="P40">
        <v>8.65</v>
      </c>
      <c r="Q40">
        <v>6.64</v>
      </c>
      <c r="R40">
        <v>7.63</v>
      </c>
      <c r="S40">
        <v>6.74</v>
      </c>
      <c r="T40">
        <v>9.18</v>
      </c>
      <c r="U40">
        <v>7.22</v>
      </c>
      <c r="V40">
        <v>8.17</v>
      </c>
      <c r="W40">
        <v>7.28</v>
      </c>
      <c r="X40">
        <v>2.3199999999999998</v>
      </c>
      <c r="Y40" t="s">
        <v>106</v>
      </c>
      <c r="Z40">
        <v>1E-3</v>
      </c>
      <c r="AA40">
        <f t="shared" si="3"/>
        <v>3.6382269280747028</v>
      </c>
    </row>
    <row r="41" spans="4:31" x14ac:dyDescent="0.25">
      <c r="D41">
        <v>2009</v>
      </c>
      <c r="E41">
        <v>2010</v>
      </c>
      <c r="F41">
        <v>24.141670999999999</v>
      </c>
      <c r="G41">
        <v>9.36</v>
      </c>
      <c r="H41">
        <v>9.75</v>
      </c>
      <c r="I41">
        <v>7.3</v>
      </c>
      <c r="J41">
        <v>8.4600000000000009</v>
      </c>
      <c r="K41">
        <v>7.35</v>
      </c>
      <c r="L41">
        <v>9.94</v>
      </c>
      <c r="M41">
        <v>7.19</v>
      </c>
      <c r="N41">
        <v>8.4700000000000006</v>
      </c>
      <c r="O41">
        <v>7.22</v>
      </c>
      <c r="P41">
        <v>9.77</v>
      </c>
      <c r="Q41">
        <v>7.32</v>
      </c>
      <c r="R41">
        <v>8.4</v>
      </c>
      <c r="S41">
        <v>7.24</v>
      </c>
      <c r="T41">
        <v>10.199999999999999</v>
      </c>
      <c r="U41">
        <v>7.76</v>
      </c>
      <c r="V41">
        <v>8.85</v>
      </c>
      <c r="W41">
        <v>7.73</v>
      </c>
      <c r="X41">
        <v>2.33</v>
      </c>
      <c r="Y41" t="s">
        <v>106</v>
      </c>
      <c r="Z41">
        <v>1E-3</v>
      </c>
      <c r="AA41">
        <f t="shared" si="3"/>
        <v>3.1839394344833187</v>
      </c>
    </row>
    <row r="42" spans="4:31" x14ac:dyDescent="0.25">
      <c r="D42">
        <v>2010</v>
      </c>
      <c r="E42">
        <v>2011</v>
      </c>
      <c r="F42">
        <v>58.882053999999997</v>
      </c>
      <c r="G42">
        <v>9.35</v>
      </c>
      <c r="H42">
        <v>9.65</v>
      </c>
      <c r="I42">
        <v>7.97</v>
      </c>
      <c r="J42">
        <v>8.66</v>
      </c>
      <c r="K42">
        <v>7.93</v>
      </c>
      <c r="L42">
        <v>9.8699999999999992</v>
      </c>
      <c r="M42">
        <v>7.71</v>
      </c>
      <c r="N42">
        <v>8.68</v>
      </c>
      <c r="O42">
        <v>7.81</v>
      </c>
      <c r="P42">
        <v>9.6199999999999992</v>
      </c>
      <c r="Q42">
        <v>7.76</v>
      </c>
      <c r="R42">
        <v>8.5399999999999991</v>
      </c>
      <c r="S42">
        <v>7.72</v>
      </c>
      <c r="T42">
        <v>10.09</v>
      </c>
      <c r="U42">
        <v>8.2799999999999994</v>
      </c>
      <c r="V42">
        <v>9.0500000000000007</v>
      </c>
      <c r="W42">
        <v>8.23</v>
      </c>
      <c r="X42">
        <v>4.1100000000000003</v>
      </c>
      <c r="Y42" t="s">
        <v>106</v>
      </c>
      <c r="Z42">
        <v>1E-3</v>
      </c>
      <c r="AA42">
        <f t="shared" si="3"/>
        <v>4.0755363583230402</v>
      </c>
    </row>
    <row r="43" spans="4:31" x14ac:dyDescent="0.25">
      <c r="D43">
        <v>2011</v>
      </c>
      <c r="E43">
        <v>2012</v>
      </c>
      <c r="F43">
        <v>21.277018000000002</v>
      </c>
      <c r="G43">
        <v>8.65</v>
      </c>
      <c r="H43">
        <v>9.59</v>
      </c>
      <c r="I43">
        <v>7.31</v>
      </c>
      <c r="J43">
        <v>8.49</v>
      </c>
      <c r="K43">
        <v>7.55</v>
      </c>
      <c r="L43">
        <v>9.84</v>
      </c>
      <c r="M43">
        <v>6.81</v>
      </c>
      <c r="N43">
        <v>8.4700000000000006</v>
      </c>
      <c r="O43">
        <v>7.18</v>
      </c>
      <c r="P43">
        <v>9.67</v>
      </c>
      <c r="Q43">
        <v>7.25</v>
      </c>
      <c r="R43">
        <v>8.44</v>
      </c>
      <c r="S43">
        <v>7.44</v>
      </c>
      <c r="T43">
        <v>10.050000000000001</v>
      </c>
      <c r="U43">
        <v>7.74</v>
      </c>
      <c r="V43">
        <v>8.8800000000000008</v>
      </c>
      <c r="W43">
        <v>7.92</v>
      </c>
      <c r="X43">
        <v>1.51</v>
      </c>
      <c r="Y43" t="s">
        <v>106</v>
      </c>
      <c r="Z43">
        <v>1E-3</v>
      </c>
      <c r="AA43">
        <f t="shared" si="3"/>
        <v>3.0576275230751495</v>
      </c>
    </row>
    <row r="44" spans="4:31" x14ac:dyDescent="0.25">
      <c r="D44">
        <v>2012</v>
      </c>
      <c r="E44">
        <v>2013</v>
      </c>
      <c r="F44">
        <v>94.719412000000005</v>
      </c>
      <c r="G44">
        <v>8.48</v>
      </c>
      <c r="H44">
        <v>9.17</v>
      </c>
      <c r="I44">
        <v>7.07</v>
      </c>
      <c r="J44">
        <v>8.18</v>
      </c>
      <c r="K44">
        <v>7.22</v>
      </c>
      <c r="L44">
        <v>9.23</v>
      </c>
      <c r="M44">
        <v>6.92</v>
      </c>
      <c r="N44">
        <v>8.1</v>
      </c>
      <c r="O44">
        <v>7.07</v>
      </c>
      <c r="P44">
        <v>9.14</v>
      </c>
      <c r="Q44">
        <v>6.95</v>
      </c>
      <c r="R44">
        <v>8.09</v>
      </c>
      <c r="S44">
        <v>7.1</v>
      </c>
      <c r="T44">
        <v>9.68</v>
      </c>
      <c r="U44">
        <v>7.47</v>
      </c>
      <c r="V44">
        <v>8.6300000000000008</v>
      </c>
      <c r="W44">
        <v>7.61</v>
      </c>
      <c r="X44">
        <v>3.52</v>
      </c>
      <c r="Y44" t="s">
        <v>106</v>
      </c>
      <c r="Z44">
        <v>1E-3</v>
      </c>
      <c r="AA44">
        <f t="shared" si="3"/>
        <v>4.5509189633461569</v>
      </c>
    </row>
    <row r="45" spans="4:31" x14ac:dyDescent="0.25">
      <c r="D45">
        <v>2013</v>
      </c>
      <c r="E45">
        <v>2014</v>
      </c>
      <c r="F45">
        <v>37.173864700000003</v>
      </c>
      <c r="G45">
        <v>8.83</v>
      </c>
      <c r="H45">
        <v>9.66</v>
      </c>
      <c r="I45">
        <v>6.74</v>
      </c>
      <c r="J45">
        <v>8.44</v>
      </c>
      <c r="K45">
        <v>7.21</v>
      </c>
      <c r="L45">
        <v>9.8800000000000008</v>
      </c>
      <c r="M45">
        <v>6.37</v>
      </c>
      <c r="N45">
        <v>8.4499999999999993</v>
      </c>
      <c r="O45">
        <v>6.97</v>
      </c>
      <c r="P45">
        <v>9.67</v>
      </c>
      <c r="Q45">
        <v>6.59</v>
      </c>
      <c r="R45">
        <v>8.36</v>
      </c>
      <c r="S45">
        <v>7.04</v>
      </c>
      <c r="T45">
        <v>10.39</v>
      </c>
      <c r="U45">
        <v>7.51</v>
      </c>
      <c r="V45">
        <v>9.1</v>
      </c>
      <c r="W45">
        <v>7.85</v>
      </c>
      <c r="X45">
        <v>2.14</v>
      </c>
      <c r="Y45" t="s">
        <v>106</v>
      </c>
      <c r="Z45">
        <v>1E-3</v>
      </c>
      <c r="AA45">
        <f t="shared" si="3"/>
        <v>3.6156059525389286</v>
      </c>
    </row>
    <row r="46" spans="4:31" x14ac:dyDescent="0.25">
      <c r="D46">
        <v>2014</v>
      </c>
      <c r="E46">
        <v>2015</v>
      </c>
      <c r="F46">
        <v>35.092568</v>
      </c>
      <c r="G46">
        <v>9.1199999999999992</v>
      </c>
      <c r="H46">
        <v>9.98</v>
      </c>
      <c r="I46">
        <v>8.17</v>
      </c>
      <c r="J46">
        <v>8.76</v>
      </c>
      <c r="K46">
        <v>7.77</v>
      </c>
      <c r="L46">
        <v>10.23</v>
      </c>
      <c r="M46">
        <v>7.9</v>
      </c>
      <c r="N46">
        <v>8.81</v>
      </c>
      <c r="O46">
        <v>7.62</v>
      </c>
      <c r="P46">
        <v>10.029999999999999</v>
      </c>
      <c r="Q46">
        <v>8.15</v>
      </c>
      <c r="R46">
        <v>8.6999999999999993</v>
      </c>
      <c r="S46">
        <v>7.64</v>
      </c>
      <c r="T46">
        <v>10.57</v>
      </c>
      <c r="U46">
        <v>8.6199999999999992</v>
      </c>
      <c r="V46">
        <v>9.26</v>
      </c>
      <c r="W46">
        <v>8.17</v>
      </c>
      <c r="X46">
        <v>3.8</v>
      </c>
      <c r="Y46" t="s">
        <v>106</v>
      </c>
      <c r="Z46">
        <v>1E-3</v>
      </c>
      <c r="AA46">
        <f t="shared" si="3"/>
        <v>3.5579893701604499</v>
      </c>
      <c r="AC46" s="2" t="s">
        <v>162</v>
      </c>
    </row>
    <row r="47" spans="4:31" x14ac:dyDescent="0.25">
      <c r="D47">
        <v>2015</v>
      </c>
      <c r="E47">
        <v>2016</v>
      </c>
      <c r="F47">
        <v>18.374199999999998</v>
      </c>
      <c r="G47">
        <v>9.61</v>
      </c>
      <c r="H47">
        <v>10.62</v>
      </c>
      <c r="I47">
        <v>8.8699999999999992</v>
      </c>
      <c r="J47">
        <v>9.5500000000000007</v>
      </c>
      <c r="K47">
        <v>8.73</v>
      </c>
      <c r="L47">
        <v>10.73</v>
      </c>
      <c r="M47">
        <v>8.34</v>
      </c>
      <c r="N47">
        <v>9.43</v>
      </c>
      <c r="O47">
        <v>8.2899999999999991</v>
      </c>
      <c r="P47">
        <v>10.81</v>
      </c>
      <c r="Q47">
        <v>8.92</v>
      </c>
      <c r="R47">
        <v>9.56</v>
      </c>
      <c r="S47">
        <v>8.65</v>
      </c>
      <c r="T47">
        <v>11.43</v>
      </c>
      <c r="U47">
        <v>9.64</v>
      </c>
      <c r="V47">
        <v>10.210000000000001</v>
      </c>
      <c r="W47">
        <v>9.32</v>
      </c>
      <c r="X47">
        <v>2.4500000000000002</v>
      </c>
      <c r="Y47" t="s">
        <v>106</v>
      </c>
      <c r="Z47">
        <v>1E-3</v>
      </c>
      <c r="AA47">
        <f t="shared" si="3"/>
        <v>2.9109475067361537</v>
      </c>
      <c r="AB47" s="2" t="s">
        <v>161</v>
      </c>
      <c r="AC47" s="140">
        <f>$BC$72+$BC$73*X48</f>
        <v>4.2254773356468736</v>
      </c>
      <c r="AD47">
        <f>EXP(AC47)</f>
        <v>68.407148927220746</v>
      </c>
      <c r="AE47">
        <f>ABS((F48-AD47)/F48)</f>
        <v>0.9694370965982434</v>
      </c>
    </row>
    <row r="48" spans="4:31" x14ac:dyDescent="0.25">
      <c r="D48">
        <v>2016</v>
      </c>
      <c r="E48">
        <v>2017</v>
      </c>
      <c r="F48">
        <v>34.734366000000001</v>
      </c>
      <c r="G48">
        <v>10.199999999999999</v>
      </c>
      <c r="H48">
        <v>11.04</v>
      </c>
      <c r="I48">
        <v>8.92</v>
      </c>
      <c r="J48">
        <v>10.029999999999999</v>
      </c>
      <c r="K48">
        <v>9.07</v>
      </c>
      <c r="L48">
        <v>11.65</v>
      </c>
      <c r="M48">
        <v>8.81</v>
      </c>
      <c r="N48">
        <v>10.37</v>
      </c>
      <c r="O48">
        <v>9.14</v>
      </c>
      <c r="P48">
        <v>11.18</v>
      </c>
      <c r="Q48">
        <v>8.92</v>
      </c>
      <c r="R48">
        <v>10.050000000000001</v>
      </c>
      <c r="S48">
        <v>9</v>
      </c>
      <c r="T48">
        <v>11.67</v>
      </c>
      <c r="U48">
        <v>9.61</v>
      </c>
      <c r="V48">
        <v>10.59</v>
      </c>
      <c r="W48">
        <v>9.59</v>
      </c>
      <c r="X48">
        <v>4.3499999999999996</v>
      </c>
      <c r="Y48" t="s">
        <v>106</v>
      </c>
      <c r="Z48">
        <v>1</v>
      </c>
      <c r="AA48">
        <f t="shared" si="3"/>
        <v>3.5477295714951795</v>
      </c>
      <c r="AB48" s="1">
        <f>$E$73+$E$74*X48</f>
        <v>4.2085549057133633</v>
      </c>
      <c r="AC48" s="140">
        <f>$AT$72+$AT$73*X49</f>
        <v>2.6662764732030428</v>
      </c>
      <c r="AD48">
        <f t="shared" ref="AD48:AD52" si="4">EXP(AC48)</f>
        <v>14.38630155900943</v>
      </c>
      <c r="AE48">
        <f t="shared" ref="AE48:AE49" si="5">ABS((F49-AD48)/F49)</f>
        <v>0.78319738698878616</v>
      </c>
    </row>
    <row r="49" spans="4:55" x14ac:dyDescent="0.25">
      <c r="D49" s="63">
        <v>2017</v>
      </c>
      <c r="E49" s="63">
        <v>2018</v>
      </c>
      <c r="F49" s="63">
        <v>8.0677000000000003</v>
      </c>
      <c r="G49" s="63">
        <v>8.56</v>
      </c>
      <c r="H49" s="63">
        <v>9.65</v>
      </c>
      <c r="I49" s="63">
        <v>7.65</v>
      </c>
      <c r="J49" s="63">
        <v>8.6999999999999993</v>
      </c>
      <c r="K49" s="63">
        <v>7.76</v>
      </c>
      <c r="L49" s="63">
        <v>9.82</v>
      </c>
      <c r="M49" s="63">
        <v>7.22</v>
      </c>
      <c r="N49" s="63">
        <v>8.66</v>
      </c>
      <c r="O49" s="63">
        <v>7.51</v>
      </c>
      <c r="P49" s="63">
        <v>9.82</v>
      </c>
      <c r="Q49" s="63">
        <v>7.75</v>
      </c>
      <c r="R49" s="63">
        <v>8.77</v>
      </c>
      <c r="S49" s="63">
        <v>7.78</v>
      </c>
      <c r="T49" s="63">
        <v>10.31</v>
      </c>
      <c r="U49" s="63">
        <v>8.25</v>
      </c>
      <c r="V49" s="63">
        <v>9.2799999999999994</v>
      </c>
      <c r="W49" s="63">
        <v>8.2899999999999991</v>
      </c>
      <c r="X49" s="63">
        <v>0.35</v>
      </c>
      <c r="Y49" s="63" t="s">
        <v>106</v>
      </c>
      <c r="Z49" s="63">
        <v>1</v>
      </c>
      <c r="AA49" s="63">
        <f t="shared" si="3"/>
        <v>2.0878684354640864</v>
      </c>
      <c r="AB49" s="44">
        <f>$E$73+$E$74*X49</f>
        <v>2.4851472626974349</v>
      </c>
      <c r="AC49" s="44">
        <f>$AL$73+$AL$74*X50</f>
        <v>2.8603289756675778</v>
      </c>
      <c r="AD49">
        <f t="shared" si="4"/>
        <v>17.467272299051292</v>
      </c>
      <c r="AE49">
        <f t="shared" si="5"/>
        <v>0.17380892135044204</v>
      </c>
    </row>
    <row r="50" spans="4:55" x14ac:dyDescent="0.25">
      <c r="D50">
        <v>2018</v>
      </c>
      <c r="E50">
        <v>2019</v>
      </c>
      <c r="F50">
        <v>21.141928</v>
      </c>
      <c r="G50">
        <v>8.92</v>
      </c>
      <c r="H50">
        <v>9.8699999999999992</v>
      </c>
      <c r="I50">
        <v>7.4</v>
      </c>
      <c r="J50">
        <v>8.75</v>
      </c>
      <c r="K50">
        <v>7.61</v>
      </c>
      <c r="L50">
        <v>9.99</v>
      </c>
      <c r="M50">
        <v>6.92</v>
      </c>
      <c r="N50">
        <v>8.74</v>
      </c>
      <c r="O50">
        <v>7.43</v>
      </c>
      <c r="P50">
        <v>10.11</v>
      </c>
      <c r="Q50">
        <v>7.53</v>
      </c>
      <c r="R50">
        <v>8.86</v>
      </c>
      <c r="S50">
        <v>7.63</v>
      </c>
      <c r="T50">
        <v>10.79</v>
      </c>
      <c r="U50">
        <v>8.2799999999999994</v>
      </c>
      <c r="V50">
        <v>9.5399999999999991</v>
      </c>
      <c r="W50">
        <v>8.3000000000000007</v>
      </c>
      <c r="X50">
        <v>1.17</v>
      </c>
      <c r="Y50" t="s">
        <v>106</v>
      </c>
      <c r="Z50">
        <v>1</v>
      </c>
      <c r="AA50">
        <f t="shared" si="3"/>
        <v>3.0512581777972043</v>
      </c>
      <c r="AB50" s="1">
        <f t="shared" ref="AB50" si="6">$E$73+$E$74*X50</f>
        <v>2.8384458295157002</v>
      </c>
      <c r="AC50" s="1">
        <f>$S$73+$S$74*X51</f>
        <v>2.8713364357772795</v>
      </c>
      <c r="AD50">
        <f t="shared" si="4"/>
        <v>17.660604699374456</v>
      </c>
      <c r="AE50">
        <f>ABS((F51-AD50)/F51)</f>
        <v>1.190329752325652</v>
      </c>
    </row>
    <row r="51" spans="4:55" x14ac:dyDescent="0.25">
      <c r="D51">
        <v>2019</v>
      </c>
      <c r="E51">
        <v>2020</v>
      </c>
      <c r="F51">
        <v>8.062989</v>
      </c>
      <c r="G51">
        <v>9.91</v>
      </c>
      <c r="H51">
        <v>10.47</v>
      </c>
      <c r="I51">
        <v>8.24</v>
      </c>
      <c r="J51">
        <v>9.4600000000000009</v>
      </c>
      <c r="K51">
        <v>8.35</v>
      </c>
      <c r="L51">
        <v>10.74</v>
      </c>
      <c r="M51">
        <v>7.79</v>
      </c>
      <c r="N51">
        <v>9.51</v>
      </c>
      <c r="O51">
        <v>8.1</v>
      </c>
      <c r="P51">
        <v>10.87</v>
      </c>
      <c r="Q51">
        <v>8.42</v>
      </c>
      <c r="R51">
        <v>9.65</v>
      </c>
      <c r="S51">
        <v>8.44</v>
      </c>
      <c r="T51">
        <v>11.46</v>
      </c>
      <c r="U51">
        <v>9.01</v>
      </c>
      <c r="V51">
        <v>10.25</v>
      </c>
      <c r="W51">
        <v>9.0500000000000007</v>
      </c>
      <c r="X51">
        <v>1.1399999999999999</v>
      </c>
      <c r="Y51" t="s">
        <v>106</v>
      </c>
      <c r="Z51">
        <v>1</v>
      </c>
      <c r="AA51">
        <f t="shared" si="3"/>
        <v>2.0872843314454741</v>
      </c>
      <c r="AB51" s="1">
        <f>$E$73+$E$74*X51</f>
        <v>2.825520272193081</v>
      </c>
      <c r="AC51" s="1">
        <f>$AC$73+$AC$74*X52</f>
        <v>3.2290680255095188</v>
      </c>
      <c r="AD51">
        <f>EXP(AC51)</f>
        <v>25.256107950785392</v>
      </c>
      <c r="AE51">
        <f>ABS((F52-AD51)/F52)</f>
        <v>0.47929543401021696</v>
      </c>
    </row>
    <row r="52" spans="4:55" x14ac:dyDescent="0.25">
      <c r="D52">
        <v>2020</v>
      </c>
      <c r="E52">
        <v>2021</v>
      </c>
      <c r="F52">
        <v>48.503718999999997</v>
      </c>
      <c r="G52">
        <v>8.89</v>
      </c>
      <c r="H52">
        <v>9.99</v>
      </c>
      <c r="I52">
        <v>8.09</v>
      </c>
      <c r="J52">
        <v>8.84</v>
      </c>
      <c r="K52">
        <v>7.86</v>
      </c>
      <c r="L52">
        <v>10.4</v>
      </c>
      <c r="M52">
        <v>7.83</v>
      </c>
      <c r="N52">
        <v>9.0500000000000007</v>
      </c>
      <c r="O52">
        <v>7.86</v>
      </c>
      <c r="P52">
        <v>10.23</v>
      </c>
      <c r="Q52">
        <v>8.26</v>
      </c>
      <c r="R52">
        <v>8.98</v>
      </c>
      <c r="S52">
        <v>7.94</v>
      </c>
      <c r="T52">
        <v>10.7</v>
      </c>
      <c r="U52">
        <v>8.9</v>
      </c>
      <c r="V52">
        <v>9.52</v>
      </c>
      <c r="W52">
        <v>8.5299999999999994</v>
      </c>
      <c r="X52">
        <v>2.15</v>
      </c>
      <c r="Y52" t="s">
        <v>106</v>
      </c>
      <c r="Z52">
        <v>1</v>
      </c>
      <c r="AA52">
        <f>LN(F52)</f>
        <v>3.8816404754160159</v>
      </c>
      <c r="AB52" s="1">
        <f>$E$73+$E$74*X52</f>
        <v>3.2606807020546027</v>
      </c>
      <c r="AC52" s="1">
        <f>$S$94+$S$95*X53</f>
        <v>2.7134987753970456</v>
      </c>
      <c r="AD52">
        <f t="shared" si="4"/>
        <v>15.081951671566847</v>
      </c>
    </row>
    <row r="53" spans="4:55" x14ac:dyDescent="0.25">
      <c r="D53">
        <v>2021</v>
      </c>
      <c r="E53">
        <v>2022</v>
      </c>
      <c r="G53">
        <v>8.89</v>
      </c>
      <c r="H53">
        <v>10.06</v>
      </c>
      <c r="I53">
        <v>7.25</v>
      </c>
      <c r="J53">
        <v>8.9</v>
      </c>
      <c r="K53">
        <v>7.63</v>
      </c>
      <c r="L53">
        <v>10.26</v>
      </c>
      <c r="M53">
        <v>6.91</v>
      </c>
      <c r="N53">
        <v>8.91</v>
      </c>
      <c r="O53">
        <v>7.47</v>
      </c>
      <c r="P53">
        <v>10.23</v>
      </c>
      <c r="Q53">
        <v>7.29</v>
      </c>
      <c r="R53">
        <v>8.9600000000000009</v>
      </c>
      <c r="S53">
        <v>7.65</v>
      </c>
      <c r="T53">
        <v>10.82</v>
      </c>
      <c r="U53">
        <v>7.97</v>
      </c>
      <c r="V53">
        <v>9.58</v>
      </c>
      <c r="W53">
        <v>8.31</v>
      </c>
      <c r="X53">
        <v>0.88</v>
      </c>
      <c r="Y53" t="s">
        <v>106</v>
      </c>
      <c r="Z53">
        <v>1</v>
      </c>
      <c r="AB53" s="1">
        <f>$E$73+$E$74*X53</f>
        <v>2.7134987753970456</v>
      </c>
      <c r="AC53" s="1"/>
      <c r="AE53">
        <f>AVERAGE(AE47:AE51)</f>
        <v>0.71921371825466818</v>
      </c>
    </row>
    <row r="56" spans="4:55" x14ac:dyDescent="0.25">
      <c r="AS56" t="s">
        <v>108</v>
      </c>
      <c r="BB56" t="s">
        <v>108</v>
      </c>
    </row>
    <row r="57" spans="4:55" ht="15.75" thickBot="1" x14ac:dyDescent="0.3">
      <c r="D57" t="s">
        <v>108</v>
      </c>
      <c r="R57" t="s">
        <v>108</v>
      </c>
      <c r="X57">
        <f>EXP(AB49)</f>
        <v>12.002887702308511</v>
      </c>
      <c r="AB57" t="s">
        <v>108</v>
      </c>
      <c r="AK57" t="s">
        <v>108</v>
      </c>
    </row>
    <row r="58" spans="4:55" ht="15.75" thickBot="1" x14ac:dyDescent="0.3">
      <c r="AS58" s="48" t="s">
        <v>109</v>
      </c>
      <c r="AT58" s="48"/>
      <c r="BB58" s="48" t="s">
        <v>109</v>
      </c>
      <c r="BC58" s="48"/>
    </row>
    <row r="59" spans="4:55" x14ac:dyDescent="0.25">
      <c r="D59" s="48" t="s">
        <v>109</v>
      </c>
      <c r="E59" s="48"/>
      <c r="R59" s="48" t="s">
        <v>109</v>
      </c>
      <c r="S59" s="48"/>
      <c r="AB59" s="48" t="s">
        <v>109</v>
      </c>
      <c r="AC59" s="48"/>
      <c r="AK59" s="48" t="s">
        <v>109</v>
      </c>
      <c r="AL59" s="48"/>
      <c r="AS59" s="45" t="s">
        <v>110</v>
      </c>
      <c r="AT59" s="45">
        <v>0.72311002945429237</v>
      </c>
      <c r="BB59" s="45" t="s">
        <v>110</v>
      </c>
      <c r="BC59" s="45">
        <v>0.76796041460936293</v>
      </c>
    </row>
    <row r="60" spans="4:55" x14ac:dyDescent="0.25">
      <c r="D60" s="45" t="s">
        <v>110</v>
      </c>
      <c r="E60" s="45">
        <v>0.78252299237115319</v>
      </c>
      <c r="R60" s="45" t="s">
        <v>110</v>
      </c>
      <c r="S60" s="45">
        <v>0.79242080726129238</v>
      </c>
      <c r="AB60" s="45" t="s">
        <v>110</v>
      </c>
      <c r="AC60" s="45">
        <v>0.80320130513038313</v>
      </c>
      <c r="AK60" s="45" t="s">
        <v>110</v>
      </c>
      <c r="AL60" s="45">
        <v>0.78843274807438035</v>
      </c>
      <c r="AS60" s="45" t="s">
        <v>111</v>
      </c>
      <c r="AT60" s="45">
        <v>0.52288811469738761</v>
      </c>
      <c r="BB60" s="45" t="s">
        <v>111</v>
      </c>
      <c r="BC60" s="45">
        <v>0.58976319840698455</v>
      </c>
    </row>
    <row r="61" spans="4:55" x14ac:dyDescent="0.25">
      <c r="D61" s="45" t="s">
        <v>111</v>
      </c>
      <c r="E61" s="45">
        <v>0.6123422335895039</v>
      </c>
      <c r="R61" s="45" t="s">
        <v>111</v>
      </c>
      <c r="S61" s="45">
        <v>0.62793073578063829</v>
      </c>
      <c r="AB61" s="45" t="s">
        <v>111</v>
      </c>
      <c r="AC61" s="45">
        <v>0.64513233656315083</v>
      </c>
      <c r="AK61" s="45" t="s">
        <v>111</v>
      </c>
      <c r="AL61" s="45">
        <v>0.62162619823611931</v>
      </c>
      <c r="AS61" s="45" t="s">
        <v>112</v>
      </c>
      <c r="AT61" s="45">
        <v>0.49638189884724249</v>
      </c>
      <c r="BB61" s="45" t="s">
        <v>112</v>
      </c>
      <c r="BC61" s="45">
        <v>0.56563162184268956</v>
      </c>
    </row>
    <row r="62" spans="4:55" x14ac:dyDescent="0.25">
      <c r="D62" s="45" t="s">
        <v>112</v>
      </c>
      <c r="E62" s="45">
        <v>0.59472142602539046</v>
      </c>
      <c r="R62" s="45" t="s">
        <v>112</v>
      </c>
      <c r="S62" s="45">
        <v>0.60932727256967012</v>
      </c>
      <c r="AB62" s="45" t="s">
        <v>112</v>
      </c>
      <c r="AC62" s="45">
        <v>0.62823387639949135</v>
      </c>
      <c r="AK62" s="45" t="s">
        <v>112</v>
      </c>
      <c r="AL62" s="45">
        <v>0.60171178761696764</v>
      </c>
      <c r="AS62" s="45" t="s">
        <v>113</v>
      </c>
      <c r="AT62" s="45">
        <v>0.39512097942177044</v>
      </c>
      <c r="BB62" s="45" t="s">
        <v>113</v>
      </c>
      <c r="BC62" s="45">
        <v>0.37688796598014107</v>
      </c>
    </row>
    <row r="63" spans="4:55" ht="15.75" thickBot="1" x14ac:dyDescent="0.3">
      <c r="D63" s="45" t="s">
        <v>113</v>
      </c>
      <c r="E63" s="45">
        <v>0.42875901476960915</v>
      </c>
      <c r="R63" s="45" t="s">
        <v>113</v>
      </c>
      <c r="S63" s="45">
        <v>0.39321465198499178</v>
      </c>
      <c r="AB63" s="45" t="s">
        <v>113</v>
      </c>
      <c r="AC63" s="45">
        <v>0.41628362583017681</v>
      </c>
      <c r="AK63" s="45" t="s">
        <v>113</v>
      </c>
      <c r="AL63" s="45">
        <v>0.40133489664267979</v>
      </c>
      <c r="AS63" s="46" t="s">
        <v>114</v>
      </c>
      <c r="AT63" s="46">
        <v>20</v>
      </c>
      <c r="BB63" s="46" t="s">
        <v>114</v>
      </c>
      <c r="BC63" s="46">
        <v>19</v>
      </c>
    </row>
    <row r="64" spans="4:55" ht="15.75" thickBot="1" x14ac:dyDescent="0.3">
      <c r="D64" s="46" t="s">
        <v>114</v>
      </c>
      <c r="E64" s="46">
        <v>24</v>
      </c>
      <c r="R64" s="46" t="s">
        <v>114</v>
      </c>
      <c r="S64" s="46">
        <v>22</v>
      </c>
      <c r="AB64" s="46" t="s">
        <v>114</v>
      </c>
      <c r="AC64" s="46">
        <v>23</v>
      </c>
      <c r="AK64" s="46" t="s">
        <v>114</v>
      </c>
      <c r="AL64" s="46">
        <v>21</v>
      </c>
    </row>
    <row r="65" spans="4:62" ht="15.75" thickBot="1" x14ac:dyDescent="0.3">
      <c r="AS65" t="s">
        <v>115</v>
      </c>
      <c r="BB65" t="s">
        <v>115</v>
      </c>
    </row>
    <row r="66" spans="4:62" ht="15.75" thickBot="1" x14ac:dyDescent="0.3">
      <c r="D66" t="s">
        <v>115</v>
      </c>
      <c r="R66" t="s">
        <v>115</v>
      </c>
      <c r="AB66" t="s">
        <v>115</v>
      </c>
      <c r="AK66" t="s">
        <v>115</v>
      </c>
      <c r="AS66" s="47"/>
      <c r="AT66" s="47" t="s">
        <v>7</v>
      </c>
      <c r="AU66" s="47" t="s">
        <v>120</v>
      </c>
      <c r="AV66" s="47" t="s">
        <v>121</v>
      </c>
      <c r="AW66" s="47" t="s">
        <v>122</v>
      </c>
      <c r="AX66" s="47" t="s">
        <v>123</v>
      </c>
      <c r="BB66" s="47"/>
      <c r="BC66" s="47" t="s">
        <v>7</v>
      </c>
      <c r="BD66" s="47" t="s">
        <v>120</v>
      </c>
      <c r="BE66" s="47" t="s">
        <v>121</v>
      </c>
      <c r="BF66" s="47" t="s">
        <v>122</v>
      </c>
      <c r="BG66" s="47" t="s">
        <v>123</v>
      </c>
    </row>
    <row r="67" spans="4:62" x14ac:dyDescent="0.25">
      <c r="D67" s="47"/>
      <c r="E67" s="47" t="s">
        <v>7</v>
      </c>
      <c r="F67" s="47" t="s">
        <v>120</v>
      </c>
      <c r="G67" s="47" t="s">
        <v>121</v>
      </c>
      <c r="H67" s="47" t="s">
        <v>122</v>
      </c>
      <c r="I67" s="47" t="s">
        <v>123</v>
      </c>
      <c r="R67" s="47"/>
      <c r="S67" s="47" t="s">
        <v>7</v>
      </c>
      <c r="T67" s="47" t="s">
        <v>120</v>
      </c>
      <c r="U67" s="47" t="s">
        <v>121</v>
      </c>
      <c r="V67" s="47" t="s">
        <v>122</v>
      </c>
      <c r="W67" s="47" t="s">
        <v>123</v>
      </c>
      <c r="AB67" s="47"/>
      <c r="AC67" s="47" t="s">
        <v>7</v>
      </c>
      <c r="AD67" s="47" t="s">
        <v>120</v>
      </c>
      <c r="AE67" s="47" t="s">
        <v>121</v>
      </c>
      <c r="AF67" s="47" t="s">
        <v>122</v>
      </c>
      <c r="AG67" s="47" t="s">
        <v>123</v>
      </c>
      <c r="AK67" s="47"/>
      <c r="AL67" s="47" t="s">
        <v>7</v>
      </c>
      <c r="AM67" s="47" t="s">
        <v>120</v>
      </c>
      <c r="AN67" s="47" t="s">
        <v>121</v>
      </c>
      <c r="AO67" s="47" t="s">
        <v>122</v>
      </c>
      <c r="AP67" s="47" t="s">
        <v>123</v>
      </c>
      <c r="AS67" s="45" t="s">
        <v>116</v>
      </c>
      <c r="AT67" s="45">
        <v>1</v>
      </c>
      <c r="AU67" s="45">
        <v>3.079790815278137</v>
      </c>
      <c r="AV67" s="45">
        <v>3.079790815278137</v>
      </c>
      <c r="AW67" s="45">
        <v>19.726999797088141</v>
      </c>
      <c r="AX67" s="45">
        <v>3.1517621682805726E-4</v>
      </c>
      <c r="BB67" s="45" t="s">
        <v>116</v>
      </c>
      <c r="BC67" s="45">
        <v>1</v>
      </c>
      <c r="BD67" s="45">
        <v>3.471494759370223</v>
      </c>
      <c r="BE67" s="45">
        <v>3.471494759370223</v>
      </c>
      <c r="BF67" s="45">
        <v>24.439480646266414</v>
      </c>
      <c r="BG67" s="45">
        <v>1.233158921902108E-4</v>
      </c>
    </row>
    <row r="68" spans="4:62" x14ac:dyDescent="0.25">
      <c r="D68" s="45" t="s">
        <v>116</v>
      </c>
      <c r="E68" s="45">
        <v>1</v>
      </c>
      <c r="F68" s="45">
        <v>6.3884416773166262</v>
      </c>
      <c r="G68" s="45">
        <v>6.3884416773166262</v>
      </c>
      <c r="H68" s="45">
        <v>34.751087960156852</v>
      </c>
      <c r="I68" s="45">
        <v>6.228675844194623E-6</v>
      </c>
      <c r="R68" s="45" t="s">
        <v>116</v>
      </c>
      <c r="S68" s="45">
        <v>1</v>
      </c>
      <c r="T68" s="45">
        <v>5.2188801779952074</v>
      </c>
      <c r="U68" s="45">
        <v>5.2188801779952074</v>
      </c>
      <c r="V68" s="45">
        <v>33.753432286222257</v>
      </c>
      <c r="W68" s="45">
        <v>1.1021083240051079E-5</v>
      </c>
      <c r="AB68" s="45" t="s">
        <v>116</v>
      </c>
      <c r="AC68" s="45">
        <v>1</v>
      </c>
      <c r="AD68" s="45">
        <v>6.615769049023676</v>
      </c>
      <c r="AE68" s="45">
        <v>6.615769049023676</v>
      </c>
      <c r="AF68" s="45">
        <v>38.176989519466517</v>
      </c>
      <c r="AG68" s="45">
        <v>3.9505815279352103E-6</v>
      </c>
      <c r="AK68" s="45" t="s">
        <v>116</v>
      </c>
      <c r="AL68" s="45">
        <v>1</v>
      </c>
      <c r="AM68" s="45">
        <v>5.0277734409936379</v>
      </c>
      <c r="AN68" s="45">
        <v>5.0277734409936379</v>
      </c>
      <c r="AO68" s="45">
        <v>31.214893080405993</v>
      </c>
      <c r="AP68" s="45">
        <v>2.1801306179431787E-5</v>
      </c>
      <c r="AS68" s="45" t="s">
        <v>117</v>
      </c>
      <c r="AT68" s="45">
        <v>18</v>
      </c>
      <c r="AU68" s="45">
        <v>2.8101705908259444</v>
      </c>
      <c r="AV68" s="45">
        <v>0.15612058837921913</v>
      </c>
      <c r="AW68" s="45"/>
      <c r="AX68" s="45"/>
      <c r="BB68" s="45" t="s">
        <v>117</v>
      </c>
      <c r="BC68" s="45">
        <v>17</v>
      </c>
      <c r="BD68" s="45">
        <v>2.4147571613110155</v>
      </c>
      <c r="BE68" s="45">
        <v>0.14204453890064797</v>
      </c>
      <c r="BF68" s="45"/>
      <c r="BG68" s="45"/>
    </row>
    <row r="69" spans="4:62" ht="15.75" thickBot="1" x14ac:dyDescent="0.3">
      <c r="D69" s="45" t="s">
        <v>117</v>
      </c>
      <c r="E69" s="45">
        <v>22</v>
      </c>
      <c r="F69" s="45">
        <v>4.0443544404165301</v>
      </c>
      <c r="G69" s="45">
        <v>0.18383429274620591</v>
      </c>
      <c r="H69" s="45"/>
      <c r="I69" s="45"/>
      <c r="R69" s="45" t="s">
        <v>117</v>
      </c>
      <c r="S69" s="45">
        <v>20</v>
      </c>
      <c r="T69" s="45">
        <v>3.0923552507135641</v>
      </c>
      <c r="U69" s="45">
        <v>0.15461776253567822</v>
      </c>
      <c r="V69" s="45"/>
      <c r="W69" s="45"/>
      <c r="AB69" s="45" t="s">
        <v>117</v>
      </c>
      <c r="AC69" s="45">
        <v>21</v>
      </c>
      <c r="AD69" s="45">
        <v>3.6391331998206913</v>
      </c>
      <c r="AE69" s="45">
        <v>0.17329205713431864</v>
      </c>
      <c r="AF69" s="45"/>
      <c r="AG69" s="45"/>
      <c r="AK69" s="45" t="s">
        <v>117</v>
      </c>
      <c r="AL69" s="45">
        <v>19</v>
      </c>
      <c r="AM69" s="45">
        <v>3.0603242860006183</v>
      </c>
      <c r="AN69" s="45">
        <v>0.16106969926319045</v>
      </c>
      <c r="AO69" s="45"/>
      <c r="AP69" s="45"/>
      <c r="AS69" s="46" t="s">
        <v>118</v>
      </c>
      <c r="AT69" s="46">
        <v>19</v>
      </c>
      <c r="AU69" s="46">
        <v>5.8899614061040815</v>
      </c>
      <c r="AV69" s="46"/>
      <c r="AW69" s="46"/>
      <c r="AX69" s="46"/>
      <c r="BB69" s="46" t="s">
        <v>118</v>
      </c>
      <c r="BC69" s="46">
        <v>18</v>
      </c>
      <c r="BD69" s="46">
        <v>5.8862519206812385</v>
      </c>
      <c r="BE69" s="46"/>
      <c r="BF69" s="46"/>
      <c r="BG69" s="46"/>
    </row>
    <row r="70" spans="4:62" ht="15.75" thickBot="1" x14ac:dyDescent="0.3">
      <c r="D70" s="46" t="s">
        <v>118</v>
      </c>
      <c r="E70" s="46">
        <v>23</v>
      </c>
      <c r="F70" s="46">
        <v>10.432796117733156</v>
      </c>
      <c r="G70" s="46"/>
      <c r="H70" s="46"/>
      <c r="I70" s="46"/>
      <c r="R70" s="46" t="s">
        <v>118</v>
      </c>
      <c r="S70" s="46">
        <v>21</v>
      </c>
      <c r="T70" s="46">
        <v>8.3112354287087715</v>
      </c>
      <c r="U70" s="46"/>
      <c r="V70" s="46"/>
      <c r="W70" s="46"/>
      <c r="AB70" s="46" t="s">
        <v>118</v>
      </c>
      <c r="AC70" s="46">
        <v>22</v>
      </c>
      <c r="AD70" s="46">
        <v>10.254902248844367</v>
      </c>
      <c r="AE70" s="46"/>
      <c r="AF70" s="46"/>
      <c r="AG70" s="46"/>
      <c r="AK70" s="46" t="s">
        <v>118</v>
      </c>
      <c r="AL70" s="46">
        <v>20</v>
      </c>
      <c r="AM70" s="46">
        <v>8.0880977269942562</v>
      </c>
      <c r="AN70" s="46"/>
      <c r="AO70" s="46"/>
      <c r="AP70" s="46"/>
    </row>
    <row r="71" spans="4:62" ht="15.75" thickBot="1" x14ac:dyDescent="0.3">
      <c r="AS71" s="47"/>
      <c r="AT71" s="47" t="s">
        <v>124</v>
      </c>
      <c r="AU71" s="47" t="s">
        <v>113</v>
      </c>
      <c r="AV71" s="47" t="s">
        <v>125</v>
      </c>
      <c r="AW71" s="47" t="s">
        <v>126</v>
      </c>
      <c r="AX71" s="47" t="s">
        <v>127</v>
      </c>
      <c r="AY71" s="47" t="s">
        <v>128</v>
      </c>
      <c r="AZ71" s="47" t="s">
        <v>129</v>
      </c>
      <c r="BA71" s="47" t="s">
        <v>130</v>
      </c>
      <c r="BB71" s="47"/>
      <c r="BC71" s="47" t="s">
        <v>124</v>
      </c>
      <c r="BD71" s="47" t="s">
        <v>113</v>
      </c>
      <c r="BE71" s="47" t="s">
        <v>125</v>
      </c>
      <c r="BF71" s="47" t="s">
        <v>126</v>
      </c>
      <c r="BG71" s="47" t="s">
        <v>127</v>
      </c>
      <c r="BH71" s="47" t="s">
        <v>128</v>
      </c>
      <c r="BI71" s="47" t="s">
        <v>129</v>
      </c>
      <c r="BJ71" s="47" t="s">
        <v>130</v>
      </c>
    </row>
    <row r="72" spans="4:62" x14ac:dyDescent="0.25">
      <c r="D72" s="47"/>
      <c r="E72" s="47" t="s">
        <v>124</v>
      </c>
      <c r="F72" s="47" t="s">
        <v>113</v>
      </c>
      <c r="G72" s="47" t="s">
        <v>125</v>
      </c>
      <c r="H72" s="47" t="s">
        <v>126</v>
      </c>
      <c r="I72" s="47" t="s">
        <v>127</v>
      </c>
      <c r="J72" s="47" t="s">
        <v>128</v>
      </c>
      <c r="K72" s="47" t="s">
        <v>129</v>
      </c>
      <c r="L72" s="47" t="s">
        <v>130</v>
      </c>
      <c r="R72" s="47"/>
      <c r="S72" s="47" t="s">
        <v>124</v>
      </c>
      <c r="T72" s="47" t="s">
        <v>113</v>
      </c>
      <c r="U72" s="47" t="s">
        <v>125</v>
      </c>
      <c r="V72" s="47" t="s">
        <v>126</v>
      </c>
      <c r="W72" s="47" t="s">
        <v>127</v>
      </c>
      <c r="X72" s="47" t="s">
        <v>128</v>
      </c>
      <c r="Y72" s="47" t="s">
        <v>129</v>
      </c>
      <c r="Z72" s="47" t="s">
        <v>130</v>
      </c>
      <c r="AB72" s="47"/>
      <c r="AC72" s="47" t="s">
        <v>124</v>
      </c>
      <c r="AD72" s="47" t="s">
        <v>113</v>
      </c>
      <c r="AE72" s="47" t="s">
        <v>125</v>
      </c>
      <c r="AF72" s="47" t="s">
        <v>126</v>
      </c>
      <c r="AG72" s="47" t="s">
        <v>127</v>
      </c>
      <c r="AH72" s="47" t="s">
        <v>128</v>
      </c>
      <c r="AI72" s="47" t="s">
        <v>129</v>
      </c>
      <c r="AJ72" s="47" t="s">
        <v>130</v>
      </c>
      <c r="AK72" s="47"/>
      <c r="AL72" s="47" t="s">
        <v>124</v>
      </c>
      <c r="AM72" s="47" t="s">
        <v>113</v>
      </c>
      <c r="AN72" s="47" t="s">
        <v>125</v>
      </c>
      <c r="AO72" s="47" t="s">
        <v>126</v>
      </c>
      <c r="AP72" s="47" t="s">
        <v>127</v>
      </c>
      <c r="AQ72" s="47" t="s">
        <v>128</v>
      </c>
      <c r="AR72" s="47" t="s">
        <v>129</v>
      </c>
      <c r="AS72" s="45" t="s">
        <v>119</v>
      </c>
      <c r="AT72" s="45">
        <v>2.5380998409771198</v>
      </c>
      <c r="AU72" s="45">
        <v>0.25638654683910744</v>
      </c>
      <c r="AV72" s="45">
        <v>9.8995047605593616</v>
      </c>
      <c r="AW72" s="45">
        <v>1.0430504290504066E-8</v>
      </c>
      <c r="AX72" s="45">
        <v>1.9994516939015479</v>
      </c>
      <c r="AY72" s="45">
        <v>3.0767479880526918</v>
      </c>
      <c r="AZ72" s="45">
        <v>1.9994516939015479</v>
      </c>
      <c r="BA72" s="45">
        <v>3.0767479880526918</v>
      </c>
      <c r="BB72" s="45" t="s">
        <v>119</v>
      </c>
      <c r="BC72" s="45">
        <v>2.4487045036509394</v>
      </c>
      <c r="BD72" s="45">
        <v>0.25035611926687684</v>
      </c>
      <c r="BE72" s="45">
        <v>9.7808853676975538</v>
      </c>
      <c r="BF72" s="45">
        <v>2.1402041699623779E-8</v>
      </c>
      <c r="BG72" s="45">
        <v>1.9204992632157869</v>
      </c>
      <c r="BH72" s="45">
        <v>2.9769097440860919</v>
      </c>
      <c r="BI72" s="45">
        <v>1.9204992632157869</v>
      </c>
      <c r="BJ72" s="45">
        <v>2.9769097440860919</v>
      </c>
    </row>
    <row r="73" spans="4:62" ht="15.75" thickBot="1" x14ac:dyDescent="0.3">
      <c r="D73" s="45" t="s">
        <v>119</v>
      </c>
      <c r="E73" s="45">
        <v>2.3343490939335414</v>
      </c>
      <c r="F73" s="45">
        <v>0.21140117700315761</v>
      </c>
      <c r="G73" s="45">
        <v>11.04227103663985</v>
      </c>
      <c r="H73" s="45">
        <v>1.9298833060794875E-10</v>
      </c>
      <c r="I73" s="45">
        <v>1.895929886423481</v>
      </c>
      <c r="J73" s="45">
        <v>2.7727683014436018</v>
      </c>
      <c r="K73" s="45">
        <v>1.895929886423481</v>
      </c>
      <c r="L73" s="45">
        <v>2.7727683014436018</v>
      </c>
      <c r="R73" s="45" t="s">
        <v>119</v>
      </c>
      <c r="S73" s="45">
        <v>2.4093259281631001</v>
      </c>
      <c r="T73" s="45">
        <v>0.20760841296198962</v>
      </c>
      <c r="U73" s="45">
        <v>11.605145927319507</v>
      </c>
      <c r="V73" s="45">
        <v>2.4499146356103491E-10</v>
      </c>
      <c r="W73" s="45">
        <v>1.976262367379513</v>
      </c>
      <c r="X73" s="45">
        <v>2.8423894889466874</v>
      </c>
      <c r="Y73" s="45">
        <v>1.976262367379513</v>
      </c>
      <c r="Z73" s="45">
        <v>2.8423894889466874</v>
      </c>
      <c r="AB73" s="45" t="s">
        <v>119</v>
      </c>
      <c r="AC73" s="45">
        <v>2.2830484672221631</v>
      </c>
      <c r="AD73" s="45">
        <v>0.20797376058376174</v>
      </c>
      <c r="AE73" s="45">
        <v>10.977579387004747</v>
      </c>
      <c r="AF73" s="45">
        <v>3.6934775172474217E-10</v>
      </c>
      <c r="AG73" s="45">
        <v>1.8505433553720922</v>
      </c>
      <c r="AH73" s="45">
        <v>2.715553579072234</v>
      </c>
      <c r="AI73" s="45">
        <v>1.8505433553720922</v>
      </c>
      <c r="AJ73" s="45">
        <v>2.715553579072234</v>
      </c>
      <c r="AK73" s="45" t="s">
        <v>119</v>
      </c>
      <c r="AL73" s="45">
        <v>2.3752441321404296</v>
      </c>
      <c r="AM73" s="45">
        <v>0.22525722262315709</v>
      </c>
      <c r="AN73" s="45">
        <v>10.544585893763248</v>
      </c>
      <c r="AO73" s="45">
        <v>2.2251650137598498E-9</v>
      </c>
      <c r="AP73" s="45">
        <v>1.9037753467609542</v>
      </c>
      <c r="AQ73" s="45">
        <v>2.8467129175199051</v>
      </c>
      <c r="AR73" s="45">
        <v>1.9037753467609542</v>
      </c>
      <c r="AS73" s="46" t="s">
        <v>131</v>
      </c>
      <c r="AT73" s="46">
        <v>0.3662189492169225</v>
      </c>
      <c r="AU73" s="46">
        <v>8.2453727211647398E-2</v>
      </c>
      <c r="AV73" s="46">
        <v>4.441508729822349</v>
      </c>
      <c r="AW73" s="46">
        <v>3.1517621682805726E-4</v>
      </c>
      <c r="AX73" s="46">
        <v>0.19299009641795026</v>
      </c>
      <c r="AY73" s="46">
        <v>0.53944780201589471</v>
      </c>
      <c r="AZ73" s="46">
        <v>0.19299009641795026</v>
      </c>
      <c r="BA73" s="46">
        <v>0.53944780201589471</v>
      </c>
      <c r="BB73" s="46" t="s">
        <v>131</v>
      </c>
      <c r="BC73" s="46">
        <v>0.40845352459676648</v>
      </c>
      <c r="BD73" s="46">
        <v>8.2622182272505409E-2</v>
      </c>
      <c r="BE73" s="46">
        <v>4.943630310436494</v>
      </c>
      <c r="BF73" s="46">
        <v>1.2331589219021069E-4</v>
      </c>
      <c r="BG73" s="46">
        <v>0.23413595736365084</v>
      </c>
      <c r="BH73" s="46">
        <v>0.58277109182988207</v>
      </c>
      <c r="BI73" s="46">
        <v>0.23413595736365084</v>
      </c>
      <c r="BJ73" s="46">
        <v>0.58277109182988207</v>
      </c>
    </row>
    <row r="74" spans="4:62" ht="15.75" thickBot="1" x14ac:dyDescent="0.3">
      <c r="D74" s="46" t="s">
        <v>131</v>
      </c>
      <c r="E74" s="46">
        <v>0.43085191075398199</v>
      </c>
      <c r="F74" s="46">
        <v>7.3087620094421782E-2</v>
      </c>
      <c r="G74" s="46">
        <v>5.8950053401296287</v>
      </c>
      <c r="H74" s="46">
        <v>6.2286758441946238E-6</v>
      </c>
      <c r="I74" s="46">
        <v>0.27927746384295959</v>
      </c>
      <c r="J74" s="46">
        <v>0.58242635766500439</v>
      </c>
      <c r="K74" s="46">
        <v>0.27927746384295959</v>
      </c>
      <c r="L74" s="46">
        <v>0.58242635766500439</v>
      </c>
      <c r="R74" s="46" t="s">
        <v>131</v>
      </c>
      <c r="S74" s="46">
        <v>0.40527237510015723</v>
      </c>
      <c r="T74" s="46">
        <v>6.9757037900583005E-2</v>
      </c>
      <c r="U74" s="46">
        <v>5.8097704159650121</v>
      </c>
      <c r="V74" s="46">
        <v>1.1021083240051057E-5</v>
      </c>
      <c r="W74" s="46">
        <v>0.2597617438500015</v>
      </c>
      <c r="X74" s="46">
        <v>0.55078300635031296</v>
      </c>
      <c r="Y74" s="46">
        <v>0.2597617438500015</v>
      </c>
      <c r="Z74" s="46">
        <v>0.55078300635031296</v>
      </c>
      <c r="AB74" s="46" t="s">
        <v>131</v>
      </c>
      <c r="AC74" s="46">
        <v>0.4400090968778399</v>
      </c>
      <c r="AD74" s="46">
        <v>7.1213251570491659E-2</v>
      </c>
      <c r="AE74" s="46">
        <v>6.1787530715724914</v>
      </c>
      <c r="AF74" s="46">
        <v>3.9505815279352179E-6</v>
      </c>
      <c r="AG74" s="46">
        <v>0.29191303298377025</v>
      </c>
      <c r="AH74" s="46">
        <v>0.58810516077190955</v>
      </c>
      <c r="AI74" s="46">
        <v>0.29191303298377025</v>
      </c>
      <c r="AJ74" s="46">
        <v>0.58810516077190955</v>
      </c>
      <c r="AK74" s="46" t="s">
        <v>131</v>
      </c>
      <c r="AL74" s="46">
        <v>0.41460243036508398</v>
      </c>
      <c r="AM74" s="46">
        <v>7.4208032595172752E-2</v>
      </c>
      <c r="AN74" s="46">
        <v>5.587029003003833</v>
      </c>
      <c r="AO74" s="46">
        <v>2.1801306179431787E-5</v>
      </c>
      <c r="AP74" s="46">
        <v>0.25928323311307155</v>
      </c>
      <c r="AQ74" s="46">
        <v>0.56992162761709642</v>
      </c>
      <c r="AR74" s="46">
        <v>0.25928323311307155</v>
      </c>
    </row>
    <row r="78" spans="4:62" x14ac:dyDescent="0.25">
      <c r="R78" t="s">
        <v>108</v>
      </c>
    </row>
    <row r="79" spans="4:62" ht="15.75" thickBot="1" x14ac:dyDescent="0.3"/>
    <row r="80" spans="4:62" x14ac:dyDescent="0.25">
      <c r="R80" s="48" t="s">
        <v>109</v>
      </c>
      <c r="S80" s="48"/>
    </row>
    <row r="81" spans="18:26" x14ac:dyDescent="0.25">
      <c r="R81" s="45" t="s">
        <v>110</v>
      </c>
      <c r="S81" s="45">
        <v>0.78252299237115319</v>
      </c>
    </row>
    <row r="82" spans="18:26" x14ac:dyDescent="0.25">
      <c r="R82" s="45" t="s">
        <v>111</v>
      </c>
      <c r="S82" s="45">
        <v>0.6123422335895039</v>
      </c>
    </row>
    <row r="83" spans="18:26" x14ac:dyDescent="0.25">
      <c r="R83" s="45" t="s">
        <v>112</v>
      </c>
      <c r="S83" s="45">
        <v>0.59472142602539046</v>
      </c>
    </row>
    <row r="84" spans="18:26" x14ac:dyDescent="0.25">
      <c r="R84" s="45" t="s">
        <v>113</v>
      </c>
      <c r="S84" s="45">
        <v>0.42875901476960915</v>
      </c>
    </row>
    <row r="85" spans="18:26" ht="15.75" thickBot="1" x14ac:dyDescent="0.3">
      <c r="R85" s="46" t="s">
        <v>114</v>
      </c>
      <c r="S85" s="46">
        <v>24</v>
      </c>
    </row>
    <row r="87" spans="18:26" ht="15.75" thickBot="1" x14ac:dyDescent="0.3">
      <c r="R87" t="s">
        <v>115</v>
      </c>
    </row>
    <row r="88" spans="18:26" x14ac:dyDescent="0.25">
      <c r="R88" s="47"/>
      <c r="S88" s="47" t="s">
        <v>7</v>
      </c>
      <c r="T88" s="47" t="s">
        <v>120</v>
      </c>
      <c r="U88" s="47" t="s">
        <v>121</v>
      </c>
      <c r="V88" s="47" t="s">
        <v>122</v>
      </c>
      <c r="W88" s="47" t="s">
        <v>123</v>
      </c>
    </row>
    <row r="89" spans="18:26" x14ac:dyDescent="0.25">
      <c r="R89" s="45" t="s">
        <v>116</v>
      </c>
      <c r="S89" s="45">
        <v>1</v>
      </c>
      <c r="T89" s="45">
        <v>6.3884416773166262</v>
      </c>
      <c r="U89" s="45">
        <v>6.3884416773166262</v>
      </c>
      <c r="V89" s="45">
        <v>34.751087960156852</v>
      </c>
      <c r="W89" s="45">
        <v>6.228675844194623E-6</v>
      </c>
    </row>
    <row r="90" spans="18:26" x14ac:dyDescent="0.25">
      <c r="R90" s="45" t="s">
        <v>117</v>
      </c>
      <c r="S90" s="45">
        <v>22</v>
      </c>
      <c r="T90" s="45">
        <v>4.0443544404165301</v>
      </c>
      <c r="U90" s="45">
        <v>0.18383429274620591</v>
      </c>
      <c r="V90" s="45"/>
      <c r="W90" s="45"/>
    </row>
    <row r="91" spans="18:26" ht="15.75" thickBot="1" x14ac:dyDescent="0.3">
      <c r="R91" s="46" t="s">
        <v>118</v>
      </c>
      <c r="S91" s="46">
        <v>23</v>
      </c>
      <c r="T91" s="46">
        <v>10.432796117733156</v>
      </c>
      <c r="U91" s="46"/>
      <c r="V91" s="46"/>
      <c r="W91" s="46"/>
    </row>
    <row r="92" spans="18:26" ht="15.75" thickBot="1" x14ac:dyDescent="0.3"/>
    <row r="93" spans="18:26" x14ac:dyDescent="0.25">
      <c r="R93" s="47"/>
      <c r="S93" s="47" t="s">
        <v>124</v>
      </c>
      <c r="T93" s="47" t="s">
        <v>113</v>
      </c>
      <c r="U93" s="47" t="s">
        <v>125</v>
      </c>
      <c r="V93" s="47" t="s">
        <v>126</v>
      </c>
      <c r="W93" s="47" t="s">
        <v>127</v>
      </c>
      <c r="X93" s="47" t="s">
        <v>128</v>
      </c>
      <c r="Y93" s="47" t="s">
        <v>129</v>
      </c>
      <c r="Z93" s="47" t="s">
        <v>130</v>
      </c>
    </row>
    <row r="94" spans="18:26" x14ac:dyDescent="0.25">
      <c r="R94" s="45" t="s">
        <v>119</v>
      </c>
      <c r="S94" s="45">
        <v>2.3343490939335414</v>
      </c>
      <c r="T94" s="45">
        <v>0.21140117700315761</v>
      </c>
      <c r="U94" s="45">
        <v>11.04227103663985</v>
      </c>
      <c r="V94" s="45">
        <v>1.9298833060794875E-10</v>
      </c>
      <c r="W94" s="45">
        <v>1.895929886423481</v>
      </c>
      <c r="X94" s="45">
        <v>2.7727683014436018</v>
      </c>
      <c r="Y94" s="45">
        <v>1.895929886423481</v>
      </c>
      <c r="Z94" s="45">
        <v>2.7727683014436018</v>
      </c>
    </row>
    <row r="95" spans="18:26" ht="15.75" thickBot="1" x14ac:dyDescent="0.3">
      <c r="R95" s="46" t="s">
        <v>131</v>
      </c>
      <c r="S95" s="46">
        <v>0.43085191075398199</v>
      </c>
      <c r="T95" s="46">
        <v>7.3087620094421782E-2</v>
      </c>
      <c r="U95" s="46">
        <v>5.8950053401296287</v>
      </c>
      <c r="V95" s="46">
        <v>6.2286758441946238E-6</v>
      </c>
      <c r="W95" s="46">
        <v>0.27927746384295959</v>
      </c>
      <c r="X95" s="46">
        <v>0.58242635766500439</v>
      </c>
      <c r="Y95" s="46">
        <v>0.27927746384295959</v>
      </c>
      <c r="Z95" s="46">
        <v>0.58242635766500439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7E02-2AED-4FFD-8D29-37094AAF286D}">
  <dimension ref="A1:BX536"/>
  <sheetViews>
    <sheetView tabSelected="1" topLeftCell="H310" zoomScale="90" zoomScaleNormal="90" workbookViewId="0">
      <selection activeCell="J337" sqref="J337"/>
    </sheetView>
  </sheetViews>
  <sheetFormatPr defaultRowHeight="15" x14ac:dyDescent="0.25"/>
  <cols>
    <col min="1" max="1" width="13.7109375" customWidth="1"/>
    <col min="2" max="2" width="28.140625" style="1" customWidth="1"/>
    <col min="3" max="3" width="25" style="1" bestFit="1" customWidth="1"/>
    <col min="4" max="4" width="29" style="83" bestFit="1" customWidth="1"/>
    <col min="5" max="5" width="29" style="83" customWidth="1"/>
    <col min="6" max="6" width="16.42578125" style="83" bestFit="1" customWidth="1"/>
    <col min="7" max="7" width="30.5703125" style="83" bestFit="1" customWidth="1"/>
    <col min="8" max="8" width="20.7109375" style="85" bestFit="1" customWidth="1"/>
    <col min="9" max="9" width="43.85546875" style="85" bestFit="1" customWidth="1"/>
    <col min="10" max="10" width="20.85546875" bestFit="1" customWidth="1"/>
    <col min="11" max="11" width="25" customWidth="1"/>
    <col min="12" max="12" width="28.5703125" bestFit="1" customWidth="1"/>
    <col min="13" max="13" width="43.85546875" bestFit="1" customWidth="1"/>
    <col min="14" max="14" width="28.5703125" bestFit="1" customWidth="1"/>
    <col min="15" max="15" width="35.5703125" bestFit="1" customWidth="1"/>
    <col min="16" max="16" width="33.28515625" bestFit="1" customWidth="1"/>
    <col min="17" max="17" width="39.85546875" bestFit="1" customWidth="1"/>
    <col min="18" max="18" width="33.28515625" bestFit="1" customWidth="1"/>
    <col min="19" max="19" width="35.5703125" bestFit="1" customWidth="1"/>
    <col min="20" max="20" width="33.7109375" bestFit="1" customWidth="1"/>
    <col min="21" max="21" width="39.85546875" bestFit="1" customWidth="1"/>
    <col min="22" max="22" width="33.7109375" bestFit="1" customWidth="1"/>
    <col min="23" max="23" width="35.5703125" bestFit="1" customWidth="1"/>
    <col min="24" max="24" width="29.140625" bestFit="1" customWidth="1"/>
    <col min="25" max="25" width="30.42578125" bestFit="1" customWidth="1"/>
    <col min="26" max="27" width="30.42578125" customWidth="1"/>
    <col min="28" max="28" width="29.140625" bestFit="1" customWidth="1"/>
    <col min="29" max="29" width="30.42578125" bestFit="1" customWidth="1"/>
    <col min="30" max="30" width="30.42578125" customWidth="1"/>
    <col min="31" max="31" width="35.5703125" bestFit="1" customWidth="1"/>
    <col min="32" max="32" width="33.42578125" bestFit="1" customWidth="1"/>
    <col min="33" max="33" width="39.85546875" bestFit="1" customWidth="1"/>
    <col min="34" max="34" width="33.42578125" bestFit="1" customWidth="1"/>
    <col min="35" max="35" width="35.5703125" bestFit="1" customWidth="1"/>
    <col min="36" max="36" width="29.140625" bestFit="1" customWidth="1"/>
    <col min="37" max="37" width="30.42578125" bestFit="1" customWidth="1"/>
    <col min="38" max="38" width="30.42578125" customWidth="1"/>
    <col min="39" max="39" width="35.5703125" bestFit="1" customWidth="1"/>
    <col min="40" max="40" width="35.140625" bestFit="1" customWidth="1"/>
    <col min="41" max="41" width="39.85546875" bestFit="1" customWidth="1"/>
    <col min="42" max="42" width="35.140625" bestFit="1" customWidth="1"/>
    <col min="43" max="43" width="35.5703125" bestFit="1" customWidth="1"/>
    <col min="44" max="44" width="31.5703125" bestFit="1" customWidth="1"/>
    <col min="45" max="45" width="39.85546875" bestFit="1" customWidth="1"/>
    <col min="46" max="46" width="31.5703125" bestFit="1" customWidth="1"/>
    <col min="47" max="47" width="35.5703125" bestFit="1" customWidth="1"/>
    <col min="48" max="48" width="31.28515625" bestFit="1" customWidth="1"/>
    <col min="49" max="49" width="39.85546875" bestFit="1" customWidth="1"/>
    <col min="50" max="50" width="31.28515625" bestFit="1" customWidth="1"/>
    <col min="51" max="51" width="35.5703125" bestFit="1" customWidth="1"/>
    <col min="52" max="52" width="31.85546875" bestFit="1" customWidth="1"/>
    <col min="53" max="53" width="39.85546875" bestFit="1" customWidth="1"/>
    <col min="54" max="54" width="31.85546875" bestFit="1" customWidth="1"/>
    <col min="55" max="55" width="35.5703125" bestFit="1" customWidth="1"/>
    <col min="56" max="56" width="29.140625" bestFit="1" customWidth="1"/>
    <col min="57" max="57" width="30.42578125" bestFit="1" customWidth="1"/>
    <col min="58" max="58" width="33" bestFit="1" customWidth="1"/>
    <col min="59" max="59" width="35.5703125" bestFit="1" customWidth="1"/>
    <col min="60" max="60" width="29.7109375" bestFit="1" customWidth="1"/>
    <col min="61" max="61" width="39.85546875" bestFit="1" customWidth="1"/>
    <col min="62" max="62" width="29.7109375" bestFit="1" customWidth="1"/>
    <col min="63" max="63" width="35.5703125" bestFit="1" customWidth="1"/>
    <col min="64" max="64" width="29.42578125" bestFit="1" customWidth="1"/>
    <col min="65" max="65" width="39.85546875" bestFit="1" customWidth="1"/>
    <col min="66" max="66" width="29.42578125" bestFit="1" customWidth="1"/>
    <col min="67" max="67" width="35.5703125" bestFit="1" customWidth="1"/>
    <col min="68" max="68" width="29.85546875" bestFit="1" customWidth="1"/>
    <col min="69" max="69" width="39.85546875" bestFit="1" customWidth="1"/>
    <col min="70" max="70" width="29.85546875" bestFit="1" customWidth="1"/>
    <col min="71" max="71" width="35.5703125" bestFit="1" customWidth="1"/>
    <col min="72" max="72" width="31.28515625" bestFit="1" customWidth="1"/>
    <col min="73" max="73" width="39.85546875" bestFit="1" customWidth="1"/>
    <col min="74" max="74" width="31.28515625" bestFit="1" customWidth="1"/>
    <col min="75" max="75" width="35.5703125" bestFit="1" customWidth="1"/>
    <col min="76" max="76" width="46.85546875" bestFit="1" customWidth="1"/>
  </cols>
  <sheetData>
    <row r="1" spans="1:75" x14ac:dyDescent="0.25">
      <c r="D1" s="185" t="s">
        <v>138</v>
      </c>
      <c r="E1" s="185"/>
      <c r="F1" s="155"/>
      <c r="G1" s="155"/>
      <c r="H1" s="185" t="s">
        <v>139</v>
      </c>
      <c r="I1" s="185"/>
      <c r="J1" s="155"/>
      <c r="K1" s="155"/>
      <c r="L1" s="185" t="s">
        <v>140</v>
      </c>
      <c r="M1" s="185"/>
      <c r="N1" s="155"/>
      <c r="O1" s="155"/>
      <c r="P1" s="185" t="s">
        <v>141</v>
      </c>
      <c r="Q1" s="185"/>
      <c r="R1" s="155"/>
      <c r="S1" s="155"/>
      <c r="T1" s="185" t="s">
        <v>142</v>
      </c>
      <c r="U1" s="185"/>
      <c r="V1" s="155"/>
      <c r="W1" s="155"/>
      <c r="X1" s="185" t="s">
        <v>143</v>
      </c>
      <c r="Y1" s="185"/>
      <c r="Z1" s="155"/>
      <c r="AA1" s="155"/>
      <c r="AB1" s="185" t="s">
        <v>144</v>
      </c>
      <c r="AC1" s="185"/>
      <c r="AD1" s="155"/>
      <c r="AE1" s="155"/>
      <c r="AF1" s="185" t="s">
        <v>145</v>
      </c>
      <c r="AG1" s="185"/>
      <c r="AH1" s="155"/>
      <c r="AI1" s="155"/>
      <c r="AJ1" s="185" t="s">
        <v>146</v>
      </c>
      <c r="AK1" s="185"/>
      <c r="AL1" s="155"/>
      <c r="AM1" s="155"/>
      <c r="AN1" s="185" t="s">
        <v>147</v>
      </c>
      <c r="AO1" s="185"/>
      <c r="AP1" s="155"/>
      <c r="AQ1" s="155"/>
      <c r="AR1" s="185" t="s">
        <v>148</v>
      </c>
      <c r="AS1" s="185"/>
      <c r="AT1" s="155"/>
      <c r="AU1" s="155"/>
      <c r="AV1" s="185" t="s">
        <v>149</v>
      </c>
      <c r="AW1" s="185"/>
      <c r="AX1" s="155"/>
      <c r="AY1" s="155"/>
      <c r="AZ1" s="185" t="s">
        <v>150</v>
      </c>
      <c r="BA1" s="185"/>
      <c r="BB1" s="155"/>
      <c r="BC1" s="155"/>
      <c r="BD1" s="185" t="s">
        <v>151</v>
      </c>
      <c r="BE1" s="185"/>
      <c r="BF1" s="155"/>
      <c r="BG1" s="155"/>
      <c r="BH1" s="185" t="s">
        <v>152</v>
      </c>
      <c r="BI1" s="185"/>
      <c r="BJ1" s="155"/>
      <c r="BK1" s="155"/>
      <c r="BL1" s="185" t="s">
        <v>153</v>
      </c>
      <c r="BM1" s="185"/>
      <c r="BN1" s="155"/>
      <c r="BO1" s="155"/>
      <c r="BP1" s="185" t="s">
        <v>154</v>
      </c>
      <c r="BQ1" s="185"/>
      <c r="BR1" s="155"/>
      <c r="BS1" s="155"/>
      <c r="BT1" s="185" t="s">
        <v>155</v>
      </c>
      <c r="BU1" s="185"/>
      <c r="BV1" s="156"/>
      <c r="BW1" s="156"/>
    </row>
    <row r="2" spans="1:75" ht="15.75" x14ac:dyDescent="0.25">
      <c r="B2" s="27" t="s">
        <v>72</v>
      </c>
      <c r="D2" s="155" t="s">
        <v>69</v>
      </c>
      <c r="E2" s="155" t="s">
        <v>70</v>
      </c>
      <c r="F2" s="155" t="s">
        <v>191</v>
      </c>
      <c r="G2" s="155" t="s">
        <v>192</v>
      </c>
      <c r="H2" s="155" t="s">
        <v>69</v>
      </c>
      <c r="I2" s="155" t="s">
        <v>70</v>
      </c>
      <c r="J2" s="155" t="s">
        <v>191</v>
      </c>
      <c r="K2" s="155" t="s">
        <v>192</v>
      </c>
      <c r="L2" s="155" t="s">
        <v>69</v>
      </c>
      <c r="M2" s="155" t="s">
        <v>70</v>
      </c>
      <c r="N2" s="155" t="s">
        <v>191</v>
      </c>
      <c r="O2" s="155" t="s">
        <v>192</v>
      </c>
      <c r="P2" s="155" t="s">
        <v>69</v>
      </c>
      <c r="Q2" s="155" t="s">
        <v>70</v>
      </c>
      <c r="R2" s="155" t="s">
        <v>191</v>
      </c>
      <c r="S2" s="155" t="s">
        <v>192</v>
      </c>
      <c r="T2" s="155" t="s">
        <v>69</v>
      </c>
      <c r="U2" s="155" t="s">
        <v>70</v>
      </c>
      <c r="V2" s="155" t="s">
        <v>191</v>
      </c>
      <c r="W2" s="155" t="s">
        <v>192</v>
      </c>
      <c r="X2" s="155" t="s">
        <v>69</v>
      </c>
      <c r="Y2" s="155" t="s">
        <v>70</v>
      </c>
      <c r="Z2" s="155" t="s">
        <v>191</v>
      </c>
      <c r="AA2" s="155" t="s">
        <v>192</v>
      </c>
      <c r="AB2" s="155" t="s">
        <v>69</v>
      </c>
      <c r="AC2" s="155" t="s">
        <v>70</v>
      </c>
      <c r="AD2" s="155" t="s">
        <v>191</v>
      </c>
      <c r="AE2" s="155" t="s">
        <v>192</v>
      </c>
      <c r="AF2" s="155" t="s">
        <v>69</v>
      </c>
      <c r="AG2" s="155" t="s">
        <v>70</v>
      </c>
      <c r="AH2" s="155" t="s">
        <v>191</v>
      </c>
      <c r="AI2" s="155" t="s">
        <v>192</v>
      </c>
      <c r="AJ2" s="155" t="s">
        <v>69</v>
      </c>
      <c r="AK2" s="155" t="s">
        <v>70</v>
      </c>
      <c r="AL2" s="155" t="s">
        <v>191</v>
      </c>
      <c r="AM2" s="155" t="s">
        <v>192</v>
      </c>
      <c r="AN2" s="155" t="s">
        <v>69</v>
      </c>
      <c r="AO2" s="155" t="s">
        <v>70</v>
      </c>
      <c r="AP2" s="155" t="s">
        <v>191</v>
      </c>
      <c r="AQ2" s="155" t="s">
        <v>192</v>
      </c>
      <c r="AR2" s="155" t="s">
        <v>69</v>
      </c>
      <c r="AS2" s="155" t="s">
        <v>70</v>
      </c>
      <c r="AT2" s="155" t="s">
        <v>191</v>
      </c>
      <c r="AU2" s="155" t="s">
        <v>192</v>
      </c>
      <c r="AV2" s="155" t="s">
        <v>69</v>
      </c>
      <c r="AW2" s="155" t="s">
        <v>70</v>
      </c>
      <c r="AX2" s="155" t="s">
        <v>191</v>
      </c>
      <c r="AY2" s="155" t="s">
        <v>192</v>
      </c>
      <c r="AZ2" s="155" t="s">
        <v>69</v>
      </c>
      <c r="BA2" s="155" t="s">
        <v>70</v>
      </c>
      <c r="BB2" s="155" t="s">
        <v>191</v>
      </c>
      <c r="BC2" s="155" t="s">
        <v>192</v>
      </c>
      <c r="BD2" s="155" t="s">
        <v>69</v>
      </c>
      <c r="BE2" s="155" t="s">
        <v>70</v>
      </c>
      <c r="BF2" s="155" t="s">
        <v>191</v>
      </c>
      <c r="BG2" s="155" t="s">
        <v>192</v>
      </c>
      <c r="BH2" s="155" t="s">
        <v>69</v>
      </c>
      <c r="BI2" s="155" t="s">
        <v>70</v>
      </c>
      <c r="BJ2" s="155" t="s">
        <v>191</v>
      </c>
      <c r="BK2" s="155" t="s">
        <v>192</v>
      </c>
      <c r="BL2" s="155" t="s">
        <v>69</v>
      </c>
      <c r="BM2" s="155" t="s">
        <v>70</v>
      </c>
      <c r="BN2" s="155" t="s">
        <v>191</v>
      </c>
      <c r="BO2" s="155" t="s">
        <v>192</v>
      </c>
      <c r="BP2" s="155" t="s">
        <v>69</v>
      </c>
      <c r="BQ2" s="155" t="s">
        <v>70</v>
      </c>
      <c r="BR2" s="155" t="s">
        <v>191</v>
      </c>
      <c r="BS2" s="155" t="s">
        <v>192</v>
      </c>
      <c r="BT2" s="155" t="s">
        <v>69</v>
      </c>
      <c r="BU2" s="155" t="s">
        <v>70</v>
      </c>
      <c r="BV2" s="155" t="s">
        <v>191</v>
      </c>
      <c r="BW2" s="155" t="s">
        <v>192</v>
      </c>
    </row>
    <row r="3" spans="1:75" ht="15.75" x14ac:dyDescent="0.25">
      <c r="A3" s="28" t="s">
        <v>170</v>
      </c>
      <c r="B3" s="3" t="s">
        <v>73</v>
      </c>
      <c r="C3" s="28" t="s">
        <v>74</v>
      </c>
      <c r="D3" s="157" t="s">
        <v>75</v>
      </c>
      <c r="E3" s="158" t="s">
        <v>75</v>
      </c>
      <c r="F3" s="158" t="s">
        <v>75</v>
      </c>
      <c r="G3" s="158" t="s">
        <v>75</v>
      </c>
      <c r="H3" s="157" t="s">
        <v>19</v>
      </c>
      <c r="I3" s="158" t="s">
        <v>19</v>
      </c>
      <c r="J3" s="158" t="s">
        <v>19</v>
      </c>
      <c r="K3" s="158"/>
      <c r="L3" s="157" t="s">
        <v>48</v>
      </c>
      <c r="M3" s="158" t="s">
        <v>48</v>
      </c>
      <c r="N3" s="158" t="s">
        <v>48</v>
      </c>
      <c r="O3" s="158" t="s">
        <v>48</v>
      </c>
      <c r="P3" s="157" t="s">
        <v>49</v>
      </c>
      <c r="Q3" s="158" t="s">
        <v>49</v>
      </c>
      <c r="R3" s="158" t="s">
        <v>49</v>
      </c>
      <c r="S3" s="158" t="s">
        <v>49</v>
      </c>
      <c r="T3" s="157" t="s">
        <v>50</v>
      </c>
      <c r="U3" s="158" t="s">
        <v>50</v>
      </c>
      <c r="V3" s="158" t="s">
        <v>50</v>
      </c>
      <c r="W3" s="158"/>
      <c r="X3" s="157" t="s">
        <v>51</v>
      </c>
      <c r="Y3" s="158" t="s">
        <v>51</v>
      </c>
      <c r="Z3" s="158" t="s">
        <v>51</v>
      </c>
      <c r="AA3" s="158" t="s">
        <v>51</v>
      </c>
      <c r="AB3" s="157" t="s">
        <v>28</v>
      </c>
      <c r="AC3" s="158" t="s">
        <v>28</v>
      </c>
      <c r="AD3" s="158" t="s">
        <v>28</v>
      </c>
      <c r="AE3" s="158" t="s">
        <v>28</v>
      </c>
      <c r="AF3" s="157" t="s">
        <v>26</v>
      </c>
      <c r="AG3" s="158" t="s">
        <v>26</v>
      </c>
      <c r="AH3" s="158" t="s">
        <v>26</v>
      </c>
      <c r="AI3" s="158" t="s">
        <v>26</v>
      </c>
      <c r="AJ3" s="157" t="s">
        <v>52</v>
      </c>
      <c r="AK3" s="158" t="s">
        <v>52</v>
      </c>
      <c r="AL3" s="158" t="s">
        <v>52</v>
      </c>
      <c r="AM3" s="158" t="s">
        <v>52</v>
      </c>
      <c r="AN3" s="157" t="s">
        <v>30</v>
      </c>
      <c r="AO3" s="158" t="s">
        <v>30</v>
      </c>
      <c r="AP3" s="158" t="s">
        <v>30</v>
      </c>
      <c r="AQ3" s="158"/>
      <c r="AR3" s="157" t="s">
        <v>33</v>
      </c>
      <c r="AS3" s="158" t="s">
        <v>33</v>
      </c>
      <c r="AT3" s="158" t="s">
        <v>33</v>
      </c>
      <c r="AU3" s="158" t="s">
        <v>33</v>
      </c>
      <c r="AV3" s="157" t="s">
        <v>31</v>
      </c>
      <c r="AW3" s="158" t="s">
        <v>31</v>
      </c>
      <c r="AX3" s="158" t="s">
        <v>31</v>
      </c>
      <c r="AY3" s="158" t="s">
        <v>31</v>
      </c>
      <c r="AZ3" s="157" t="s">
        <v>53</v>
      </c>
      <c r="BA3" s="158" t="s">
        <v>53</v>
      </c>
      <c r="BB3" s="158" t="s">
        <v>53</v>
      </c>
      <c r="BC3" s="158" t="s">
        <v>53</v>
      </c>
      <c r="BD3" s="157" t="s">
        <v>34</v>
      </c>
      <c r="BE3" s="158" t="s">
        <v>34</v>
      </c>
      <c r="BF3" s="158" t="s">
        <v>34</v>
      </c>
      <c r="BG3" s="158" t="s">
        <v>34</v>
      </c>
      <c r="BH3" s="157" t="s">
        <v>36</v>
      </c>
      <c r="BI3" s="158" t="s">
        <v>36</v>
      </c>
      <c r="BJ3" s="158" t="s">
        <v>36</v>
      </c>
      <c r="BK3" s="158" t="s">
        <v>36</v>
      </c>
      <c r="BL3" s="157" t="s">
        <v>35</v>
      </c>
      <c r="BM3" s="158" t="s">
        <v>35</v>
      </c>
      <c r="BN3" s="158" t="s">
        <v>35</v>
      </c>
      <c r="BO3" s="158" t="s">
        <v>35</v>
      </c>
      <c r="BP3" s="157" t="s">
        <v>54</v>
      </c>
      <c r="BQ3" s="158" t="s">
        <v>54</v>
      </c>
      <c r="BR3" s="158" t="s">
        <v>54</v>
      </c>
      <c r="BS3" s="158" t="s">
        <v>54</v>
      </c>
      <c r="BT3" s="157" t="s">
        <v>55</v>
      </c>
      <c r="BU3" s="158" t="s">
        <v>55</v>
      </c>
      <c r="BV3" s="158" t="s">
        <v>55</v>
      </c>
      <c r="BW3" s="159" t="s">
        <v>55</v>
      </c>
    </row>
    <row r="4" spans="1:75" ht="15.75" x14ac:dyDescent="0.25">
      <c r="A4">
        <v>1998</v>
      </c>
      <c r="B4" s="49">
        <v>42.448748999999999</v>
      </c>
      <c r="C4" s="49">
        <f>LN(B4)</f>
        <v>3.7482974423584441</v>
      </c>
      <c r="D4" s="98"/>
      <c r="E4" s="99"/>
      <c r="F4" s="99"/>
      <c r="G4" s="100"/>
      <c r="H4" s="98"/>
      <c r="I4" s="99"/>
      <c r="J4" s="70"/>
      <c r="K4" s="70"/>
      <c r="L4" s="54"/>
      <c r="M4" s="70"/>
      <c r="N4" s="70"/>
      <c r="O4" s="70"/>
      <c r="P4" s="54"/>
      <c r="Q4" s="70"/>
      <c r="R4" s="70"/>
      <c r="S4" s="70"/>
      <c r="T4" s="54"/>
      <c r="U4" s="70"/>
      <c r="V4" s="70"/>
      <c r="W4" s="70"/>
      <c r="X4" s="54"/>
      <c r="Y4" s="70"/>
      <c r="Z4" s="70"/>
      <c r="AA4" s="70"/>
      <c r="AB4" s="54"/>
      <c r="AC4" s="70"/>
      <c r="AD4" s="70"/>
      <c r="AE4" s="70"/>
      <c r="AF4" s="54"/>
      <c r="AG4" s="70"/>
      <c r="AH4" s="70"/>
      <c r="AI4" s="70"/>
      <c r="AJ4" s="54"/>
      <c r="AK4" s="70"/>
      <c r="AL4" s="70"/>
      <c r="AM4" s="70"/>
      <c r="AN4" s="54"/>
      <c r="AO4" s="70"/>
      <c r="AP4" s="70"/>
      <c r="AQ4" s="70"/>
      <c r="AR4" s="54"/>
      <c r="AS4" s="70"/>
      <c r="AT4" s="70"/>
      <c r="AU4" s="70"/>
      <c r="AV4" s="54"/>
      <c r="AW4" s="70"/>
      <c r="AX4" s="70"/>
      <c r="AY4" s="70"/>
      <c r="AZ4" s="54"/>
      <c r="BA4" s="70"/>
      <c r="BB4" s="70"/>
      <c r="BC4" s="70"/>
      <c r="BD4" s="54"/>
      <c r="BE4" s="70"/>
      <c r="BF4" s="70"/>
      <c r="BG4" s="70"/>
      <c r="BH4" s="54"/>
      <c r="BI4" s="70"/>
      <c r="BJ4" s="70"/>
      <c r="BK4" s="70"/>
      <c r="BL4" s="54"/>
      <c r="BM4" s="70"/>
      <c r="BN4" s="70"/>
      <c r="BO4" s="70"/>
      <c r="BP4" s="54"/>
      <c r="BQ4" s="70"/>
      <c r="BR4" s="70"/>
      <c r="BS4" s="70"/>
      <c r="BT4" s="54"/>
      <c r="BU4" s="70"/>
      <c r="BV4" s="70"/>
      <c r="BW4" s="56"/>
    </row>
    <row r="5" spans="1:75" ht="15.75" x14ac:dyDescent="0.25">
      <c r="A5">
        <v>1999</v>
      </c>
      <c r="B5" s="49">
        <v>77.818105000000003</v>
      </c>
      <c r="C5" s="49">
        <f t="shared" ref="C5:C27" si="0">LN(B5)</f>
        <v>4.3543741161933518</v>
      </c>
      <c r="D5" s="98"/>
      <c r="E5" s="99"/>
      <c r="F5" s="99"/>
      <c r="G5" s="100"/>
      <c r="H5" s="98"/>
      <c r="I5" s="99"/>
      <c r="J5" s="70"/>
      <c r="K5" s="70"/>
      <c r="L5" s="54"/>
      <c r="M5" s="70"/>
      <c r="N5" s="70"/>
      <c r="O5" s="70"/>
      <c r="P5" s="54"/>
      <c r="Q5" s="70"/>
      <c r="R5" s="70"/>
      <c r="S5" s="70"/>
      <c r="T5" s="54"/>
      <c r="U5" s="70"/>
      <c r="V5" s="70"/>
      <c r="W5" s="70"/>
      <c r="X5" s="54"/>
      <c r="Y5" s="70"/>
      <c r="Z5" s="70"/>
      <c r="AA5" s="70"/>
      <c r="AB5" s="54"/>
      <c r="AC5" s="70"/>
      <c r="AD5" s="70"/>
      <c r="AE5" s="70"/>
      <c r="AF5" s="54"/>
      <c r="AG5" s="70"/>
      <c r="AH5" s="70"/>
      <c r="AI5" s="70"/>
      <c r="AJ5" s="54"/>
      <c r="AK5" s="70"/>
      <c r="AL5" s="70"/>
      <c r="AM5" s="70"/>
      <c r="AN5" s="54"/>
      <c r="AO5" s="70"/>
      <c r="AP5" s="70"/>
      <c r="AQ5" s="70"/>
      <c r="AR5" s="54"/>
      <c r="AS5" s="70"/>
      <c r="AT5" s="70"/>
      <c r="AU5" s="70"/>
      <c r="AV5" s="54"/>
      <c r="AW5" s="70"/>
      <c r="AX5" s="70"/>
      <c r="AY5" s="70"/>
      <c r="AZ5" s="54"/>
      <c r="BA5" s="70"/>
      <c r="BB5" s="70"/>
      <c r="BC5" s="70"/>
      <c r="BD5" s="54"/>
      <c r="BE5" s="70"/>
      <c r="BF5" s="70"/>
      <c r="BG5" s="70"/>
      <c r="BH5" s="54"/>
      <c r="BI5" s="70"/>
      <c r="BJ5" s="70"/>
      <c r="BK5" s="70"/>
      <c r="BL5" s="54"/>
      <c r="BM5" s="70"/>
      <c r="BN5" s="70"/>
      <c r="BO5" s="70"/>
      <c r="BP5" s="54"/>
      <c r="BQ5" s="70"/>
      <c r="BR5" s="70"/>
      <c r="BS5" s="70"/>
      <c r="BT5" s="54"/>
      <c r="BU5" s="70"/>
      <c r="BV5" s="70"/>
      <c r="BW5" s="56"/>
    </row>
    <row r="6" spans="1:75" ht="15.75" x14ac:dyDescent="0.25">
      <c r="A6">
        <v>2000</v>
      </c>
      <c r="B6" s="49">
        <v>20.248977</v>
      </c>
      <c r="C6" s="49">
        <f t="shared" si="0"/>
        <v>3.0081042737579264</v>
      </c>
      <c r="D6" s="98"/>
      <c r="E6" s="99"/>
      <c r="F6" s="99"/>
      <c r="G6" s="100"/>
      <c r="H6" s="98"/>
      <c r="I6" s="99"/>
      <c r="J6" s="70"/>
      <c r="K6" s="70"/>
      <c r="L6" s="54"/>
      <c r="M6" s="70"/>
      <c r="N6" s="70"/>
      <c r="O6" s="70"/>
      <c r="P6" s="54"/>
      <c r="Q6" s="70"/>
      <c r="R6" s="70"/>
      <c r="S6" s="70"/>
      <c r="T6" s="54"/>
      <c r="U6" s="70"/>
      <c r="V6" s="70"/>
      <c r="W6" s="70"/>
      <c r="X6" s="54"/>
      <c r="Y6" s="70"/>
      <c r="Z6" s="70"/>
      <c r="AA6" s="70"/>
      <c r="AB6" s="54"/>
      <c r="AC6" s="70"/>
      <c r="AD6" s="70"/>
      <c r="AE6" s="70"/>
      <c r="AF6" s="54"/>
      <c r="AG6" s="70"/>
      <c r="AH6" s="70"/>
      <c r="AI6" s="70"/>
      <c r="AJ6" s="54"/>
      <c r="AK6" s="70"/>
      <c r="AL6" s="70"/>
      <c r="AM6" s="70"/>
      <c r="AN6" s="54"/>
      <c r="AO6" s="70"/>
      <c r="AP6" s="70"/>
      <c r="AQ6" s="70"/>
      <c r="AR6" s="54"/>
      <c r="AS6" s="70"/>
      <c r="AT6" s="70"/>
      <c r="AU6" s="70"/>
      <c r="AV6" s="54"/>
      <c r="AW6" s="70"/>
      <c r="AX6" s="70"/>
      <c r="AY6" s="70"/>
      <c r="AZ6" s="54"/>
      <c r="BA6" s="70"/>
      <c r="BB6" s="70"/>
      <c r="BC6" s="70"/>
      <c r="BD6" s="54"/>
      <c r="BE6" s="70"/>
      <c r="BF6" s="70"/>
      <c r="BG6" s="70"/>
      <c r="BH6" s="54"/>
      <c r="BI6" s="70"/>
      <c r="BJ6" s="70"/>
      <c r="BK6" s="70"/>
      <c r="BL6" s="54"/>
      <c r="BM6" s="70"/>
      <c r="BN6" s="70"/>
      <c r="BO6" s="70"/>
      <c r="BP6" s="54"/>
      <c r="BQ6" s="70"/>
      <c r="BR6" s="70"/>
      <c r="BS6" s="70"/>
      <c r="BT6" s="54"/>
      <c r="BU6" s="70"/>
      <c r="BV6" s="70"/>
      <c r="BW6" s="56"/>
    </row>
    <row r="7" spans="1:75" ht="15.75" x14ac:dyDescent="0.25">
      <c r="A7">
        <v>2001</v>
      </c>
      <c r="B7" s="49">
        <v>67.023652999999996</v>
      </c>
      <c r="C7" s="49">
        <f t="shared" si="0"/>
        <v>4.2050455869413366</v>
      </c>
      <c r="D7" s="98"/>
      <c r="E7" s="99"/>
      <c r="F7" s="99"/>
      <c r="G7" s="100"/>
      <c r="H7" s="98"/>
      <c r="I7" s="99"/>
      <c r="J7" s="70"/>
      <c r="K7" s="70"/>
      <c r="L7" s="54"/>
      <c r="M7" s="70"/>
      <c r="N7" s="70"/>
      <c r="O7" s="70"/>
      <c r="P7" s="54"/>
      <c r="Q7" s="70"/>
      <c r="R7" s="70"/>
      <c r="S7" s="70"/>
      <c r="T7" s="54"/>
      <c r="U7" s="70"/>
      <c r="V7" s="70"/>
      <c r="W7" s="70"/>
      <c r="X7" s="54"/>
      <c r="Y7" s="70"/>
      <c r="Z7" s="70"/>
      <c r="AA7" s="70"/>
      <c r="AB7" s="54"/>
      <c r="AC7" s="70"/>
      <c r="AD7" s="70"/>
      <c r="AE7" s="70"/>
      <c r="AF7" s="54"/>
      <c r="AG7" s="70"/>
      <c r="AH7" s="70"/>
      <c r="AI7" s="70"/>
      <c r="AJ7" s="54"/>
      <c r="AK7" s="70"/>
      <c r="AL7" s="70"/>
      <c r="AM7" s="70"/>
      <c r="AN7" s="54"/>
      <c r="AO7" s="70"/>
      <c r="AP7" s="70"/>
      <c r="AQ7" s="70"/>
      <c r="AR7" s="54"/>
      <c r="AS7" s="70"/>
      <c r="AT7" s="70"/>
      <c r="AU7" s="70"/>
      <c r="AV7" s="54"/>
      <c r="AW7" s="70"/>
      <c r="AX7" s="70"/>
      <c r="AY7" s="70"/>
      <c r="AZ7" s="54"/>
      <c r="BA7" s="70"/>
      <c r="BB7" s="70"/>
      <c r="BC7" s="70"/>
      <c r="BD7" s="54"/>
      <c r="BE7" s="70"/>
      <c r="BF7" s="70"/>
      <c r="BG7" s="70"/>
      <c r="BH7" s="54"/>
      <c r="BI7" s="70"/>
      <c r="BJ7" s="70"/>
      <c r="BK7" s="70"/>
      <c r="BL7" s="54"/>
      <c r="BM7" s="70"/>
      <c r="BN7" s="70"/>
      <c r="BO7" s="70"/>
      <c r="BP7" s="54"/>
      <c r="BQ7" s="70"/>
      <c r="BR7" s="70"/>
      <c r="BS7" s="70"/>
      <c r="BT7" s="54"/>
      <c r="BU7" s="70"/>
      <c r="BV7" s="70"/>
      <c r="BW7" s="56"/>
    </row>
    <row r="8" spans="1:75" ht="15.75" x14ac:dyDescent="0.25">
      <c r="A8">
        <v>2002</v>
      </c>
      <c r="B8" s="49">
        <v>45.315401000000001</v>
      </c>
      <c r="C8" s="49">
        <f t="shared" si="0"/>
        <v>3.8136469526345338</v>
      </c>
      <c r="D8" s="98"/>
      <c r="E8" s="99"/>
      <c r="F8" s="99"/>
      <c r="G8" s="100"/>
      <c r="H8" s="98"/>
      <c r="I8" s="99"/>
      <c r="J8" s="70"/>
      <c r="K8" s="70"/>
      <c r="L8" s="54"/>
      <c r="M8" s="70"/>
      <c r="N8" s="70"/>
      <c r="O8" s="70"/>
      <c r="P8" s="54"/>
      <c r="Q8" s="70"/>
      <c r="R8" s="70"/>
      <c r="S8" s="70"/>
      <c r="T8" s="54"/>
      <c r="U8" s="70"/>
      <c r="V8" s="70"/>
      <c r="W8" s="70"/>
      <c r="X8" s="54"/>
      <c r="Y8" s="70"/>
      <c r="Z8" s="70"/>
      <c r="AA8" s="70"/>
      <c r="AB8" s="54"/>
      <c r="AC8" s="70"/>
      <c r="AD8" s="70"/>
      <c r="AE8" s="70"/>
      <c r="AF8" s="54"/>
      <c r="AG8" s="70"/>
      <c r="AH8" s="70"/>
      <c r="AI8" s="70"/>
      <c r="AJ8" s="54"/>
      <c r="AK8" s="70"/>
      <c r="AL8" s="70"/>
      <c r="AM8" s="70"/>
      <c r="AN8" s="54"/>
      <c r="AO8" s="70"/>
      <c r="AP8" s="70"/>
      <c r="AQ8" s="70"/>
      <c r="AR8" s="54"/>
      <c r="AS8" s="70"/>
      <c r="AT8" s="70"/>
      <c r="AU8" s="70"/>
      <c r="AV8" s="54"/>
      <c r="AW8" s="70"/>
      <c r="AX8" s="70"/>
      <c r="AY8" s="70"/>
      <c r="AZ8" s="54"/>
      <c r="BA8" s="70"/>
      <c r="BB8" s="70"/>
      <c r="BC8" s="70"/>
      <c r="BD8" s="54"/>
      <c r="BE8" s="70"/>
      <c r="BF8" s="70"/>
      <c r="BG8" s="70"/>
      <c r="BH8" s="54"/>
      <c r="BI8" s="70"/>
      <c r="BJ8" s="70"/>
      <c r="BK8" s="70"/>
      <c r="BL8" s="54"/>
      <c r="BM8" s="70"/>
      <c r="BN8" s="70"/>
      <c r="BO8" s="70"/>
      <c r="BP8" s="54"/>
      <c r="BQ8" s="70"/>
      <c r="BR8" s="70"/>
      <c r="BS8" s="70"/>
      <c r="BT8" s="54"/>
      <c r="BU8" s="70"/>
      <c r="BV8" s="70"/>
      <c r="BW8" s="56"/>
    </row>
    <row r="9" spans="1:75" ht="15.75" x14ac:dyDescent="0.25">
      <c r="A9">
        <v>2003</v>
      </c>
      <c r="B9" s="49">
        <v>52.466735</v>
      </c>
      <c r="C9" s="49">
        <f t="shared" si="0"/>
        <v>3.9601793497285764</v>
      </c>
      <c r="D9" s="98"/>
      <c r="E9" s="99"/>
      <c r="F9" s="99"/>
      <c r="G9" s="100"/>
      <c r="H9" s="98"/>
      <c r="I9" s="99"/>
      <c r="J9" s="70"/>
      <c r="K9" s="70"/>
      <c r="L9" s="54"/>
      <c r="M9" s="70"/>
      <c r="N9" s="70"/>
      <c r="O9" s="70"/>
      <c r="P9" s="54"/>
      <c r="Q9" s="70"/>
      <c r="R9" s="70"/>
      <c r="S9" s="70"/>
      <c r="T9" s="54"/>
      <c r="U9" s="70"/>
      <c r="V9" s="70"/>
      <c r="W9" s="70"/>
      <c r="X9" s="54"/>
      <c r="Y9" s="70"/>
      <c r="Z9" s="70"/>
      <c r="AA9" s="70"/>
      <c r="AB9" s="54"/>
      <c r="AC9" s="70"/>
      <c r="AD9" s="70"/>
      <c r="AE9" s="70"/>
      <c r="AF9" s="54"/>
      <c r="AG9" s="70"/>
      <c r="AH9" s="70"/>
      <c r="AI9" s="70"/>
      <c r="AJ9" s="54"/>
      <c r="AK9" s="70"/>
      <c r="AL9" s="70"/>
      <c r="AM9" s="70"/>
      <c r="AN9" s="54"/>
      <c r="AO9" s="70"/>
      <c r="AP9" s="70"/>
      <c r="AQ9" s="70"/>
      <c r="AR9" s="54"/>
      <c r="AS9" s="70"/>
      <c r="AT9" s="70"/>
      <c r="AU9" s="70"/>
      <c r="AV9" s="54"/>
      <c r="AW9" s="70"/>
      <c r="AX9" s="70"/>
      <c r="AY9" s="70"/>
      <c r="AZ9" s="54"/>
      <c r="BA9" s="70"/>
      <c r="BB9" s="70"/>
      <c r="BC9" s="70"/>
      <c r="BD9" s="54"/>
      <c r="BE9" s="70"/>
      <c r="BF9" s="70"/>
      <c r="BG9" s="70"/>
      <c r="BH9" s="54"/>
      <c r="BI9" s="70"/>
      <c r="BJ9" s="70"/>
      <c r="BK9" s="70"/>
      <c r="BL9" s="54"/>
      <c r="BM9" s="70"/>
      <c r="BN9" s="70"/>
      <c r="BO9" s="70"/>
      <c r="BP9" s="54"/>
      <c r="BQ9" s="70"/>
      <c r="BR9" s="70"/>
      <c r="BS9" s="70"/>
      <c r="BT9" s="54"/>
      <c r="BU9" s="70"/>
      <c r="BV9" s="70"/>
      <c r="BW9" s="56"/>
    </row>
    <row r="10" spans="1:75" ht="15.75" x14ac:dyDescent="0.25">
      <c r="A10">
        <v>2004</v>
      </c>
      <c r="B10" s="49">
        <v>45.309744000000002</v>
      </c>
      <c r="C10" s="49">
        <f t="shared" si="0"/>
        <v>3.813522108696191</v>
      </c>
      <c r="D10" s="98"/>
      <c r="E10" s="99"/>
      <c r="F10" s="99"/>
      <c r="G10" s="100"/>
      <c r="H10" s="98"/>
      <c r="I10" s="99"/>
      <c r="J10" s="70"/>
      <c r="K10" s="70"/>
      <c r="L10" s="54"/>
      <c r="M10" s="70"/>
      <c r="N10" s="70"/>
      <c r="O10" s="70"/>
      <c r="P10" s="54"/>
      <c r="Q10" s="70"/>
      <c r="R10" s="70"/>
      <c r="S10" s="70"/>
      <c r="T10" s="54"/>
      <c r="U10" s="70"/>
      <c r="V10" s="70"/>
      <c r="W10" s="70"/>
      <c r="X10" s="54"/>
      <c r="Y10" s="70"/>
      <c r="Z10" s="70"/>
      <c r="AA10" s="70"/>
      <c r="AB10" s="54"/>
      <c r="AC10" s="70"/>
      <c r="AD10" s="70"/>
      <c r="AE10" s="70"/>
      <c r="AF10" s="54"/>
      <c r="AG10" s="70"/>
      <c r="AH10" s="70"/>
      <c r="AI10" s="70"/>
      <c r="AJ10" s="54"/>
      <c r="AK10" s="70"/>
      <c r="AL10" s="70"/>
      <c r="AM10" s="70"/>
      <c r="AN10" s="54"/>
      <c r="AO10" s="70"/>
      <c r="AP10" s="70"/>
      <c r="AQ10" s="70"/>
      <c r="AR10" s="54"/>
      <c r="AS10" s="70"/>
      <c r="AT10" s="70"/>
      <c r="AU10" s="70"/>
      <c r="AV10" s="54"/>
      <c r="AW10" s="70"/>
      <c r="AX10" s="70"/>
      <c r="AY10" s="70"/>
      <c r="AZ10" s="54"/>
      <c r="BA10" s="70"/>
      <c r="BB10" s="70"/>
      <c r="BC10" s="70"/>
      <c r="BD10" s="54"/>
      <c r="BE10" s="70"/>
      <c r="BF10" s="70"/>
      <c r="BG10" s="70"/>
      <c r="BH10" s="54"/>
      <c r="BI10" s="70"/>
      <c r="BJ10" s="70"/>
      <c r="BK10" s="70"/>
      <c r="BL10" s="54"/>
      <c r="BM10" s="70"/>
      <c r="BN10" s="70"/>
      <c r="BO10" s="70"/>
      <c r="BP10" s="54"/>
      <c r="BQ10" s="70"/>
      <c r="BR10" s="70"/>
      <c r="BS10" s="70"/>
      <c r="BT10" s="54"/>
      <c r="BU10" s="70"/>
      <c r="BV10" s="70"/>
      <c r="BW10" s="56"/>
    </row>
    <row r="11" spans="1:75" ht="15.75" x14ac:dyDescent="0.25">
      <c r="A11">
        <v>2005</v>
      </c>
      <c r="B11" s="49">
        <v>59.121487000000002</v>
      </c>
      <c r="C11" s="49">
        <f t="shared" si="0"/>
        <v>4.0795944285563817</v>
      </c>
      <c r="D11" s="101"/>
      <c r="E11" s="99"/>
      <c r="F11" s="99"/>
      <c r="G11" s="100"/>
      <c r="H11" s="101"/>
      <c r="I11" s="99"/>
      <c r="J11" s="70"/>
      <c r="K11" s="70"/>
      <c r="L11" s="55"/>
      <c r="M11" s="70"/>
      <c r="N11" s="70"/>
      <c r="O11" s="70"/>
      <c r="P11" s="55"/>
      <c r="Q11" s="70"/>
      <c r="R11" s="70"/>
      <c r="S11" s="70"/>
      <c r="T11" s="55"/>
      <c r="U11" s="70"/>
      <c r="V11" s="70"/>
      <c r="W11" s="70"/>
      <c r="X11" s="55"/>
      <c r="Y11" s="70"/>
      <c r="Z11" s="70"/>
      <c r="AA11" s="70"/>
      <c r="AB11" s="55"/>
      <c r="AC11" s="70"/>
      <c r="AD11" s="70"/>
      <c r="AE11" s="70"/>
      <c r="AF11" s="55"/>
      <c r="AG11" s="70"/>
      <c r="AH11" s="70"/>
      <c r="AI11" s="70"/>
      <c r="AJ11" s="55"/>
      <c r="AK11" s="70"/>
      <c r="AL11" s="70"/>
      <c r="AM11" s="70"/>
      <c r="AN11" s="55"/>
      <c r="AO11" s="70"/>
      <c r="AP11" s="70"/>
      <c r="AQ11" s="70"/>
      <c r="AR11" s="55"/>
      <c r="AS11" s="70"/>
      <c r="AT11" s="70"/>
      <c r="AU11" s="70"/>
      <c r="AV11" s="55"/>
      <c r="AW11" s="70"/>
      <c r="AX11" s="70"/>
      <c r="AY11" s="70"/>
      <c r="AZ11" s="55"/>
      <c r="BA11" s="70"/>
      <c r="BB11" s="70"/>
      <c r="BC11" s="70"/>
      <c r="BD11" s="55"/>
      <c r="BE11" s="70"/>
      <c r="BF11" s="70"/>
      <c r="BG11" s="70"/>
      <c r="BH11" s="55"/>
      <c r="BI11" s="70"/>
      <c r="BJ11" s="70"/>
      <c r="BK11" s="70"/>
      <c r="BL11" s="55"/>
      <c r="BM11" s="70"/>
      <c r="BN11" s="70"/>
      <c r="BO11" s="70"/>
      <c r="BP11" s="55"/>
      <c r="BQ11" s="70"/>
      <c r="BR11" s="70"/>
      <c r="BS11" s="70"/>
      <c r="BT11" s="55"/>
      <c r="BU11" s="70"/>
      <c r="BV11" s="70"/>
      <c r="BW11" s="56"/>
    </row>
    <row r="12" spans="1:75" ht="15.75" x14ac:dyDescent="0.25">
      <c r="A12">
        <v>2006</v>
      </c>
      <c r="B12" s="49">
        <v>11.6065</v>
      </c>
      <c r="C12" s="49">
        <f t="shared" si="0"/>
        <v>2.4515652860053647</v>
      </c>
      <c r="D12" s="101"/>
      <c r="E12" s="99"/>
      <c r="F12" s="99"/>
      <c r="G12" s="100"/>
      <c r="H12" s="101"/>
      <c r="I12" s="99"/>
      <c r="J12" s="70"/>
      <c r="K12" s="70"/>
      <c r="L12" s="55"/>
      <c r="M12" s="70"/>
      <c r="N12" s="70"/>
      <c r="O12" s="70"/>
      <c r="P12" s="55"/>
      <c r="Q12" s="70"/>
      <c r="R12" s="70"/>
      <c r="S12" s="70"/>
      <c r="T12" s="55"/>
      <c r="U12" s="70"/>
      <c r="V12" s="70"/>
      <c r="W12" s="70"/>
      <c r="X12" s="55"/>
      <c r="Y12" s="70"/>
      <c r="Z12" s="70"/>
      <c r="AA12" s="70"/>
      <c r="AB12" s="55"/>
      <c r="AC12" s="70"/>
      <c r="AD12" s="70"/>
      <c r="AE12" s="70"/>
      <c r="AF12" s="55"/>
      <c r="AG12" s="70"/>
      <c r="AH12" s="70"/>
      <c r="AI12" s="70"/>
      <c r="AJ12" s="55"/>
      <c r="AK12" s="70"/>
      <c r="AL12" s="70"/>
      <c r="AM12" s="70"/>
      <c r="AN12" s="55"/>
      <c r="AO12" s="70"/>
      <c r="AP12" s="70"/>
      <c r="AQ12" s="70"/>
      <c r="AR12" s="55"/>
      <c r="AS12" s="70"/>
      <c r="AT12" s="70"/>
      <c r="AU12" s="70"/>
      <c r="AV12" s="55"/>
      <c r="AW12" s="70"/>
      <c r="AX12" s="70"/>
      <c r="AY12" s="70"/>
      <c r="AZ12" s="55"/>
      <c r="BA12" s="70"/>
      <c r="BB12" s="70"/>
      <c r="BC12" s="70"/>
      <c r="BD12" s="55"/>
      <c r="BE12" s="70"/>
      <c r="BF12" s="70"/>
      <c r="BG12" s="70"/>
      <c r="BH12" s="55"/>
      <c r="BI12" s="70"/>
      <c r="BJ12" s="70"/>
      <c r="BK12" s="70"/>
      <c r="BL12" s="55"/>
      <c r="BM12" s="70"/>
      <c r="BN12" s="70"/>
      <c r="BO12" s="70"/>
      <c r="BP12" s="55"/>
      <c r="BQ12" s="70"/>
      <c r="BR12" s="70"/>
      <c r="BS12" s="70"/>
      <c r="BT12" s="55"/>
      <c r="BU12" s="70"/>
      <c r="BV12" s="70"/>
      <c r="BW12" s="56"/>
    </row>
    <row r="13" spans="1:75" ht="15.75" x14ac:dyDescent="0.25">
      <c r="A13">
        <v>2007</v>
      </c>
      <c r="B13" s="49">
        <v>44.796396999999999</v>
      </c>
      <c r="C13" s="49">
        <f t="shared" si="0"/>
        <v>3.8021277120796046</v>
      </c>
      <c r="D13" s="102">
        <v>3.4995319999999999</v>
      </c>
      <c r="E13" s="103">
        <f>($C13-D13)^2</f>
        <v>9.156416496896308E-2</v>
      </c>
      <c r="F13" s="103">
        <v>0.40985919999999998</v>
      </c>
      <c r="G13" s="104">
        <f>D13+(0.5*F13*F13)</f>
        <v>3.5835242819123199</v>
      </c>
      <c r="H13" s="102">
        <v>3.6729240000000001</v>
      </c>
      <c r="I13" s="103">
        <f t="shared" ref="I13:M26" si="1">($C13-H13)^2</f>
        <v>1.6693599215149357E-2</v>
      </c>
      <c r="J13" s="60">
        <v>0.29125790000000001</v>
      </c>
      <c r="K13" s="104">
        <f>H13+(0.5*J13*J13)</f>
        <v>3.7153395821562052</v>
      </c>
      <c r="L13" s="81">
        <v>3.5800100000000001</v>
      </c>
      <c r="M13" s="60">
        <f t="shared" si="1"/>
        <v>4.933627801947809E-2</v>
      </c>
      <c r="N13" s="60">
        <v>0.30026029999999998</v>
      </c>
      <c r="O13" s="104">
        <f>L13+(0.5*N13*N13)</f>
        <v>3.625088123878045</v>
      </c>
      <c r="P13" s="81">
        <v>3.4670420000000002</v>
      </c>
      <c r="Q13" s="60">
        <f t="shared" ref="Q13:Q17" si="2">($C13-P13)^2</f>
        <v>0.11228243443989558</v>
      </c>
      <c r="R13" s="60">
        <v>0.37625029999999998</v>
      </c>
      <c r="S13" s="104">
        <f>P13+(0.5*R13*R13)</f>
        <v>3.5378241441250453</v>
      </c>
      <c r="T13" s="81">
        <v>3.4630589999999999</v>
      </c>
      <c r="U13" s="60">
        <f t="shared" ref="U13:U17" si="3">($C13-T13)^2</f>
        <v>0.11496759151132191</v>
      </c>
      <c r="V13" s="60">
        <v>0.30160920000000002</v>
      </c>
      <c r="W13" s="104">
        <f>T13+(0.5*V13*V13)</f>
        <v>3.50854305476232</v>
      </c>
      <c r="X13" s="81">
        <v>3.4658669999999998</v>
      </c>
      <c r="Y13" s="60">
        <f t="shared" ref="Y13:Y17" si="4">($C13-X13)^2</f>
        <v>0.1130712664882829</v>
      </c>
      <c r="Z13" s="60">
        <v>0.34487830000000003</v>
      </c>
      <c r="AA13" s="104">
        <f>X13+(0.5*Z13*Z13)</f>
        <v>3.5253375209054449</v>
      </c>
      <c r="AB13" s="81">
        <v>3.5597780000000001</v>
      </c>
      <c r="AC13" s="60">
        <f t="shared" ref="AC13:AC17" si="5">($C13-AB13)^2</f>
        <v>5.873338294506722E-2</v>
      </c>
      <c r="AD13" s="60">
        <v>0.3061643</v>
      </c>
      <c r="AE13" s="104">
        <f>AB13+(0.5*AD13*AD13)</f>
        <v>3.6066462892972453</v>
      </c>
      <c r="AF13" s="81">
        <v>3.431298</v>
      </c>
      <c r="AG13" s="60">
        <f t="shared" ref="AG13:AG17" si="6">($C13-AF13)^2</f>
        <v>0.1375146753610425</v>
      </c>
      <c r="AH13" s="60">
        <v>0.3708709</v>
      </c>
      <c r="AI13" s="104">
        <f>AF13+(0.5*AH13*AH13)</f>
        <v>3.5000706122334049</v>
      </c>
      <c r="AJ13" s="81">
        <v>3.3907020000000001</v>
      </c>
      <c r="AK13" s="60">
        <f t="shared" ref="AK13:AK17" si="7">($C13-AJ13)^2</f>
        <v>0.16927111656020966</v>
      </c>
      <c r="AL13" s="60">
        <v>0.30250909999999998</v>
      </c>
      <c r="AM13" s="104">
        <f>AJ13+(0.5*AL13*AL13)</f>
        <v>3.4364578777914052</v>
      </c>
      <c r="AN13" s="81">
        <v>3.4163610000000002</v>
      </c>
      <c r="AO13" s="60">
        <f t="shared" ref="AO13:AO17" si="8">($C13-AN13)^2</f>
        <v>0.14881595614870843</v>
      </c>
      <c r="AP13" s="60">
        <v>0.34445979999999998</v>
      </c>
      <c r="AQ13" s="104">
        <f>AN13+(0.5*AP13*AP13)</f>
        <v>3.4756872769080203</v>
      </c>
      <c r="AR13" s="81">
        <v>3.6174230000000001</v>
      </c>
      <c r="AS13" s="60">
        <f t="shared" ref="AS13:AS18" si="9">($C13-AR13)^2</f>
        <v>3.4115830664409631E-2</v>
      </c>
      <c r="AT13" s="60">
        <v>0.30543890000000001</v>
      </c>
      <c r="AU13" s="104">
        <f>AR13+(0.5*AT13*AT13)</f>
        <v>3.6640694608166049</v>
      </c>
      <c r="AV13" s="81">
        <v>3.484556</v>
      </c>
      <c r="AW13" s="60">
        <f t="shared" ref="AW13:AW18" si="10">($C13-AV13)^2</f>
        <v>0.10085179231317132</v>
      </c>
      <c r="AX13" s="60">
        <v>0.36943910000000002</v>
      </c>
      <c r="AY13" s="104">
        <f>AV13+(0.5*AX13*AX13)</f>
        <v>3.5527986243044052</v>
      </c>
      <c r="AZ13" s="81">
        <v>3.497395</v>
      </c>
      <c r="BA13" s="60">
        <f t="shared" ref="BA13:BA17" si="11">($C13-AZ13)^2</f>
        <v>9.2862025811391205E-2</v>
      </c>
      <c r="BB13" s="60">
        <v>0.29236980000000001</v>
      </c>
      <c r="BC13" s="104">
        <f>AZ13+(0.5*BB13*BB13)</f>
        <v>3.54013504997602</v>
      </c>
      <c r="BD13" s="81">
        <v>3.4884230000000001</v>
      </c>
      <c r="BE13" s="60">
        <f t="shared" ref="BE13:BE17" si="12">($C13-BD13)^2</f>
        <v>9.8410646380947625E-2</v>
      </c>
      <c r="BF13" s="60">
        <v>0.33913169999999998</v>
      </c>
      <c r="BG13" s="104">
        <f>BD13+(0.5*BF13*BF13)</f>
        <v>3.5459281549724451</v>
      </c>
      <c r="BH13" s="81">
        <v>3.565823</v>
      </c>
      <c r="BI13" s="60">
        <f t="shared" ref="BI13:BI18" si="13">($C13-BH13)^2</f>
        <v>5.5839916951024866E-2</v>
      </c>
      <c r="BJ13" s="60">
        <v>0.31624269999999999</v>
      </c>
      <c r="BK13" s="104">
        <f>BH13+(0.5*BJ13*BJ13)</f>
        <v>3.6158277226516451</v>
      </c>
      <c r="BL13" s="81">
        <v>3.4655420000000001</v>
      </c>
      <c r="BM13" s="60">
        <f t="shared" ref="BM13:BM19" si="14">($C13-BL13)^2</f>
        <v>0.11328994157613444</v>
      </c>
      <c r="BN13" s="60">
        <v>0.37501659999999998</v>
      </c>
      <c r="BO13" s="104">
        <f>BL13+(0.5*BN13*BN13)</f>
        <v>3.53586072513778</v>
      </c>
      <c r="BP13" s="81">
        <v>3.4628800000000002</v>
      </c>
      <c r="BQ13" s="60">
        <f t="shared" ref="BQ13:BQ19" si="15">($C13-BP13)^2</f>
        <v>0.11508901015124622</v>
      </c>
      <c r="BR13" s="60">
        <v>0.30229489999999998</v>
      </c>
      <c r="BS13" s="103">
        <f>BP13+(0.5*BR13*BR13)</f>
        <v>3.5085711032830051</v>
      </c>
      <c r="BT13" s="81">
        <v>3.4608750000000001</v>
      </c>
      <c r="BU13" s="60">
        <f t="shared" ref="BU13:BU18" si="16">($C13-BT13)^2</f>
        <v>0.11645341350168545</v>
      </c>
      <c r="BV13" s="60">
        <v>0.34784470000000001</v>
      </c>
      <c r="BW13" s="104">
        <f>BT13+(0.5*BV13*BV13)</f>
        <v>3.5213729676590453</v>
      </c>
    </row>
    <row r="14" spans="1:75" s="12" customFormat="1" ht="13.5" customHeight="1" x14ac:dyDescent="0.25">
      <c r="A14" s="12">
        <v>2008</v>
      </c>
      <c r="B14" s="160">
        <v>15.908924000000001</v>
      </c>
      <c r="C14" s="160">
        <f t="shared" si="0"/>
        <v>2.7668802096415366</v>
      </c>
      <c r="D14" s="105">
        <v>2.9939230000000001</v>
      </c>
      <c r="E14" s="103">
        <f t="shared" ref="E14:E15" si="17">($C14-D14)^2</f>
        <v>5.1548428653757222E-2</v>
      </c>
      <c r="F14" s="103">
        <v>0.39629750000000002</v>
      </c>
      <c r="G14" s="104">
        <f t="shared" ref="G14:G27" si="18">D14+(0.5*F14*F14)</f>
        <v>3.0724488542531252</v>
      </c>
      <c r="H14" s="105">
        <v>3.0063599999999999</v>
      </c>
      <c r="I14" s="103">
        <f t="shared" si="1"/>
        <v>5.7350569990133549E-2</v>
      </c>
      <c r="J14" s="60">
        <v>0.27336729999999998</v>
      </c>
      <c r="K14" s="104">
        <f t="shared" ref="K14:K27" si="19">H14+(0.5*J14*J14)</f>
        <v>3.0437248403546451</v>
      </c>
      <c r="L14" s="71">
        <v>3.0284779999999998</v>
      </c>
      <c r="M14" s="60">
        <f t="shared" si="1"/>
        <v>6.8433403920430458E-2</v>
      </c>
      <c r="N14" s="60">
        <v>0.28882469999999999</v>
      </c>
      <c r="O14" s="104">
        <f t="shared" ref="O14:O27" si="20">L14+(0.5*N14*N14)</f>
        <v>3.0701878536650447</v>
      </c>
      <c r="P14" s="71">
        <v>3.0014699999999999</v>
      </c>
      <c r="Q14" s="60">
        <f t="shared" ref="Q14:Q18" si="21">($C14-P14)^2</f>
        <v>5.5032369740427751E-2</v>
      </c>
      <c r="R14" s="60">
        <v>0.36797659999999999</v>
      </c>
      <c r="S14" s="104">
        <f t="shared" ref="S14:S27" si="22">P14+(0.5*R14*R14)</f>
        <v>3.06917338907378</v>
      </c>
      <c r="T14" s="71">
        <v>3.0483880000000001</v>
      </c>
      <c r="U14" s="60">
        <f t="shared" ref="U14:U18" si="23">($C14-T14)^2</f>
        <v>7.9246636032504647E-2</v>
      </c>
      <c r="V14" s="60">
        <v>0.3039559</v>
      </c>
      <c r="W14" s="104">
        <f t="shared" ref="W14:W27" si="24">T14+(0.5*V14*V14)</f>
        <v>3.094582594572405</v>
      </c>
      <c r="X14" s="71">
        <v>3.0117970000000001</v>
      </c>
      <c r="Y14" s="60">
        <f t="shared" ref="Y14:Y18" si="25">($C14-X14)^2</f>
        <v>5.9984234199491546E-2</v>
      </c>
      <c r="Z14" s="60">
        <v>0.3407695</v>
      </c>
      <c r="AA14" s="104">
        <f t="shared" ref="AA14:AA27" si="26">X14+(0.5*Z14*Z14)</f>
        <v>3.069858926065125</v>
      </c>
      <c r="AB14" s="71">
        <v>3.092571</v>
      </c>
      <c r="AC14" s="60">
        <f t="shared" ref="AC14:AC18" si="27">($C14-AB14)^2</f>
        <v>0.10607449092432054</v>
      </c>
      <c r="AD14" s="60">
        <v>0.2961183</v>
      </c>
      <c r="AE14" s="104">
        <f t="shared" ref="AE14:AE27" si="28">AB14+(0.5*AD14*AD14)</f>
        <v>3.1364140237974452</v>
      </c>
      <c r="AF14" s="71">
        <v>3.1277560000000002</v>
      </c>
      <c r="AG14" s="60">
        <f t="shared" ref="AG14:AG18" si="29">($C14-AF14)^2</f>
        <v>0.13023133606684578</v>
      </c>
      <c r="AH14" s="60">
        <v>0.36738579999999998</v>
      </c>
      <c r="AI14" s="104">
        <f t="shared" ref="AI14:AI27" si="30">AF14+(0.5*AH14*AH14)</f>
        <v>3.1952421630208203</v>
      </c>
      <c r="AJ14" s="71">
        <v>3.1762869999999999</v>
      </c>
      <c r="AK14" s="60">
        <f t="shared" si="7"/>
        <v>0.1676139199916187</v>
      </c>
      <c r="AL14" s="60">
        <v>0.3152085</v>
      </c>
      <c r="AM14" s="104">
        <f t="shared" ref="AM14:AM27" si="31">AJ14+(0.5*AL14*AL14)</f>
        <v>3.2259651992361249</v>
      </c>
      <c r="AN14" s="71">
        <v>3.1785429999999999</v>
      </c>
      <c r="AO14" s="60">
        <f t="shared" ref="AO14:AO18" si="32">($C14-AN14)^2</f>
        <v>0.16946625296571613</v>
      </c>
      <c r="AP14" s="60">
        <v>0.34663490000000002</v>
      </c>
      <c r="AQ14" s="104">
        <f t="shared" ref="AQ14:AQ27" si="33">AN14+(0.5*AP14*AP14)</f>
        <v>3.238620876949005</v>
      </c>
      <c r="AR14" s="71">
        <v>3.0496379999999998</v>
      </c>
      <c r="AS14" s="60">
        <f t="shared" si="9"/>
        <v>7.9951968008400667E-2</v>
      </c>
      <c r="AT14" s="60">
        <v>0.29011710000000002</v>
      </c>
      <c r="AU14" s="104">
        <f t="shared" ref="AU14:AU27" si="34">AR14+(0.5*AT14*AT14)</f>
        <v>3.091721965856205</v>
      </c>
      <c r="AV14" s="71">
        <v>3.0251269999999999</v>
      </c>
      <c r="AW14" s="60">
        <f t="shared" si="10"/>
        <v>6.6691404730448101E-2</v>
      </c>
      <c r="AX14" s="60">
        <v>0.36006969999999999</v>
      </c>
      <c r="AY14" s="104">
        <f t="shared" ref="AY14:AY27" si="35">AV14+(0.5*AX14*AX14)</f>
        <v>3.0899520944290448</v>
      </c>
      <c r="AZ14" s="71">
        <v>3.1001180000000002</v>
      </c>
      <c r="BA14" s="60">
        <f t="shared" si="11"/>
        <v>0.11104742492299131</v>
      </c>
      <c r="BB14" s="60">
        <v>0.29143570000000002</v>
      </c>
      <c r="BC14" s="104">
        <f t="shared" ref="BC14:BC27" si="36">AZ14+(0.5*BB14*BB14)</f>
        <v>3.142585383617245</v>
      </c>
      <c r="BD14" s="71">
        <v>3.054541</v>
      </c>
      <c r="BE14" s="60">
        <f t="shared" ref="BE14:BE18" si="37">($C14-BD14)^2</f>
        <v>8.2748730309655807E-2</v>
      </c>
      <c r="BF14" s="60">
        <v>0.33307769999999998</v>
      </c>
      <c r="BG14" s="104">
        <f t="shared" ref="BG14:BG27" si="38">BD14+(0.5*BF14*BF14)</f>
        <v>3.1100113771186448</v>
      </c>
      <c r="BH14" s="71">
        <v>2.9979140000000002</v>
      </c>
      <c r="BI14" s="60">
        <f t="shared" si="13"/>
        <v>5.3376612287398512E-2</v>
      </c>
      <c r="BJ14" s="60">
        <v>0.30445149999999999</v>
      </c>
      <c r="BK14" s="104">
        <f t="shared" ref="BK14:BK27" si="39">BH14+(0.5*BJ14*BJ14)</f>
        <v>3.044259357926125</v>
      </c>
      <c r="BL14" s="71">
        <v>2.967311</v>
      </c>
      <c r="BM14" s="60">
        <f t="shared" si="14"/>
        <v>4.0172501723718328E-2</v>
      </c>
      <c r="BN14" s="60">
        <v>0.36706329999999998</v>
      </c>
      <c r="BO14" s="104">
        <f t="shared" ref="BO14:BO27" si="40">BL14+(0.5*BN14*BN14)</f>
        <v>3.034678733103445</v>
      </c>
      <c r="BP14" s="71">
        <v>3.0238930000000002</v>
      </c>
      <c r="BQ14" s="60">
        <f t="shared" si="15"/>
        <v>6.6055574407843556E-2</v>
      </c>
      <c r="BR14" s="60">
        <v>0.30456359999999999</v>
      </c>
      <c r="BS14" s="103">
        <f t="shared" ref="BS14:BS27" si="41">BP14+(0.5*BR14*BR14)</f>
        <v>3.0702724932224803</v>
      </c>
      <c r="BT14" s="71">
        <v>2.9784809999999999</v>
      </c>
      <c r="BU14" s="60">
        <f t="shared" si="16"/>
        <v>4.4774894480326358E-2</v>
      </c>
      <c r="BV14" s="60">
        <v>0.3439449</v>
      </c>
      <c r="BW14" s="104">
        <f t="shared" ref="BW14:BW27" si="42">BT14+(0.5*BV14*BV14)</f>
        <v>3.0376300471180051</v>
      </c>
    </row>
    <row r="15" spans="1:75" s="12" customFormat="1" ht="15.75" x14ac:dyDescent="0.25">
      <c r="A15" s="12">
        <v>2009</v>
      </c>
      <c r="B15" s="160">
        <v>38.024357000000002</v>
      </c>
      <c r="C15" s="160">
        <f t="shared" si="0"/>
        <v>3.6382269280747028</v>
      </c>
      <c r="D15" s="105">
        <v>3.4002270000000001</v>
      </c>
      <c r="E15" s="103">
        <f t="shared" si="17"/>
        <v>5.6643965763563668E-2</v>
      </c>
      <c r="F15" s="103">
        <v>0.37902380000000002</v>
      </c>
      <c r="G15" s="104">
        <f t="shared" si="18"/>
        <v>3.4720565204832203</v>
      </c>
      <c r="H15" s="105">
        <v>3.9794109999999998</v>
      </c>
      <c r="I15" s="103">
        <f t="shared" si="1"/>
        <v>0.11640657093552623</v>
      </c>
      <c r="J15" s="60">
        <v>0.26545479999999999</v>
      </c>
      <c r="K15" s="104">
        <f t="shared" si="19"/>
        <v>4.0146441254215199</v>
      </c>
      <c r="L15" s="71">
        <v>3.6218530000000002</v>
      </c>
      <c r="M15" s="60">
        <f t="shared" si="1"/>
        <v>2.6810552059553449E-4</v>
      </c>
      <c r="N15" s="60">
        <v>0.28114869999999997</v>
      </c>
      <c r="O15" s="104">
        <f t="shared" si="20"/>
        <v>3.6613752957558452</v>
      </c>
      <c r="P15" s="71">
        <v>3.72234</v>
      </c>
      <c r="Q15" s="60">
        <f t="shared" si="2"/>
        <v>7.075008868710213E-3</v>
      </c>
      <c r="R15" s="60">
        <v>0.35121720000000001</v>
      </c>
      <c r="S15" s="104">
        <f t="shared" si="22"/>
        <v>3.78401676078792</v>
      </c>
      <c r="T15" s="71">
        <v>3.7319619999999998</v>
      </c>
      <c r="U15" s="60">
        <f t="shared" si="3"/>
        <v>8.7862637088405929E-3</v>
      </c>
      <c r="V15" s="60">
        <v>0.29636780000000001</v>
      </c>
      <c r="W15" s="104">
        <f t="shared" si="24"/>
        <v>3.7758789364384198</v>
      </c>
      <c r="X15" s="71">
        <v>3.7930480000000002</v>
      </c>
      <c r="Y15" s="60">
        <f t="shared" si="4"/>
        <v>2.3969564312098103E-2</v>
      </c>
      <c r="Z15" s="60">
        <v>0.3269823</v>
      </c>
      <c r="AA15" s="104">
        <f t="shared" si="26"/>
        <v>3.8465067122566454</v>
      </c>
      <c r="AB15" s="71">
        <v>3.5873719999999998</v>
      </c>
      <c r="AC15" s="60">
        <f t="shared" si="5"/>
        <v>2.5862237094832199E-3</v>
      </c>
      <c r="AD15" s="60">
        <v>0.29328949999999998</v>
      </c>
      <c r="AE15" s="104">
        <f t="shared" si="28"/>
        <v>3.6303813654051247</v>
      </c>
      <c r="AF15" s="71">
        <v>3.6917650000000002</v>
      </c>
      <c r="AG15" s="60">
        <f t="shared" si="6"/>
        <v>2.8663251454783133E-3</v>
      </c>
      <c r="AH15" s="60">
        <v>0.35941869999999998</v>
      </c>
      <c r="AI15" s="104">
        <f t="shared" si="30"/>
        <v>3.7563559009548451</v>
      </c>
      <c r="AJ15" s="71">
        <v>3.6798250000000001</v>
      </c>
      <c r="AK15" s="60">
        <f t="shared" si="7"/>
        <v>1.7303995879022073E-3</v>
      </c>
      <c r="AL15" s="60">
        <v>0.31808979999999998</v>
      </c>
      <c r="AM15" s="104">
        <f t="shared" si="31"/>
        <v>3.7304155604320202</v>
      </c>
      <c r="AN15" s="71">
        <v>3.7405240000000002</v>
      </c>
      <c r="AO15" s="60">
        <f t="shared" si="8"/>
        <v>1.0464690924489461E-2</v>
      </c>
      <c r="AP15" s="60">
        <v>0.34542489999999998</v>
      </c>
      <c r="AQ15" s="104">
        <f t="shared" si="33"/>
        <v>3.8001831807700053</v>
      </c>
      <c r="AR15" s="71">
        <v>3.6314980000000001</v>
      </c>
      <c r="AS15" s="60">
        <f t="shared" si="9"/>
        <v>4.5278473034522335E-5</v>
      </c>
      <c r="AT15" s="60">
        <v>0.2840838</v>
      </c>
      <c r="AU15" s="104">
        <f t="shared" si="34"/>
        <v>3.6718498027112201</v>
      </c>
      <c r="AV15" s="71">
        <v>3.759468</v>
      </c>
      <c r="AW15" s="60">
        <f t="shared" si="10"/>
        <v>1.4699397521595089E-2</v>
      </c>
      <c r="AX15" s="60">
        <v>0.34545320000000002</v>
      </c>
      <c r="AY15" s="104">
        <f t="shared" si="35"/>
        <v>3.8191369566951199</v>
      </c>
      <c r="AZ15" s="71">
        <v>3.72078</v>
      </c>
      <c r="BA15" s="60">
        <f t="shared" si="11"/>
        <v>6.8150096843032845E-3</v>
      </c>
      <c r="BB15" s="60">
        <v>0.28988639999999999</v>
      </c>
      <c r="BC15" s="104">
        <f t="shared" si="36"/>
        <v>3.76279706245248</v>
      </c>
      <c r="BD15" s="71">
        <v>3.825901</v>
      </c>
      <c r="BE15" s="60">
        <f t="shared" si="12"/>
        <v>3.5221557273021613E-2</v>
      </c>
      <c r="BF15" s="60">
        <v>0.3230499</v>
      </c>
      <c r="BG15" s="104">
        <f t="shared" si="38"/>
        <v>3.8780816189450049</v>
      </c>
      <c r="BH15" s="71">
        <v>3.608733</v>
      </c>
      <c r="BI15" s="60">
        <f t="shared" si="13"/>
        <v>8.6989179327574546E-4</v>
      </c>
      <c r="BJ15" s="60">
        <v>0.29296909999999998</v>
      </c>
      <c r="BK15" s="104">
        <f t="shared" si="39"/>
        <v>3.6516484467774051</v>
      </c>
      <c r="BL15" s="71">
        <v>3.6871809999999998</v>
      </c>
      <c r="BM15" s="60">
        <f t="shared" si="14"/>
        <v>2.3965011580671515E-3</v>
      </c>
      <c r="BN15" s="60">
        <v>0.34848990000000002</v>
      </c>
      <c r="BO15" s="104">
        <f t="shared" si="40"/>
        <v>3.7479036052010049</v>
      </c>
      <c r="BP15" s="71">
        <v>3.6960060000000001</v>
      </c>
      <c r="BQ15" s="60">
        <f t="shared" si="15"/>
        <v>3.3384211525486784E-3</v>
      </c>
      <c r="BR15" s="60">
        <v>0.29497010000000001</v>
      </c>
      <c r="BS15" s="103">
        <f t="shared" si="41"/>
        <v>3.7395096799470053</v>
      </c>
      <c r="BT15" s="71">
        <v>3.7489469999999998</v>
      </c>
      <c r="BU15" s="60">
        <f t="shared" si="16"/>
        <v>1.2258934327142937E-2</v>
      </c>
      <c r="BV15" s="60">
        <v>0.32783250000000003</v>
      </c>
      <c r="BW15" s="104">
        <f t="shared" si="42"/>
        <v>3.8026840740281247</v>
      </c>
    </row>
    <row r="16" spans="1:75" s="12" customFormat="1" ht="15.75" x14ac:dyDescent="0.25">
      <c r="A16" s="12">
        <v>2010</v>
      </c>
      <c r="B16" s="160">
        <v>24.141670999999999</v>
      </c>
      <c r="C16" s="160">
        <f t="shared" si="0"/>
        <v>3.1839394344833187</v>
      </c>
      <c r="D16" s="105">
        <v>3.428461</v>
      </c>
      <c r="E16" s="103">
        <f>($C16-D16)^2</f>
        <v>5.9790796002728644E-2</v>
      </c>
      <c r="F16" s="103">
        <v>0.36658069999999998</v>
      </c>
      <c r="G16" s="104">
        <f t="shared" si="18"/>
        <v>3.495651704806245</v>
      </c>
      <c r="H16" s="105">
        <v>3.2405089999999999</v>
      </c>
      <c r="I16" s="103">
        <f t="shared" si="1"/>
        <v>3.200115742746079E-3</v>
      </c>
      <c r="J16" s="60">
        <v>0.26619140000000002</v>
      </c>
      <c r="K16" s="104">
        <f t="shared" si="19"/>
        <v>3.2759379307169798</v>
      </c>
      <c r="L16" s="71">
        <v>3.394549</v>
      </c>
      <c r="M16" s="60">
        <f t="shared" si="1"/>
        <v>4.4356389087125275E-2</v>
      </c>
      <c r="N16" s="60">
        <v>0.26511689999999999</v>
      </c>
      <c r="O16" s="104">
        <f t="shared" si="20"/>
        <v>3.4296924853328052</v>
      </c>
      <c r="P16" s="71">
        <v>3.3717929999999998</v>
      </c>
      <c r="Q16" s="60">
        <f t="shared" si="21"/>
        <v>3.5288962077329997E-2</v>
      </c>
      <c r="R16" s="60">
        <v>0.33194709999999999</v>
      </c>
      <c r="S16" s="104">
        <f t="shared" si="22"/>
        <v>3.4268874385992047</v>
      </c>
      <c r="T16" s="71">
        <v>3.4590040000000002</v>
      </c>
      <c r="U16" s="60">
        <f t="shared" si="23"/>
        <v>7.5660515202880751E-2</v>
      </c>
      <c r="V16" s="60">
        <v>0.28075919999999999</v>
      </c>
      <c r="W16" s="104">
        <f t="shared" si="24"/>
        <v>3.4984168641923201</v>
      </c>
      <c r="X16" s="71">
        <v>3.4402339999999998</v>
      </c>
      <c r="Y16" s="60">
        <f t="shared" si="25"/>
        <v>6.5686904313384323E-2</v>
      </c>
      <c r="Z16" s="60">
        <v>0.31121470000000001</v>
      </c>
      <c r="AA16" s="104">
        <f t="shared" si="26"/>
        <v>3.4886612947480447</v>
      </c>
      <c r="AB16" s="71">
        <v>3.2926519999999999</v>
      </c>
      <c r="AC16" s="60">
        <f t="shared" si="27"/>
        <v>1.1818421901218698E-2</v>
      </c>
      <c r="AD16" s="60">
        <v>0.27695930000000002</v>
      </c>
      <c r="AE16" s="104">
        <f t="shared" si="28"/>
        <v>3.3310052269282449</v>
      </c>
      <c r="AF16" s="71">
        <v>3.395664</v>
      </c>
      <c r="AG16" s="60">
        <f t="shared" si="29"/>
        <v>4.4827291643227463E-2</v>
      </c>
      <c r="AH16" s="60">
        <v>0.33918920000000002</v>
      </c>
      <c r="AI16" s="104">
        <f t="shared" si="30"/>
        <v>3.4531886566983201</v>
      </c>
      <c r="AJ16" s="71">
        <v>3.4152559999999998</v>
      </c>
      <c r="AK16" s="60">
        <f t="shared" si="7"/>
        <v>5.3507353482433025E-2</v>
      </c>
      <c r="AL16" s="60">
        <v>0.30014930000000001</v>
      </c>
      <c r="AM16" s="104">
        <f t="shared" si="31"/>
        <v>3.460300801145245</v>
      </c>
      <c r="AN16" s="71">
        <v>3.4475389999999999</v>
      </c>
      <c r="AO16" s="60">
        <f t="shared" si="32"/>
        <v>6.9484730940583092E-2</v>
      </c>
      <c r="AP16" s="60">
        <v>0.32689390000000002</v>
      </c>
      <c r="AQ16" s="104">
        <f t="shared" si="33"/>
        <v>3.500968810928605</v>
      </c>
      <c r="AR16" s="71">
        <v>3.3354300000000001</v>
      </c>
      <c r="AS16" s="60">
        <f t="shared" si="9"/>
        <v>2.2949391440563936E-2</v>
      </c>
      <c r="AT16" s="60">
        <v>0.26784469999999999</v>
      </c>
      <c r="AU16" s="104">
        <f t="shared" si="34"/>
        <v>3.3713003916590449</v>
      </c>
      <c r="AV16" s="71">
        <v>3.3531529999999998</v>
      </c>
      <c r="AW16" s="60">
        <f t="shared" si="10"/>
        <v>2.8633230754868125E-2</v>
      </c>
      <c r="AX16" s="60">
        <v>0.32736949999999998</v>
      </c>
      <c r="AY16" s="104">
        <f t="shared" si="35"/>
        <v>3.4067383947651249</v>
      </c>
      <c r="AZ16" s="71">
        <v>3.4315959999999999</v>
      </c>
      <c r="BA16" s="60">
        <f t="shared" si="11"/>
        <v>6.1333774443518174E-2</v>
      </c>
      <c r="BB16" s="60">
        <v>0.27438869999999999</v>
      </c>
      <c r="BC16" s="104">
        <f t="shared" si="36"/>
        <v>3.469240579343845</v>
      </c>
      <c r="BD16" s="71">
        <v>3.4265599999999998</v>
      </c>
      <c r="BE16" s="60">
        <f t="shared" si="37"/>
        <v>5.8864738811634142E-2</v>
      </c>
      <c r="BF16" s="60">
        <v>0.30880299999999999</v>
      </c>
      <c r="BG16" s="104">
        <f t="shared" si="38"/>
        <v>3.4742396464045</v>
      </c>
      <c r="BH16" s="71">
        <v>3.3938459999999999</v>
      </c>
      <c r="BI16" s="60">
        <f t="shared" si="13"/>
        <v>4.4060766247008769E-2</v>
      </c>
      <c r="BJ16" s="60">
        <v>0.27636159999999999</v>
      </c>
      <c r="BK16" s="104">
        <f t="shared" si="39"/>
        <v>3.4320338669772799</v>
      </c>
      <c r="BL16" s="71">
        <v>3.3623069999999999</v>
      </c>
      <c r="BM16" s="60">
        <f t="shared" si="14"/>
        <v>3.1814988428347561E-2</v>
      </c>
      <c r="BN16" s="60">
        <v>0.32885520000000001</v>
      </c>
      <c r="BO16" s="104">
        <f t="shared" si="40"/>
        <v>3.4163798712835201</v>
      </c>
      <c r="BP16" s="71">
        <v>3.4619390000000001</v>
      </c>
      <c r="BQ16" s="60">
        <f t="shared" si="15"/>
        <v>7.7283758427463614E-2</v>
      </c>
      <c r="BR16" s="60">
        <v>0.27862930000000002</v>
      </c>
      <c r="BS16" s="103">
        <f t="shared" si="41"/>
        <v>3.5007561434092449</v>
      </c>
      <c r="BT16" s="71">
        <v>3.441894</v>
      </c>
      <c r="BU16" s="60">
        <f t="shared" si="16"/>
        <v>6.6540557870899811E-2</v>
      </c>
      <c r="BV16" s="60">
        <v>0.31066009999999999</v>
      </c>
      <c r="BW16" s="104">
        <f t="shared" si="42"/>
        <v>3.4901488488660051</v>
      </c>
    </row>
    <row r="17" spans="1:76" s="12" customFormat="1" ht="15.75" x14ac:dyDescent="0.25">
      <c r="A17" s="12">
        <v>2011</v>
      </c>
      <c r="B17" s="160">
        <v>58.882053999999997</v>
      </c>
      <c r="C17" s="160">
        <f t="shared" si="0"/>
        <v>4.0755363583230402</v>
      </c>
      <c r="D17" s="105">
        <v>4.1361340000000002</v>
      </c>
      <c r="E17" s="103">
        <f>($C17-D17)^2</f>
        <v>3.6720741768092426E-3</v>
      </c>
      <c r="F17" s="103">
        <v>0.35651319999999997</v>
      </c>
      <c r="G17" s="104">
        <f t="shared" si="18"/>
        <v>4.1996848308871204</v>
      </c>
      <c r="H17" s="105">
        <v>4.0379300000000002</v>
      </c>
      <c r="I17" s="103">
        <f t="shared" si="1"/>
        <v>1.4142381863208749E-3</v>
      </c>
      <c r="J17" s="60">
        <v>0.25308120000000001</v>
      </c>
      <c r="K17" s="104">
        <f t="shared" si="19"/>
        <v>4.0699550468967205</v>
      </c>
      <c r="L17" s="71">
        <v>3.9407079999999999</v>
      </c>
      <c r="M17" s="60">
        <f t="shared" si="1"/>
        <v>1.8178686208086148E-2</v>
      </c>
      <c r="N17" s="60">
        <v>0.2593858</v>
      </c>
      <c r="O17" s="104">
        <f t="shared" si="20"/>
        <v>3.97434849662082</v>
      </c>
      <c r="P17" s="71">
        <v>4.1895179999999996</v>
      </c>
      <c r="Q17" s="60">
        <f t="shared" si="2"/>
        <v>1.2991814639374781E-2</v>
      </c>
      <c r="R17" s="60">
        <v>0.31991989999999998</v>
      </c>
      <c r="S17" s="104">
        <f t="shared" si="22"/>
        <v>4.2406923712080049</v>
      </c>
      <c r="T17" s="71">
        <v>4.0023609999999996</v>
      </c>
      <c r="U17" s="60">
        <f t="shared" si="3"/>
        <v>5.3546330657053814E-3</v>
      </c>
      <c r="V17" s="60">
        <v>0.27893699999999999</v>
      </c>
      <c r="W17" s="104">
        <f t="shared" si="24"/>
        <v>4.0412639249844995</v>
      </c>
      <c r="X17" s="71">
        <v>4.1758559999999996</v>
      </c>
      <c r="Y17" s="60">
        <f t="shared" si="4"/>
        <v>1.0064030506193528E-2</v>
      </c>
      <c r="Z17" s="60">
        <v>0.3051779</v>
      </c>
      <c r="AA17" s="104">
        <f t="shared" si="26"/>
        <v>4.2224227753242047</v>
      </c>
      <c r="AB17" s="71">
        <v>3.9155280000000001</v>
      </c>
      <c r="AC17" s="60">
        <f t="shared" si="5"/>
        <v>2.5602674733234382E-2</v>
      </c>
      <c r="AD17" s="60">
        <v>0.26473069999999999</v>
      </c>
      <c r="AE17" s="104">
        <f t="shared" si="28"/>
        <v>3.950569171761245</v>
      </c>
      <c r="AF17" s="71">
        <v>4.1895879999999996</v>
      </c>
      <c r="AG17" s="60">
        <f t="shared" si="6"/>
        <v>1.3007776969209559E-2</v>
      </c>
      <c r="AH17" s="60">
        <v>0.32802890000000001</v>
      </c>
      <c r="AI17" s="104">
        <f t="shared" si="30"/>
        <v>4.2433894796176048</v>
      </c>
      <c r="AJ17" s="71">
        <v>3.9595020000000001</v>
      </c>
      <c r="AK17" s="60">
        <f t="shared" si="7"/>
        <v>1.3463972311439665E-2</v>
      </c>
      <c r="AL17" s="60">
        <v>0.29315350000000001</v>
      </c>
      <c r="AM17" s="104">
        <f t="shared" si="31"/>
        <v>4.0024714872811247</v>
      </c>
      <c r="AN17" s="71">
        <v>4.1824579999999996</v>
      </c>
      <c r="AO17" s="60">
        <f t="shared" si="8"/>
        <v>1.14322374588961E-2</v>
      </c>
      <c r="AP17" s="60">
        <v>0.32012370000000001</v>
      </c>
      <c r="AQ17" s="104">
        <f t="shared" si="33"/>
        <v>4.2336975916508441</v>
      </c>
      <c r="AR17" s="71">
        <v>3.982548</v>
      </c>
      <c r="AS17" s="60">
        <f t="shared" si="9"/>
        <v>8.6468347836141188E-3</v>
      </c>
      <c r="AT17" s="60">
        <v>0.25812370000000001</v>
      </c>
      <c r="AU17" s="104">
        <f t="shared" si="34"/>
        <v>4.0158619222508447</v>
      </c>
      <c r="AV17" s="71">
        <v>4.2083269999999997</v>
      </c>
      <c r="AW17" s="60">
        <f t="shared" si="10"/>
        <v>1.7633354516978662E-2</v>
      </c>
      <c r="AX17" s="60">
        <v>0.3146736</v>
      </c>
      <c r="AY17" s="104">
        <f t="shared" si="35"/>
        <v>4.2578367372684793</v>
      </c>
      <c r="AZ17" s="71">
        <v>4.0170060000000003</v>
      </c>
      <c r="BA17" s="60">
        <f t="shared" si="11"/>
        <v>3.4258028454234434E-3</v>
      </c>
      <c r="BB17" s="60">
        <v>0.2707966</v>
      </c>
      <c r="BC17" s="104">
        <f t="shared" si="36"/>
        <v>4.05367139928578</v>
      </c>
      <c r="BD17" s="71">
        <v>4.203265</v>
      </c>
      <c r="BE17" s="60">
        <f t="shared" si="12"/>
        <v>1.6314605904641205E-2</v>
      </c>
      <c r="BF17" s="60">
        <v>0.30194320000000002</v>
      </c>
      <c r="BG17" s="104">
        <f t="shared" si="38"/>
        <v>4.24884984801312</v>
      </c>
      <c r="BH17" s="71">
        <v>4.033366</v>
      </c>
      <c r="BI17" s="60">
        <f t="shared" si="13"/>
        <v>1.7783391210936033E-3</v>
      </c>
      <c r="BJ17" s="60">
        <v>0.26969120000000002</v>
      </c>
      <c r="BK17" s="104">
        <f t="shared" si="39"/>
        <v>4.0697326716787199</v>
      </c>
      <c r="BL17" s="71">
        <v>4.1952959999999999</v>
      </c>
      <c r="BM17" s="60">
        <f t="shared" si="14"/>
        <v>1.4342371774593791E-2</v>
      </c>
      <c r="BN17" s="60">
        <v>0.31652819999999998</v>
      </c>
      <c r="BO17" s="104">
        <f t="shared" si="40"/>
        <v>4.24539105069762</v>
      </c>
      <c r="BP17" s="71">
        <v>4.0693970000000004</v>
      </c>
      <c r="BQ17" s="60">
        <f t="shared" si="15"/>
        <v>3.7691720618678074E-5</v>
      </c>
      <c r="BR17" s="60">
        <v>0.27727079999999998</v>
      </c>
      <c r="BS17" s="103">
        <f t="shared" si="41"/>
        <v>4.1078365482663202</v>
      </c>
      <c r="BT17" s="71">
        <v>4.1926189999999997</v>
      </c>
      <c r="BU17" s="60">
        <f t="shared" si="16"/>
        <v>1.3708344982055289E-2</v>
      </c>
      <c r="BV17" s="60">
        <v>0.30479529999999999</v>
      </c>
      <c r="BW17" s="104">
        <f t="shared" si="42"/>
        <v>4.2390690874510444</v>
      </c>
    </row>
    <row r="18" spans="1:76" s="12" customFormat="1" ht="15.75" x14ac:dyDescent="0.25">
      <c r="A18" s="12">
        <v>2012</v>
      </c>
      <c r="B18" s="160">
        <v>21.277018000000002</v>
      </c>
      <c r="C18" s="160">
        <f t="shared" si="0"/>
        <v>3.0576275230751495</v>
      </c>
      <c r="D18" s="105">
        <v>3.0713629999999998</v>
      </c>
      <c r="E18" s="103">
        <f>($C18-D18)^2</f>
        <v>1.8866332635309593E-4</v>
      </c>
      <c r="F18" s="103">
        <v>0.34171279999999998</v>
      </c>
      <c r="G18" s="104">
        <f>D18+(0.5*F18*F18)</f>
        <v>3.12974681884192</v>
      </c>
      <c r="H18" s="105">
        <v>3.1699519999999999</v>
      </c>
      <c r="I18" s="103">
        <f t="shared" si="1"/>
        <v>1.2616788116441242E-2</v>
      </c>
      <c r="J18" s="60">
        <v>0.2415254</v>
      </c>
      <c r="K18" s="104">
        <f t="shared" si="19"/>
        <v>3.1991192594225799</v>
      </c>
      <c r="L18" s="71">
        <v>2.9712149999999999</v>
      </c>
      <c r="M18" s="60">
        <f t="shared" si="1"/>
        <v>7.4671241442132571E-3</v>
      </c>
      <c r="N18" s="60">
        <v>0.24999499999999999</v>
      </c>
      <c r="O18" s="104">
        <f t="shared" si="20"/>
        <v>3.0024637500124998</v>
      </c>
      <c r="P18" s="71">
        <v>3.0348030000000001</v>
      </c>
      <c r="Q18" s="60">
        <f t="shared" si="21"/>
        <v>5.2095885360802614E-4</v>
      </c>
      <c r="R18" s="60">
        <v>0.30664780000000003</v>
      </c>
      <c r="S18" s="104">
        <f t="shared" si="22"/>
        <v>3.0818194366224203</v>
      </c>
      <c r="T18" s="71">
        <v>2.943711</v>
      </c>
      <c r="U18" s="60">
        <f t="shared" si="23"/>
        <v>1.2976974229531079E-2</v>
      </c>
      <c r="V18" s="60">
        <v>0.26670749999999999</v>
      </c>
      <c r="W18" s="104">
        <f t="shared" si="24"/>
        <v>2.9792774452781248</v>
      </c>
      <c r="X18" s="71">
        <v>3.0214439999999998</v>
      </c>
      <c r="Y18" s="60">
        <f t="shared" si="25"/>
        <v>1.3092473421298918E-3</v>
      </c>
      <c r="Z18" s="60">
        <v>0.29229319999999998</v>
      </c>
      <c r="AA18" s="104">
        <f t="shared" si="26"/>
        <v>3.0641616573831199</v>
      </c>
      <c r="AB18" s="71">
        <v>3.0421689999999999</v>
      </c>
      <c r="AC18" s="60">
        <f t="shared" si="27"/>
        <v>2.3896593566493298E-4</v>
      </c>
      <c r="AD18" s="60">
        <v>0.25605270000000002</v>
      </c>
      <c r="AE18" s="104">
        <f t="shared" si="28"/>
        <v>3.0749504925886448</v>
      </c>
      <c r="AF18" s="71">
        <v>3.0395089999999998</v>
      </c>
      <c r="AG18" s="60">
        <f t="shared" si="29"/>
        <v>3.2828087842473277E-4</v>
      </c>
      <c r="AH18" s="60">
        <v>0.31433990000000001</v>
      </c>
      <c r="AI18" s="104">
        <f t="shared" si="30"/>
        <v>3.088913786366005</v>
      </c>
      <c r="AJ18" s="71">
        <v>3.0195400000000001</v>
      </c>
      <c r="AK18" s="60">
        <f t="shared" ref="AK18" si="43">($C18-AJ18)^2</f>
        <v>1.450659414000038E-3</v>
      </c>
      <c r="AL18" s="60">
        <v>0.28126400000000001</v>
      </c>
      <c r="AM18" s="104">
        <f t="shared" si="31"/>
        <v>3.0590947188480002</v>
      </c>
      <c r="AN18" s="71">
        <v>3.042789</v>
      </c>
      <c r="AO18" s="60">
        <f t="shared" si="32"/>
        <v>2.2018176705174554E-4</v>
      </c>
      <c r="AP18" s="60">
        <v>0.30664979999999997</v>
      </c>
      <c r="AQ18" s="104">
        <f t="shared" si="33"/>
        <v>3.0898060499200199</v>
      </c>
      <c r="AR18" s="71">
        <v>2.954116</v>
      </c>
      <c r="AS18" s="60">
        <f t="shared" si="9"/>
        <v>1.0714635409337217E-2</v>
      </c>
      <c r="AT18" s="60">
        <v>0.24741750000000001</v>
      </c>
      <c r="AU18" s="104">
        <f t="shared" si="34"/>
        <v>2.9847237096531249</v>
      </c>
      <c r="AV18" s="71">
        <v>2.9963500000000001</v>
      </c>
      <c r="AW18" s="60">
        <f t="shared" si="10"/>
        <v>3.7549348342254723E-3</v>
      </c>
      <c r="AX18" s="60">
        <v>0.30224770000000001</v>
      </c>
      <c r="AY18" s="104">
        <f t="shared" si="35"/>
        <v>3.0420268360776452</v>
      </c>
      <c r="AZ18" s="71">
        <v>2.896401</v>
      </c>
      <c r="BA18" s="60">
        <f t="shared" ref="BA18" si="44">($C18-AZ18)^2</f>
        <v>2.5993991742901717E-2</v>
      </c>
      <c r="BB18" s="60">
        <v>0.25869300000000001</v>
      </c>
      <c r="BC18" s="104">
        <f t="shared" si="36"/>
        <v>2.9298620341245001</v>
      </c>
      <c r="BD18" s="71">
        <v>2.994631</v>
      </c>
      <c r="BE18" s="60">
        <f t="shared" si="37"/>
        <v>3.9685619195578394E-3</v>
      </c>
      <c r="BF18" s="60">
        <v>0.29003649999999997</v>
      </c>
      <c r="BG18" s="104">
        <f t="shared" si="38"/>
        <v>3.0366915856661252</v>
      </c>
      <c r="BH18" s="71">
        <v>2.9778500000000001</v>
      </c>
      <c r="BI18" s="60">
        <f t="shared" si="13"/>
        <v>6.3644531880059953E-3</v>
      </c>
      <c r="BJ18" s="60">
        <v>0.25740160000000001</v>
      </c>
      <c r="BK18" s="104">
        <f t="shared" si="39"/>
        <v>3.0109777918412801</v>
      </c>
      <c r="BL18" s="71">
        <v>3.0202360000000001</v>
      </c>
      <c r="BM18" s="60">
        <f t="shared" si="14"/>
        <v>1.3981259978794278E-3</v>
      </c>
      <c r="BN18" s="60">
        <v>0.30359849999999999</v>
      </c>
      <c r="BO18" s="104">
        <f t="shared" si="40"/>
        <v>3.0663220246011251</v>
      </c>
      <c r="BP18" s="71">
        <v>2.9348700000000001</v>
      </c>
      <c r="BQ18" s="60">
        <f t="shared" si="15"/>
        <v>1.5069409471545843E-2</v>
      </c>
      <c r="BR18" s="60">
        <v>0.26437270000000002</v>
      </c>
      <c r="BS18" s="103">
        <f t="shared" si="41"/>
        <v>2.9698164622526453</v>
      </c>
      <c r="BT18" s="71">
        <v>3.0152359999999998</v>
      </c>
      <c r="BU18" s="60">
        <f t="shared" si="16"/>
        <v>1.79704122863095E-3</v>
      </c>
      <c r="BV18" s="60">
        <v>0.29240129999999998</v>
      </c>
      <c r="BW18" s="104">
        <f t="shared" si="42"/>
        <v>3.0579852601208448</v>
      </c>
    </row>
    <row r="19" spans="1:76" s="12" customFormat="1" ht="15.75" x14ac:dyDescent="0.25">
      <c r="A19" s="12">
        <v>2013</v>
      </c>
      <c r="B19" s="160">
        <v>94.719412000000005</v>
      </c>
      <c r="C19" s="160">
        <f t="shared" si="0"/>
        <v>4.5509189633461569</v>
      </c>
      <c r="D19" s="105">
        <v>3.8868879999999999</v>
      </c>
      <c r="E19" s="103">
        <f t="shared" ref="E19:E22" si="45">($C19-D19)^2</f>
        <v>0.44093712028242527</v>
      </c>
      <c r="F19" s="103">
        <v>0.3283257</v>
      </c>
      <c r="G19" s="104">
        <f t="shared" si="18"/>
        <v>3.940786882640245</v>
      </c>
      <c r="H19" s="105">
        <v>4.1469880000000003</v>
      </c>
      <c r="I19" s="103">
        <f t="shared" si="1"/>
        <v>0.16316022314975404</v>
      </c>
      <c r="J19" s="60">
        <v>0.23313249999999999</v>
      </c>
      <c r="K19" s="104">
        <f t="shared" si="19"/>
        <v>4.1741633812781256</v>
      </c>
      <c r="L19" s="71">
        <v>4.065944</v>
      </c>
      <c r="M19" s="60">
        <f t="shared" si="1"/>
        <v>0.2352007150726062</v>
      </c>
      <c r="N19" s="60">
        <v>0.24043320000000001</v>
      </c>
      <c r="O19" s="104">
        <f t="shared" si="20"/>
        <v>4.0948480618311196</v>
      </c>
      <c r="P19" s="71">
        <v>4.0544609999999999</v>
      </c>
      <c r="Q19" s="60">
        <f t="shared" ref="Q19" si="46">($C19-P19)^2</f>
        <v>0.24647050936981416</v>
      </c>
      <c r="R19" s="60">
        <v>0.2936551</v>
      </c>
      <c r="S19" s="104">
        <f t="shared" si="22"/>
        <v>4.0975776588780048</v>
      </c>
      <c r="T19" s="71">
        <v>4.070055</v>
      </c>
      <c r="U19" s="60">
        <f t="shared" ref="U19" si="47">($C19-T19)^2</f>
        <v>0.23123015124497412</v>
      </c>
      <c r="V19" s="60">
        <v>0.2570945</v>
      </c>
      <c r="W19" s="104">
        <f t="shared" si="24"/>
        <v>4.1031037909651253</v>
      </c>
      <c r="X19" s="71">
        <v>4.0759150000000002</v>
      </c>
      <c r="Y19" s="60">
        <f t="shared" ref="Y19" si="48">($C19-X19)^2</f>
        <v>0.22562876519455696</v>
      </c>
      <c r="Z19" s="60">
        <v>0.28001310000000001</v>
      </c>
      <c r="AA19" s="104">
        <f t="shared" si="26"/>
        <v>4.1151186680858052</v>
      </c>
      <c r="AB19" s="71">
        <v>3.9743909999999998</v>
      </c>
      <c r="AC19" s="60">
        <f t="shared" ref="AC19" si="49">($C19-AB19)^2</f>
        <v>0.33238449252006785</v>
      </c>
      <c r="AD19" s="60">
        <v>0.24518599999999999</v>
      </c>
      <c r="AE19" s="104">
        <f t="shared" si="28"/>
        <v>4.0044490872980001</v>
      </c>
      <c r="AF19" s="71">
        <v>4.0799209999999997</v>
      </c>
      <c r="AG19" s="60">
        <f t="shared" ref="AG19" si="50">($C19-AF19)^2</f>
        <v>0.22183908147622802</v>
      </c>
      <c r="AH19" s="60">
        <v>0.30099579999999998</v>
      </c>
      <c r="AI19" s="104">
        <f t="shared" si="30"/>
        <v>4.1252202358088192</v>
      </c>
      <c r="AJ19" s="71">
        <v>4.0444889999999996</v>
      </c>
      <c r="AK19" s="60">
        <f t="shared" ref="AK19" si="51">($C19-AJ19)^2</f>
        <v>0.25647130777479021</v>
      </c>
      <c r="AL19" s="60">
        <v>0.2694782</v>
      </c>
      <c r="AM19" s="104">
        <f t="shared" si="31"/>
        <v>4.0807982501376197</v>
      </c>
      <c r="AN19" s="71">
        <v>4.0947129999999996</v>
      </c>
      <c r="AO19" s="60">
        <f t="shared" ref="AO19" si="52">($C19-AN19)^2</f>
        <v>0.20812388099259538</v>
      </c>
      <c r="AP19" s="60">
        <v>0.29362120000000003</v>
      </c>
      <c r="AQ19" s="104">
        <f t="shared" si="33"/>
        <v>4.1378197045447198</v>
      </c>
      <c r="AR19" s="71">
        <v>4.0701879999999999</v>
      </c>
      <c r="AS19" s="60">
        <f t="shared" ref="AS19" si="53">($C19-AR19)^2</f>
        <v>0.2311022591197241</v>
      </c>
      <c r="AT19" s="60">
        <v>0.23844389999999999</v>
      </c>
      <c r="AU19" s="104">
        <f t="shared" si="34"/>
        <v>4.0986157467236053</v>
      </c>
      <c r="AV19" s="71">
        <v>4.0796390000000002</v>
      </c>
      <c r="AW19" s="60">
        <f t="shared" ref="AW19" si="54">($C19-AV19)^2</f>
        <v>0.22210480385155473</v>
      </c>
      <c r="AX19" s="60">
        <v>0.28983039999999999</v>
      </c>
      <c r="AY19" s="104">
        <f t="shared" si="35"/>
        <v>4.1216398303820805</v>
      </c>
      <c r="AZ19" s="71">
        <v>4.0709580000000001</v>
      </c>
      <c r="BA19" s="60">
        <f t="shared" ref="BA19" si="55">($C19-AZ19)^2</f>
        <v>0.23036252633617085</v>
      </c>
      <c r="BB19" s="60">
        <v>0.25120559999999997</v>
      </c>
      <c r="BC19" s="104">
        <f t="shared" si="36"/>
        <v>4.1025101267356803</v>
      </c>
      <c r="BD19" s="71">
        <v>4.0985810000000003</v>
      </c>
      <c r="BE19" s="60">
        <f t="shared" ref="BE19" si="56">($C19-BD19)^2</f>
        <v>0.20460963308414892</v>
      </c>
      <c r="BF19" s="60">
        <v>0.27818549999999997</v>
      </c>
      <c r="BG19" s="104">
        <f t="shared" si="38"/>
        <v>4.137274586205125</v>
      </c>
      <c r="BH19" s="71">
        <v>4.085801</v>
      </c>
      <c r="BI19" s="60">
        <f t="shared" ref="BI19" si="57">($C19-BH19)^2</f>
        <v>0.21633471982727689</v>
      </c>
      <c r="BJ19" s="60">
        <v>0.24733949999999999</v>
      </c>
      <c r="BK19" s="104">
        <f t="shared" si="39"/>
        <v>4.1163894141301247</v>
      </c>
      <c r="BL19" s="71">
        <v>4.0394180000000004</v>
      </c>
      <c r="BM19" s="60">
        <f t="shared" si="14"/>
        <v>0.2616332355040461</v>
      </c>
      <c r="BN19" s="60">
        <v>0.29084149999999998</v>
      </c>
      <c r="BO19" s="104">
        <f t="shared" si="40"/>
        <v>4.0817123890611251</v>
      </c>
      <c r="BP19" s="71">
        <v>4.0839970000000001</v>
      </c>
      <c r="BQ19" s="60">
        <f t="shared" si="15"/>
        <v>0.21801611985502975</v>
      </c>
      <c r="BR19" s="60">
        <v>0.25515130000000003</v>
      </c>
      <c r="BS19" s="103">
        <f t="shared" si="41"/>
        <v>4.1165480929458447</v>
      </c>
      <c r="BT19" s="71">
        <v>4.0651510000000002</v>
      </c>
      <c r="BU19" s="60">
        <f t="shared" ref="BU19" si="58">($C19-BT19)^2</f>
        <v>0.23597051421347304</v>
      </c>
      <c r="BV19" s="60">
        <v>0.28017710000000001</v>
      </c>
      <c r="BW19" s="104">
        <f t="shared" si="42"/>
        <v>4.1044006036822056</v>
      </c>
    </row>
    <row r="20" spans="1:76" s="12" customFormat="1" ht="15.75" x14ac:dyDescent="0.25">
      <c r="A20" s="12">
        <v>2014</v>
      </c>
      <c r="B20" s="160">
        <v>37.173864700000003</v>
      </c>
      <c r="C20" s="160">
        <f t="shared" si="0"/>
        <v>3.6156059525389286</v>
      </c>
      <c r="D20" s="105">
        <v>3.35059</v>
      </c>
      <c r="E20" s="103">
        <f t="shared" si="45"/>
        <v>7.0233455100115666E-2</v>
      </c>
      <c r="F20" s="103">
        <v>0.35902040000000002</v>
      </c>
      <c r="G20" s="104">
        <f t="shared" si="18"/>
        <v>3.4150378238080799</v>
      </c>
      <c r="H20" s="105">
        <v>3.3828369999999999</v>
      </c>
      <c r="I20" s="103">
        <f t="shared" si="1"/>
        <v>5.4181385266070047E-2</v>
      </c>
      <c r="J20" s="60">
        <v>0.2465166</v>
      </c>
      <c r="K20" s="104">
        <f t="shared" si="19"/>
        <v>3.4132222170377799</v>
      </c>
      <c r="L20" s="71">
        <v>3.5769790000000001</v>
      </c>
      <c r="M20" s="60">
        <f t="shared" si="1"/>
        <v>1.4920414624446309E-3</v>
      </c>
      <c r="N20" s="60">
        <v>0.2631464</v>
      </c>
      <c r="O20" s="104">
        <f t="shared" si="20"/>
        <v>3.6116020139164799</v>
      </c>
      <c r="P20" s="71">
        <v>3.307728</v>
      </c>
      <c r="Q20" s="60">
        <f t="shared" ref="Q20" si="59">($C20-P20)^2</f>
        <v>9.4788833659562755E-2</v>
      </c>
      <c r="R20" s="60">
        <v>0.30951669999999998</v>
      </c>
      <c r="S20" s="104">
        <f t="shared" si="22"/>
        <v>3.355628293789445</v>
      </c>
      <c r="T20" s="71">
        <v>3.4512390000000002</v>
      </c>
      <c r="U20" s="60">
        <f t="shared" ref="U20" si="60">($C20-T20)^2</f>
        <v>2.7016495086934347E-2</v>
      </c>
      <c r="V20" s="60">
        <v>0.2765784</v>
      </c>
      <c r="W20" s="104">
        <f t="shared" si="24"/>
        <v>3.48948680567328</v>
      </c>
      <c r="X20" s="71">
        <v>3.3560880000000002</v>
      </c>
      <c r="Y20" s="60">
        <f t="shared" ref="Y20" si="61">($C20-X20)^2</f>
        <v>6.7349567689997489E-2</v>
      </c>
      <c r="Z20" s="60">
        <v>0.29528650000000001</v>
      </c>
      <c r="AA20" s="104">
        <f t="shared" si="26"/>
        <v>3.3996850585411251</v>
      </c>
      <c r="AB20" s="71">
        <v>3.5583269999999998</v>
      </c>
      <c r="AC20" s="60">
        <f t="shared" ref="AC20" si="62">($C20-AB20)^2</f>
        <v>3.2808784039568563E-3</v>
      </c>
      <c r="AD20" s="60">
        <v>0.28041329999999998</v>
      </c>
      <c r="AE20" s="104">
        <f t="shared" si="28"/>
        <v>3.5976428094084447</v>
      </c>
      <c r="AF20" s="71">
        <v>3.318835</v>
      </c>
      <c r="AG20" s="60">
        <f t="shared" ref="AG20" si="63">($C20-AF20)^2</f>
        <v>8.8072998270863012E-2</v>
      </c>
      <c r="AH20" s="60">
        <v>0.3125793</v>
      </c>
      <c r="AI20" s="104">
        <f t="shared" si="30"/>
        <v>3.3676879093942449</v>
      </c>
      <c r="AJ20" s="71">
        <v>3.4589460000000001</v>
      </c>
      <c r="AK20" s="60">
        <f t="shared" ref="AK20" si="64">($C20-AJ20)^2</f>
        <v>2.4542340729499332E-2</v>
      </c>
      <c r="AL20" s="60">
        <v>0.29039609999999999</v>
      </c>
      <c r="AM20" s="104">
        <f t="shared" si="31"/>
        <v>3.501110947447605</v>
      </c>
      <c r="AN20" s="71">
        <v>3.3597899999999998</v>
      </c>
      <c r="AO20" s="60">
        <f t="shared" ref="AO20" si="65">($C20-AN20)^2</f>
        <v>6.5441801573399447E-2</v>
      </c>
      <c r="AP20" s="60">
        <v>0.30462610000000001</v>
      </c>
      <c r="AQ20" s="104">
        <f t="shared" si="33"/>
        <v>3.406188530400605</v>
      </c>
      <c r="AR20" s="71">
        <v>3.6073559999999998</v>
      </c>
      <c r="AS20" s="60">
        <f t="shared" ref="AS20" si="66">($C20-AR20)^2</f>
        <v>6.8061716894577675E-5</v>
      </c>
      <c r="AT20" s="60">
        <v>0.2609031</v>
      </c>
      <c r="AU20" s="104">
        <f t="shared" si="34"/>
        <v>3.6413912137948046</v>
      </c>
      <c r="AV20" s="71">
        <v>3.2969750000000002</v>
      </c>
      <c r="AW20" s="60">
        <f t="shared" ref="AW20" si="67">($C20-AV20)^2</f>
        <v>0.10152568391586482</v>
      </c>
      <c r="AX20" s="60">
        <v>0.30318270000000003</v>
      </c>
      <c r="AY20" s="104">
        <f t="shared" si="35"/>
        <v>3.3429348747896452</v>
      </c>
      <c r="AZ20" s="71">
        <v>3.4712670000000001</v>
      </c>
      <c r="BA20" s="60">
        <f t="shared" ref="BA20" si="68">($C20-AZ20)^2</f>
        <v>2.0833733220035049E-2</v>
      </c>
      <c r="BB20" s="60">
        <v>0.27149390000000001</v>
      </c>
      <c r="BC20" s="104">
        <f t="shared" si="36"/>
        <v>3.5081214688686053</v>
      </c>
      <c r="BD20" s="71">
        <v>3.3522699999999999</v>
      </c>
      <c r="BE20" s="60">
        <f t="shared" ref="BE20" si="69">($C20-BD20)^2</f>
        <v>6.9345823899584921E-2</v>
      </c>
      <c r="BF20" s="60">
        <v>0.29099399999999997</v>
      </c>
      <c r="BG20" s="104">
        <f t="shared" si="38"/>
        <v>3.3946087540179999</v>
      </c>
      <c r="BH20" s="71">
        <v>3.4192450000000001</v>
      </c>
      <c r="BI20" s="60">
        <f t="shared" ref="BI20" si="70">($C20-BH20)^2</f>
        <v>3.8557623681995327E-2</v>
      </c>
      <c r="BJ20" s="60">
        <v>0.26627820000000002</v>
      </c>
      <c r="BK20" s="104">
        <f t="shared" si="39"/>
        <v>3.4546970398976202</v>
      </c>
      <c r="BL20" s="71">
        <v>3.1977600000000002</v>
      </c>
      <c r="BM20" s="60">
        <f t="shared" ref="BM20" si="71">($C20-BL20)^2</f>
        <v>0.17459524005316443</v>
      </c>
      <c r="BN20" s="60">
        <v>0.30906840000000002</v>
      </c>
      <c r="BO20" s="104">
        <f t="shared" si="40"/>
        <v>3.2455216379392802</v>
      </c>
      <c r="BP20" s="71">
        <v>3.309723</v>
      </c>
      <c r="BQ20" s="60">
        <f t="shared" ref="BQ20" si="72">($C20-BP20)^2</f>
        <v>9.3564380653932452E-2</v>
      </c>
      <c r="BR20" s="60">
        <v>0.27312550000000002</v>
      </c>
      <c r="BS20" s="103">
        <f t="shared" si="41"/>
        <v>3.3470217693751252</v>
      </c>
      <c r="BT20" s="71">
        <v>3.2302919999999999</v>
      </c>
      <c r="BU20" s="60">
        <f t="shared" ref="BU20" si="73">($C20-BT20)^2</f>
        <v>0.14846684202117175</v>
      </c>
      <c r="BV20" s="60">
        <v>0.29676649999999999</v>
      </c>
      <c r="BW20" s="104">
        <f t="shared" si="42"/>
        <v>3.2743271777611249</v>
      </c>
    </row>
    <row r="21" spans="1:76" s="12" customFormat="1" ht="15.75" x14ac:dyDescent="0.25">
      <c r="A21" s="12">
        <v>2015</v>
      </c>
      <c r="B21" s="160">
        <v>35.092568</v>
      </c>
      <c r="C21" s="160">
        <f t="shared" si="0"/>
        <v>3.5579893701604499</v>
      </c>
      <c r="D21" s="105">
        <v>4.0707930000000001</v>
      </c>
      <c r="E21" s="103">
        <f>($C21-D21)^2</f>
        <v>0.26296756277661842</v>
      </c>
      <c r="F21" s="103">
        <v>0.352991</v>
      </c>
      <c r="G21" s="104">
        <f t="shared" si="18"/>
        <v>4.1330943230405</v>
      </c>
      <c r="H21" s="105">
        <v>4.0448320000000004</v>
      </c>
      <c r="I21" s="103">
        <f t="shared" si="1"/>
        <v>0.23701574622908961</v>
      </c>
      <c r="J21" s="60">
        <v>0.24490919999999999</v>
      </c>
      <c r="K21" s="104">
        <f t="shared" si="19"/>
        <v>4.0748222581223201</v>
      </c>
      <c r="L21" s="71">
        <v>3.7432530000000002</v>
      </c>
      <c r="M21" s="60">
        <f t="shared" si="1"/>
        <v>3.4322612541325896E-2</v>
      </c>
      <c r="N21" s="60">
        <v>0.25375760000000003</v>
      </c>
      <c r="O21" s="104">
        <f t="shared" si="20"/>
        <v>3.7754494597788804</v>
      </c>
      <c r="P21" s="71">
        <v>3.9745059999999999</v>
      </c>
      <c r="Q21" s="60">
        <f t="shared" ref="Q21" si="74">($C21-P21)^2</f>
        <v>0.17348610293289668</v>
      </c>
      <c r="R21" s="60">
        <v>0.3084752</v>
      </c>
      <c r="S21" s="104">
        <f t="shared" si="22"/>
        <v>4.0220844745075199</v>
      </c>
      <c r="T21" s="71">
        <v>3.9825439999999999</v>
      </c>
      <c r="U21" s="60">
        <f t="shared" ref="U21" si="75">($C21-T21)^2</f>
        <v>0.18024663371819727</v>
      </c>
      <c r="V21" s="60">
        <v>0.26978459999999999</v>
      </c>
      <c r="W21" s="104">
        <f t="shared" si="24"/>
        <v>4.0189358651985803</v>
      </c>
      <c r="X21" s="71">
        <v>4.0212620000000001</v>
      </c>
      <c r="Y21" s="60">
        <f t="shared" ref="Y21" si="76">($C21-X21)^2</f>
        <v>0.2146215295584529</v>
      </c>
      <c r="Z21" s="60">
        <v>0.2922051</v>
      </c>
      <c r="AA21" s="104">
        <f t="shared" si="26"/>
        <v>4.0639539102330051</v>
      </c>
      <c r="AB21" s="71">
        <v>3.7558799999999999</v>
      </c>
      <c r="AC21" s="60">
        <f t="shared" ref="AC21" si="77">($C21-AB21)^2</f>
        <v>3.9160701378293784E-2</v>
      </c>
      <c r="AD21" s="60">
        <v>0.27059179999999999</v>
      </c>
      <c r="AE21" s="104">
        <f t="shared" si="28"/>
        <v>3.79248996111362</v>
      </c>
      <c r="AF21" s="71">
        <v>3.976137</v>
      </c>
      <c r="AG21" s="60">
        <f t="shared" ref="AG21" si="78">($C21-AF21)^2</f>
        <v>0.17484744034043342</v>
      </c>
      <c r="AH21" s="60">
        <v>0.3106352</v>
      </c>
      <c r="AI21" s="104">
        <f t="shared" si="30"/>
        <v>4.0243841137395204</v>
      </c>
      <c r="AJ21" s="71">
        <v>3.9591270000000001</v>
      </c>
      <c r="AK21" s="60">
        <f t="shared" ref="AK21" si="79">($C21-AJ21)^2</f>
        <v>0.16091139807329194</v>
      </c>
      <c r="AL21" s="60">
        <v>0.28265200000000001</v>
      </c>
      <c r="AM21" s="104">
        <f t="shared" si="31"/>
        <v>3.999073076552</v>
      </c>
      <c r="AN21" s="71">
        <v>4.0183030000000004</v>
      </c>
      <c r="AO21" s="60">
        <f t="shared" ref="AO21" si="80">($C21-AN21)^2</f>
        <v>0.21188863781606271</v>
      </c>
      <c r="AP21" s="60">
        <v>0.30076730000000002</v>
      </c>
      <c r="AQ21" s="104">
        <f t="shared" si="33"/>
        <v>4.0635334843746458</v>
      </c>
      <c r="AR21" s="71">
        <v>3.6872199999999999</v>
      </c>
      <c r="AS21" s="60">
        <f t="shared" ref="AS21" si="81">($C21-AR21)^2</f>
        <v>1.6700555688726797E-2</v>
      </c>
      <c r="AT21" s="60">
        <v>0.2514209</v>
      </c>
      <c r="AU21" s="104">
        <f t="shared" si="34"/>
        <v>3.7188262344784051</v>
      </c>
      <c r="AV21" s="71">
        <v>3.9450919999999998</v>
      </c>
      <c r="AW21" s="60">
        <f t="shared" ref="AW21" si="82">($C21-AV21)^2</f>
        <v>0.1498484460286956</v>
      </c>
      <c r="AX21" s="60">
        <v>0.30329060000000002</v>
      </c>
      <c r="AY21" s="104">
        <f t="shared" si="35"/>
        <v>3.9910845940241799</v>
      </c>
      <c r="AZ21" s="71">
        <v>3.9559090000000001</v>
      </c>
      <c r="BA21" s="60">
        <f t="shared" ref="BA21" si="83">($C21-AZ21)^2</f>
        <v>0.15834003181164466</v>
      </c>
      <c r="BB21" s="60">
        <v>0.26417679999999999</v>
      </c>
      <c r="BC21" s="104">
        <f t="shared" si="36"/>
        <v>3.9908036908291202</v>
      </c>
      <c r="BD21" s="71">
        <v>4.0061580000000001</v>
      </c>
      <c r="BE21" s="60">
        <f t="shared" ref="BE21" si="84">($C21-BD21)^2</f>
        <v>0.20085512077225975</v>
      </c>
      <c r="BF21" s="60">
        <v>0.288406</v>
      </c>
      <c r="BG21" s="104">
        <f t="shared" si="38"/>
        <v>4.047747010418</v>
      </c>
      <c r="BH21" s="71">
        <v>3.7594569999999998</v>
      </c>
      <c r="BI21" s="60">
        <f t="shared" ref="BI21" si="85">($C21-BH21)^2</f>
        <v>4.0589205873165904E-2</v>
      </c>
      <c r="BJ21" s="60">
        <v>0.26145069999999998</v>
      </c>
      <c r="BK21" s="104">
        <f t="shared" si="39"/>
        <v>3.7936352342652446</v>
      </c>
      <c r="BL21" s="71">
        <v>3.9375900000000001</v>
      </c>
      <c r="BM21" s="60">
        <f t="shared" ref="BM21" si="86">($C21-BL21)^2</f>
        <v>0.14409663817458324</v>
      </c>
      <c r="BN21" s="60">
        <v>0.3158049</v>
      </c>
      <c r="BO21" s="104">
        <f t="shared" si="40"/>
        <v>3.9874563674320052</v>
      </c>
      <c r="BP21" s="71">
        <v>3.991495</v>
      </c>
      <c r="BQ21" s="60">
        <f t="shared" ref="BQ21" si="87">($C21-BP21)^2</f>
        <v>0.18792713110258502</v>
      </c>
      <c r="BR21" s="60">
        <v>0.2745824</v>
      </c>
      <c r="BS21" s="103">
        <f t="shared" si="41"/>
        <v>4.0291927471948803</v>
      </c>
      <c r="BT21" s="71">
        <v>3.9915759999999998</v>
      </c>
      <c r="BU21" s="60">
        <f t="shared" ref="BU21" si="88">($C21-BT21)^2</f>
        <v>0.18799736557561883</v>
      </c>
      <c r="BV21" s="60">
        <v>0.30220259999999999</v>
      </c>
      <c r="BW21" s="104">
        <f t="shared" si="42"/>
        <v>4.0372392057233801</v>
      </c>
    </row>
    <row r="22" spans="1:76" s="12" customFormat="1" ht="15.75" x14ac:dyDescent="0.25">
      <c r="A22" s="12">
        <v>2016</v>
      </c>
      <c r="B22" s="160">
        <v>18.374199999999998</v>
      </c>
      <c r="C22" s="160">
        <f t="shared" si="0"/>
        <v>2.9109475067361537</v>
      </c>
      <c r="D22" s="105">
        <v>3.483835</v>
      </c>
      <c r="E22" s="103">
        <f t="shared" si="45"/>
        <v>0.3282000799381336</v>
      </c>
      <c r="F22" s="103">
        <v>0.36282530000000002</v>
      </c>
      <c r="G22" s="104">
        <f t="shared" si="18"/>
        <v>3.5496560991600452</v>
      </c>
      <c r="H22" s="105">
        <v>3.1527720000000001</v>
      </c>
      <c r="I22" s="103">
        <f t="shared" si="1"/>
        <v>5.847908554231613E-2</v>
      </c>
      <c r="J22" s="60">
        <v>0.26500620000000003</v>
      </c>
      <c r="K22" s="104">
        <f t="shared" si="19"/>
        <v>3.1878861430192202</v>
      </c>
      <c r="L22" s="71">
        <v>2.6719970000000002</v>
      </c>
      <c r="M22" s="60">
        <f t="shared" si="1"/>
        <v>5.7097344669464527E-2</v>
      </c>
      <c r="N22" s="60">
        <v>0.24895100000000001</v>
      </c>
      <c r="O22" s="104">
        <f t="shared" si="20"/>
        <v>2.7029853002005</v>
      </c>
      <c r="P22" s="71">
        <v>3.0960329999999998</v>
      </c>
      <c r="Q22" s="60">
        <f t="shared" ref="Q22" si="89">($C22-P22)^2</f>
        <v>3.4256639816721238E-2</v>
      </c>
      <c r="R22" s="60">
        <v>0.31478099999999998</v>
      </c>
      <c r="S22" s="104">
        <f t="shared" si="22"/>
        <v>3.1455765389804999</v>
      </c>
      <c r="T22" s="71">
        <v>2.7551269999999999</v>
      </c>
      <c r="U22" s="60">
        <f t="shared" ref="U22" si="90">($C22-T22)^2</f>
        <v>2.4280030319511745E-2</v>
      </c>
      <c r="V22" s="60">
        <v>0.28050530000000001</v>
      </c>
      <c r="W22" s="104">
        <f t="shared" si="24"/>
        <v>2.7944686116640449</v>
      </c>
      <c r="X22" s="71">
        <v>2.9821770000000001</v>
      </c>
      <c r="Y22" s="60">
        <f>($C22-X22)^2</f>
        <v>5.0736407106243431E-3</v>
      </c>
      <c r="Z22" s="60">
        <v>0.30423240000000001</v>
      </c>
      <c r="AA22" s="104">
        <f t="shared" si="26"/>
        <v>3.0284556766048802</v>
      </c>
      <c r="AB22" s="71">
        <v>2.8376009999999998</v>
      </c>
      <c r="AC22" s="60">
        <f t="shared" ref="AC22" si="91">($C22-AB22)^2</f>
        <v>5.3797100503966602E-3</v>
      </c>
      <c r="AD22" s="60">
        <v>0.26545829999999998</v>
      </c>
      <c r="AE22" s="104">
        <f t="shared" si="28"/>
        <v>2.8728350545194448</v>
      </c>
      <c r="AF22" s="71">
        <v>3.1768809999999998</v>
      </c>
      <c r="AG22" s="60">
        <f t="shared" ref="AG22" si="92">($C22-AF22)^2</f>
        <v>7.0720622839512123E-2</v>
      </c>
      <c r="AH22" s="60">
        <v>0.31688430000000001</v>
      </c>
      <c r="AI22" s="104">
        <f t="shared" si="30"/>
        <v>3.227088829793245</v>
      </c>
      <c r="AJ22" s="71">
        <v>2.8696389999999998</v>
      </c>
      <c r="AK22" s="60">
        <f t="shared" ref="AK22" si="93">($C22-AJ22)^2</f>
        <v>1.7063927287708661E-3</v>
      </c>
      <c r="AL22" s="60">
        <v>0.29000140000000002</v>
      </c>
      <c r="AM22" s="104">
        <f t="shared" si="31"/>
        <v>2.9116894060009799</v>
      </c>
      <c r="AN22" s="71">
        <v>3.0847889999999998</v>
      </c>
      <c r="AO22" s="60">
        <f t="shared" ref="AO22" si="94">($C22-AN22)^2</f>
        <v>3.0220864780203856E-2</v>
      </c>
      <c r="AP22" s="60">
        <v>0.31164340000000001</v>
      </c>
      <c r="AQ22" s="104">
        <f t="shared" si="33"/>
        <v>3.1333498043817798</v>
      </c>
      <c r="AR22" s="71">
        <v>2.5916670000000002</v>
      </c>
      <c r="AS22" s="60">
        <f t="shared" ref="AS22" si="95">($C22-AR22)^2</f>
        <v>0.10194004198169496</v>
      </c>
      <c r="AT22" s="60">
        <v>0.2447107</v>
      </c>
      <c r="AU22" s="104">
        <f t="shared" si="34"/>
        <v>2.6216086633472453</v>
      </c>
      <c r="AV22" s="71">
        <v>2.9779089999999999</v>
      </c>
      <c r="AW22" s="60">
        <f t="shared" ref="AW22" si="96">($C22-AV22)^2</f>
        <v>4.4838415801241281E-3</v>
      </c>
      <c r="AX22" s="60">
        <v>0.30765160000000003</v>
      </c>
      <c r="AY22" s="104">
        <f t="shared" si="35"/>
        <v>3.0252337534912801</v>
      </c>
      <c r="AZ22" s="71">
        <v>2.6189249999999999</v>
      </c>
      <c r="BA22" s="60">
        <f t="shared" ref="BA22" si="97">($C22-AZ22)^2</f>
        <v>8.527714444046694E-2</v>
      </c>
      <c r="BB22" s="60">
        <v>0.27300980000000002</v>
      </c>
      <c r="BC22" s="104">
        <f t="shared" si="36"/>
        <v>2.65619217544802</v>
      </c>
      <c r="BD22" s="71">
        <v>2.8778280000000001</v>
      </c>
      <c r="BE22" s="60">
        <f t="shared" ref="BE22" si="98">($C22-BD22)^2</f>
        <v>1.0969017264461239E-3</v>
      </c>
      <c r="BF22" s="60">
        <v>0.29941380000000001</v>
      </c>
      <c r="BG22" s="104">
        <f t="shared" si="38"/>
        <v>2.9226523118152201</v>
      </c>
      <c r="BH22" s="71">
        <v>2.5352000000000001</v>
      </c>
      <c r="BI22" s="60">
        <f t="shared" ref="BI22" si="99">($C22-BH22)^2</f>
        <v>0.14118618881843575</v>
      </c>
      <c r="BJ22" s="60">
        <v>0.25695709999999999</v>
      </c>
      <c r="BK22" s="104">
        <f t="shared" si="39"/>
        <v>2.5682134756202051</v>
      </c>
      <c r="BL22" s="71">
        <v>2.985922</v>
      </c>
      <c r="BM22" s="60">
        <f t="shared" ref="BM22" si="100">($C22-BL22)^2</f>
        <v>5.621174640170536E-3</v>
      </c>
      <c r="BN22" s="60">
        <v>0.31853809999999999</v>
      </c>
      <c r="BO22" s="104">
        <f t="shared" si="40"/>
        <v>3.036655260575805</v>
      </c>
      <c r="BP22" s="71">
        <v>2.647351</v>
      </c>
      <c r="BQ22" s="60">
        <f t="shared" ref="BQ22" si="101">($C22-BP22)^2</f>
        <v>6.9483118363503099E-2</v>
      </c>
      <c r="BR22" s="60">
        <v>0.2856455</v>
      </c>
      <c r="BS22" s="103">
        <f t="shared" si="41"/>
        <v>2.688147675835125</v>
      </c>
      <c r="BT22" s="71">
        <v>2.8841049999999999</v>
      </c>
      <c r="BU22" s="60">
        <f t="shared" ref="BU22" si="102">($C22-BT22)^2</f>
        <v>7.2052016788045877E-4</v>
      </c>
      <c r="BV22" s="60">
        <v>0.31054369999999998</v>
      </c>
      <c r="BW22" s="104">
        <f t="shared" si="42"/>
        <v>2.932323694804845</v>
      </c>
    </row>
    <row r="23" spans="1:76" s="12" customFormat="1" ht="15.75" x14ac:dyDescent="0.25">
      <c r="A23" s="12">
        <v>2017</v>
      </c>
      <c r="B23" s="160">
        <v>34.734366000000001</v>
      </c>
      <c r="C23" s="160">
        <f t="shared" si="0"/>
        <v>3.5477295714951795</v>
      </c>
      <c r="D23" s="106">
        <v>4.2254769999999997</v>
      </c>
      <c r="E23" s="103">
        <f>($C23-D23)^2</f>
        <v>0.45934157684489635</v>
      </c>
      <c r="F23" s="103">
        <v>0.376888</v>
      </c>
      <c r="G23" s="104">
        <f t="shared" si="18"/>
        <v>4.2964992822719994</v>
      </c>
      <c r="H23" s="106">
        <v>3.6818590000000002</v>
      </c>
      <c r="I23" s="103">
        <f t="shared" si="1"/>
        <v>1.7990703591029802E-2</v>
      </c>
      <c r="J23" s="60">
        <v>0.26261800000000002</v>
      </c>
      <c r="K23" s="104">
        <f t="shared" si="19"/>
        <v>3.7163431069620003</v>
      </c>
      <c r="L23" s="72">
        <v>3.6783419999999998</v>
      </c>
      <c r="M23" s="60">
        <f t="shared" si="1"/>
        <v>1.705960647992678E-2</v>
      </c>
      <c r="N23" s="60">
        <v>0.24556140000000001</v>
      </c>
      <c r="O23" s="104">
        <f t="shared" si="20"/>
        <v>3.7084922005849799</v>
      </c>
      <c r="P23" s="72">
        <v>3.7243179999999998</v>
      </c>
      <c r="Q23" s="60">
        <f t="shared" ref="Q23" si="103">($C23-P23)^2</f>
        <v>3.1183473081802016E-2</v>
      </c>
      <c r="R23" s="60">
        <v>0.30746200000000001</v>
      </c>
      <c r="S23" s="104">
        <f t="shared" si="22"/>
        <v>3.7715844407219996</v>
      </c>
      <c r="T23" s="72">
        <v>3.5304479999999998</v>
      </c>
      <c r="U23" s="60">
        <f t="shared" ref="U23" si="104">($C23-T23)^2</f>
        <v>2.9865271334300841E-4</v>
      </c>
      <c r="V23" s="60">
        <v>0.27329890000000001</v>
      </c>
      <c r="W23" s="104">
        <f t="shared" si="24"/>
        <v>3.5677941443706049</v>
      </c>
      <c r="X23" s="72">
        <v>3.6007259999999999</v>
      </c>
      <c r="Y23" s="60">
        <f t="shared" ref="Y23" si="105">($C23-X23)^2</f>
        <v>2.8086214342665336E-3</v>
      </c>
      <c r="Z23" s="60">
        <v>0.29495199999999999</v>
      </c>
      <c r="AA23" s="104">
        <f t="shared" si="26"/>
        <v>3.6442243411519999</v>
      </c>
      <c r="AB23" s="72">
        <v>3.6068120000000001</v>
      </c>
      <c r="AC23" s="60">
        <f t="shared" ref="AC23" si="106">($C23-AB23)^2</f>
        <v>3.490733358027237E-3</v>
      </c>
      <c r="AD23" s="60">
        <v>0.25747589999999998</v>
      </c>
      <c r="AE23" s="104">
        <f t="shared" si="28"/>
        <v>3.6399589195404052</v>
      </c>
      <c r="AF23" s="72">
        <v>3.6162640000000001</v>
      </c>
      <c r="AG23" s="60">
        <f t="shared" ref="AG23" si="107">($C23-AF23)^2</f>
        <v>4.6969678904823682E-3</v>
      </c>
      <c r="AH23" s="60">
        <v>0.31266569999999999</v>
      </c>
      <c r="AI23" s="104">
        <f t="shared" si="30"/>
        <v>3.6651439199782452</v>
      </c>
      <c r="AJ23" s="72">
        <v>3.336646</v>
      </c>
      <c r="AK23" s="60">
        <f t="shared" ref="AK23" si="108">($C23-AJ23)^2</f>
        <v>4.4556274155160572E-2</v>
      </c>
      <c r="AL23" s="60">
        <v>0.28091840000000001</v>
      </c>
      <c r="AM23" s="104">
        <f t="shared" si="31"/>
        <v>3.3761035737292802</v>
      </c>
      <c r="AN23" s="72">
        <v>3.4821390000000001</v>
      </c>
      <c r="AO23" s="60">
        <f t="shared" ref="AO23" si="109">($C23-AN23)^2</f>
        <v>4.3021230690642454E-3</v>
      </c>
      <c r="AP23" s="60">
        <v>0.30412879999999998</v>
      </c>
      <c r="AQ23" s="104">
        <f t="shared" si="33"/>
        <v>3.5283861634947202</v>
      </c>
      <c r="AR23" s="72">
        <v>3.6470150000000001</v>
      </c>
      <c r="AS23" s="60">
        <f t="shared" ref="AS23" si="110">($C23-AR23)^2</f>
        <v>9.8575963133858396E-3</v>
      </c>
      <c r="AT23" s="60">
        <v>0.2446197</v>
      </c>
      <c r="AU23" s="104">
        <f t="shared" si="34"/>
        <v>3.676934398814045</v>
      </c>
      <c r="AV23" s="72">
        <v>3.646001</v>
      </c>
      <c r="AW23" s="60">
        <f t="shared" ref="AW23" si="111">($C23-AV23)^2</f>
        <v>9.6572736603780501E-3</v>
      </c>
      <c r="AX23" s="60">
        <v>0.29820960000000002</v>
      </c>
      <c r="AY23" s="104">
        <f t="shared" si="35"/>
        <v>3.6904654827660801</v>
      </c>
      <c r="AZ23" s="72">
        <v>3.456664</v>
      </c>
      <c r="BA23" s="60">
        <f t="shared" ref="BA23" si="112">($C23-AZ23)^2</f>
        <v>8.2929383117436636E-3</v>
      </c>
      <c r="BB23" s="60">
        <v>0.26982040000000002</v>
      </c>
      <c r="BC23" s="104">
        <f t="shared" si="36"/>
        <v>3.4930655241280801</v>
      </c>
      <c r="BD23" s="72">
        <v>3.520546</v>
      </c>
      <c r="BE23" s="60">
        <f t="shared" ref="BE23" si="113">($C23-BD23)^2</f>
        <v>7.3894655923353988E-4</v>
      </c>
      <c r="BF23" s="60">
        <v>0.28998259999999998</v>
      </c>
      <c r="BG23" s="104">
        <f t="shared" si="38"/>
        <v>3.5625909541513798</v>
      </c>
      <c r="BH23" s="72">
        <v>3.6401569999999999</v>
      </c>
      <c r="BI23" s="60">
        <f t="shared" ref="BI23" si="114">($C23-BH23)^2</f>
        <v>8.5428295400136744E-3</v>
      </c>
      <c r="BJ23" s="60">
        <v>0.25810480000000002</v>
      </c>
      <c r="BK23" s="104">
        <f t="shared" si="39"/>
        <v>3.6734660438915201</v>
      </c>
      <c r="BL23" s="72">
        <v>3.7099160000000002</v>
      </c>
      <c r="BM23" s="60">
        <f t="shared" ref="BM23" si="115">($C23-BL23)^2</f>
        <v>2.630443759114931E-2</v>
      </c>
      <c r="BN23" s="60">
        <v>0.30880570000000002</v>
      </c>
      <c r="BO23" s="104">
        <f t="shared" si="40"/>
        <v>3.7575964801762454</v>
      </c>
      <c r="BP23" s="72">
        <v>3.528527</v>
      </c>
      <c r="BQ23" s="60">
        <f>($C23-BP23)^2</f>
        <v>3.6873875202748279E-4</v>
      </c>
      <c r="BR23" s="60">
        <v>0.2807712</v>
      </c>
      <c r="BS23" s="103">
        <f t="shared" si="41"/>
        <v>3.5679432333747201</v>
      </c>
      <c r="BT23" s="72">
        <v>3.595421</v>
      </c>
      <c r="BU23" s="60">
        <f t="shared" ref="BU23" si="116">($C23-BT23)^2</f>
        <v>2.2744723528303999E-3</v>
      </c>
      <c r="BV23" s="60">
        <v>0.30072910000000003</v>
      </c>
      <c r="BW23" s="104">
        <f t="shared" si="42"/>
        <v>3.6406399957934048</v>
      </c>
    </row>
    <row r="24" spans="1:76" s="12" customFormat="1" ht="15.75" x14ac:dyDescent="0.25">
      <c r="A24" s="12">
        <v>2018</v>
      </c>
      <c r="B24" s="160">
        <v>8.0677000000000003</v>
      </c>
      <c r="C24" s="160">
        <f t="shared" si="0"/>
        <v>2.0878684354640864</v>
      </c>
      <c r="D24" s="106">
        <v>2.6662759999999999</v>
      </c>
      <c r="E24" s="103">
        <f>($C24-D24)^2</f>
        <v>0.33455531071236688</v>
      </c>
      <c r="F24" s="103">
        <v>0.395121</v>
      </c>
      <c r="G24" s="104">
        <f t="shared" si="18"/>
        <v>2.7443363023204999</v>
      </c>
      <c r="H24" s="106">
        <v>2.7167819999999998</v>
      </c>
      <c r="I24" s="103">
        <f t="shared" si="1"/>
        <v>0.39553227165726851</v>
      </c>
      <c r="J24" s="60">
        <v>0.25626979999999999</v>
      </c>
      <c r="K24" s="104">
        <f t="shared" si="19"/>
        <v>2.7496191051960199</v>
      </c>
      <c r="L24" s="72">
        <v>2.281768</v>
      </c>
      <c r="M24" s="60">
        <f t="shared" si="1"/>
        <v>3.7597041127216929E-2</v>
      </c>
      <c r="N24" s="60">
        <v>0.239764</v>
      </c>
      <c r="O24" s="104">
        <f t="shared" si="20"/>
        <v>2.3105113878479999</v>
      </c>
      <c r="P24" s="72">
        <v>2.5281769999999999</v>
      </c>
      <c r="Q24" s="60">
        <f t="shared" ref="Q24" si="117">($C24-P24)^2</f>
        <v>0.19387163200367669</v>
      </c>
      <c r="R24" s="60">
        <v>0.3004096</v>
      </c>
      <c r="S24" s="104">
        <f t="shared" si="22"/>
        <v>2.5732999638860798</v>
      </c>
      <c r="T24" s="72">
        <v>2.3346680000000002</v>
      </c>
      <c r="U24" s="60">
        <f t="shared" ref="U24" si="118">($C24-T24)^2</f>
        <v>6.0910025055116675E-2</v>
      </c>
      <c r="V24" s="60">
        <v>0.26516020000000001</v>
      </c>
      <c r="W24" s="104">
        <f t="shared" si="24"/>
        <v>2.3698229658320202</v>
      </c>
      <c r="X24" s="72">
        <v>2.4120840000000001</v>
      </c>
      <c r="Y24" s="60">
        <f t="shared" ref="Y24" si="119">($C24-X24)^2</f>
        <v>0.10511573228734122</v>
      </c>
      <c r="Z24" s="60">
        <v>0.28633249999999999</v>
      </c>
      <c r="AA24" s="104">
        <f t="shared" si="26"/>
        <v>2.453077150278125</v>
      </c>
      <c r="AB24" s="72">
        <v>2.2995719999999999</v>
      </c>
      <c r="AC24" s="60">
        <f t="shared" ref="AC24" si="120">($C24-AB24)^2</f>
        <v>4.481839923721171E-2</v>
      </c>
      <c r="AD24" s="60">
        <v>0.25007269999999998</v>
      </c>
      <c r="AE24" s="104">
        <f t="shared" si="28"/>
        <v>2.3308401776426448</v>
      </c>
      <c r="AF24" s="72">
        <v>2.5537369999999999</v>
      </c>
      <c r="AG24" s="60">
        <f t="shared" ref="AG24" si="121">($C24-AF24)^2</f>
        <v>0.21703351942275262</v>
      </c>
      <c r="AH24" s="60">
        <v>0.30361519999999997</v>
      </c>
      <c r="AI24" s="104">
        <f t="shared" si="30"/>
        <v>2.5998280948355199</v>
      </c>
      <c r="AJ24" s="72">
        <v>2.3053680000000001</v>
      </c>
      <c r="AK24" s="60">
        <f t="shared" ref="AK24" si="122">($C24-AJ24)^2</f>
        <v>4.7306060573312082E-2</v>
      </c>
      <c r="AL24" s="60">
        <v>0.27512140000000002</v>
      </c>
      <c r="AM24" s="104">
        <f t="shared" si="31"/>
        <v>2.34321389236898</v>
      </c>
      <c r="AN24" s="72">
        <v>2.432302</v>
      </c>
      <c r="AO24" s="60">
        <f t="shared" ref="AO24" si="123">($C24-AN24)^2</f>
        <v>0.11863448037891533</v>
      </c>
      <c r="AP24" s="60">
        <v>0.29529280000000002</v>
      </c>
      <c r="AQ24" s="104">
        <f t="shared" si="33"/>
        <v>2.47590091886592</v>
      </c>
      <c r="AR24" s="72">
        <v>2.2170890000000001</v>
      </c>
      <c r="AS24" s="60">
        <f t="shared" ref="AS24" si="124">($C24-AR24)^2</f>
        <v>1.6697954298980234E-2</v>
      </c>
      <c r="AT24" s="60">
        <v>0.2381924</v>
      </c>
      <c r="AU24" s="104">
        <f t="shared" si="34"/>
        <v>2.2454568097088803</v>
      </c>
      <c r="AV24" s="72">
        <v>2.4480400000000002</v>
      </c>
      <c r="AW24" s="60">
        <f t="shared" ref="AW24" si="125">($C24-AV24)^2</f>
        <v>0.12972355590024792</v>
      </c>
      <c r="AX24" s="60">
        <v>0.28995949999999998</v>
      </c>
      <c r="AY24" s="104">
        <f t="shared" si="35"/>
        <v>2.4900782558201251</v>
      </c>
      <c r="AZ24" s="72">
        <v>2.2368079999999999</v>
      </c>
      <c r="BA24" s="60">
        <f t="shared" ref="BA24" si="126">($C24-AZ24)^2</f>
        <v>2.2182993884147545E-2</v>
      </c>
      <c r="BB24" s="60">
        <v>0.2623337</v>
      </c>
      <c r="BC24" s="104">
        <f t="shared" si="36"/>
        <v>2.271217485077845</v>
      </c>
      <c r="BD24" s="72">
        <v>2.3212609999999998</v>
      </c>
      <c r="BE24" s="60">
        <f t="shared" ref="BE24" si="127">($C24-BD24)^2</f>
        <v>5.4472089180650496E-2</v>
      </c>
      <c r="BF24" s="60">
        <v>0.28137200000000001</v>
      </c>
      <c r="BG24" s="104">
        <f t="shared" si="38"/>
        <v>2.3608461011919997</v>
      </c>
      <c r="BH24" s="72">
        <v>2.266893</v>
      </c>
      <c r="BI24" s="60">
        <f t="shared" ref="BI24" si="128">($C24-BH24)^2</f>
        <v>3.204979470727351E-2</v>
      </c>
      <c r="BJ24" s="60">
        <v>0.2511063</v>
      </c>
      <c r="BK24" s="104">
        <f t="shared" si="39"/>
        <v>2.2984201869498451</v>
      </c>
      <c r="BL24" s="72">
        <v>2.4616570000000002</v>
      </c>
      <c r="BM24" s="60">
        <f t="shared" ref="BM24" si="129">($C24-BL24)^2</f>
        <v>0.139717890977819</v>
      </c>
      <c r="BN24" s="60">
        <v>0.30134830000000001</v>
      </c>
      <c r="BO24" s="104">
        <f t="shared" si="40"/>
        <v>2.5070623989564451</v>
      </c>
      <c r="BP24" s="72">
        <v>2.2861699999999998</v>
      </c>
      <c r="BQ24" s="60">
        <f t="shared" ref="BQ24" si="130">($C24-BP24)^2</f>
        <v>3.932351049739103E-2</v>
      </c>
      <c r="BR24" s="60">
        <v>0.27241320000000002</v>
      </c>
      <c r="BS24" s="103">
        <f t="shared" si="41"/>
        <v>2.32327447576712</v>
      </c>
      <c r="BT24" s="72">
        <v>2.3503319999999999</v>
      </c>
      <c r="BU24" s="60">
        <f t="shared" ref="BU24" si="131">($C24-BT24)^2</f>
        <v>6.8887122708897616E-2</v>
      </c>
      <c r="BV24" s="60">
        <v>0.29189599999999999</v>
      </c>
      <c r="BW24" s="104">
        <f t="shared" si="42"/>
        <v>2.3929336374079999</v>
      </c>
    </row>
    <row r="25" spans="1:76" s="12" customFormat="1" ht="15.75" x14ac:dyDescent="0.25">
      <c r="A25" s="12">
        <v>2019</v>
      </c>
      <c r="B25" s="160">
        <v>21.141928</v>
      </c>
      <c r="C25" s="160">
        <f t="shared" si="0"/>
        <v>3.0512581777972043</v>
      </c>
      <c r="D25" s="106">
        <v>2.8603290000000001</v>
      </c>
      <c r="E25" s="103">
        <f t="shared" ref="E25:E26" si="132">($C25-D25)^2</f>
        <v>3.6453950934316415E-2</v>
      </c>
      <c r="F25" s="103">
        <v>0.40133489999999999</v>
      </c>
      <c r="G25" s="104">
        <f t="shared" si="18"/>
        <v>2.9408638509790053</v>
      </c>
      <c r="H25" s="106">
        <v>2.7797969999999999</v>
      </c>
      <c r="I25" s="103">
        <f t="shared" si="1"/>
        <v>7.3691171051045459E-2</v>
      </c>
      <c r="J25" s="60">
        <v>0.28006710000000001</v>
      </c>
      <c r="K25" s="104">
        <f t="shared" si="19"/>
        <v>2.8190157902512047</v>
      </c>
      <c r="L25" s="72">
        <v>2.76207</v>
      </c>
      <c r="M25" s="60">
        <f t="shared" si="1"/>
        <v>8.3629802177667439E-2</v>
      </c>
      <c r="N25" s="60">
        <v>0.23614830000000001</v>
      </c>
      <c r="O25" s="104">
        <f t="shared" si="20"/>
        <v>2.7899530097964451</v>
      </c>
      <c r="P25" s="72">
        <v>2.7045810000000001</v>
      </c>
      <c r="Q25" s="60">
        <f t="shared" ref="Q25" si="133">($C25-P25)^2</f>
        <v>0.12018506560543434</v>
      </c>
      <c r="R25" s="60">
        <v>0.30528129999999998</v>
      </c>
      <c r="S25" s="104">
        <f t="shared" si="22"/>
        <v>2.7511793360648453</v>
      </c>
      <c r="T25" s="72">
        <v>2.7478009999999999</v>
      </c>
      <c r="U25" s="60">
        <f t="shared" ref="U25" si="134">($C25-T25)^2</f>
        <v>9.2086258756644113E-2</v>
      </c>
      <c r="V25" s="60">
        <v>0.26231939999999998</v>
      </c>
      <c r="W25" s="104">
        <f t="shared" si="24"/>
        <v>2.78220673380818</v>
      </c>
      <c r="X25" s="72">
        <v>2.6974369999999999</v>
      </c>
      <c r="Y25" s="60">
        <f t="shared" ref="Y25" si="135">($C25-X25)^2</f>
        <v>0.12518942585780096</v>
      </c>
      <c r="Z25" s="60">
        <v>0.28575159999999999</v>
      </c>
      <c r="AA25" s="104">
        <f t="shared" si="26"/>
        <v>2.7382639884512798</v>
      </c>
      <c r="AB25" s="72">
        <v>2.8030759999999999</v>
      </c>
      <c r="AC25" s="60">
        <f t="shared" ref="AC25" si="136">($C25-AB25)^2</f>
        <v>6.1594393376163188E-2</v>
      </c>
      <c r="AD25" s="60">
        <v>0.24662229999999999</v>
      </c>
      <c r="AE25" s="104">
        <f t="shared" si="28"/>
        <v>2.833487279428645</v>
      </c>
      <c r="AF25" s="72">
        <v>2.757536</v>
      </c>
      <c r="AG25" s="60">
        <f t="shared" ref="AG25" si="137">($C25-AF25)^2</f>
        <v>8.6272717729932516E-2</v>
      </c>
      <c r="AH25" s="60">
        <v>0.30985210000000002</v>
      </c>
      <c r="AI25" s="104">
        <f t="shared" si="30"/>
        <v>2.8055401619372051</v>
      </c>
      <c r="AJ25" s="72">
        <v>2.7022569999999999</v>
      </c>
      <c r="AK25" s="60">
        <f t="shared" ref="AK25" si="138">($C25-AJ25)^2</f>
        <v>0.12180182210383589</v>
      </c>
      <c r="AL25" s="60">
        <v>0.27080199999999999</v>
      </c>
      <c r="AM25" s="104">
        <f t="shared" si="31"/>
        <v>2.7389238616019997</v>
      </c>
      <c r="AN25" s="72">
        <v>2.7073830000000001</v>
      </c>
      <c r="AO25" s="60">
        <f t="shared" ref="AO25" si="139">($C25-AN25)^2</f>
        <v>0.11825013790505881</v>
      </c>
      <c r="AP25" s="60">
        <v>0.29518499999999998</v>
      </c>
      <c r="AQ25" s="104">
        <f t="shared" si="33"/>
        <v>2.7509500921125003</v>
      </c>
      <c r="AR25" s="72">
        <v>2.6836509999999998</v>
      </c>
      <c r="AS25" s="60">
        <f t="shared" ref="AS25" si="140">($C25-AR25)^2</f>
        <v>0.13513503716802555</v>
      </c>
      <c r="AT25" s="60">
        <v>0.23286229999999999</v>
      </c>
      <c r="AU25" s="104">
        <f t="shared" si="34"/>
        <v>2.710763425380645</v>
      </c>
      <c r="AV25" s="72">
        <v>2.605623</v>
      </c>
      <c r="AW25" s="60">
        <f t="shared" ref="AW25" si="141">($C25-AV25)^2</f>
        <v>0.19859071169034589</v>
      </c>
      <c r="AX25" s="60">
        <v>0.2909619</v>
      </c>
      <c r="AY25" s="104">
        <f t="shared" si="35"/>
        <v>2.6479524136258048</v>
      </c>
      <c r="AZ25" s="72">
        <v>2.6708810000000001</v>
      </c>
      <c r="BA25" s="60">
        <f t="shared" ref="BA25" si="142">($C25-AZ25)^2</f>
        <v>0.14468679738896595</v>
      </c>
      <c r="BB25" s="60">
        <v>0.2566041</v>
      </c>
      <c r="BC25" s="104">
        <f t="shared" si="36"/>
        <v>2.703803832068405</v>
      </c>
      <c r="BD25" s="72">
        <v>2.6049329999999999</v>
      </c>
      <c r="BE25" s="60">
        <f t="shared" ref="BE25" si="143">($C25-BD25)^2</f>
        <v>0.19920616433570609</v>
      </c>
      <c r="BF25" s="60">
        <v>0.27731739999999999</v>
      </c>
      <c r="BG25" s="104">
        <f t="shared" si="38"/>
        <v>2.6433854701713799</v>
      </c>
      <c r="BH25" s="72">
        <v>2.6082010000000002</v>
      </c>
      <c r="BI25" s="60">
        <f t="shared" ref="BI25" si="144">($C25-BH25)^2</f>
        <v>0.19629966279762334</v>
      </c>
      <c r="BJ25" s="60">
        <v>0.24657090000000001</v>
      </c>
      <c r="BK25" s="104">
        <f t="shared" si="39"/>
        <v>2.6385996043634052</v>
      </c>
      <c r="BL25" s="72">
        <v>2.5443259999999999</v>
      </c>
      <c r="BM25" s="60">
        <f t="shared" ref="BM25" si="145">($C25-BL25)^2</f>
        <v>0.25698023288621652</v>
      </c>
      <c r="BN25" s="60">
        <v>0.30237330000000001</v>
      </c>
      <c r="BO25" s="104">
        <f t="shared" si="40"/>
        <v>2.5900408062764448</v>
      </c>
      <c r="BP25" s="72">
        <v>2.6219260000000002</v>
      </c>
      <c r="BQ25" s="60">
        <f t="shared" ref="BQ25" si="146">($C25-BP25)^2</f>
        <v>0.18432611889209008</v>
      </c>
      <c r="BR25" s="60">
        <v>0.26760650000000002</v>
      </c>
      <c r="BS25" s="103">
        <f t="shared" si="41"/>
        <v>2.6577326194211253</v>
      </c>
      <c r="BT25" s="72">
        <v>2.5447109999999999</v>
      </c>
      <c r="BU25" s="60">
        <f t="shared" ref="BU25" si="147">($C25-BT25)^2</f>
        <v>0.25659004333431257</v>
      </c>
      <c r="BV25" s="60">
        <v>0.288414</v>
      </c>
      <c r="BW25" s="104">
        <f t="shared" si="42"/>
        <v>2.5863023176979998</v>
      </c>
    </row>
    <row r="26" spans="1:76" s="12" customFormat="1" ht="15.75" x14ac:dyDescent="0.25">
      <c r="A26" s="12">
        <v>2020</v>
      </c>
      <c r="B26" s="160">
        <v>8.062989</v>
      </c>
      <c r="C26" s="160">
        <f t="shared" si="0"/>
        <v>2.0872843314454741</v>
      </c>
      <c r="D26" s="106">
        <v>2.8713359999999999</v>
      </c>
      <c r="E26" s="103">
        <f t="shared" si="132"/>
        <v>0.61473701896313593</v>
      </c>
      <c r="F26" s="103">
        <v>0.39321469999999997</v>
      </c>
      <c r="G26" s="104">
        <f t="shared" si="18"/>
        <v>2.9486449001480448</v>
      </c>
      <c r="H26" s="106">
        <v>2.2810899999999998</v>
      </c>
      <c r="I26" s="103">
        <f t="shared" si="1"/>
        <v>3.7560637163866692E-2</v>
      </c>
      <c r="J26" s="60">
        <v>0.27875699999999998</v>
      </c>
      <c r="K26" s="104">
        <f t="shared" si="19"/>
        <v>2.3199427325244999</v>
      </c>
      <c r="L26" s="72">
        <v>2.3826960000000001</v>
      </c>
      <c r="M26" s="60">
        <f t="shared" si="1"/>
        <v>8.726805391816915E-2</v>
      </c>
      <c r="N26" s="60">
        <v>0.23808109999999999</v>
      </c>
      <c r="O26" s="104">
        <f t="shared" si="20"/>
        <v>2.4110373050886054</v>
      </c>
      <c r="P26" s="72">
        <v>2.4747490000000001</v>
      </c>
      <c r="Q26" s="60">
        <f t="shared" ref="Q26" si="148">($C26-P26)^2</f>
        <v>0.15012886937806869</v>
      </c>
      <c r="R26" s="60">
        <v>0.30621110000000001</v>
      </c>
      <c r="S26" s="104">
        <f t="shared" si="22"/>
        <v>2.5216316188816053</v>
      </c>
      <c r="T26" s="72">
        <v>2.3827859999999998</v>
      </c>
      <c r="U26" s="60">
        <f t="shared" ref="U26" si="149">($C26-T26)^2</f>
        <v>8.7321236118508797E-2</v>
      </c>
      <c r="V26" s="60">
        <v>0.26348149999999998</v>
      </c>
      <c r="W26" s="104">
        <f t="shared" si="24"/>
        <v>2.4174972504211247</v>
      </c>
      <c r="X26" s="72">
        <v>2.3714270000000002</v>
      </c>
      <c r="Y26" s="60">
        <f t="shared" ref="Y26" si="150">($C26-X26)^2</f>
        <v>8.0737056093287268E-2</v>
      </c>
      <c r="Z26" s="60">
        <v>0.28820519999999999</v>
      </c>
      <c r="AA26" s="104">
        <f t="shared" si="26"/>
        <v>2.4129581186535201</v>
      </c>
      <c r="AB26" s="72">
        <v>2.4195880000000001</v>
      </c>
      <c r="AC26" s="60">
        <f t="shared" ref="AC26" si="151">($C26-AB26)^2</f>
        <v>0.11042572813479626</v>
      </c>
      <c r="AD26" s="60">
        <v>0.2458977</v>
      </c>
      <c r="AE26" s="104">
        <f t="shared" si="28"/>
        <v>2.4498208394326451</v>
      </c>
      <c r="AF26" s="72">
        <v>2.4856630000000002</v>
      </c>
      <c r="AG26" s="60">
        <f t="shared" ref="AG26" si="152">($C26-AF26)^2</f>
        <v>0.15870556355927695</v>
      </c>
      <c r="AH26" s="60">
        <v>0.30808669999999999</v>
      </c>
      <c r="AI26" s="104">
        <f t="shared" si="30"/>
        <v>2.5331217073584451</v>
      </c>
      <c r="AJ26" s="72">
        <v>2.389516</v>
      </c>
      <c r="AK26" s="60">
        <f t="shared" ref="AK26" si="153">($C26-AJ26)^2</f>
        <v>9.1343981477252784E-2</v>
      </c>
      <c r="AL26" s="60">
        <v>0.27392820000000001</v>
      </c>
      <c r="AM26" s="104">
        <f t="shared" si="31"/>
        <v>2.4270343293776198</v>
      </c>
      <c r="AN26" s="72">
        <v>2.382225</v>
      </c>
      <c r="AO26" s="60">
        <f t="shared" ref="AO26" si="154">($C26-AN26)^2</f>
        <v>8.6989997967390723E-2</v>
      </c>
      <c r="AP26" s="60">
        <v>0.29655090000000001</v>
      </c>
      <c r="AQ26" s="104">
        <f t="shared" si="33"/>
        <v>2.4261962181454049</v>
      </c>
      <c r="AR26" s="72">
        <v>2.320614</v>
      </c>
      <c r="AS26" s="60">
        <f t="shared" ref="AS26" si="155">($C26-AR26)^2</f>
        <v>5.4442734227764897E-2</v>
      </c>
      <c r="AT26" s="60">
        <v>0.23987330000000001</v>
      </c>
      <c r="AU26" s="104">
        <f t="shared" si="34"/>
        <v>2.349383600026445</v>
      </c>
      <c r="AV26" s="72">
        <v>2.3305539999999998</v>
      </c>
      <c r="AW26" s="60">
        <f t="shared" ref="AW26" si="156">($C26-AV26)^2</f>
        <v>5.9180131638628786E-2</v>
      </c>
      <c r="AX26" s="60">
        <v>0.29842679999999999</v>
      </c>
      <c r="AY26" s="104">
        <f t="shared" si="35"/>
        <v>2.3750832774791197</v>
      </c>
      <c r="AZ26" s="72">
        <v>2.288332</v>
      </c>
      <c r="BA26" s="60">
        <f t="shared" ref="BA26" si="157">($C26-AZ26)^2</f>
        <v>4.0420165031210514E-2</v>
      </c>
      <c r="BB26" s="60">
        <v>0.26260349999999999</v>
      </c>
      <c r="BC26" s="104">
        <f t="shared" si="36"/>
        <v>2.3228122991061251</v>
      </c>
      <c r="BD26" s="72">
        <v>2.2631610000000002</v>
      </c>
      <c r="BE26" s="60">
        <f t="shared" ref="BE26" si="158">($C26-BD26)^2</f>
        <v>3.0932602541838633E-2</v>
      </c>
      <c r="BF26" s="60">
        <v>0.28594609999999998</v>
      </c>
      <c r="BG26" s="104">
        <f t="shared" si="38"/>
        <v>2.3040435860526052</v>
      </c>
      <c r="BH26" s="72">
        <v>2.356141</v>
      </c>
      <c r="BI26" s="60">
        <f t="shared" ref="BI26" si="159">($C26-BH26)^2</f>
        <v>7.2283908226238217E-2</v>
      </c>
      <c r="BJ26" s="60">
        <v>0.25772970000000001</v>
      </c>
      <c r="BK26" s="104">
        <f t="shared" si="39"/>
        <v>2.3893532991310451</v>
      </c>
      <c r="BL26" s="72">
        <v>2.3642099999999999</v>
      </c>
      <c r="BM26" s="60">
        <f t="shared" ref="BM26" si="160">($C26-BL26)^2</f>
        <v>7.6687825904371093E-2</v>
      </c>
      <c r="BN26" s="60">
        <v>0.31274220000000003</v>
      </c>
      <c r="BO26" s="104">
        <f t="shared" si="40"/>
        <v>2.4131138418304201</v>
      </c>
      <c r="BP26" s="72">
        <v>2.3143470000000002</v>
      </c>
      <c r="BQ26" s="60">
        <f t="shared" ref="BQ26" si="161">($C26-BP26)^2</f>
        <v>5.155745545110256E-2</v>
      </c>
      <c r="BR26" s="60">
        <v>0.27592509999999998</v>
      </c>
      <c r="BS26" s="103">
        <f t="shared" si="41"/>
        <v>2.3524143304050051</v>
      </c>
      <c r="BT26" s="72">
        <v>2.301949</v>
      </c>
      <c r="BU26" s="60">
        <f t="shared" ref="BU26" si="162">($C26-BT26)^2</f>
        <v>4.6080919925624471E-2</v>
      </c>
      <c r="BV26" s="60">
        <v>0.30006919999999998</v>
      </c>
      <c r="BW26" s="104">
        <f t="shared" si="42"/>
        <v>2.3469697623943202</v>
      </c>
    </row>
    <row r="27" spans="1:76" s="17" customFormat="1" ht="15.75" x14ac:dyDescent="0.25">
      <c r="A27" s="17">
        <v>2021</v>
      </c>
      <c r="B27" s="161">
        <v>48.503718999999997</v>
      </c>
      <c r="C27" s="161">
        <f t="shared" si="0"/>
        <v>3.8816404754160159</v>
      </c>
      <c r="D27" s="107">
        <v>3.2290679999999998</v>
      </c>
      <c r="E27" s="108">
        <f>($C27-D27)^2</f>
        <v>0.42585083567058685</v>
      </c>
      <c r="F27" s="108">
        <v>0.41628359999999998</v>
      </c>
      <c r="G27" s="109">
        <f t="shared" si="18"/>
        <v>3.3157140178144799</v>
      </c>
      <c r="H27" s="107">
        <v>3.2992880000000002</v>
      </c>
      <c r="I27" s="108">
        <f>($C27-H27)^2</f>
        <v>0.33913440562316111</v>
      </c>
      <c r="J27" s="61">
        <v>0.27426590000000001</v>
      </c>
      <c r="K27" s="109">
        <f t="shared" si="19"/>
        <v>3.3368988919514053</v>
      </c>
      <c r="L27" s="73">
        <v>2.9156870000000001</v>
      </c>
      <c r="M27" s="61">
        <f>($C27-L27)^2</f>
        <v>0.93306611666827932</v>
      </c>
      <c r="N27" s="61">
        <v>0.2394984</v>
      </c>
      <c r="O27" s="109">
        <f t="shared" si="20"/>
        <v>2.94436674180128</v>
      </c>
      <c r="P27" s="73">
        <v>3.1118269999999999</v>
      </c>
      <c r="Q27" s="61">
        <f>($C27-P27)^2</f>
        <v>0.59261278693208497</v>
      </c>
      <c r="R27" s="61">
        <v>0.30839870000000003</v>
      </c>
      <c r="S27" s="109">
        <f t="shared" si="22"/>
        <v>3.1593818790808448</v>
      </c>
      <c r="T27" s="73">
        <v>3.0944479999999999</v>
      </c>
      <c r="U27" s="61">
        <f>($C27-T27)^2</f>
        <v>0.61967199335159495</v>
      </c>
      <c r="V27" s="61">
        <v>0.26347599999999999</v>
      </c>
      <c r="W27" s="109">
        <f t="shared" si="24"/>
        <v>3.1291578012879997</v>
      </c>
      <c r="X27" s="73">
        <v>3.1347809999999998</v>
      </c>
      <c r="Y27" s="61">
        <f>($C27-X27)^2</f>
        <v>0.55779907601868672</v>
      </c>
      <c r="Z27" s="61">
        <v>0.28642640000000003</v>
      </c>
      <c r="AA27" s="109">
        <f t="shared" si="26"/>
        <v>3.1758010413084796</v>
      </c>
      <c r="AB27" s="73">
        <v>2.8714949999999999</v>
      </c>
      <c r="AC27" s="61">
        <f>($C27-AB27)^2</f>
        <v>1.020393881503449</v>
      </c>
      <c r="AD27" s="61">
        <v>0.24886510000000001</v>
      </c>
      <c r="AE27" s="109">
        <f t="shared" si="28"/>
        <v>2.9024619189990051</v>
      </c>
      <c r="AF27" s="73">
        <v>3.0446900000000001</v>
      </c>
      <c r="AG27" s="61">
        <f>($C27-AF27)^2</f>
        <v>0.70048609829909481</v>
      </c>
      <c r="AH27" s="61">
        <v>0.31076120000000002</v>
      </c>
      <c r="AI27" s="109">
        <f t="shared" si="30"/>
        <v>3.0929762617127201</v>
      </c>
      <c r="AJ27" s="73">
        <v>2.9730799999999999</v>
      </c>
      <c r="AK27" s="61">
        <f>($C27-AJ27)^2</f>
        <v>0.82548213748817689</v>
      </c>
      <c r="AL27" s="61">
        <v>0.27367740000000002</v>
      </c>
      <c r="AM27" s="109">
        <f t="shared" si="31"/>
        <v>3.0105296596353801</v>
      </c>
      <c r="AN27" s="73">
        <v>3.045633</v>
      </c>
      <c r="AO27" s="61">
        <f>($C27-AN27)^2</f>
        <v>0.69890849895146034</v>
      </c>
      <c r="AP27" s="61">
        <v>0.2948054</v>
      </c>
      <c r="AQ27" s="109">
        <f t="shared" si="33"/>
        <v>3.0890881119345801</v>
      </c>
      <c r="AR27" s="73">
        <v>2.8372570000000001</v>
      </c>
      <c r="AS27" s="61">
        <f>($C27-AR27)^2</f>
        <v>1.0907368437220355</v>
      </c>
      <c r="AT27" s="61">
        <v>0.23831820000000001</v>
      </c>
      <c r="AU27" s="109">
        <f t="shared" si="34"/>
        <v>2.86565478222562</v>
      </c>
      <c r="AV27" s="73">
        <v>3.0339</v>
      </c>
      <c r="AW27" s="61">
        <f>($C27-AV27)^2</f>
        <v>0.71866391365857252</v>
      </c>
      <c r="AX27" s="61">
        <v>0.29466120000000001</v>
      </c>
      <c r="AY27" s="109">
        <f t="shared" si="35"/>
        <v>3.0773126113927201</v>
      </c>
      <c r="AZ27" s="73">
        <v>2.9948619999999999</v>
      </c>
      <c r="BA27" s="61">
        <f>($C27-AZ27)^2</f>
        <v>0.7863760644611536</v>
      </c>
      <c r="BB27" s="61">
        <v>0.25893899999999997</v>
      </c>
      <c r="BC27" s="109">
        <f t="shared" si="36"/>
        <v>3.0283867028604998</v>
      </c>
      <c r="BD27" s="73">
        <v>3.045153</v>
      </c>
      <c r="BE27" s="61">
        <f>($C27-BD27)^2</f>
        <v>0.69971129652785979</v>
      </c>
      <c r="BF27" s="61">
        <v>0.28073169999999997</v>
      </c>
      <c r="BG27" s="109">
        <f t="shared" si="38"/>
        <v>3.084558143692445</v>
      </c>
      <c r="BH27" s="73">
        <v>2.8394490000000001</v>
      </c>
      <c r="BI27" s="61">
        <f>($C27-BH27)^2</f>
        <v>1.0861630714298118</v>
      </c>
      <c r="BJ27" s="61">
        <v>0.2568088</v>
      </c>
      <c r="BK27" s="109">
        <f t="shared" si="39"/>
        <v>2.8724243798787201</v>
      </c>
      <c r="BL27" s="73">
        <v>3.0670790000000001</v>
      </c>
      <c r="BM27" s="61">
        <f>($C27-BL27)^2</f>
        <v>0.6635103972319164</v>
      </c>
      <c r="BN27" s="61">
        <v>0.30950680000000003</v>
      </c>
      <c r="BO27" s="109">
        <f t="shared" si="40"/>
        <v>3.11497622962312</v>
      </c>
      <c r="BP27" s="73">
        <v>3.0027219999999999</v>
      </c>
      <c r="BQ27" s="61">
        <f>($C27-BP27)^2</f>
        <v>0.77249768642761385</v>
      </c>
      <c r="BR27" s="61">
        <v>0.2725648</v>
      </c>
      <c r="BS27" s="108">
        <f t="shared" si="41"/>
        <v>3.0398677850995197</v>
      </c>
      <c r="BT27" s="73">
        <v>3.0593240000000002</v>
      </c>
      <c r="BU27" s="61">
        <f>($C27-BT27)^2</f>
        <v>0.67620438574061881</v>
      </c>
      <c r="BV27" s="61">
        <v>0.2953556</v>
      </c>
      <c r="BW27" s="109">
        <f t="shared" si="42"/>
        <v>3.1029414652256802</v>
      </c>
    </row>
    <row r="28" spans="1:76" ht="15.75" x14ac:dyDescent="0.25">
      <c r="A28">
        <v>2022</v>
      </c>
      <c r="D28" s="110" t="s">
        <v>190</v>
      </c>
      <c r="E28" s="111">
        <f>SUM(E23:E27)/4</f>
        <v>0.46773467328132562</v>
      </c>
      <c r="F28" s="111"/>
      <c r="G28" s="111"/>
      <c r="H28" s="112"/>
      <c r="I28" s="111">
        <f>SUM(I23:I27)</f>
        <v>0.86390918908637149</v>
      </c>
      <c r="J28" s="57"/>
      <c r="K28" s="57"/>
      <c r="L28" s="1"/>
      <c r="M28" s="57">
        <f>SUM(M23:M27)</f>
        <v>1.1586206203712597</v>
      </c>
      <c r="N28" s="57"/>
      <c r="O28" s="57"/>
      <c r="P28" s="1"/>
      <c r="Q28" s="57">
        <f>SUM(Q23:Q27)</f>
        <v>1.0879818270010668</v>
      </c>
      <c r="R28" s="57"/>
      <c r="S28" s="57"/>
      <c r="T28" s="1"/>
      <c r="U28" s="57">
        <f>SUM(U23:U27)</f>
        <v>0.86028816599520752</v>
      </c>
      <c r="V28" s="57"/>
      <c r="W28" s="57"/>
      <c r="X28" s="1"/>
      <c r="Y28" s="57">
        <f>SUM(Y23:Y27)</f>
        <v>0.87164991169138273</v>
      </c>
      <c r="Z28" s="57"/>
      <c r="AA28" s="57"/>
      <c r="AB28" s="1"/>
      <c r="AC28" s="57">
        <f>SUM(AC23:AC27)</f>
        <v>1.2407231356096473</v>
      </c>
      <c r="AD28" s="57"/>
      <c r="AE28" s="57"/>
      <c r="AF28" s="1"/>
      <c r="AG28" s="57">
        <f>SUM(AG23:AG27)</f>
        <v>1.1671948669015393</v>
      </c>
      <c r="AH28" s="57"/>
      <c r="AI28" s="57"/>
      <c r="AJ28" s="1"/>
      <c r="AK28" s="57">
        <f>SUM(AK23:AK27)</f>
        <v>1.1304902757977382</v>
      </c>
      <c r="AL28" s="57"/>
      <c r="AM28" s="57"/>
      <c r="AN28" s="1"/>
      <c r="AO28" s="57">
        <f>SUM(AO23:AO27)</f>
        <v>1.0270852382718894</v>
      </c>
      <c r="AP28" s="57"/>
      <c r="AQ28" s="57"/>
      <c r="AR28" s="1"/>
      <c r="AS28" s="57">
        <f>SUM(AS23:AS27)</f>
        <v>1.306870165730192</v>
      </c>
      <c r="AT28" s="57"/>
      <c r="AU28" s="57"/>
      <c r="AV28" s="1"/>
      <c r="AW28" s="57">
        <f>SUM(AW23:AW27)</f>
        <v>1.1158155865481731</v>
      </c>
      <c r="AX28" s="57"/>
      <c r="AY28" s="57"/>
      <c r="AZ28" s="1"/>
      <c r="BA28" s="57">
        <f>SUM(BA23:BA27)</f>
        <v>1.0019589590772213</v>
      </c>
      <c r="BB28" s="57"/>
      <c r="BC28" s="57"/>
      <c r="BD28" s="1"/>
      <c r="BE28" s="57">
        <f>SUM(BE23:BE27)</f>
        <v>0.9850610991452885</v>
      </c>
      <c r="BF28" s="57"/>
      <c r="BG28" s="57"/>
      <c r="BH28" s="1"/>
      <c r="BI28" s="57">
        <f>SUM(BI23:BI27)</f>
        <v>1.3953392667009605</v>
      </c>
      <c r="BJ28" s="57"/>
      <c r="BK28" s="57"/>
      <c r="BL28" s="1"/>
      <c r="BM28" s="57">
        <f>SUM(BM23:BM27)</f>
        <v>1.1632007845914725</v>
      </c>
      <c r="BN28" s="57"/>
      <c r="BO28" s="57"/>
      <c r="BP28" s="1"/>
      <c r="BQ28" s="57">
        <f>SUM(BQ23:BQ27)</f>
        <v>1.048073510020225</v>
      </c>
      <c r="BR28" s="57"/>
      <c r="BS28" s="57"/>
      <c r="BT28" s="1"/>
      <c r="BU28" s="57">
        <f>SUM(BU23:BU27)</f>
        <v>1.0500369440622839</v>
      </c>
      <c r="BX28" s="80" t="s">
        <v>160</v>
      </c>
    </row>
    <row r="29" spans="1:76" ht="15.75" x14ac:dyDescent="0.25">
      <c r="D29" s="112" t="s">
        <v>189</v>
      </c>
      <c r="E29" s="113">
        <f>1/(SUM(E13:E17)/(COUNT(E13:E17)-1))</f>
        <v>15.196446579182869</v>
      </c>
      <c r="F29" s="114"/>
      <c r="G29" s="114"/>
      <c r="H29" s="112"/>
      <c r="I29" s="113">
        <f>1/(SUM(I13:I17)/(COUNT(I13:I17)-1))</f>
        <v>20.505975295442258</v>
      </c>
      <c r="J29" s="74"/>
      <c r="K29" s="74"/>
      <c r="L29" s="1"/>
      <c r="M29" s="75">
        <f>1/(SUM(M13:M17)/(COUNT(M13:M17)-1))</f>
        <v>22.15172279464452</v>
      </c>
      <c r="N29" s="74"/>
      <c r="O29" s="74"/>
      <c r="P29" s="1"/>
      <c r="Q29" s="75">
        <f t="shared" ref="Q29:Q39" si="163">1/(SUM(Q13:Q17)/(COUNT(Q13:Q17)-1))</f>
        <v>17.963755358119901</v>
      </c>
      <c r="R29" s="74"/>
      <c r="S29" s="74"/>
      <c r="T29" s="1"/>
      <c r="U29" s="75">
        <f t="shared" ref="U29:U39" si="164">1/(SUM(U13:U17)/(COUNT(U13:U17)-1))</f>
        <v>14.08373146895199</v>
      </c>
      <c r="V29" s="74"/>
      <c r="W29" s="74"/>
      <c r="X29" s="1"/>
      <c r="Y29" s="75">
        <f t="shared" ref="Y29:Y39" si="165">1/(SUM(Y13:Y17)/(COUNT(Y13:Y17)-1))</f>
        <v>14.664046700030751</v>
      </c>
      <c r="Z29" s="74"/>
      <c r="AA29" s="74"/>
      <c r="AB29" s="1"/>
      <c r="AC29" s="75">
        <f t="shared" ref="AC29:AC39" si="166">1/(SUM(AC13:AC17)/(COUNT(AC13:AC17)-1))</f>
        <v>19.529801074395991</v>
      </c>
      <c r="AD29" s="74"/>
      <c r="AE29" s="74"/>
      <c r="AF29" s="1"/>
      <c r="AG29" s="75">
        <f t="shared" ref="AG29:AG39" si="167">1/(SUM(AG13:AG17)/(COUNT(AG13:AG17)-1))</f>
        <v>12.178509974031272</v>
      </c>
      <c r="AH29" s="74"/>
      <c r="AI29" s="74"/>
      <c r="AJ29" s="1"/>
      <c r="AK29" s="75">
        <f t="shared" ref="AK29:AK39" si="168">1/(SUM(AK13:AK17)/(COUNT(AK13:AK17)-1))</f>
        <v>9.8622548254048343</v>
      </c>
      <c r="AL29" s="74"/>
      <c r="AM29" s="74"/>
      <c r="AN29" s="1"/>
      <c r="AO29" s="75">
        <f t="shared" ref="AO29:AO39" si="169">1/(SUM(AO13:AO17)/(COUNT(AO13:AO17)-1))</f>
        <v>9.7641024951692437</v>
      </c>
      <c r="AP29" s="74"/>
      <c r="AQ29" s="74"/>
      <c r="AR29" s="1"/>
      <c r="AS29" s="75">
        <f t="shared" ref="AS29:AS39" si="170">1/(SUM(AS13:AS17)/(COUNT(AS13:AS17)-1))</f>
        <v>27.451919043509264</v>
      </c>
      <c r="AT29" s="74"/>
      <c r="AU29" s="74"/>
      <c r="AV29" s="1"/>
      <c r="AW29" s="75">
        <f>1/(SUM(AW13:AW17)/(COUNT(AW13:AW17)-1))</f>
        <v>17.504767217020358</v>
      </c>
      <c r="AX29" s="74"/>
      <c r="AY29" s="74"/>
      <c r="AZ29" s="1"/>
      <c r="BA29" s="75">
        <f t="shared" ref="BA29:BA39" si="171">1/(SUM(BA13:BA17)/(COUNT(BA13:BA17)-1))</f>
        <v>14.519897534844542</v>
      </c>
      <c r="BB29" s="74"/>
      <c r="BC29" s="74"/>
      <c r="BD29" s="1"/>
      <c r="BE29" s="75">
        <f t="shared" ref="BE29:BE39" si="172">1/(SUM(BE13:BE17)/(COUNT(BE13:BE17)-1))</f>
        <v>13.719289946184812</v>
      </c>
      <c r="BF29" s="74"/>
      <c r="BG29" s="74"/>
      <c r="BH29" s="1"/>
      <c r="BI29" s="75">
        <f t="shared" ref="BI29:BI39" si="173">1/(SUM(BI13:BI17)/(COUNT(BI13:BI17)-1))</f>
        <v>25.653272381738084</v>
      </c>
      <c r="BJ29" s="74"/>
      <c r="BK29" s="74"/>
      <c r="BL29" s="1"/>
      <c r="BM29" s="75">
        <f t="shared" ref="BM29:BM39" si="174">1/(SUM(BM13:BM17)/(COUNT(BM13:BM17)-1))</f>
        <v>19.800381987558264</v>
      </c>
      <c r="BN29" s="74"/>
      <c r="BO29" s="74"/>
      <c r="BP29" s="1"/>
      <c r="BQ29" s="75">
        <f t="shared" ref="BQ29:BQ39" si="175">1/(SUM(BQ13:BQ17)/(COUNT(BQ13:BQ17)-1))</f>
        <v>15.278578765455649</v>
      </c>
      <c r="BR29" s="74"/>
      <c r="BS29" s="74"/>
      <c r="BT29" s="1"/>
      <c r="BU29" s="75">
        <f>1/(SUM(BU13:BU17)/(COUNT(BU13:BU17)-1))</f>
        <v>15.764407540141489</v>
      </c>
      <c r="BX29" s="154">
        <f>SUM(E29,I29,M29,Q29,U29,Y29,AC29,AG29,AK29,AO29,AS29,AW29,BA29,BE29,BI29,BM29,BQ29,BU29)</f>
        <v>305.59286098182605</v>
      </c>
    </row>
    <row r="30" spans="1:76" ht="15.75" x14ac:dyDescent="0.25">
      <c r="D30" s="112" t="s">
        <v>188</v>
      </c>
      <c r="E30" s="113">
        <f>1/(SUM(E14:E18)/(COUNT(E14:E18)-1))</f>
        <v>23.276935346749013</v>
      </c>
      <c r="F30" s="114"/>
      <c r="G30" s="114"/>
      <c r="H30" s="112"/>
      <c r="I30" s="113">
        <f>1/(SUM(I14:I18)/(COUNT(I14:I18)-1))</f>
        <v>20.943693182496691</v>
      </c>
      <c r="J30" s="74"/>
      <c r="K30" s="74"/>
      <c r="L30" s="1"/>
      <c r="M30" s="75">
        <f>1/(SUM(M14:M18)/(COUNT(M14:M18)-1))</f>
        <v>28.838450192039332</v>
      </c>
      <c r="N30" s="74"/>
      <c r="O30" s="74"/>
      <c r="P30" s="1"/>
      <c r="Q30" s="75">
        <f t="shared" si="163"/>
        <v>36.065566203405126</v>
      </c>
      <c r="R30" s="74"/>
      <c r="S30" s="74"/>
      <c r="T30" s="1"/>
      <c r="U30" s="75">
        <f t="shared" si="164"/>
        <v>21.975000748731194</v>
      </c>
      <c r="V30" s="74"/>
      <c r="W30" s="74"/>
      <c r="X30" s="1"/>
      <c r="Y30" s="75">
        <f t="shared" si="165"/>
        <v>24.842563256144381</v>
      </c>
      <c r="Z30" s="74"/>
      <c r="AA30" s="74"/>
      <c r="AB30" s="1"/>
      <c r="AC30" s="75">
        <f t="shared" si="166"/>
        <v>27.337197604037804</v>
      </c>
      <c r="AD30" s="74"/>
      <c r="AE30" s="74"/>
      <c r="AF30" s="1"/>
      <c r="AG30" s="75">
        <f t="shared" si="167"/>
        <v>20.913828622434295</v>
      </c>
      <c r="AH30" s="74"/>
      <c r="AI30" s="74"/>
      <c r="AJ30" s="1"/>
      <c r="AK30" s="75">
        <f t="shared" si="168"/>
        <v>16.823241642993644</v>
      </c>
      <c r="AL30" s="74"/>
      <c r="AM30" s="74"/>
      <c r="AN30" s="1"/>
      <c r="AO30" s="75">
        <f t="shared" si="169"/>
        <v>15.321673123069193</v>
      </c>
      <c r="AP30" s="74"/>
      <c r="AQ30" s="74"/>
      <c r="AR30" s="1"/>
      <c r="AS30" s="75">
        <f t="shared" si="170"/>
        <v>32.704291331533199</v>
      </c>
      <c r="AT30" s="74"/>
      <c r="AU30" s="74"/>
      <c r="AV30" s="1"/>
      <c r="AW30" s="75">
        <f>1/(SUM(AW14:AW18)/(COUNT(AW14:AW18)-1))</f>
        <v>30.438545854927412</v>
      </c>
      <c r="AX30" s="74"/>
      <c r="AY30" s="74"/>
      <c r="AZ30" s="1"/>
      <c r="BA30" s="75">
        <f t="shared" si="171"/>
        <v>19.173984403033451</v>
      </c>
      <c r="BB30" s="74"/>
      <c r="BC30" s="74"/>
      <c r="BD30" s="1"/>
      <c r="BE30" s="75">
        <f t="shared" si="172"/>
        <v>20.292393687240747</v>
      </c>
      <c r="BF30" s="74"/>
      <c r="BG30" s="74"/>
      <c r="BH30" s="1"/>
      <c r="BI30" s="75">
        <f t="shared" si="173"/>
        <v>37.57630480358069</v>
      </c>
      <c r="BJ30" s="74"/>
      <c r="BK30" s="74"/>
      <c r="BL30" s="1"/>
      <c r="BM30" s="75">
        <f t="shared" si="174"/>
        <v>44.383053271277703</v>
      </c>
      <c r="BN30" s="74"/>
      <c r="BO30" s="74"/>
      <c r="BP30" s="1"/>
      <c r="BQ30" s="75">
        <f t="shared" si="175"/>
        <v>24.724193099218969</v>
      </c>
      <c r="BR30" s="74"/>
      <c r="BS30" s="74"/>
      <c r="BT30" s="1"/>
      <c r="BU30" s="75">
        <f>1/(SUM(BU14:BU18)/(COUNT(BU14:BU18)-1))</f>
        <v>28.760472618766933</v>
      </c>
      <c r="BX30" s="58">
        <f t="shared" ref="BX30:BX39" si="176">SUM(E30,I30,M30,Q30,U30,Y30,AC30,AG30,AK30,AO30,AS30,AW30,BA30,BE30,BI30,BM30,BQ30,BU30)</f>
        <v>474.39138899167972</v>
      </c>
    </row>
    <row r="31" spans="1:76" ht="15.75" x14ac:dyDescent="0.25">
      <c r="D31" s="112" t="s">
        <v>186</v>
      </c>
      <c r="E31" s="113">
        <f>1/(SUM(E15:E19)/(COUNT(E15:E19)-1))</f>
        <v>7.1271694848988432</v>
      </c>
      <c r="F31" s="114"/>
      <c r="G31" s="114"/>
      <c r="H31" s="112"/>
      <c r="I31" s="113">
        <f t="shared" ref="I31:I38" si="177">1/(SUM(I15:I19)/(COUNT(I15:I19)-1))</f>
        <v>13.477182665573997</v>
      </c>
      <c r="J31" s="74"/>
      <c r="K31" s="74"/>
      <c r="L31" s="1"/>
      <c r="M31" s="75">
        <f t="shared" ref="M31:M38" si="178">1/(SUM(M15:M19)/(COUNT(M15:M19)-1))</f>
        <v>13.094531846499782</v>
      </c>
      <c r="N31" s="74"/>
      <c r="O31" s="74"/>
      <c r="P31" s="1"/>
      <c r="Q31" s="75">
        <f t="shared" si="163"/>
        <v>13.229820842126946</v>
      </c>
      <c r="R31" s="74"/>
      <c r="S31" s="74"/>
      <c r="T31" s="1"/>
      <c r="U31" s="75">
        <f t="shared" si="164"/>
        <v>11.975741789461447</v>
      </c>
      <c r="V31" s="74"/>
      <c r="W31" s="74"/>
      <c r="X31" s="1"/>
      <c r="Y31" s="75">
        <f t="shared" si="165"/>
        <v>12.245203651882688</v>
      </c>
      <c r="Z31" s="74"/>
      <c r="AA31" s="74"/>
      <c r="AB31" s="1"/>
      <c r="AC31" s="75">
        <f t="shared" si="166"/>
        <v>10.734486326880821</v>
      </c>
      <c r="AD31" s="74"/>
      <c r="AE31" s="74"/>
      <c r="AF31" s="1"/>
      <c r="AG31" s="75">
        <f t="shared" si="167"/>
        <v>14.140833561724975</v>
      </c>
      <c r="AH31" s="74"/>
      <c r="AI31" s="74"/>
      <c r="AJ31" s="1"/>
      <c r="AK31" s="75">
        <f t="shared" si="168"/>
        <v>12.246509028538473</v>
      </c>
      <c r="AL31" s="74"/>
      <c r="AM31" s="74"/>
      <c r="AN31" s="1"/>
      <c r="AO31" s="75">
        <f t="shared" si="169"/>
        <v>13.345534618093614</v>
      </c>
      <c r="AP31" s="74"/>
      <c r="AQ31" s="74"/>
      <c r="AR31" s="1"/>
      <c r="AS31" s="75">
        <f t="shared" si="170"/>
        <v>14.627453431006845</v>
      </c>
      <c r="AT31" s="74"/>
      <c r="AU31" s="74"/>
      <c r="AV31" s="1"/>
      <c r="AW31" s="75">
        <f t="shared" ref="AW31:AW38" si="179">1/(SUM(AW15:AW19)/(COUNT(AW15:AW19)-1))</f>
        <v>13.945750678743655</v>
      </c>
      <c r="AX31" s="74"/>
      <c r="AY31" s="74"/>
      <c r="AZ31" s="1"/>
      <c r="BA31" s="75">
        <f t="shared" si="171"/>
        <v>12.197684020739198</v>
      </c>
      <c r="BB31" s="74"/>
      <c r="BC31" s="74"/>
      <c r="BD31" s="1"/>
      <c r="BE31" s="75">
        <f t="shared" si="172"/>
        <v>12.540006657827277</v>
      </c>
      <c r="BF31" s="74"/>
      <c r="BG31" s="74"/>
      <c r="BH31" s="1"/>
      <c r="BI31" s="75">
        <f t="shared" si="173"/>
        <v>14.847359667589332</v>
      </c>
      <c r="BJ31" s="74"/>
      <c r="BK31" s="74"/>
      <c r="BL31" s="1"/>
      <c r="BM31" s="75">
        <f t="shared" si="174"/>
        <v>12.837579276856768</v>
      </c>
      <c r="BN31" s="74"/>
      <c r="BO31" s="74"/>
      <c r="BP31" s="1"/>
      <c r="BQ31" s="75">
        <f t="shared" si="175"/>
        <v>12.749190878985393</v>
      </c>
      <c r="BR31" s="74"/>
      <c r="BS31" s="74"/>
      <c r="BT31" s="1"/>
      <c r="BU31" s="75">
        <f t="shared" ref="BU31:BU38" si="180">1/(SUM(BU15:BU19)/(COUNT(BU15:BU19)-1))</f>
        <v>12.111105124248693</v>
      </c>
      <c r="BX31" s="58">
        <f t="shared" si="176"/>
        <v>227.47314355167873</v>
      </c>
    </row>
    <row r="32" spans="1:76" ht="15.75" x14ac:dyDescent="0.25">
      <c r="D32" s="112" t="s">
        <v>185</v>
      </c>
      <c r="E32" s="113">
        <f t="shared" ref="E32:E38" si="181">1/(SUM(E16:E20)/(COUNT(E16:E20)-1))</f>
        <v>6.9586745849686276</v>
      </c>
      <c r="F32" s="114"/>
      <c r="G32" s="114"/>
      <c r="H32" s="112"/>
      <c r="I32" s="113">
        <f t="shared" si="177"/>
        <v>17.052279056852228</v>
      </c>
      <c r="J32" s="74"/>
      <c r="K32" s="74"/>
      <c r="L32" s="1"/>
      <c r="M32" s="75">
        <f t="shared" si="178"/>
        <v>13.042275140426169</v>
      </c>
      <c r="N32" s="74"/>
      <c r="O32" s="74"/>
      <c r="P32" s="1"/>
      <c r="Q32" s="75">
        <f t="shared" si="163"/>
        <v>10.254804233121408</v>
      </c>
      <c r="R32" s="74"/>
      <c r="S32" s="74"/>
      <c r="T32" s="1"/>
      <c r="U32" s="75">
        <f t="shared" si="164"/>
        <v>11.35593340076151</v>
      </c>
      <c r="V32" s="74"/>
      <c r="W32" s="74"/>
      <c r="X32" s="1"/>
      <c r="Y32" s="75">
        <f t="shared" si="165"/>
        <v>10.809685579621137</v>
      </c>
      <c r="Z32" s="74"/>
      <c r="AA32" s="74"/>
      <c r="AB32" s="1"/>
      <c r="AC32" s="75">
        <f t="shared" si="166"/>
        <v>10.714512436406929</v>
      </c>
      <c r="AD32" s="74"/>
      <c r="AE32" s="74"/>
      <c r="AF32" s="1"/>
      <c r="AG32" s="75">
        <f t="shared" si="167"/>
        <v>10.867337730968417</v>
      </c>
      <c r="AH32" s="74"/>
      <c r="AI32" s="74"/>
      <c r="AJ32" s="1"/>
      <c r="AK32" s="75">
        <f t="shared" si="168"/>
        <v>11.447029478667556</v>
      </c>
      <c r="AL32" s="74"/>
      <c r="AM32" s="74"/>
      <c r="AN32" s="1"/>
      <c r="AO32" s="75">
        <f t="shared" si="169"/>
        <v>11.27704554594386</v>
      </c>
      <c r="AP32" s="74"/>
      <c r="AQ32" s="74"/>
      <c r="AR32" s="1"/>
      <c r="AS32" s="75">
        <f t="shared" si="170"/>
        <v>14.626234843184607</v>
      </c>
      <c r="AT32" s="74"/>
      <c r="AU32" s="74"/>
      <c r="AV32" s="1"/>
      <c r="AW32" s="75">
        <f t="shared" si="179"/>
        <v>10.705147880148122</v>
      </c>
      <c r="AX32" s="74"/>
      <c r="AY32" s="74"/>
      <c r="AZ32" s="1"/>
      <c r="BA32" s="75">
        <f t="shared" si="171"/>
        <v>11.697622474374286</v>
      </c>
      <c r="BB32" s="74"/>
      <c r="BC32" s="74"/>
      <c r="BD32" s="1"/>
      <c r="BE32" s="75">
        <f t="shared" si="172"/>
        <v>11.328127715910384</v>
      </c>
      <c r="BF32" s="74"/>
      <c r="BG32" s="74"/>
      <c r="BH32" s="1"/>
      <c r="BI32" s="75">
        <f t="shared" si="173"/>
        <v>13.02524707460408</v>
      </c>
      <c r="BJ32" s="74"/>
      <c r="BK32" s="74"/>
      <c r="BL32" s="1"/>
      <c r="BM32" s="75">
        <f t="shared" si="174"/>
        <v>8.268153382894976</v>
      </c>
      <c r="BN32" s="74"/>
      <c r="BO32" s="74"/>
      <c r="BP32" s="1"/>
      <c r="BQ32" s="75">
        <f t="shared" si="175"/>
        <v>9.9016920375908271</v>
      </c>
      <c r="BR32" s="74"/>
      <c r="BS32" s="74"/>
      <c r="BT32" s="1"/>
      <c r="BU32" s="75">
        <f t="shared" si="180"/>
        <v>8.5747978486869396</v>
      </c>
      <c r="BX32" s="58">
        <f t="shared" si="176"/>
        <v>201.90660044513209</v>
      </c>
    </row>
    <row r="33" spans="2:76" ht="15.75" x14ac:dyDescent="0.25">
      <c r="B33" s="29"/>
      <c r="C33" s="29"/>
      <c r="D33" s="112" t="s">
        <v>184</v>
      </c>
      <c r="E33" s="113">
        <f t="shared" si="181"/>
        <v>5.1413956049676059</v>
      </c>
      <c r="F33" s="114"/>
      <c r="G33" s="114"/>
      <c r="H33" s="112"/>
      <c r="I33" s="113">
        <f t="shared" si="177"/>
        <v>8.539921489740891</v>
      </c>
      <c r="J33" s="74"/>
      <c r="K33" s="74"/>
      <c r="L33" s="1"/>
      <c r="M33" s="75">
        <f t="shared" si="178"/>
        <v>13.483395460448804</v>
      </c>
      <c r="N33" s="74"/>
      <c r="O33" s="74"/>
      <c r="P33" s="1"/>
      <c r="Q33" s="75">
        <f t="shared" si="163"/>
        <v>7.5720544473966314</v>
      </c>
      <c r="R33" s="74"/>
      <c r="S33" s="74"/>
      <c r="T33" s="1"/>
      <c r="U33" s="75">
        <f t="shared" si="164"/>
        <v>8.7560903768715921</v>
      </c>
      <c r="V33" s="74"/>
      <c r="W33" s="74"/>
      <c r="X33" s="1"/>
      <c r="Y33" s="75">
        <f t="shared" si="165"/>
        <v>7.7075279806476296</v>
      </c>
      <c r="Z33" s="74"/>
      <c r="AA33" s="74"/>
      <c r="AB33" s="1"/>
      <c r="AC33" s="75">
        <f t="shared" si="166"/>
        <v>9.9833349943206979</v>
      </c>
      <c r="AD33" s="74"/>
      <c r="AE33" s="74"/>
      <c r="AF33" s="1"/>
      <c r="AG33" s="75">
        <f t="shared" si="167"/>
        <v>8.0305872551245852</v>
      </c>
      <c r="AH33" s="74"/>
      <c r="AI33" s="74"/>
      <c r="AJ33" s="1"/>
      <c r="AK33" s="75">
        <f t="shared" si="168"/>
        <v>8.7558068836280132</v>
      </c>
      <c r="AL33" s="74"/>
      <c r="AM33" s="74"/>
      <c r="AN33" s="1"/>
      <c r="AO33" s="75">
        <f t="shared" si="169"/>
        <v>8.0465615959144081</v>
      </c>
      <c r="AP33" s="74"/>
      <c r="AQ33" s="74"/>
      <c r="AR33" s="1"/>
      <c r="AS33" s="75">
        <f t="shared" si="170"/>
        <v>14.968247852931531</v>
      </c>
      <c r="AT33" s="74"/>
      <c r="AU33" s="74"/>
      <c r="AV33" s="1"/>
      <c r="AW33" s="75">
        <f t="shared" si="179"/>
        <v>8.0829762265528391</v>
      </c>
      <c r="AX33" s="74"/>
      <c r="AY33" s="74"/>
      <c r="AZ33" s="1"/>
      <c r="BA33" s="75">
        <f t="shared" si="171"/>
        <v>9.1125288564727853</v>
      </c>
      <c r="BB33" s="74"/>
      <c r="BC33" s="74"/>
      <c r="BD33" s="1"/>
      <c r="BE33" s="75">
        <f t="shared" si="172"/>
        <v>8.0792779866618236</v>
      </c>
      <c r="BF33" s="74"/>
      <c r="BG33" s="74"/>
      <c r="BH33" s="1"/>
      <c r="BI33" s="75">
        <f t="shared" si="173"/>
        <v>13.174174302743276</v>
      </c>
      <c r="BJ33" s="74"/>
      <c r="BK33" s="74"/>
      <c r="BL33" s="1"/>
      <c r="BM33" s="75">
        <f t="shared" si="174"/>
        <v>6.7106706422894602</v>
      </c>
      <c r="BN33" s="74"/>
      <c r="BO33" s="74"/>
      <c r="BP33" s="1"/>
      <c r="BQ33" s="75">
        <f t="shared" si="175"/>
        <v>7.7728050617736795</v>
      </c>
      <c r="BR33" s="74"/>
      <c r="BS33" s="74"/>
      <c r="BT33" s="1"/>
      <c r="BU33" s="75">
        <f t="shared" si="180"/>
        <v>6.8034140645112604</v>
      </c>
      <c r="BX33" s="58">
        <f t="shared" si="176"/>
        <v>160.72077108299752</v>
      </c>
    </row>
    <row r="34" spans="2:76" ht="15.75" x14ac:dyDescent="0.25">
      <c r="D34" s="112" t="s">
        <v>183</v>
      </c>
      <c r="E34" s="113">
        <f t="shared" si="181"/>
        <v>3.6280294543340021</v>
      </c>
      <c r="F34" s="114"/>
      <c r="G34" s="114"/>
      <c r="H34" s="112"/>
      <c r="I34" s="113">
        <f t="shared" si="177"/>
        <v>7.6124758295105774</v>
      </c>
      <c r="J34" s="74"/>
      <c r="K34" s="74"/>
      <c r="L34" s="1"/>
      <c r="M34" s="75">
        <f t="shared" si="178"/>
        <v>11.919667239694279</v>
      </c>
      <c r="N34" s="74"/>
      <c r="O34" s="74"/>
      <c r="P34" s="1"/>
      <c r="Q34" s="75">
        <f t="shared" si="163"/>
        <v>7.2790395945529429</v>
      </c>
      <c r="R34" s="74"/>
      <c r="S34" s="74"/>
      <c r="T34" s="1"/>
      <c r="U34" s="75">
        <f t="shared" si="164"/>
        <v>8.407772164277878</v>
      </c>
      <c r="V34" s="74"/>
      <c r="W34" s="74"/>
      <c r="X34" s="1"/>
      <c r="Y34" s="75">
        <f t="shared" si="165"/>
        <v>7.7823623383115557</v>
      </c>
      <c r="Z34" s="74"/>
      <c r="AA34" s="74"/>
      <c r="AB34" s="1"/>
      <c r="AC34" s="75">
        <f t="shared" si="166"/>
        <v>10.514010294519741</v>
      </c>
      <c r="AD34" s="74"/>
      <c r="AE34" s="74"/>
      <c r="AF34" s="1"/>
      <c r="AG34" s="75">
        <f t="shared" si="167"/>
        <v>7.196724318449772</v>
      </c>
      <c r="AH34" s="74"/>
      <c r="AI34" s="74"/>
      <c r="AJ34" s="1"/>
      <c r="AK34" s="75">
        <f t="shared" si="168"/>
        <v>8.9871060002195744</v>
      </c>
      <c r="AL34" s="74"/>
      <c r="AM34" s="74"/>
      <c r="AN34" s="1"/>
      <c r="AO34" s="75">
        <f t="shared" si="169"/>
        <v>7.7535102201219637</v>
      </c>
      <c r="AP34" s="74"/>
      <c r="AQ34" s="74"/>
      <c r="AR34" s="1"/>
      <c r="AS34" s="75">
        <f t="shared" si="170"/>
        <v>11.094913956994525</v>
      </c>
      <c r="AT34" s="74"/>
      <c r="AU34" s="74"/>
      <c r="AV34" s="1"/>
      <c r="AW34" s="75">
        <f t="shared" si="179"/>
        <v>8.3036183125847316</v>
      </c>
      <c r="AX34" s="74"/>
      <c r="AY34" s="74"/>
      <c r="AZ34" s="1"/>
      <c r="BA34" s="75">
        <f t="shared" si="171"/>
        <v>7.6803820153018396</v>
      </c>
      <c r="BB34" s="74"/>
      <c r="BC34" s="74"/>
      <c r="BD34" s="1"/>
      <c r="BE34" s="75">
        <f t="shared" si="172"/>
        <v>8.3354859482329431</v>
      </c>
      <c r="BF34" s="74"/>
      <c r="BG34" s="74"/>
      <c r="BH34" s="1"/>
      <c r="BI34" s="75">
        <f t="shared" si="173"/>
        <v>9.0286892865735915</v>
      </c>
      <c r="BJ34" s="74"/>
      <c r="BK34" s="74"/>
      <c r="BL34" s="1"/>
      <c r="BM34" s="75">
        <f t="shared" si="174"/>
        <v>6.810314190680713</v>
      </c>
      <c r="BN34" s="74"/>
      <c r="BO34" s="74"/>
      <c r="BP34" s="1"/>
      <c r="BQ34" s="75">
        <f t="shared" si="175"/>
        <v>6.8486095743802275</v>
      </c>
      <c r="BR34" s="74"/>
      <c r="BS34" s="74"/>
      <c r="BT34" s="1"/>
      <c r="BU34" s="75">
        <f t="shared" si="180"/>
        <v>6.9570990790577403</v>
      </c>
      <c r="BX34" s="58">
        <f t="shared" si="176"/>
        <v>146.13980981779861</v>
      </c>
    </row>
    <row r="35" spans="2:76" ht="15.75" x14ac:dyDescent="0.25">
      <c r="B35" s="29"/>
      <c r="D35" s="112" t="s">
        <v>159</v>
      </c>
      <c r="E35" s="113">
        <f t="shared" si="181"/>
        <v>2.5613445297523829</v>
      </c>
      <c r="F35" s="114"/>
      <c r="G35" s="114"/>
      <c r="H35" s="112"/>
      <c r="I35" s="113">
        <f t="shared" si="177"/>
        <v>7.535409684458231</v>
      </c>
      <c r="J35" s="74"/>
      <c r="K35" s="74"/>
      <c r="L35" s="1"/>
      <c r="M35" s="75">
        <f t="shared" si="178"/>
        <v>11.588414729731822</v>
      </c>
      <c r="N35" s="74"/>
      <c r="O35" s="74"/>
      <c r="P35" s="1"/>
      <c r="Q35" s="75">
        <f t="shared" si="163"/>
        <v>6.8943460224243793</v>
      </c>
      <c r="R35" s="74"/>
      <c r="S35" s="74"/>
      <c r="T35" s="1"/>
      <c r="U35" s="75">
        <f t="shared" si="164"/>
        <v>8.637966274981304</v>
      </c>
      <c r="V35" s="74"/>
      <c r="W35" s="74"/>
      <c r="X35" s="1"/>
      <c r="Y35" s="75">
        <f t="shared" si="165"/>
        <v>7.7597259132851537</v>
      </c>
      <c r="Z35" s="74"/>
      <c r="AA35" s="74"/>
      <c r="AB35" s="1"/>
      <c r="AC35" s="75">
        <f t="shared" si="166"/>
        <v>10.424905716411256</v>
      </c>
      <c r="AD35" s="74"/>
      <c r="AE35" s="74"/>
      <c r="AF35" s="1"/>
      <c r="AG35" s="75">
        <f t="shared" si="167"/>
        <v>7.1405987905546979</v>
      </c>
      <c r="AH35" s="74"/>
      <c r="AI35" s="74"/>
      <c r="AJ35" s="1"/>
      <c r="AK35" s="75">
        <f t="shared" si="168"/>
        <v>8.1935695833839262</v>
      </c>
      <c r="AL35" s="74"/>
      <c r="AM35" s="74"/>
      <c r="AN35" s="1"/>
      <c r="AO35" s="75">
        <f t="shared" si="169"/>
        <v>7.6926433840080071</v>
      </c>
      <c r="AP35" s="74"/>
      <c r="AQ35" s="74"/>
      <c r="AR35" s="1"/>
      <c r="AS35" s="75">
        <f t="shared" si="170"/>
        <v>11.121351564501282</v>
      </c>
      <c r="AT35" s="74"/>
      <c r="AU35" s="74"/>
      <c r="AV35" s="1"/>
      <c r="AW35" s="75">
        <f t="shared" si="179"/>
        <v>8.2031081533721437</v>
      </c>
      <c r="AX35" s="74"/>
      <c r="AY35" s="74"/>
      <c r="AZ35" s="1"/>
      <c r="BA35" s="75">
        <f t="shared" si="171"/>
        <v>7.9506048934403699</v>
      </c>
      <c r="BB35" s="74"/>
      <c r="BC35" s="74"/>
      <c r="BD35" s="1"/>
      <c r="BE35" s="75">
        <f t="shared" si="172"/>
        <v>8.39196473834523</v>
      </c>
      <c r="BF35" s="74"/>
      <c r="BG35" s="74"/>
      <c r="BH35" s="1"/>
      <c r="BI35" s="75">
        <f t="shared" si="173"/>
        <v>8.9845126999051814</v>
      </c>
      <c r="BJ35" s="74"/>
      <c r="BK35" s="74"/>
      <c r="BL35" s="1"/>
      <c r="BM35" s="75">
        <f t="shared" si="174"/>
        <v>6.5332711426478394</v>
      </c>
      <c r="BN35" s="74"/>
      <c r="BO35" s="74"/>
      <c r="BP35" s="1"/>
      <c r="BQ35" s="75">
        <f t="shared" si="175"/>
        <v>7.0254383727631149</v>
      </c>
      <c r="BR35" s="74"/>
      <c r="BS35" s="74"/>
      <c r="BT35" s="1"/>
      <c r="BU35" s="75">
        <f t="shared" si="180"/>
        <v>6.9513268091318752</v>
      </c>
      <c r="BX35" s="58">
        <f t="shared" si="176"/>
        <v>143.59050300309821</v>
      </c>
    </row>
    <row r="36" spans="2:76" ht="15.75" x14ac:dyDescent="0.25">
      <c r="B36" s="29"/>
      <c r="D36" s="112" t="s">
        <v>158</v>
      </c>
      <c r="E36" s="113">
        <f t="shared" si="181"/>
        <v>2.7485779821080212</v>
      </c>
      <c r="F36" s="114"/>
      <c r="G36" s="114"/>
      <c r="H36" s="112"/>
      <c r="I36" s="113">
        <f t="shared" si="177"/>
        <v>5.2410956935371482</v>
      </c>
      <c r="J36" s="74"/>
      <c r="K36" s="74"/>
      <c r="L36" s="1"/>
      <c r="M36" s="75">
        <f t="shared" si="178"/>
        <v>27.106028962277296</v>
      </c>
      <c r="N36" s="74"/>
      <c r="O36" s="74"/>
      <c r="P36" s="1"/>
      <c r="Q36" s="75">
        <f t="shared" si="163"/>
        <v>7.5816925261796833</v>
      </c>
      <c r="R36" s="74"/>
      <c r="S36" s="74"/>
      <c r="T36" s="1"/>
      <c r="U36" s="75">
        <f t="shared" si="164"/>
        <v>13.663449706929017</v>
      </c>
      <c r="V36" s="74"/>
      <c r="W36" s="74"/>
      <c r="X36" s="1"/>
      <c r="Y36" s="75">
        <f t="shared" si="165"/>
        <v>10.127374734511754</v>
      </c>
      <c r="Z36" s="74"/>
      <c r="AA36" s="74"/>
      <c r="AB36" s="1"/>
      <c r="AC36" s="75">
        <f t="shared" si="166"/>
        <v>41.610136510121578</v>
      </c>
      <c r="AD36" s="74"/>
      <c r="AE36" s="74"/>
      <c r="AF36" s="1"/>
      <c r="AG36" s="75">
        <f t="shared" si="167"/>
        <v>7.2023855181307619</v>
      </c>
      <c r="AH36" s="74"/>
      <c r="AI36" s="74"/>
      <c r="AJ36" s="1"/>
      <c r="AK36" s="75">
        <f t="shared" si="168"/>
        <v>14.335763186438911</v>
      </c>
      <c r="AL36" s="74"/>
      <c r="AM36" s="74"/>
      <c r="AN36" s="1"/>
      <c r="AO36" s="75">
        <f t="shared" si="169"/>
        <v>9.2917824849862072</v>
      </c>
      <c r="AP36" s="74"/>
      <c r="AQ36" s="74"/>
      <c r="AR36" s="1"/>
      <c r="AS36" s="75">
        <f t="shared" si="170"/>
        <v>27.536032447419398</v>
      </c>
      <c r="AT36" s="74"/>
      <c r="AU36" s="74"/>
      <c r="AV36" s="1"/>
      <c r="AW36" s="75">
        <f t="shared" si="179"/>
        <v>10.120463853792073</v>
      </c>
      <c r="AX36" s="74"/>
      <c r="AY36" s="74"/>
      <c r="AZ36" s="1"/>
      <c r="BA36" s="75">
        <f t="shared" si="171"/>
        <v>13.56268550321472</v>
      </c>
      <c r="BB36" s="74"/>
      <c r="BC36" s="74"/>
      <c r="BD36" s="1"/>
      <c r="BE36" s="75">
        <f t="shared" si="172"/>
        <v>12.250815272790176</v>
      </c>
      <c r="BF36" s="74"/>
      <c r="BG36" s="74"/>
      <c r="BH36" s="1"/>
      <c r="BI36" s="75">
        <f t="shared" si="173"/>
        <v>15.330037936562105</v>
      </c>
      <c r="BJ36" s="74"/>
      <c r="BK36" s="74"/>
      <c r="BL36" s="1"/>
      <c r="BM36" s="75">
        <f t="shared" si="174"/>
        <v>8.1576817652406337</v>
      </c>
      <c r="BN36" s="74"/>
      <c r="BO36" s="74"/>
      <c r="BP36" s="1"/>
      <c r="BQ36" s="75">
        <f t="shared" si="175"/>
        <v>10.238902275146158</v>
      </c>
      <c r="BR36" s="74"/>
      <c r="BS36" s="74"/>
      <c r="BT36" s="1"/>
      <c r="BU36" s="75">
        <f t="shared" si="180"/>
        <v>9.7956067592667573</v>
      </c>
      <c r="BX36" s="58">
        <f t="shared" si="176"/>
        <v>245.90051311865236</v>
      </c>
    </row>
    <row r="37" spans="2:76" ht="15.75" x14ac:dyDescent="0.25">
      <c r="B37" s="29"/>
      <c r="D37" s="112" t="s">
        <v>157</v>
      </c>
      <c r="E37" s="113">
        <f t="shared" si="181"/>
        <v>2.813892364315596</v>
      </c>
      <c r="F37" s="114"/>
      <c r="G37" s="114"/>
      <c r="H37" s="112"/>
      <c r="I37" s="113">
        <f t="shared" si="177"/>
        <v>5.1104562641651956</v>
      </c>
      <c r="J37" s="74"/>
      <c r="K37" s="74"/>
      <c r="L37" s="1"/>
      <c r="M37" s="75">
        <f t="shared" si="178"/>
        <v>17.413532571064039</v>
      </c>
      <c r="N37" s="74"/>
      <c r="O37" s="74"/>
      <c r="P37" s="1"/>
      <c r="Q37" s="75">
        <f t="shared" si="163"/>
        <v>7.2334965561827778</v>
      </c>
      <c r="R37" s="74"/>
      <c r="S37" s="74"/>
      <c r="T37" s="1"/>
      <c r="U37" s="75">
        <f t="shared" si="164"/>
        <v>11.17875498211526</v>
      </c>
      <c r="V37" s="74"/>
      <c r="W37" s="74"/>
      <c r="X37" s="1"/>
      <c r="Y37" s="75">
        <f t="shared" si="165"/>
        <v>8.833747657457824</v>
      </c>
      <c r="Z37" s="74"/>
      <c r="AA37" s="74"/>
      <c r="AB37" s="1"/>
      <c r="AC37" s="75">
        <f t="shared" si="166"/>
        <v>25.8993656037003</v>
      </c>
      <c r="AD37" s="74"/>
      <c r="AE37" s="74"/>
      <c r="AF37" s="1"/>
      <c r="AG37" s="75">
        <f t="shared" si="167"/>
        <v>7.225808544651251</v>
      </c>
      <c r="AH37" s="74"/>
      <c r="AI37" s="74"/>
      <c r="AJ37" s="1"/>
      <c r="AK37" s="75">
        <f t="shared" si="168"/>
        <v>10.630326607873178</v>
      </c>
      <c r="AL37" s="74"/>
      <c r="AM37" s="74"/>
      <c r="AN37" s="1"/>
      <c r="AO37" s="75">
        <f t="shared" si="169"/>
        <v>8.2764971796875333</v>
      </c>
      <c r="AP37" s="74"/>
      <c r="AQ37" s="74"/>
      <c r="AR37" s="1"/>
      <c r="AS37" s="75">
        <f t="shared" si="170"/>
        <v>14.268837031339975</v>
      </c>
      <c r="AT37" s="74"/>
      <c r="AU37" s="74"/>
      <c r="AV37" s="1"/>
      <c r="AW37" s="75">
        <f t="shared" si="179"/>
        <v>8.1250637624823394</v>
      </c>
      <c r="AX37" s="74"/>
      <c r="AY37" s="74"/>
      <c r="AZ37" s="1"/>
      <c r="BA37" s="75">
        <f t="shared" si="171"/>
        <v>9.551556663172855</v>
      </c>
      <c r="BB37" s="74"/>
      <c r="BC37" s="74"/>
      <c r="BD37" s="1"/>
      <c r="BE37" s="75">
        <f t="shared" si="172"/>
        <v>8.7648329513474312</v>
      </c>
      <c r="BF37" s="74"/>
      <c r="BG37" s="74"/>
      <c r="BH37" s="1"/>
      <c r="BI37" s="75">
        <f t="shared" si="173"/>
        <v>9.5541169631464271</v>
      </c>
      <c r="BJ37" s="74"/>
      <c r="BK37" s="74"/>
      <c r="BL37" s="1"/>
      <c r="BM37" s="75">
        <f t="shared" si="174"/>
        <v>6.9842111084294896</v>
      </c>
      <c r="BN37" s="74"/>
      <c r="BO37" s="74"/>
      <c r="BP37" s="1"/>
      <c r="BQ37" s="75">
        <f t="shared" si="175"/>
        <v>8.3086045442780971</v>
      </c>
      <c r="BR37" s="74"/>
      <c r="BS37" s="74"/>
      <c r="BT37" s="1"/>
      <c r="BU37" s="75">
        <f t="shared" si="180"/>
        <v>7.7448906722311834</v>
      </c>
      <c r="BX37" s="58">
        <f t="shared" si="176"/>
        <v>177.91799202764076</v>
      </c>
    </row>
    <row r="38" spans="2:76" ht="15.75" x14ac:dyDescent="0.25">
      <c r="B38" s="29"/>
      <c r="D38" s="112" t="s">
        <v>156</v>
      </c>
      <c r="E38" s="113">
        <f t="shared" si="181"/>
        <v>2.2556968418117935</v>
      </c>
      <c r="F38" s="114"/>
      <c r="G38" s="114"/>
      <c r="H38" s="112"/>
      <c r="I38" s="113">
        <f t="shared" si="177"/>
        <v>6.8580770956910664</v>
      </c>
      <c r="J38" s="74"/>
      <c r="K38" s="74"/>
      <c r="L38" s="1"/>
      <c r="M38" s="75">
        <f t="shared" si="178"/>
        <v>14.151685273005107</v>
      </c>
      <c r="N38" s="74"/>
      <c r="O38" s="74"/>
      <c r="P38" s="1"/>
      <c r="Q38" s="75">
        <f t="shared" si="163"/>
        <v>7.5525038756867469</v>
      </c>
      <c r="R38" s="74"/>
      <c r="S38" s="74"/>
      <c r="T38" s="1"/>
      <c r="U38" s="75">
        <f t="shared" si="164"/>
        <v>15.100254194873575</v>
      </c>
      <c r="V38" s="74"/>
      <c r="W38" s="74"/>
      <c r="X38" s="1"/>
      <c r="Y38" s="75">
        <f t="shared" si="165"/>
        <v>12.542154322430672</v>
      </c>
      <c r="Z38" s="74"/>
      <c r="AA38" s="74"/>
      <c r="AB38" s="1"/>
      <c r="AC38" s="75">
        <f t="shared" si="166"/>
        <v>17.72193680896445</v>
      </c>
      <c r="AD38" s="74"/>
      <c r="AE38" s="74"/>
      <c r="AF38" s="1"/>
      <c r="AG38" s="75">
        <f t="shared" si="167"/>
        <v>7.4428381917627364</v>
      </c>
      <c r="AH38" s="74"/>
      <c r="AI38" s="74"/>
      <c r="AJ38" s="1"/>
      <c r="AK38" s="75">
        <f t="shared" si="168"/>
        <v>13.041442759358842</v>
      </c>
      <c r="AL38" s="74"/>
      <c r="AM38" s="74"/>
      <c r="AN38" s="1"/>
      <c r="AO38" s="75">
        <f t="shared" si="169"/>
        <v>11.16078889544378</v>
      </c>
      <c r="AP38" s="74"/>
      <c r="AQ38" s="74"/>
      <c r="AR38" s="1"/>
      <c r="AS38" s="75">
        <f t="shared" si="170"/>
        <v>12.575715079768907</v>
      </c>
      <c r="AT38" s="74"/>
      <c r="AU38" s="74"/>
      <c r="AV38" s="1"/>
      <c r="AW38" s="75">
        <f t="shared" si="179"/>
        <v>9.9592786391939434</v>
      </c>
      <c r="AX38" s="74"/>
      <c r="AY38" s="74"/>
      <c r="AZ38" s="1"/>
      <c r="BA38" s="75">
        <f t="shared" si="171"/>
        <v>13.2952186423414</v>
      </c>
      <c r="BB38" s="74"/>
      <c r="BC38" s="74"/>
      <c r="BD38" s="1"/>
      <c r="BE38" s="75">
        <f t="shared" si="172"/>
        <v>13.964203250870925</v>
      </c>
      <c r="BF38" s="74"/>
      <c r="BG38" s="74"/>
      <c r="BH38" s="1"/>
      <c r="BI38" s="75">
        <f t="shared" si="173"/>
        <v>8.8817364444991789</v>
      </c>
      <c r="BJ38" s="74"/>
      <c r="BK38" s="74"/>
      <c r="BL38" s="1"/>
      <c r="BM38" s="75">
        <f t="shared" si="174"/>
        <v>7.9159083243026309</v>
      </c>
      <c r="BN38" s="74"/>
      <c r="BO38" s="74"/>
      <c r="BP38" s="1"/>
      <c r="BQ38" s="75">
        <f t="shared" si="175"/>
        <v>11.592222410827228</v>
      </c>
      <c r="BR38" s="74"/>
      <c r="BS38" s="74"/>
      <c r="BT38" s="1"/>
      <c r="BU38" s="75">
        <f t="shared" si="180"/>
        <v>10.679394269380294</v>
      </c>
      <c r="BX38" s="58">
        <f t="shared" si="176"/>
        <v>196.69105532021325</v>
      </c>
    </row>
    <row r="39" spans="2:76" ht="15.75" x14ac:dyDescent="0.25">
      <c r="D39" s="112" t="s">
        <v>187</v>
      </c>
      <c r="E39" s="113">
        <f>1/(SUM(E23:E27)/(COUNT(E23:E27)-1))</f>
        <v>2.1379642287039426</v>
      </c>
      <c r="F39" s="114"/>
      <c r="G39" s="114"/>
      <c r="H39" s="112"/>
      <c r="I39" s="113">
        <f>1/(SUM(I23:I27)/(COUNT(I23:I27)-1))</f>
        <v>4.6301162790387798</v>
      </c>
      <c r="J39" s="74"/>
      <c r="K39" s="74"/>
      <c r="L39" s="1"/>
      <c r="M39" s="75">
        <f>1/(SUM(M23:M27)/(COUNT(M23:M27)-1))</f>
        <v>3.4523811588285649</v>
      </c>
      <c r="N39" s="74"/>
      <c r="O39" s="74"/>
      <c r="P39" s="1"/>
      <c r="Q39" s="75">
        <f t="shared" si="163"/>
        <v>3.6765319978052151</v>
      </c>
      <c r="R39" s="74"/>
      <c r="S39" s="74"/>
      <c r="T39" s="1"/>
      <c r="U39" s="75">
        <f t="shared" si="164"/>
        <v>4.6496048162799939</v>
      </c>
      <c r="V39" s="74"/>
      <c r="W39" s="74"/>
      <c r="X39" s="1"/>
      <c r="Y39" s="75">
        <f t="shared" si="165"/>
        <v>4.5889983425091474</v>
      </c>
      <c r="Z39" s="74"/>
      <c r="AA39" s="74"/>
      <c r="AB39" s="1"/>
      <c r="AC39" s="75">
        <f t="shared" si="166"/>
        <v>3.2239263419832516</v>
      </c>
      <c r="AD39" s="74"/>
      <c r="AE39" s="74"/>
      <c r="AF39" s="1"/>
      <c r="AG39" s="75">
        <f t="shared" si="167"/>
        <v>3.4270198691144746</v>
      </c>
      <c r="AH39" s="74"/>
      <c r="AI39" s="74"/>
      <c r="AJ39" s="1"/>
      <c r="AK39" s="75">
        <f t="shared" si="168"/>
        <v>3.5382878434556835</v>
      </c>
      <c r="AL39" s="74"/>
      <c r="AM39" s="74"/>
      <c r="AN39" s="1"/>
      <c r="AO39" s="75">
        <f t="shared" si="169"/>
        <v>3.8945161033860778</v>
      </c>
      <c r="AP39" s="74"/>
      <c r="AQ39" s="74"/>
      <c r="AR39" s="1"/>
      <c r="AS39" s="75">
        <f t="shared" si="170"/>
        <v>3.0607478117499656</v>
      </c>
      <c r="AT39" s="74"/>
      <c r="AU39" s="74"/>
      <c r="AV39" s="1"/>
      <c r="AW39" s="75">
        <f>1/(SUM(AW23:AW27)/(COUNT(AW23:AW27)-1))</f>
        <v>3.5848217646557385</v>
      </c>
      <c r="AX39" s="74"/>
      <c r="AY39" s="74"/>
      <c r="AZ39" s="1"/>
      <c r="BA39" s="75">
        <f t="shared" si="171"/>
        <v>3.9921794837623867</v>
      </c>
      <c r="BB39" s="74"/>
      <c r="BC39" s="74"/>
      <c r="BD39" s="1"/>
      <c r="BE39" s="75">
        <f t="shared" si="172"/>
        <v>4.0606618243992116</v>
      </c>
      <c r="BF39" s="74"/>
      <c r="BG39" s="74"/>
      <c r="BH39" s="1"/>
      <c r="BI39" s="75">
        <f t="shared" si="173"/>
        <v>2.8666863288792204</v>
      </c>
      <c r="BJ39" s="74"/>
      <c r="BK39" s="74"/>
      <c r="BL39" s="1"/>
      <c r="BM39" s="75">
        <f t="shared" si="174"/>
        <v>3.4387872265791493</v>
      </c>
      <c r="BN39" s="74"/>
      <c r="BO39" s="74"/>
      <c r="BP39" s="1"/>
      <c r="BQ39" s="75">
        <f t="shared" si="175"/>
        <v>3.8165261899643004</v>
      </c>
      <c r="BR39" s="74"/>
      <c r="BS39" s="74"/>
      <c r="BT39" s="1"/>
      <c r="BU39" s="75">
        <f>1/(SUM(BU23:BU27)/(COUNT(BU23:BU27)-1))</f>
        <v>3.8093897768255442</v>
      </c>
      <c r="BX39" s="59">
        <f t="shared" si="176"/>
        <v>65.849147387920638</v>
      </c>
    </row>
    <row r="40" spans="2:76" s="76" customFormat="1" ht="15.75" x14ac:dyDescent="0.25">
      <c r="B40" s="22"/>
      <c r="C40" s="22"/>
      <c r="D40" s="115"/>
      <c r="E40" s="114"/>
      <c r="F40" s="114"/>
      <c r="G40" s="114"/>
      <c r="H40" s="115"/>
      <c r="I40" s="114"/>
      <c r="J40" s="74"/>
      <c r="K40" s="74"/>
      <c r="L40" s="22"/>
      <c r="M40" s="74"/>
      <c r="N40" s="74"/>
      <c r="O40" s="74"/>
      <c r="P40" s="22"/>
      <c r="Q40" s="74"/>
      <c r="R40" s="74"/>
      <c r="S40" s="74"/>
      <c r="T40" s="22"/>
      <c r="U40" s="74"/>
      <c r="V40" s="74"/>
      <c r="W40" s="74"/>
      <c r="X40" s="22"/>
      <c r="Y40" s="74"/>
      <c r="Z40" s="74"/>
      <c r="AA40" s="74"/>
      <c r="AB40" s="22"/>
      <c r="AC40" s="74"/>
      <c r="AD40" s="74"/>
      <c r="AE40" s="74"/>
      <c r="AF40" s="22"/>
      <c r="AG40" s="74"/>
      <c r="AH40" s="74"/>
      <c r="AI40" s="74"/>
      <c r="AJ40" s="22"/>
      <c r="AK40" s="74"/>
      <c r="AL40" s="74"/>
      <c r="AM40" s="74"/>
      <c r="AN40" s="22"/>
      <c r="AO40" s="74"/>
      <c r="AP40" s="74"/>
      <c r="AQ40" s="74"/>
      <c r="AR40" s="22"/>
      <c r="AS40" s="74"/>
      <c r="AT40" s="74"/>
      <c r="AU40" s="74"/>
      <c r="AV40" s="22"/>
      <c r="AW40" s="74"/>
      <c r="AX40" s="74"/>
      <c r="AY40" s="74"/>
      <c r="AZ40" s="22"/>
      <c r="BA40" s="74"/>
      <c r="BB40" s="74"/>
      <c r="BC40" s="74"/>
      <c r="BD40" s="22"/>
      <c r="BE40" s="74"/>
      <c r="BF40" s="74"/>
      <c r="BG40" s="74"/>
      <c r="BH40" s="22"/>
      <c r="BI40" s="74"/>
      <c r="BJ40" s="74"/>
      <c r="BK40" s="74"/>
      <c r="BL40" s="22"/>
      <c r="BM40" s="74"/>
      <c r="BN40" s="74"/>
      <c r="BO40" s="74"/>
      <c r="BP40" s="22"/>
      <c r="BQ40" s="74"/>
      <c r="BR40" s="74"/>
      <c r="BS40" s="74"/>
      <c r="BT40" s="22"/>
      <c r="BU40" s="74"/>
      <c r="BV40" s="77"/>
      <c r="BW40" s="77"/>
    </row>
    <row r="41" spans="2:76" ht="30" x14ac:dyDescent="0.25">
      <c r="D41" s="116" t="s">
        <v>164</v>
      </c>
      <c r="N41" s="76"/>
      <c r="O41" s="76"/>
      <c r="V41" s="76"/>
      <c r="W41" s="76"/>
      <c r="AD41" s="76"/>
      <c r="AE41" s="76"/>
      <c r="BB41" s="76"/>
      <c r="BC41" s="76"/>
    </row>
    <row r="42" spans="2:76" x14ac:dyDescent="0.25">
      <c r="D42" s="112" t="s">
        <v>189</v>
      </c>
      <c r="E42" s="83">
        <f>E29/$BX29</f>
        <v>4.9727753882596815E-2</v>
      </c>
      <c r="I42" s="83">
        <f>I29/$BX29</f>
        <v>6.7102272054260365E-2</v>
      </c>
      <c r="J42" s="26"/>
      <c r="K42" s="26"/>
      <c r="M42" s="26">
        <f>M29/$BX29</f>
        <v>7.2487697269740567E-2</v>
      </c>
      <c r="N42" s="26"/>
      <c r="O42" s="26"/>
      <c r="Q42" s="26">
        <f t="shared" ref="Q42:Q52" si="182">Q29/$BX29</f>
        <v>5.878329520004142E-2</v>
      </c>
      <c r="R42" s="26"/>
      <c r="S42" s="26"/>
      <c r="U42" s="26">
        <f t="shared" ref="U42:U52" si="183">U29/$BX29</f>
        <v>4.6086585346604564E-2</v>
      </c>
      <c r="V42" s="26"/>
      <c r="W42" s="26"/>
      <c r="Y42" s="26">
        <f t="shared" ref="Y42:Y52" si="184">Y29/$BX29</f>
        <v>4.7985566982544262E-2</v>
      </c>
      <c r="Z42" s="26"/>
      <c r="AA42" s="26"/>
      <c r="AC42" s="26">
        <f t="shared" ref="AC42:AC52" si="185">AC29/$BX29</f>
        <v>6.3907910059317286E-2</v>
      </c>
      <c r="AD42" s="26"/>
      <c r="AE42" s="26"/>
      <c r="AG42" s="26">
        <f t="shared" ref="AG42:AG52" si="186">AG29/$BX29</f>
        <v>3.9852076173846028E-2</v>
      </c>
      <c r="AH42" s="26"/>
      <c r="AI42" s="26"/>
      <c r="AK42" s="26">
        <f t="shared" ref="AK42:AK52" si="187">AK29/$BX29</f>
        <v>3.2272530168796561E-2</v>
      </c>
      <c r="AL42" s="26"/>
      <c r="AM42" s="26"/>
      <c r="AO42" s="26">
        <f t="shared" ref="AO42:AO52" si="188">AO29/$BX29</f>
        <v>3.1951343574580182E-2</v>
      </c>
      <c r="AP42" s="26"/>
      <c r="AQ42" s="26"/>
      <c r="AS42" s="26">
        <f t="shared" ref="AS42:AS52" si="189">AS29/$BX29</f>
        <v>8.9831676549347997E-2</v>
      </c>
      <c r="AT42" s="26"/>
      <c r="AU42" s="26"/>
      <c r="AW42" s="26">
        <f t="shared" ref="AW42:AW52" si="190">AW29/$BX29</f>
        <v>5.7281335567787972E-2</v>
      </c>
      <c r="AX42" s="26"/>
      <c r="AY42" s="26"/>
      <c r="BA42" s="26">
        <f t="shared" ref="BA42:BA52" si="191">BA29/$BX29</f>
        <v>4.7513863668785301E-2</v>
      </c>
      <c r="BB42" s="78"/>
      <c r="BC42" s="78"/>
      <c r="BE42" s="26">
        <f t="shared" ref="BE42:BE52" si="192">BE29/$BX29</f>
        <v>4.4894013237438531E-2</v>
      </c>
      <c r="BF42" s="26"/>
      <c r="BG42" s="26"/>
      <c r="BI42" s="26">
        <f t="shared" ref="BI42:BI52" si="193">BI29/$BX29</f>
        <v>8.3945915160837853E-2</v>
      </c>
      <c r="BJ42" s="26"/>
      <c r="BK42" s="26"/>
      <c r="BM42" s="26">
        <f t="shared" ref="BM42:BM52" si="194">BM29/$BX29</f>
        <v>6.4793339490793328E-2</v>
      </c>
      <c r="BN42" s="26"/>
      <c r="BO42" s="26"/>
      <c r="BQ42" s="26">
        <f t="shared" ref="BQ42:BQ52" si="195">BQ29/$BX29</f>
        <v>4.999651731512237E-2</v>
      </c>
      <c r="BR42" s="26"/>
      <c r="BS42" s="26"/>
      <c r="BU42" s="26">
        <f t="shared" ref="BU42:BU52" si="196">BU29/$BX29</f>
        <v>5.1586308297558746E-2</v>
      </c>
      <c r="BW42" s="32"/>
      <c r="BX42" s="32">
        <f t="shared" ref="BX42:BX52" si="197">SUM(E42,I42,M42,Q42,U42,Y42,AC42,AG42,AK42,AO42,AS42,AW42,BA42,BE42,BI42,BM42,BQ42,BU42)</f>
        <v>1.0000000000000002</v>
      </c>
    </row>
    <row r="43" spans="2:76" x14ac:dyDescent="0.25">
      <c r="D43" s="112" t="s">
        <v>188</v>
      </c>
      <c r="E43" s="83">
        <f t="shared" ref="E43:E52" si="198">E30/$BX30</f>
        <v>4.9066943217970727E-2</v>
      </c>
      <c r="I43" s="83">
        <f t="shared" ref="I43:I52" si="199">I30/$BX30</f>
        <v>4.4148552584423115E-2</v>
      </c>
      <c r="J43" s="26"/>
      <c r="K43" s="26"/>
      <c r="M43" s="26">
        <f t="shared" ref="M43:M52" si="200">M30/$BX30</f>
        <v>6.0790416650132587E-2</v>
      </c>
      <c r="N43" s="26"/>
      <c r="O43" s="26"/>
      <c r="Q43" s="26">
        <f t="shared" si="182"/>
        <v>7.6024917484405846E-2</v>
      </c>
      <c r="R43" s="26"/>
      <c r="S43" s="26"/>
      <c r="U43" s="26">
        <f t="shared" si="183"/>
        <v>4.6322511872399545E-2</v>
      </c>
      <c r="V43" s="26"/>
      <c r="W43" s="26"/>
      <c r="Y43" s="26">
        <f t="shared" si="184"/>
        <v>5.2367230587695365E-2</v>
      </c>
      <c r="Z43" s="26"/>
      <c r="AA43" s="26"/>
      <c r="AC43" s="26">
        <f t="shared" si="185"/>
        <v>5.7625830144478585E-2</v>
      </c>
      <c r="AD43" s="26"/>
      <c r="AE43" s="26"/>
      <c r="AG43" s="26">
        <f t="shared" si="186"/>
        <v>4.4085599165041123E-2</v>
      </c>
      <c r="AH43" s="26"/>
      <c r="AI43" s="26"/>
      <c r="AK43" s="26">
        <f t="shared" si="187"/>
        <v>3.5462788814003332E-2</v>
      </c>
      <c r="AL43" s="26"/>
      <c r="AM43" s="26"/>
      <c r="AO43" s="26">
        <f t="shared" si="188"/>
        <v>3.2297536335209313E-2</v>
      </c>
      <c r="AP43" s="26"/>
      <c r="AQ43" s="26"/>
      <c r="AS43" s="26">
        <f t="shared" si="189"/>
        <v>6.8939470847154849E-2</v>
      </c>
      <c r="AT43" s="26"/>
      <c r="AU43" s="26"/>
      <c r="AW43" s="26">
        <f t="shared" si="190"/>
        <v>6.4163360805567379E-2</v>
      </c>
      <c r="AX43" s="26"/>
      <c r="AY43" s="26"/>
      <c r="BA43" s="26">
        <f t="shared" si="191"/>
        <v>4.0418070074559768E-2</v>
      </c>
      <c r="BB43" s="26"/>
      <c r="BC43" s="26"/>
      <c r="BE43" s="26">
        <f t="shared" si="192"/>
        <v>4.2775636653886756E-2</v>
      </c>
      <c r="BF43" s="26"/>
      <c r="BG43" s="26"/>
      <c r="BI43" s="26">
        <f t="shared" si="193"/>
        <v>7.9209500162828073E-2</v>
      </c>
      <c r="BJ43" s="26"/>
      <c r="BK43" s="26"/>
      <c r="BM43" s="26">
        <f t="shared" si="194"/>
        <v>9.3557881321610858E-2</v>
      </c>
      <c r="BN43" s="26"/>
      <c r="BO43" s="26"/>
      <c r="BQ43" s="26">
        <f t="shared" si="195"/>
        <v>5.2117710550712806E-2</v>
      </c>
      <c r="BR43" s="26"/>
      <c r="BS43" s="26"/>
      <c r="BU43" s="26">
        <f t="shared" si="196"/>
        <v>6.0626042727920083E-2</v>
      </c>
      <c r="BW43" s="32"/>
      <c r="BX43" s="32">
        <f t="shared" si="197"/>
        <v>1.0000000000000002</v>
      </c>
    </row>
    <row r="44" spans="2:76" ht="15.75" x14ac:dyDescent="0.25">
      <c r="B44" s="30"/>
      <c r="D44" s="112" t="s">
        <v>186</v>
      </c>
      <c r="E44" s="83">
        <f t="shared" si="198"/>
        <v>3.1331916258851233E-2</v>
      </c>
      <c r="I44" s="83">
        <f t="shared" si="199"/>
        <v>5.924735753481232E-2</v>
      </c>
      <c r="J44" s="26"/>
      <c r="K44" s="26"/>
      <c r="M44" s="26">
        <f t="shared" si="200"/>
        <v>5.7565177330592819E-2</v>
      </c>
      <c r="N44" s="26"/>
      <c r="O44" s="26"/>
      <c r="Q44" s="26">
        <f t="shared" si="182"/>
        <v>5.8159924444536965E-2</v>
      </c>
      <c r="R44" s="26"/>
      <c r="S44" s="26"/>
      <c r="U44" s="26">
        <f t="shared" si="183"/>
        <v>5.2646838226600254E-2</v>
      </c>
      <c r="V44" s="26"/>
      <c r="W44" s="26"/>
      <c r="Y44" s="26">
        <f t="shared" si="184"/>
        <v>5.383142581445334E-2</v>
      </c>
      <c r="Z44" s="26"/>
      <c r="AA44" s="26"/>
      <c r="AC44" s="26">
        <f t="shared" si="185"/>
        <v>4.7190126092586819E-2</v>
      </c>
      <c r="AD44" s="26"/>
      <c r="AE44" s="26"/>
      <c r="AG44" s="26">
        <f t="shared" si="186"/>
        <v>6.2164848741857626E-2</v>
      </c>
      <c r="AH44" s="26"/>
      <c r="AI44" s="26"/>
      <c r="AK44" s="26">
        <f t="shared" si="187"/>
        <v>5.3837164411262628E-2</v>
      </c>
      <c r="AL44" s="26"/>
      <c r="AM44" s="26"/>
      <c r="AO44" s="26">
        <f t="shared" si="188"/>
        <v>5.8668616478066538E-2</v>
      </c>
      <c r="AP44" s="26"/>
      <c r="AQ44" s="26"/>
      <c r="AS44" s="26">
        <f t="shared" si="189"/>
        <v>6.4304089716347948E-2</v>
      </c>
      <c r="AT44" s="26"/>
      <c r="AU44" s="26"/>
      <c r="AW44" s="26">
        <f t="shared" si="190"/>
        <v>6.1307240322967513E-2</v>
      </c>
      <c r="AX44" s="26"/>
      <c r="AY44" s="26"/>
      <c r="BA44" s="26">
        <f t="shared" si="191"/>
        <v>5.3622523653954139E-2</v>
      </c>
      <c r="BB44" s="26"/>
      <c r="BC44" s="26"/>
      <c r="BE44" s="26">
        <f t="shared" si="192"/>
        <v>5.5127416195302904E-2</v>
      </c>
      <c r="BF44" s="26"/>
      <c r="BG44" s="26"/>
      <c r="BI44" s="26">
        <f t="shared" si="193"/>
        <v>6.5270824659862406E-2</v>
      </c>
      <c r="BJ44" s="26"/>
      <c r="BK44" s="26"/>
      <c r="BM44" s="26">
        <f t="shared" si="194"/>
        <v>5.6435582136931471E-2</v>
      </c>
      <c r="BN44" s="26"/>
      <c r="BO44" s="26"/>
      <c r="BQ44" s="26">
        <f t="shared" si="195"/>
        <v>5.6047015836350612E-2</v>
      </c>
      <c r="BR44" s="26"/>
      <c r="BS44" s="26"/>
      <c r="BU44" s="26">
        <f t="shared" si="196"/>
        <v>5.3241912144662555E-2</v>
      </c>
      <c r="BW44" s="32"/>
      <c r="BX44" s="32">
        <f t="shared" si="197"/>
        <v>1</v>
      </c>
    </row>
    <row r="45" spans="2:76" ht="15.75" x14ac:dyDescent="0.25">
      <c r="B45" s="29"/>
      <c r="D45" s="112" t="s">
        <v>185</v>
      </c>
      <c r="E45" s="83">
        <f t="shared" si="198"/>
        <v>3.4464819721728913E-2</v>
      </c>
      <c r="I45" s="83">
        <f t="shared" si="199"/>
        <v>8.4456273441571653E-2</v>
      </c>
      <c r="J45" s="26"/>
      <c r="K45" s="26"/>
      <c r="M45" s="26">
        <f t="shared" si="200"/>
        <v>6.4595585838563979E-2</v>
      </c>
      <c r="N45" s="26"/>
      <c r="O45" s="26"/>
      <c r="Q45" s="26">
        <f t="shared" si="182"/>
        <v>5.0789841493607539E-2</v>
      </c>
      <c r="R45" s="26"/>
      <c r="S45" s="26"/>
      <c r="U45" s="26">
        <f t="shared" si="183"/>
        <v>5.6243497615856661E-2</v>
      </c>
      <c r="V45" s="26"/>
      <c r="W45" s="26"/>
      <c r="Y45" s="26">
        <f t="shared" si="184"/>
        <v>5.3538049552563576E-2</v>
      </c>
      <c r="Z45" s="26"/>
      <c r="AA45" s="26"/>
      <c r="AC45" s="26">
        <f t="shared" si="185"/>
        <v>5.3066677428005068E-2</v>
      </c>
      <c r="AD45" s="26"/>
      <c r="AE45" s="26"/>
      <c r="AG45" s="26">
        <f t="shared" si="186"/>
        <v>5.3823588268089362E-2</v>
      </c>
      <c r="AH45" s="26"/>
      <c r="AI45" s="26"/>
      <c r="AK45" s="26">
        <f t="shared" si="187"/>
        <v>5.6694676912151146E-2</v>
      </c>
      <c r="AL45" s="26"/>
      <c r="AM45" s="26"/>
      <c r="AO45" s="26">
        <f t="shared" si="188"/>
        <v>5.5852783024834228E-2</v>
      </c>
      <c r="AP45" s="26"/>
      <c r="AQ45" s="26"/>
      <c r="AS45" s="26">
        <f t="shared" si="189"/>
        <v>7.2440597835528767E-2</v>
      </c>
      <c r="AT45" s="26"/>
      <c r="AU45" s="26"/>
      <c r="AW45" s="26">
        <f t="shared" si="190"/>
        <v>5.3020296793403913E-2</v>
      </c>
      <c r="AX45" s="26"/>
      <c r="AY45" s="26"/>
      <c r="BA45" s="26">
        <f t="shared" si="191"/>
        <v>5.7935810164626608E-2</v>
      </c>
      <c r="BB45" s="26"/>
      <c r="BC45" s="26"/>
      <c r="BE45" s="26">
        <f t="shared" si="192"/>
        <v>5.6105782034544187E-2</v>
      </c>
      <c r="BF45" s="26"/>
      <c r="BG45" s="26"/>
      <c r="BI45" s="26">
        <f t="shared" si="193"/>
        <v>6.4511249488070493E-2</v>
      </c>
      <c r="BJ45" s="26"/>
      <c r="BK45" s="26"/>
      <c r="BM45" s="26">
        <f t="shared" si="194"/>
        <v>4.0950386786101321E-2</v>
      </c>
      <c r="BN45" s="26"/>
      <c r="BO45" s="26"/>
      <c r="BQ45" s="26">
        <f t="shared" si="195"/>
        <v>4.9040952676936395E-2</v>
      </c>
      <c r="BR45" s="26"/>
      <c r="BS45" s="26"/>
      <c r="BU45" s="26">
        <f t="shared" si="196"/>
        <v>4.2469130923816094E-2</v>
      </c>
      <c r="BW45" s="32"/>
      <c r="BX45" s="32">
        <f t="shared" si="197"/>
        <v>1</v>
      </c>
    </row>
    <row r="46" spans="2:76" ht="15.75" x14ac:dyDescent="0.25">
      <c r="B46" s="29"/>
      <c r="D46" s="112" t="s">
        <v>184</v>
      </c>
      <c r="E46" s="83">
        <f t="shared" si="198"/>
        <v>3.1989615096561147E-2</v>
      </c>
      <c r="I46" s="83">
        <f t="shared" si="199"/>
        <v>5.3135145085452619E-2</v>
      </c>
      <c r="J46" s="26"/>
      <c r="K46" s="26"/>
      <c r="M46" s="26">
        <f t="shared" si="200"/>
        <v>8.3893297484777932E-2</v>
      </c>
      <c r="N46" s="26"/>
      <c r="O46" s="26"/>
      <c r="Q46" s="26">
        <f t="shared" si="182"/>
        <v>4.7113104276275283E-2</v>
      </c>
      <c r="R46" s="26"/>
      <c r="S46" s="26"/>
      <c r="U46" s="26">
        <f t="shared" si="183"/>
        <v>5.448014166351825E-2</v>
      </c>
      <c r="V46" s="26"/>
      <c r="W46" s="26"/>
      <c r="Y46" s="26">
        <f t="shared" si="184"/>
        <v>4.7956016691006291E-2</v>
      </c>
      <c r="Z46" s="26"/>
      <c r="AA46" s="26"/>
      <c r="AC46" s="26">
        <f t="shared" si="185"/>
        <v>6.2116022260527995E-2</v>
      </c>
      <c r="AD46" s="26"/>
      <c r="AE46" s="26"/>
      <c r="AG46" s="26">
        <f t="shared" si="186"/>
        <v>4.9966082174764608E-2</v>
      </c>
      <c r="AH46" s="26"/>
      <c r="AI46" s="26"/>
      <c r="AK46" s="26">
        <f t="shared" si="187"/>
        <v>5.4478377776737044E-2</v>
      </c>
      <c r="AL46" s="26"/>
      <c r="AM46" s="26"/>
      <c r="AO46" s="26">
        <f t="shared" si="188"/>
        <v>5.0065474062211276E-2</v>
      </c>
      <c r="AP46" s="26"/>
      <c r="AQ46" s="26"/>
      <c r="AS46" s="26">
        <f t="shared" si="189"/>
        <v>9.3132006224645389E-2</v>
      </c>
      <c r="AT46" s="26"/>
      <c r="AU46" s="26"/>
      <c r="AW46" s="26">
        <f t="shared" si="190"/>
        <v>5.0292044843281175E-2</v>
      </c>
      <c r="AX46" s="26"/>
      <c r="AY46" s="26"/>
      <c r="BA46" s="26">
        <f t="shared" si="191"/>
        <v>5.6697891598385883E-2</v>
      </c>
      <c r="BB46" s="26"/>
      <c r="BC46" s="26"/>
      <c r="BE46" s="26">
        <f t="shared" si="192"/>
        <v>5.026903450139384E-2</v>
      </c>
      <c r="BF46" s="26"/>
      <c r="BG46" s="26"/>
      <c r="BI46" s="26">
        <f t="shared" si="193"/>
        <v>8.1969332364265637E-2</v>
      </c>
      <c r="BJ46" s="26"/>
      <c r="BK46" s="26"/>
      <c r="BM46" s="26">
        <f t="shared" si="194"/>
        <v>4.1753599096559929E-2</v>
      </c>
      <c r="BN46" s="26"/>
      <c r="BO46" s="26"/>
      <c r="BQ46" s="26">
        <f t="shared" si="195"/>
        <v>4.8362168806169677E-2</v>
      </c>
      <c r="BR46" s="26"/>
      <c r="BS46" s="26"/>
      <c r="BU46" s="26">
        <f t="shared" si="196"/>
        <v>4.2330645993466032E-2</v>
      </c>
      <c r="BW46" s="32"/>
      <c r="BX46" s="32">
        <f t="shared" si="197"/>
        <v>1</v>
      </c>
    </row>
    <row r="47" spans="2:76" ht="15.75" x14ac:dyDescent="0.25">
      <c r="B47" s="29"/>
      <c r="D47" s="112" t="s">
        <v>183</v>
      </c>
      <c r="E47" s="83">
        <f t="shared" si="198"/>
        <v>2.4825743641361565E-2</v>
      </c>
      <c r="I47" s="83">
        <f>I34/$BX34</f>
        <v>5.2090363597718611E-2</v>
      </c>
      <c r="J47" s="26"/>
      <c r="K47" s="26"/>
      <c r="M47" s="26">
        <f t="shared" si="200"/>
        <v>8.1563451153763331E-2</v>
      </c>
      <c r="N47" s="26"/>
      <c r="O47" s="26"/>
      <c r="Q47" s="26">
        <f t="shared" si="182"/>
        <v>4.9808738656688854E-2</v>
      </c>
      <c r="R47" s="26"/>
      <c r="S47" s="26"/>
      <c r="U47" s="26">
        <f t="shared" si="183"/>
        <v>5.7532387477172438E-2</v>
      </c>
      <c r="V47" s="26"/>
      <c r="W47" s="26"/>
      <c r="Y47" s="26">
        <f t="shared" si="184"/>
        <v>5.3252856617333089E-2</v>
      </c>
      <c r="Z47" s="26"/>
      <c r="AA47" s="26"/>
      <c r="AC47" s="26">
        <f t="shared" si="185"/>
        <v>7.1944874621283531E-2</v>
      </c>
      <c r="AD47" s="26"/>
      <c r="AE47" s="26"/>
      <c r="AG47" s="26">
        <f t="shared" si="186"/>
        <v>4.9245474778038686E-2</v>
      </c>
      <c r="AH47" s="26"/>
      <c r="AI47" s="26"/>
      <c r="AK47" s="26">
        <f t="shared" si="187"/>
        <v>6.1496631283593062E-2</v>
      </c>
      <c r="AL47" s="26"/>
      <c r="AM47" s="26"/>
      <c r="AO47" s="26">
        <f t="shared" si="188"/>
        <v>5.3055428426988765E-2</v>
      </c>
      <c r="AP47" s="26"/>
      <c r="AQ47" s="26"/>
      <c r="AS47" s="26">
        <f t="shared" si="189"/>
        <v>7.5919860377724788E-2</v>
      </c>
      <c r="AT47" s="26"/>
      <c r="AU47" s="26"/>
      <c r="AW47" s="26">
        <f t="shared" si="190"/>
        <v>5.6819687413972676E-2</v>
      </c>
      <c r="AX47" s="26"/>
      <c r="AY47" s="26"/>
      <c r="BA47" s="26">
        <f t="shared" si="191"/>
        <v>5.2555029494546622E-2</v>
      </c>
      <c r="BB47" s="26"/>
      <c r="BC47" s="26"/>
      <c r="BE47" s="26">
        <f t="shared" si="192"/>
        <v>5.7037750073886784E-2</v>
      </c>
      <c r="BF47" s="26"/>
      <c r="BG47" s="26"/>
      <c r="BI47" s="26">
        <f t="shared" si="193"/>
        <v>6.1781175833129982E-2</v>
      </c>
      <c r="BJ47" s="26"/>
      <c r="BK47" s="26"/>
      <c r="BM47" s="26">
        <f t="shared" si="194"/>
        <v>4.6601362073561928E-2</v>
      </c>
      <c r="BN47" s="26"/>
      <c r="BO47" s="26"/>
      <c r="BQ47" s="26">
        <f t="shared" si="195"/>
        <v>4.6863408286344464E-2</v>
      </c>
      <c r="BR47" s="26"/>
      <c r="BS47" s="26"/>
      <c r="BU47" s="26">
        <f t="shared" si="196"/>
        <v>4.7605776192890761E-2</v>
      </c>
      <c r="BW47" s="32"/>
      <c r="BX47" s="32">
        <f t="shared" si="197"/>
        <v>1</v>
      </c>
    </row>
    <row r="48" spans="2:76" x14ac:dyDescent="0.25">
      <c r="D48" s="112" t="s">
        <v>159</v>
      </c>
      <c r="E48" s="83">
        <f t="shared" si="198"/>
        <v>1.7837840777653085E-2</v>
      </c>
      <c r="I48" s="83">
        <f t="shared" si="199"/>
        <v>5.2478468470130241E-2</v>
      </c>
      <c r="J48" s="26"/>
      <c r="K48" s="26"/>
      <c r="M48" s="26">
        <f t="shared" si="200"/>
        <v>8.0704604325272003E-2</v>
      </c>
      <c r="N48" s="26"/>
      <c r="O48" s="26"/>
      <c r="Q48" s="26">
        <f t="shared" si="182"/>
        <v>4.8013941578543134E-2</v>
      </c>
      <c r="R48" s="26"/>
      <c r="S48" s="26"/>
      <c r="U48" s="26">
        <f t="shared" si="183"/>
        <v>6.0156946972982787E-2</v>
      </c>
      <c r="V48" s="26"/>
      <c r="W48" s="26"/>
      <c r="Y48" s="26">
        <f t="shared" si="184"/>
        <v>5.4040662515944561E-2</v>
      </c>
      <c r="Z48" s="26"/>
      <c r="AA48" s="26"/>
      <c r="AC48" s="26">
        <f t="shared" si="185"/>
        <v>7.2601637980099012E-2</v>
      </c>
      <c r="AD48" s="26"/>
      <c r="AE48" s="26"/>
      <c r="AG48" s="26">
        <f t="shared" si="186"/>
        <v>4.9728907143675283E-2</v>
      </c>
      <c r="AH48" s="26"/>
      <c r="AI48" s="26"/>
      <c r="AK48" s="26">
        <f t="shared" si="187"/>
        <v>5.7062057810377168E-2</v>
      </c>
      <c r="AL48" s="26"/>
      <c r="AM48" s="26"/>
      <c r="AO48" s="26">
        <f t="shared" si="188"/>
        <v>5.3573483086426864E-2</v>
      </c>
      <c r="AP48" s="26"/>
      <c r="AQ48" s="26"/>
      <c r="AS48" s="26">
        <f t="shared" si="189"/>
        <v>7.7451860199008571E-2</v>
      </c>
      <c r="AT48" s="26"/>
      <c r="AU48" s="26"/>
      <c r="AW48" s="26">
        <f t="shared" si="190"/>
        <v>5.7128486785753149E-2</v>
      </c>
      <c r="AX48" s="26"/>
      <c r="AY48" s="26"/>
      <c r="BA48" s="26">
        <f t="shared" si="191"/>
        <v>5.5369991240080983E-2</v>
      </c>
      <c r="BB48" s="26"/>
      <c r="BC48" s="26"/>
      <c r="BE48" s="26">
        <f t="shared" si="192"/>
        <v>5.8443731046503536E-2</v>
      </c>
      <c r="BF48" s="26"/>
      <c r="BG48" s="26"/>
      <c r="BI48" s="26">
        <f t="shared" si="193"/>
        <v>6.2570382525307583E-2</v>
      </c>
      <c r="BJ48" s="26"/>
      <c r="BK48" s="26"/>
      <c r="BM48" s="26">
        <f t="shared" si="194"/>
        <v>4.5499326250754014E-2</v>
      </c>
      <c r="BN48" s="26"/>
      <c r="BO48" s="26"/>
      <c r="BQ48" s="26">
        <f t="shared" si="195"/>
        <v>4.8926901332823729E-2</v>
      </c>
      <c r="BR48" s="26"/>
      <c r="BS48" s="26"/>
      <c r="BU48" s="26">
        <f t="shared" si="196"/>
        <v>4.8410769958664251E-2</v>
      </c>
      <c r="BW48" s="32"/>
      <c r="BX48" s="32">
        <f t="shared" si="197"/>
        <v>0.99999999999999989</v>
      </c>
    </row>
    <row r="49" spans="1:76" x14ac:dyDescent="0.25">
      <c r="D49" s="112" t="s">
        <v>158</v>
      </c>
      <c r="E49" s="83">
        <f t="shared" si="198"/>
        <v>1.1177601653810997E-2</v>
      </c>
      <c r="I49" s="83">
        <f t="shared" si="199"/>
        <v>2.1313886770981259E-2</v>
      </c>
      <c r="J49" s="26"/>
      <c r="K49" s="26"/>
      <c r="M49" s="26">
        <f t="shared" si="200"/>
        <v>0.11023168930598387</v>
      </c>
      <c r="N49" s="26"/>
      <c r="O49" s="26"/>
      <c r="Q49" s="26">
        <f t="shared" si="182"/>
        <v>3.0832357484839208E-2</v>
      </c>
      <c r="R49" s="26"/>
      <c r="S49" s="26"/>
      <c r="U49" s="26">
        <f t="shared" si="183"/>
        <v>5.5564949961434622E-2</v>
      </c>
      <c r="V49" s="26"/>
      <c r="W49" s="26"/>
      <c r="Y49" s="26">
        <f t="shared" si="184"/>
        <v>4.1184845879622366E-2</v>
      </c>
      <c r="Z49" s="26"/>
      <c r="AA49" s="26"/>
      <c r="AC49" s="26">
        <f t="shared" si="185"/>
        <v>0.16921533014469059</v>
      </c>
      <c r="AD49" s="26"/>
      <c r="AE49" s="26"/>
      <c r="AG49" s="26">
        <f t="shared" si="186"/>
        <v>2.9289835254046232E-2</v>
      </c>
      <c r="AH49" s="26"/>
      <c r="AI49" s="26"/>
      <c r="AK49" s="26">
        <f t="shared" si="187"/>
        <v>5.8299037300184861E-2</v>
      </c>
      <c r="AL49" s="26"/>
      <c r="AM49" s="26"/>
      <c r="AO49" s="26">
        <f t="shared" si="188"/>
        <v>3.7786755168350214E-2</v>
      </c>
      <c r="AP49" s="26"/>
      <c r="AQ49" s="26"/>
      <c r="AS49" s="26">
        <f t="shared" si="189"/>
        <v>0.11198037815452895</v>
      </c>
      <c r="AT49" s="26"/>
      <c r="AU49" s="26"/>
      <c r="AW49" s="26">
        <f t="shared" si="190"/>
        <v>4.1156741502644721E-2</v>
      </c>
      <c r="AX49" s="26"/>
      <c r="AY49" s="26"/>
      <c r="BA49" s="26">
        <f t="shared" si="191"/>
        <v>5.5155173656227505E-2</v>
      </c>
      <c r="BB49" s="26"/>
      <c r="BC49" s="26"/>
      <c r="BE49" s="26">
        <f t="shared" si="192"/>
        <v>4.9820210285120022E-2</v>
      </c>
      <c r="BF49" s="26"/>
      <c r="BG49" s="26"/>
      <c r="BI49" s="26">
        <f t="shared" si="193"/>
        <v>6.2342439802738549E-2</v>
      </c>
      <c r="BJ49" s="26"/>
      <c r="BK49" s="26"/>
      <c r="BM49" s="26">
        <f t="shared" si="194"/>
        <v>3.3174724451690653E-2</v>
      </c>
      <c r="BN49" s="26"/>
      <c r="BO49" s="26"/>
      <c r="BQ49" s="26">
        <f t="shared" si="195"/>
        <v>4.1638393288775548E-2</v>
      </c>
      <c r="BR49" s="26"/>
      <c r="BS49" s="26"/>
      <c r="BU49" s="26">
        <f t="shared" si="196"/>
        <v>3.9835649934330003E-2</v>
      </c>
      <c r="BW49" s="32"/>
      <c r="BX49" s="32">
        <f t="shared" si="197"/>
        <v>1.0000000000000002</v>
      </c>
    </row>
    <row r="50" spans="1:76" x14ac:dyDescent="0.25">
      <c r="D50" s="112" t="s">
        <v>157</v>
      </c>
      <c r="E50" s="83">
        <f t="shared" si="198"/>
        <v>1.5815670648297551E-2</v>
      </c>
      <c r="I50" s="83">
        <f t="shared" si="199"/>
        <v>2.872366198563691E-2</v>
      </c>
      <c r="J50" s="26"/>
      <c r="K50" s="26"/>
      <c r="M50" s="26">
        <f t="shared" si="200"/>
        <v>9.7873927041390668E-2</v>
      </c>
      <c r="N50" s="26"/>
      <c r="O50" s="26"/>
      <c r="Q50" s="26">
        <f t="shared" si="182"/>
        <v>4.0656352253902489E-2</v>
      </c>
      <c r="R50" s="26"/>
      <c r="S50" s="26"/>
      <c r="U50" s="26">
        <f t="shared" si="183"/>
        <v>6.2830941686766367E-2</v>
      </c>
      <c r="V50" s="26"/>
      <c r="W50" s="26"/>
      <c r="Y50" s="26">
        <f t="shared" si="184"/>
        <v>4.9650670833141154E-2</v>
      </c>
      <c r="Z50" s="26"/>
      <c r="AA50" s="26"/>
      <c r="AC50" s="26">
        <f t="shared" si="185"/>
        <v>0.14556912040507211</v>
      </c>
      <c r="AD50" s="26"/>
      <c r="AE50" s="26"/>
      <c r="AG50" s="26">
        <f t="shared" si="186"/>
        <v>4.0613141269763613E-2</v>
      </c>
      <c r="AH50" s="26"/>
      <c r="AI50" s="26"/>
      <c r="AK50" s="26">
        <f t="shared" si="187"/>
        <v>5.974846324829073E-2</v>
      </c>
      <c r="AL50" s="26"/>
      <c r="AM50" s="26"/>
      <c r="AO50" s="26">
        <f t="shared" si="188"/>
        <v>4.6518607170441331E-2</v>
      </c>
      <c r="AP50" s="26"/>
      <c r="AQ50" s="26"/>
      <c r="AS50" s="26">
        <f t="shared" si="189"/>
        <v>8.0198954972036871E-2</v>
      </c>
      <c r="AT50" s="26"/>
      <c r="AU50" s="26"/>
      <c r="AW50" s="26">
        <f t="shared" si="190"/>
        <v>4.5667465498486833E-2</v>
      </c>
      <c r="AX50" s="26"/>
      <c r="AY50" s="26"/>
      <c r="BA50" s="26">
        <f t="shared" si="191"/>
        <v>5.3685164464361515E-2</v>
      </c>
      <c r="BB50" s="26"/>
      <c r="BC50" s="26"/>
      <c r="BE50" s="26">
        <f t="shared" si="192"/>
        <v>4.9263331108108252E-2</v>
      </c>
      <c r="BF50" s="26"/>
      <c r="BG50" s="26"/>
      <c r="BI50" s="26">
        <f t="shared" si="193"/>
        <v>5.3699554801979389E-2</v>
      </c>
      <c r="BJ50" s="26"/>
      <c r="BK50" s="26"/>
      <c r="BM50" s="26">
        <f t="shared" si="194"/>
        <v>3.9255226685249715E-2</v>
      </c>
      <c r="BN50" s="26"/>
      <c r="BO50" s="26"/>
      <c r="BQ50" s="26">
        <f t="shared" si="195"/>
        <v>4.6699068765273043E-2</v>
      </c>
      <c r="BR50" s="26"/>
      <c r="BS50" s="26"/>
      <c r="BU50" s="26">
        <f t="shared" si="196"/>
        <v>4.3530677161801389E-2</v>
      </c>
      <c r="BW50" s="32"/>
      <c r="BX50" s="32">
        <f t="shared" si="197"/>
        <v>1</v>
      </c>
    </row>
    <row r="51" spans="1:76" x14ac:dyDescent="0.25">
      <c r="D51" s="112" t="s">
        <v>156</v>
      </c>
      <c r="E51" s="83">
        <f t="shared" si="198"/>
        <v>1.1468222782879052E-2</v>
      </c>
      <c r="I51" s="83">
        <f t="shared" si="199"/>
        <v>3.4867254560844718E-2</v>
      </c>
      <c r="J51" s="26"/>
      <c r="K51" s="26"/>
      <c r="M51" s="26">
        <f t="shared" si="200"/>
        <v>7.1948799349142487E-2</v>
      </c>
      <c r="N51" s="26"/>
      <c r="O51" s="26"/>
      <c r="Q51" s="26">
        <f t="shared" si="182"/>
        <v>3.8397800364593407E-2</v>
      </c>
      <c r="R51" s="26"/>
      <c r="S51" s="26"/>
      <c r="U51" s="26">
        <f t="shared" si="183"/>
        <v>7.6771433099946232E-2</v>
      </c>
      <c r="V51" s="26"/>
      <c r="W51" s="26"/>
      <c r="Y51" s="26">
        <f t="shared" si="184"/>
        <v>6.3765758447998727E-2</v>
      </c>
      <c r="Z51" s="26"/>
      <c r="AA51" s="26"/>
      <c r="AC51" s="26">
        <f t="shared" si="185"/>
        <v>9.010036974031746E-2</v>
      </c>
      <c r="AD51" s="26"/>
      <c r="AE51" s="26"/>
      <c r="AG51" s="26">
        <f t="shared" si="186"/>
        <v>3.7840247385148185E-2</v>
      </c>
      <c r="AH51" s="26"/>
      <c r="AI51" s="26"/>
      <c r="AK51" s="26">
        <f t="shared" si="187"/>
        <v>6.6304198419838464E-2</v>
      </c>
      <c r="AL51" s="26"/>
      <c r="AM51" s="26"/>
      <c r="AO51" s="26">
        <f t="shared" si="188"/>
        <v>5.6742737371935921E-2</v>
      </c>
      <c r="AP51" s="26"/>
      <c r="AQ51" s="26"/>
      <c r="AS51" s="26">
        <f t="shared" si="189"/>
        <v>6.3936385207225763E-2</v>
      </c>
      <c r="AT51" s="26"/>
      <c r="AU51" s="26"/>
      <c r="AW51" s="26">
        <f t="shared" si="190"/>
        <v>5.0634120717793836E-2</v>
      </c>
      <c r="AX51" s="26"/>
      <c r="AY51" s="26"/>
      <c r="BA51" s="26">
        <f t="shared" si="191"/>
        <v>6.7594424264472874E-2</v>
      </c>
      <c r="BB51" s="26"/>
      <c r="BC51" s="26"/>
      <c r="BE51" s="26">
        <f t="shared" si="192"/>
        <v>7.0995619135487312E-2</v>
      </c>
      <c r="BF51" s="26"/>
      <c r="BG51" s="26"/>
      <c r="BI51" s="26">
        <f t="shared" si="193"/>
        <v>4.5155771979766453E-2</v>
      </c>
      <c r="BJ51" s="26"/>
      <c r="BK51" s="26"/>
      <c r="BM51" s="26">
        <f t="shared" si="194"/>
        <v>4.0245390475004181E-2</v>
      </c>
      <c r="BN51" s="26"/>
      <c r="BO51" s="26"/>
      <c r="BQ51" s="26">
        <f t="shared" si="195"/>
        <v>5.893619510025546E-2</v>
      </c>
      <c r="BR51" s="26"/>
      <c r="BS51" s="26"/>
      <c r="BU51" s="26">
        <f t="shared" si="196"/>
        <v>5.4295271597349606E-2</v>
      </c>
      <c r="BW51" s="32"/>
      <c r="BX51" s="32">
        <f t="shared" si="197"/>
        <v>1.0000000000000002</v>
      </c>
    </row>
    <row r="52" spans="1:76" x14ac:dyDescent="0.25">
      <c r="D52" s="112" t="s">
        <v>187</v>
      </c>
      <c r="E52" s="83">
        <f t="shared" si="198"/>
        <v>3.2467606848560815E-2</v>
      </c>
      <c r="I52" s="83">
        <f t="shared" si="199"/>
        <v>7.0313989819223197E-2</v>
      </c>
      <c r="J52" s="26"/>
      <c r="K52" s="26"/>
      <c r="M52" s="26">
        <f t="shared" si="200"/>
        <v>5.2428638726184466E-2</v>
      </c>
      <c r="N52" s="26"/>
      <c r="O52" s="26"/>
      <c r="Q52" s="26">
        <f t="shared" si="182"/>
        <v>5.5832643908759826E-2</v>
      </c>
      <c r="R52" s="26"/>
      <c r="S52" s="26"/>
      <c r="U52" s="26">
        <f t="shared" si="183"/>
        <v>7.0609947140073626E-2</v>
      </c>
      <c r="V52" s="26"/>
      <c r="W52" s="26"/>
      <c r="Y52" s="26">
        <f t="shared" si="184"/>
        <v>6.9689563563748627E-2</v>
      </c>
      <c r="Z52" s="26"/>
      <c r="AA52" s="26"/>
      <c r="AC52" s="26">
        <f t="shared" si="185"/>
        <v>4.8959272365228047E-2</v>
      </c>
      <c r="AD52" s="26"/>
      <c r="AE52" s="26"/>
      <c r="AG52" s="26">
        <f t="shared" si="186"/>
        <v>5.2043496462083678E-2</v>
      </c>
      <c r="AH52" s="26"/>
      <c r="AI52" s="26"/>
      <c r="AK52" s="26">
        <f t="shared" si="187"/>
        <v>5.3733237009303277E-2</v>
      </c>
      <c r="AL52" s="26"/>
      <c r="AM52" s="26"/>
      <c r="AO52" s="26">
        <f t="shared" si="188"/>
        <v>5.9142999687502217E-2</v>
      </c>
      <c r="AP52" s="26"/>
      <c r="AQ52" s="26"/>
      <c r="AS52" s="26">
        <f t="shared" si="189"/>
        <v>4.6481206411359381E-2</v>
      </c>
      <c r="AT52" s="26"/>
      <c r="AU52" s="26"/>
      <c r="AW52" s="26">
        <f t="shared" si="190"/>
        <v>5.4439911629187439E-2</v>
      </c>
      <c r="AX52" s="26"/>
      <c r="AY52" s="26"/>
      <c r="BA52" s="26">
        <f t="shared" si="191"/>
        <v>6.062613780318607E-2</v>
      </c>
      <c r="BB52" s="26"/>
      <c r="BC52" s="26"/>
      <c r="BE52" s="26">
        <f t="shared" si="192"/>
        <v>6.1666126069600397E-2</v>
      </c>
      <c r="BF52" s="26"/>
      <c r="BG52" s="26"/>
      <c r="BI52" s="26">
        <f t="shared" si="193"/>
        <v>4.3534144975202596E-2</v>
      </c>
      <c r="BJ52" s="26"/>
      <c r="BK52" s="26"/>
      <c r="BM52" s="26">
        <f t="shared" si="194"/>
        <v>5.2222198205864094E-2</v>
      </c>
      <c r="BN52" s="26"/>
      <c r="BO52" s="26"/>
      <c r="BQ52" s="26">
        <f t="shared" si="195"/>
        <v>5.7958627276993469E-2</v>
      </c>
      <c r="BR52" s="26"/>
      <c r="BS52" s="26"/>
      <c r="BU52" s="26">
        <f t="shared" si="196"/>
        <v>5.7850252097938905E-2</v>
      </c>
      <c r="BW52" s="32"/>
      <c r="BX52" s="32">
        <f t="shared" si="197"/>
        <v>1.0000000000000002</v>
      </c>
    </row>
    <row r="54" spans="1:76" ht="15.75" x14ac:dyDescent="0.25">
      <c r="B54" s="30"/>
      <c r="D54" s="84" t="s">
        <v>163</v>
      </c>
    </row>
    <row r="55" spans="1:76" ht="15.75" x14ac:dyDescent="0.25">
      <c r="B55" s="30"/>
      <c r="D55" s="83">
        <v>2011</v>
      </c>
      <c r="E55" s="86">
        <f>D17</f>
        <v>4.1361340000000002</v>
      </c>
      <c r="F55" s="86"/>
      <c r="G55" s="86"/>
      <c r="I55" s="86">
        <f>H17</f>
        <v>4.0379300000000002</v>
      </c>
      <c r="J55" s="32"/>
      <c r="K55" s="32"/>
      <c r="M55" s="32">
        <f t="shared" ref="M55:M65" si="201">L17</f>
        <v>3.9407079999999999</v>
      </c>
      <c r="N55" s="32"/>
      <c r="O55" s="32"/>
      <c r="Q55" s="32">
        <f t="shared" ref="Q55:Q65" si="202">P17</f>
        <v>4.1895179999999996</v>
      </c>
      <c r="R55" s="32"/>
      <c r="S55" s="32"/>
      <c r="U55" s="32">
        <f t="shared" ref="U55:U65" si="203">T17</f>
        <v>4.0023609999999996</v>
      </c>
      <c r="V55" s="32"/>
      <c r="W55" s="32"/>
      <c r="Y55" s="32">
        <f t="shared" ref="Y55:Y65" si="204">X17</f>
        <v>4.1758559999999996</v>
      </c>
      <c r="Z55" s="32"/>
      <c r="AA55" s="32"/>
      <c r="AC55" s="32">
        <f t="shared" ref="AC55:AC65" si="205">AB17</f>
        <v>3.9155280000000001</v>
      </c>
      <c r="AD55" s="32"/>
      <c r="AE55" s="32"/>
      <c r="AG55" s="32">
        <f t="shared" ref="AG55:AG65" si="206">AF17</f>
        <v>4.1895879999999996</v>
      </c>
      <c r="AH55" s="32"/>
      <c r="AI55" s="32"/>
      <c r="AK55" s="32">
        <f t="shared" ref="AK55:AK65" si="207">AJ17</f>
        <v>3.9595020000000001</v>
      </c>
      <c r="AL55" s="32"/>
      <c r="AM55" s="32"/>
      <c r="AO55" s="32">
        <f t="shared" ref="AO55:AO65" si="208">AN17</f>
        <v>4.1824579999999996</v>
      </c>
      <c r="AP55" s="32"/>
      <c r="AQ55" s="32"/>
      <c r="AS55" s="32">
        <f t="shared" ref="AS55:AS65" si="209">AR17</f>
        <v>3.982548</v>
      </c>
      <c r="AT55" s="32"/>
      <c r="AU55" s="32"/>
      <c r="AW55" s="32">
        <f t="shared" ref="AW55:AW65" si="210">AV17</f>
        <v>4.2083269999999997</v>
      </c>
      <c r="AX55" s="32"/>
      <c r="AY55" s="32"/>
      <c r="BA55" s="32">
        <f t="shared" ref="BA55:BA65" si="211">AZ17</f>
        <v>4.0170060000000003</v>
      </c>
      <c r="BB55" s="32"/>
      <c r="BC55" s="32"/>
      <c r="BE55" s="32">
        <f t="shared" ref="BE55:BE65" si="212">BD17</f>
        <v>4.203265</v>
      </c>
      <c r="BF55" s="32"/>
      <c r="BG55" s="32"/>
      <c r="BI55" s="32">
        <f t="shared" ref="BI55:BI65" si="213">BH17</f>
        <v>4.033366</v>
      </c>
      <c r="BJ55" s="32"/>
      <c r="BK55" s="32"/>
      <c r="BM55" s="32">
        <f t="shared" ref="BM55:BM65" si="214">BL17</f>
        <v>4.1952959999999999</v>
      </c>
      <c r="BN55" s="32"/>
      <c r="BO55" s="32"/>
      <c r="BQ55" s="32">
        <f t="shared" ref="BQ55:BQ65" si="215">BP17</f>
        <v>4.0693970000000004</v>
      </c>
      <c r="BR55" s="32"/>
      <c r="BS55" s="32"/>
      <c r="BU55" s="32">
        <f t="shared" ref="BU55:BU65" si="216">BT17</f>
        <v>4.1926189999999997</v>
      </c>
    </row>
    <row r="56" spans="1:76" ht="15.75" x14ac:dyDescent="0.25">
      <c r="B56" s="30"/>
      <c r="D56" s="117">
        <v>2012</v>
      </c>
      <c r="E56" s="86">
        <f t="shared" ref="E56:E65" si="217">D18</f>
        <v>3.0713629999999998</v>
      </c>
      <c r="F56" s="86"/>
      <c r="G56" s="86"/>
      <c r="I56" s="86">
        <f>H18</f>
        <v>3.1699519999999999</v>
      </c>
      <c r="J56" s="32"/>
      <c r="K56" s="32"/>
      <c r="M56" s="32">
        <f t="shared" si="201"/>
        <v>2.9712149999999999</v>
      </c>
      <c r="N56" s="32"/>
      <c r="O56" s="32"/>
      <c r="Q56" s="32">
        <f t="shared" si="202"/>
        <v>3.0348030000000001</v>
      </c>
      <c r="R56" s="32"/>
      <c r="S56" s="32"/>
      <c r="U56" s="32">
        <f t="shared" si="203"/>
        <v>2.943711</v>
      </c>
      <c r="V56" s="32"/>
      <c r="W56" s="32"/>
      <c r="Y56" s="32">
        <f t="shared" si="204"/>
        <v>3.0214439999999998</v>
      </c>
      <c r="Z56" s="32"/>
      <c r="AA56" s="32"/>
      <c r="AC56" s="32">
        <f t="shared" si="205"/>
        <v>3.0421689999999999</v>
      </c>
      <c r="AD56" s="32"/>
      <c r="AE56" s="32"/>
      <c r="AG56" s="32">
        <f t="shared" si="206"/>
        <v>3.0395089999999998</v>
      </c>
      <c r="AH56" s="32"/>
      <c r="AI56" s="32"/>
      <c r="AK56" s="32">
        <f t="shared" si="207"/>
        <v>3.0195400000000001</v>
      </c>
      <c r="AL56" s="32"/>
      <c r="AM56" s="32"/>
      <c r="AO56" s="32">
        <f t="shared" si="208"/>
        <v>3.042789</v>
      </c>
      <c r="AP56" s="32"/>
      <c r="AQ56" s="32"/>
      <c r="AS56" s="32">
        <f t="shared" si="209"/>
        <v>2.954116</v>
      </c>
      <c r="AT56" s="32"/>
      <c r="AU56" s="32"/>
      <c r="AW56" s="32">
        <f t="shared" si="210"/>
        <v>2.9963500000000001</v>
      </c>
      <c r="AX56" s="32"/>
      <c r="AY56" s="32"/>
      <c r="BA56" s="32">
        <f t="shared" si="211"/>
        <v>2.896401</v>
      </c>
      <c r="BB56" s="32"/>
      <c r="BC56" s="32"/>
      <c r="BE56" s="32">
        <f t="shared" si="212"/>
        <v>2.994631</v>
      </c>
      <c r="BF56" s="32"/>
      <c r="BG56" s="32"/>
      <c r="BI56" s="32">
        <f t="shared" si="213"/>
        <v>2.9778500000000001</v>
      </c>
      <c r="BJ56" s="32"/>
      <c r="BK56" s="32"/>
      <c r="BM56" s="32">
        <f t="shared" si="214"/>
        <v>3.0202360000000001</v>
      </c>
      <c r="BN56" s="32"/>
      <c r="BO56" s="32"/>
      <c r="BQ56" s="32">
        <f t="shared" si="215"/>
        <v>2.9348700000000001</v>
      </c>
      <c r="BR56" s="32"/>
      <c r="BS56" s="32"/>
      <c r="BU56" s="32">
        <f t="shared" si="216"/>
        <v>3.0152359999999998</v>
      </c>
    </row>
    <row r="57" spans="1:76" ht="15.75" x14ac:dyDescent="0.25">
      <c r="A57" s="25"/>
      <c r="B57" s="29"/>
      <c r="D57" s="83">
        <v>2013</v>
      </c>
      <c r="E57" s="86">
        <f t="shared" si="217"/>
        <v>3.8868879999999999</v>
      </c>
      <c r="F57" s="86"/>
      <c r="G57" s="86"/>
      <c r="H57" s="86"/>
      <c r="I57" s="86">
        <f t="shared" ref="I57:I65" si="218">H19</f>
        <v>4.1469880000000003</v>
      </c>
      <c r="J57" s="32"/>
      <c r="K57" s="32"/>
      <c r="L57" s="32"/>
      <c r="M57" s="32">
        <f t="shared" si="201"/>
        <v>4.065944</v>
      </c>
      <c r="N57" s="32"/>
      <c r="O57" s="32"/>
      <c r="P57" s="32"/>
      <c r="Q57" s="32">
        <f t="shared" si="202"/>
        <v>4.0544609999999999</v>
      </c>
      <c r="R57" s="32"/>
      <c r="S57" s="32"/>
      <c r="T57" s="32"/>
      <c r="U57" s="32">
        <f t="shared" si="203"/>
        <v>4.070055</v>
      </c>
      <c r="V57" s="32"/>
      <c r="W57" s="32"/>
      <c r="X57" s="32"/>
      <c r="Y57" s="32">
        <f t="shared" si="204"/>
        <v>4.0759150000000002</v>
      </c>
      <c r="Z57" s="32"/>
      <c r="AA57" s="32"/>
      <c r="AB57" s="32"/>
      <c r="AC57" s="32">
        <f t="shared" si="205"/>
        <v>3.9743909999999998</v>
      </c>
      <c r="AD57" s="32"/>
      <c r="AE57" s="32"/>
      <c r="AF57" s="32"/>
      <c r="AG57" s="32">
        <f t="shared" si="206"/>
        <v>4.0799209999999997</v>
      </c>
      <c r="AH57" s="32"/>
      <c r="AI57" s="32"/>
      <c r="AJ57" s="32"/>
      <c r="AK57" s="32">
        <f t="shared" si="207"/>
        <v>4.0444889999999996</v>
      </c>
      <c r="AL57" s="32"/>
      <c r="AM57" s="32"/>
      <c r="AN57" s="32"/>
      <c r="AO57" s="32">
        <f t="shared" si="208"/>
        <v>4.0947129999999996</v>
      </c>
      <c r="AP57" s="32"/>
      <c r="AQ57" s="32"/>
      <c r="AR57" s="32"/>
      <c r="AS57" s="32">
        <f t="shared" si="209"/>
        <v>4.0701879999999999</v>
      </c>
      <c r="AT57" s="32"/>
      <c r="AU57" s="32"/>
      <c r="AV57" s="32"/>
      <c r="AW57" s="32">
        <f t="shared" si="210"/>
        <v>4.0796390000000002</v>
      </c>
      <c r="AX57" s="32"/>
      <c r="AY57" s="32"/>
      <c r="AZ57" s="32"/>
      <c r="BA57" s="32">
        <f t="shared" si="211"/>
        <v>4.0709580000000001</v>
      </c>
      <c r="BB57" s="32"/>
      <c r="BC57" s="32"/>
      <c r="BD57" s="32"/>
      <c r="BE57" s="32">
        <f t="shared" si="212"/>
        <v>4.0985810000000003</v>
      </c>
      <c r="BF57" s="32"/>
      <c r="BG57" s="32"/>
      <c r="BH57" s="32"/>
      <c r="BI57" s="32">
        <f t="shared" si="213"/>
        <v>4.085801</v>
      </c>
      <c r="BJ57" s="32"/>
      <c r="BK57" s="32"/>
      <c r="BL57" s="32"/>
      <c r="BM57" s="32">
        <f t="shared" si="214"/>
        <v>4.0394180000000004</v>
      </c>
      <c r="BN57" s="32"/>
      <c r="BO57" s="32"/>
      <c r="BP57" s="32"/>
      <c r="BQ57" s="32">
        <f t="shared" si="215"/>
        <v>4.0839970000000001</v>
      </c>
      <c r="BR57" s="32"/>
      <c r="BS57" s="32"/>
      <c r="BT57" s="32"/>
      <c r="BU57" s="32">
        <f t="shared" si="216"/>
        <v>4.0651510000000002</v>
      </c>
    </row>
    <row r="58" spans="1:76" ht="15.75" x14ac:dyDescent="0.25">
      <c r="A58" s="25"/>
      <c r="B58" s="31"/>
      <c r="D58" s="83">
        <v>2014</v>
      </c>
      <c r="E58" s="86">
        <f t="shared" si="217"/>
        <v>3.35059</v>
      </c>
      <c r="F58" s="86"/>
      <c r="G58" s="86"/>
      <c r="H58" s="118"/>
      <c r="I58" s="86">
        <f t="shared" si="218"/>
        <v>3.3828369999999999</v>
      </c>
      <c r="J58" s="32"/>
      <c r="K58" s="32"/>
      <c r="L58" s="62"/>
      <c r="M58" s="32">
        <f t="shared" si="201"/>
        <v>3.5769790000000001</v>
      </c>
      <c r="N58" s="32"/>
      <c r="O58" s="32"/>
      <c r="P58" s="62"/>
      <c r="Q58" s="32">
        <f t="shared" si="202"/>
        <v>3.307728</v>
      </c>
      <c r="R58" s="32"/>
      <c r="S58" s="32"/>
      <c r="T58" s="62"/>
      <c r="U58" s="32">
        <f t="shared" si="203"/>
        <v>3.4512390000000002</v>
      </c>
      <c r="V58" s="32"/>
      <c r="W58" s="32"/>
      <c r="X58" s="62"/>
      <c r="Y58" s="32">
        <f t="shared" si="204"/>
        <v>3.3560880000000002</v>
      </c>
      <c r="Z58" s="32"/>
      <c r="AA58" s="32"/>
      <c r="AB58" s="62"/>
      <c r="AC58" s="32">
        <f t="shared" si="205"/>
        <v>3.5583269999999998</v>
      </c>
      <c r="AD58" s="32"/>
      <c r="AE58" s="32"/>
      <c r="AF58" s="62"/>
      <c r="AG58" s="32">
        <f t="shared" si="206"/>
        <v>3.318835</v>
      </c>
      <c r="AH58" s="32"/>
      <c r="AI58" s="32"/>
      <c r="AJ58" s="62"/>
      <c r="AK58" s="32">
        <f t="shared" si="207"/>
        <v>3.4589460000000001</v>
      </c>
      <c r="AL58" s="32"/>
      <c r="AM58" s="32"/>
      <c r="AN58" s="62"/>
      <c r="AO58" s="32">
        <f t="shared" si="208"/>
        <v>3.3597899999999998</v>
      </c>
      <c r="AP58" s="32"/>
      <c r="AQ58" s="32"/>
      <c r="AR58" s="62"/>
      <c r="AS58" s="32">
        <f t="shared" si="209"/>
        <v>3.6073559999999998</v>
      </c>
      <c r="AT58" s="32"/>
      <c r="AU58" s="32"/>
      <c r="AV58" s="62"/>
      <c r="AW58" s="32">
        <f t="shared" si="210"/>
        <v>3.2969750000000002</v>
      </c>
      <c r="AX58" s="32"/>
      <c r="AY58" s="32"/>
      <c r="AZ58" s="62"/>
      <c r="BA58" s="32">
        <f t="shared" si="211"/>
        <v>3.4712670000000001</v>
      </c>
      <c r="BB58" s="32"/>
      <c r="BC58" s="32"/>
      <c r="BD58" s="62"/>
      <c r="BE58" s="32">
        <f t="shared" si="212"/>
        <v>3.3522699999999999</v>
      </c>
      <c r="BF58" s="32"/>
      <c r="BG58" s="32"/>
      <c r="BH58" s="62"/>
      <c r="BI58" s="32">
        <f t="shared" si="213"/>
        <v>3.4192450000000001</v>
      </c>
      <c r="BJ58" s="32"/>
      <c r="BK58" s="32"/>
      <c r="BL58" s="62"/>
      <c r="BM58" s="32">
        <f t="shared" si="214"/>
        <v>3.1977600000000002</v>
      </c>
      <c r="BN58" s="32"/>
      <c r="BO58" s="32"/>
      <c r="BP58" s="62"/>
      <c r="BQ58" s="32">
        <f t="shared" si="215"/>
        <v>3.309723</v>
      </c>
      <c r="BR58" s="32"/>
      <c r="BS58" s="32"/>
      <c r="BT58" s="62"/>
      <c r="BU58" s="32">
        <f t="shared" si="216"/>
        <v>3.2302919999999999</v>
      </c>
    </row>
    <row r="59" spans="1:76" ht="15.75" x14ac:dyDescent="0.25">
      <c r="A59" s="25"/>
      <c r="B59" s="31"/>
      <c r="C59" s="29"/>
      <c r="D59" s="83">
        <v>2015</v>
      </c>
      <c r="E59" s="86">
        <f t="shared" si="217"/>
        <v>4.0707930000000001</v>
      </c>
      <c r="F59" s="86"/>
      <c r="G59" s="86"/>
      <c r="H59" s="118"/>
      <c r="I59" s="86">
        <f t="shared" si="218"/>
        <v>4.0448320000000004</v>
      </c>
      <c r="J59" s="32"/>
      <c r="K59" s="32"/>
      <c r="L59" s="62"/>
      <c r="M59" s="32">
        <f t="shared" si="201"/>
        <v>3.7432530000000002</v>
      </c>
      <c r="N59" s="32"/>
      <c r="O59" s="32"/>
      <c r="P59" s="62"/>
      <c r="Q59" s="32">
        <f t="shared" si="202"/>
        <v>3.9745059999999999</v>
      </c>
      <c r="R59" s="32"/>
      <c r="S59" s="32"/>
      <c r="T59" s="62"/>
      <c r="U59" s="32">
        <f t="shared" si="203"/>
        <v>3.9825439999999999</v>
      </c>
      <c r="V59" s="32"/>
      <c r="W59" s="32"/>
      <c r="X59" s="62"/>
      <c r="Y59" s="32">
        <f t="shared" si="204"/>
        <v>4.0212620000000001</v>
      </c>
      <c r="Z59" s="32"/>
      <c r="AA59" s="32"/>
      <c r="AB59" s="62"/>
      <c r="AC59" s="32">
        <f t="shared" si="205"/>
        <v>3.7558799999999999</v>
      </c>
      <c r="AD59" s="32"/>
      <c r="AE59" s="32"/>
      <c r="AF59" s="62"/>
      <c r="AG59" s="32">
        <f t="shared" si="206"/>
        <v>3.976137</v>
      </c>
      <c r="AH59" s="32"/>
      <c r="AI59" s="32"/>
      <c r="AJ59" s="62"/>
      <c r="AK59" s="32">
        <f t="shared" si="207"/>
        <v>3.9591270000000001</v>
      </c>
      <c r="AL59" s="32"/>
      <c r="AM59" s="32"/>
      <c r="AN59" s="62"/>
      <c r="AO59" s="32">
        <f t="shared" si="208"/>
        <v>4.0183030000000004</v>
      </c>
      <c r="AP59" s="32"/>
      <c r="AQ59" s="32"/>
      <c r="AR59" s="62"/>
      <c r="AS59" s="32">
        <f t="shared" si="209"/>
        <v>3.6872199999999999</v>
      </c>
      <c r="AT59" s="32"/>
      <c r="AU59" s="32"/>
      <c r="AV59" s="62"/>
      <c r="AW59" s="32">
        <f t="shared" si="210"/>
        <v>3.9450919999999998</v>
      </c>
      <c r="AX59" s="32"/>
      <c r="AY59" s="32"/>
      <c r="AZ59" s="62"/>
      <c r="BA59" s="32">
        <f t="shared" si="211"/>
        <v>3.9559090000000001</v>
      </c>
      <c r="BB59" s="32"/>
      <c r="BC59" s="32"/>
      <c r="BD59" s="62"/>
      <c r="BE59" s="32">
        <f t="shared" si="212"/>
        <v>4.0061580000000001</v>
      </c>
      <c r="BF59" s="32"/>
      <c r="BG59" s="32"/>
      <c r="BH59" s="62"/>
      <c r="BI59" s="32">
        <f t="shared" si="213"/>
        <v>3.7594569999999998</v>
      </c>
      <c r="BJ59" s="32"/>
      <c r="BK59" s="32"/>
      <c r="BL59" s="62"/>
      <c r="BM59" s="32">
        <f t="shared" si="214"/>
        <v>3.9375900000000001</v>
      </c>
      <c r="BN59" s="32"/>
      <c r="BO59" s="32"/>
      <c r="BP59" s="62"/>
      <c r="BQ59" s="32">
        <f t="shared" si="215"/>
        <v>3.991495</v>
      </c>
      <c r="BR59" s="32"/>
      <c r="BS59" s="32"/>
      <c r="BT59" s="62"/>
      <c r="BU59" s="32">
        <f t="shared" si="216"/>
        <v>3.9915759999999998</v>
      </c>
    </row>
    <row r="60" spans="1:76" ht="15.75" x14ac:dyDescent="0.25">
      <c r="A60" s="25"/>
      <c r="B60" s="29"/>
      <c r="D60" s="83">
        <v>2016</v>
      </c>
      <c r="E60" s="86">
        <f t="shared" si="217"/>
        <v>3.483835</v>
      </c>
      <c r="F60" s="86"/>
      <c r="G60" s="86"/>
      <c r="H60" s="118"/>
      <c r="I60" s="86">
        <f t="shared" si="218"/>
        <v>3.1527720000000001</v>
      </c>
      <c r="J60" s="32"/>
      <c r="K60" s="32"/>
      <c r="L60" s="62"/>
      <c r="M60" s="32">
        <f t="shared" si="201"/>
        <v>2.6719970000000002</v>
      </c>
      <c r="N60" s="32"/>
      <c r="O60" s="32"/>
      <c r="P60" s="62"/>
      <c r="Q60" s="32">
        <f t="shared" si="202"/>
        <v>3.0960329999999998</v>
      </c>
      <c r="R60" s="32"/>
      <c r="S60" s="32"/>
      <c r="T60" s="62"/>
      <c r="U60" s="32">
        <f t="shared" si="203"/>
        <v>2.7551269999999999</v>
      </c>
      <c r="V60" s="32"/>
      <c r="W60" s="32"/>
      <c r="X60" s="62"/>
      <c r="Y60" s="32">
        <f t="shared" si="204"/>
        <v>2.9821770000000001</v>
      </c>
      <c r="Z60" s="32"/>
      <c r="AA60" s="32"/>
      <c r="AB60" s="62"/>
      <c r="AC60" s="32">
        <f t="shared" si="205"/>
        <v>2.8376009999999998</v>
      </c>
      <c r="AD60" s="32"/>
      <c r="AE60" s="32"/>
      <c r="AF60" s="62"/>
      <c r="AG60" s="32">
        <f t="shared" si="206"/>
        <v>3.1768809999999998</v>
      </c>
      <c r="AH60" s="32"/>
      <c r="AI60" s="32"/>
      <c r="AJ60" s="62"/>
      <c r="AK60" s="32">
        <f t="shared" si="207"/>
        <v>2.8696389999999998</v>
      </c>
      <c r="AL60" s="32"/>
      <c r="AM60" s="32"/>
      <c r="AN60" s="62"/>
      <c r="AO60" s="32">
        <f t="shared" si="208"/>
        <v>3.0847889999999998</v>
      </c>
      <c r="AP60" s="32"/>
      <c r="AQ60" s="32"/>
      <c r="AR60" s="62"/>
      <c r="AS60" s="32">
        <f t="shared" si="209"/>
        <v>2.5916670000000002</v>
      </c>
      <c r="AT60" s="32"/>
      <c r="AU60" s="32"/>
      <c r="AV60" s="62"/>
      <c r="AW60" s="32">
        <f t="shared" si="210"/>
        <v>2.9779089999999999</v>
      </c>
      <c r="AX60" s="32"/>
      <c r="AY60" s="32"/>
      <c r="AZ60" s="62"/>
      <c r="BA60" s="32">
        <f t="shared" si="211"/>
        <v>2.6189249999999999</v>
      </c>
      <c r="BB60" s="32"/>
      <c r="BC60" s="32"/>
      <c r="BD60" s="62"/>
      <c r="BE60" s="32">
        <f t="shared" si="212"/>
        <v>2.8778280000000001</v>
      </c>
      <c r="BF60" s="32"/>
      <c r="BG60" s="32"/>
      <c r="BH60" s="62"/>
      <c r="BI60" s="32">
        <f t="shared" si="213"/>
        <v>2.5352000000000001</v>
      </c>
      <c r="BJ60" s="32"/>
      <c r="BK60" s="32"/>
      <c r="BL60" s="62"/>
      <c r="BM60" s="32">
        <f t="shared" si="214"/>
        <v>2.985922</v>
      </c>
      <c r="BN60" s="32"/>
      <c r="BO60" s="32"/>
      <c r="BP60" s="62"/>
      <c r="BQ60" s="32">
        <f t="shared" si="215"/>
        <v>2.647351</v>
      </c>
      <c r="BR60" s="32"/>
      <c r="BS60" s="32"/>
      <c r="BT60" s="62"/>
      <c r="BU60" s="32">
        <f t="shared" si="216"/>
        <v>2.8841049999999999</v>
      </c>
    </row>
    <row r="61" spans="1:76" ht="15.75" x14ac:dyDescent="0.25">
      <c r="A61" s="25"/>
      <c r="B61" s="29"/>
      <c r="D61" s="83">
        <v>2017</v>
      </c>
      <c r="E61" s="86">
        <f t="shared" si="217"/>
        <v>4.2254769999999997</v>
      </c>
      <c r="F61" s="86"/>
      <c r="G61" s="86"/>
      <c r="H61" s="118"/>
      <c r="I61" s="86">
        <f t="shared" si="218"/>
        <v>3.6818590000000002</v>
      </c>
      <c r="J61" s="32"/>
      <c r="K61" s="32"/>
      <c r="L61" s="62"/>
      <c r="M61" s="32">
        <f t="shared" si="201"/>
        <v>3.6783419999999998</v>
      </c>
      <c r="N61" s="32"/>
      <c r="O61" s="32"/>
      <c r="P61" s="62"/>
      <c r="Q61" s="32">
        <f t="shared" si="202"/>
        <v>3.7243179999999998</v>
      </c>
      <c r="R61" s="32"/>
      <c r="S61" s="32"/>
      <c r="T61" s="62"/>
      <c r="U61" s="32">
        <f t="shared" si="203"/>
        <v>3.5304479999999998</v>
      </c>
      <c r="V61" s="32"/>
      <c r="W61" s="32"/>
      <c r="X61" s="62"/>
      <c r="Y61" s="32">
        <f t="shared" si="204"/>
        <v>3.6007259999999999</v>
      </c>
      <c r="Z61" s="32"/>
      <c r="AA61" s="32"/>
      <c r="AB61" s="62"/>
      <c r="AC61" s="32">
        <f t="shared" si="205"/>
        <v>3.6068120000000001</v>
      </c>
      <c r="AD61" s="32"/>
      <c r="AE61" s="32"/>
      <c r="AF61" s="62"/>
      <c r="AG61" s="32">
        <f t="shared" si="206"/>
        <v>3.6162640000000001</v>
      </c>
      <c r="AH61" s="32"/>
      <c r="AI61" s="32"/>
      <c r="AJ61" s="62"/>
      <c r="AK61" s="32">
        <f t="shared" si="207"/>
        <v>3.336646</v>
      </c>
      <c r="AL61" s="32"/>
      <c r="AM61" s="32"/>
      <c r="AN61" s="62"/>
      <c r="AO61" s="32">
        <f t="shared" si="208"/>
        <v>3.4821390000000001</v>
      </c>
      <c r="AP61" s="32"/>
      <c r="AQ61" s="32"/>
      <c r="AR61" s="62"/>
      <c r="AS61" s="32">
        <f t="shared" si="209"/>
        <v>3.6470150000000001</v>
      </c>
      <c r="AT61" s="32"/>
      <c r="AU61" s="32"/>
      <c r="AV61" s="62"/>
      <c r="AW61" s="32">
        <f t="shared" si="210"/>
        <v>3.646001</v>
      </c>
      <c r="AX61" s="32"/>
      <c r="AY61" s="32"/>
      <c r="AZ61" s="62"/>
      <c r="BA61" s="32">
        <f t="shared" si="211"/>
        <v>3.456664</v>
      </c>
      <c r="BB61" s="32"/>
      <c r="BC61" s="32"/>
      <c r="BD61" s="62"/>
      <c r="BE61" s="32">
        <f t="shared" si="212"/>
        <v>3.520546</v>
      </c>
      <c r="BF61" s="32"/>
      <c r="BG61" s="32"/>
      <c r="BH61" s="62"/>
      <c r="BI61" s="32">
        <f t="shared" si="213"/>
        <v>3.6401569999999999</v>
      </c>
      <c r="BJ61" s="32"/>
      <c r="BK61" s="32"/>
      <c r="BL61" s="62"/>
      <c r="BM61" s="32">
        <f t="shared" si="214"/>
        <v>3.7099160000000002</v>
      </c>
      <c r="BN61" s="32"/>
      <c r="BO61" s="32"/>
      <c r="BP61" s="62"/>
      <c r="BQ61" s="32">
        <f t="shared" si="215"/>
        <v>3.528527</v>
      </c>
      <c r="BR61" s="32"/>
      <c r="BS61" s="32"/>
      <c r="BT61" s="62"/>
      <c r="BU61" s="32">
        <f t="shared" si="216"/>
        <v>3.595421</v>
      </c>
    </row>
    <row r="62" spans="1:76" ht="15.75" x14ac:dyDescent="0.25">
      <c r="A62" s="25"/>
      <c r="B62" s="29"/>
      <c r="D62" s="83">
        <v>2018</v>
      </c>
      <c r="E62" s="86">
        <f t="shared" si="217"/>
        <v>2.6662759999999999</v>
      </c>
      <c r="F62" s="86"/>
      <c r="G62" s="86"/>
      <c r="H62" s="118"/>
      <c r="I62" s="86">
        <f t="shared" si="218"/>
        <v>2.7167819999999998</v>
      </c>
      <c r="J62" s="32"/>
      <c r="K62" s="32"/>
      <c r="L62" s="62"/>
      <c r="M62" s="32">
        <f t="shared" si="201"/>
        <v>2.281768</v>
      </c>
      <c r="N62" s="32"/>
      <c r="O62" s="32"/>
      <c r="P62" s="62"/>
      <c r="Q62" s="32">
        <f t="shared" si="202"/>
        <v>2.5281769999999999</v>
      </c>
      <c r="R62" s="32"/>
      <c r="S62" s="32"/>
      <c r="T62" s="62"/>
      <c r="U62" s="32">
        <f t="shared" si="203"/>
        <v>2.3346680000000002</v>
      </c>
      <c r="V62" s="32"/>
      <c r="W62" s="32"/>
      <c r="X62" s="62"/>
      <c r="Y62" s="32">
        <f t="shared" si="204"/>
        <v>2.4120840000000001</v>
      </c>
      <c r="Z62" s="32"/>
      <c r="AA62" s="32"/>
      <c r="AB62" s="62"/>
      <c r="AC62" s="32">
        <f t="shared" si="205"/>
        <v>2.2995719999999999</v>
      </c>
      <c r="AD62" s="32"/>
      <c r="AE62" s="32"/>
      <c r="AF62" s="62"/>
      <c r="AG62" s="32">
        <f t="shared" si="206"/>
        <v>2.5537369999999999</v>
      </c>
      <c r="AH62" s="32"/>
      <c r="AI62" s="32"/>
      <c r="AJ62" s="62"/>
      <c r="AK62" s="32">
        <f t="shared" si="207"/>
        <v>2.3053680000000001</v>
      </c>
      <c r="AL62" s="32"/>
      <c r="AM62" s="32"/>
      <c r="AN62" s="62"/>
      <c r="AO62" s="32">
        <f t="shared" si="208"/>
        <v>2.432302</v>
      </c>
      <c r="AP62" s="32"/>
      <c r="AQ62" s="32"/>
      <c r="AR62" s="62"/>
      <c r="AS62" s="32">
        <f t="shared" si="209"/>
        <v>2.2170890000000001</v>
      </c>
      <c r="AT62" s="32"/>
      <c r="AU62" s="32"/>
      <c r="AV62" s="62"/>
      <c r="AW62" s="32">
        <f t="shared" si="210"/>
        <v>2.4480400000000002</v>
      </c>
      <c r="AX62" s="32"/>
      <c r="AY62" s="32"/>
      <c r="AZ62" s="62"/>
      <c r="BA62" s="32">
        <f t="shared" si="211"/>
        <v>2.2368079999999999</v>
      </c>
      <c r="BB62" s="32"/>
      <c r="BC62" s="32"/>
      <c r="BD62" s="62"/>
      <c r="BE62" s="32">
        <f t="shared" si="212"/>
        <v>2.3212609999999998</v>
      </c>
      <c r="BF62" s="32"/>
      <c r="BG62" s="32"/>
      <c r="BH62" s="62"/>
      <c r="BI62" s="32">
        <f t="shared" si="213"/>
        <v>2.266893</v>
      </c>
      <c r="BJ62" s="32"/>
      <c r="BK62" s="32"/>
      <c r="BL62" s="62"/>
      <c r="BM62" s="32">
        <f t="shared" si="214"/>
        <v>2.4616570000000002</v>
      </c>
      <c r="BN62" s="32"/>
      <c r="BO62" s="32"/>
      <c r="BP62" s="62"/>
      <c r="BQ62" s="32">
        <f t="shared" si="215"/>
        <v>2.2861699999999998</v>
      </c>
      <c r="BR62" s="32"/>
      <c r="BS62" s="32"/>
      <c r="BT62" s="62"/>
      <c r="BU62" s="32">
        <f t="shared" si="216"/>
        <v>2.3503319999999999</v>
      </c>
    </row>
    <row r="63" spans="1:76" ht="15.75" x14ac:dyDescent="0.25">
      <c r="A63" s="25"/>
      <c r="B63" s="29"/>
      <c r="D63" s="83">
        <v>2019</v>
      </c>
      <c r="E63" s="86">
        <f t="shared" si="217"/>
        <v>2.8603290000000001</v>
      </c>
      <c r="F63" s="86"/>
      <c r="G63" s="86"/>
      <c r="H63" s="118"/>
      <c r="I63" s="86">
        <f t="shared" si="218"/>
        <v>2.7797969999999999</v>
      </c>
      <c r="J63" s="32"/>
      <c r="K63" s="32"/>
      <c r="L63" s="62"/>
      <c r="M63" s="32">
        <f t="shared" si="201"/>
        <v>2.76207</v>
      </c>
      <c r="N63" s="32"/>
      <c r="O63" s="32"/>
      <c r="P63" s="62"/>
      <c r="Q63" s="32">
        <f t="shared" si="202"/>
        <v>2.7045810000000001</v>
      </c>
      <c r="R63" s="32"/>
      <c r="S63" s="32"/>
      <c r="T63" s="62"/>
      <c r="U63" s="32">
        <f t="shared" si="203"/>
        <v>2.7478009999999999</v>
      </c>
      <c r="V63" s="32"/>
      <c r="W63" s="32"/>
      <c r="X63" s="62"/>
      <c r="Y63" s="32">
        <f t="shared" si="204"/>
        <v>2.6974369999999999</v>
      </c>
      <c r="Z63" s="32"/>
      <c r="AA63" s="32"/>
      <c r="AB63" s="62"/>
      <c r="AC63" s="32">
        <f t="shared" si="205"/>
        <v>2.8030759999999999</v>
      </c>
      <c r="AD63" s="32"/>
      <c r="AE63" s="32"/>
      <c r="AF63" s="62"/>
      <c r="AG63" s="32">
        <f t="shared" si="206"/>
        <v>2.757536</v>
      </c>
      <c r="AH63" s="32"/>
      <c r="AI63" s="32"/>
      <c r="AJ63" s="62"/>
      <c r="AK63" s="32">
        <f t="shared" si="207"/>
        <v>2.7022569999999999</v>
      </c>
      <c r="AL63" s="32"/>
      <c r="AM63" s="32"/>
      <c r="AN63" s="62"/>
      <c r="AO63" s="32">
        <f t="shared" si="208"/>
        <v>2.7073830000000001</v>
      </c>
      <c r="AP63" s="32"/>
      <c r="AQ63" s="32"/>
      <c r="AR63" s="62"/>
      <c r="AS63" s="32">
        <f t="shared" si="209"/>
        <v>2.6836509999999998</v>
      </c>
      <c r="AT63" s="32"/>
      <c r="AU63" s="32"/>
      <c r="AV63" s="62"/>
      <c r="AW63" s="32">
        <f t="shared" si="210"/>
        <v>2.605623</v>
      </c>
      <c r="AX63" s="32"/>
      <c r="AY63" s="32"/>
      <c r="AZ63" s="62"/>
      <c r="BA63" s="32">
        <f t="shared" si="211"/>
        <v>2.6708810000000001</v>
      </c>
      <c r="BB63" s="32"/>
      <c r="BC63" s="32"/>
      <c r="BD63" s="62"/>
      <c r="BE63" s="32">
        <f t="shared" si="212"/>
        <v>2.6049329999999999</v>
      </c>
      <c r="BF63" s="32"/>
      <c r="BG63" s="32"/>
      <c r="BH63" s="62"/>
      <c r="BI63" s="32">
        <f t="shared" si="213"/>
        <v>2.6082010000000002</v>
      </c>
      <c r="BJ63" s="32"/>
      <c r="BK63" s="32"/>
      <c r="BL63" s="62"/>
      <c r="BM63" s="32">
        <f t="shared" si="214"/>
        <v>2.5443259999999999</v>
      </c>
      <c r="BN63" s="32"/>
      <c r="BO63" s="32"/>
      <c r="BP63" s="62"/>
      <c r="BQ63" s="32">
        <f t="shared" si="215"/>
        <v>2.6219260000000002</v>
      </c>
      <c r="BR63" s="32"/>
      <c r="BS63" s="32"/>
      <c r="BT63" s="62"/>
      <c r="BU63" s="32">
        <f t="shared" si="216"/>
        <v>2.5447109999999999</v>
      </c>
    </row>
    <row r="64" spans="1:76" ht="15.75" x14ac:dyDescent="0.25">
      <c r="A64" s="25"/>
      <c r="B64" s="29"/>
      <c r="D64" s="83">
        <v>2020</v>
      </c>
      <c r="E64" s="86">
        <f t="shared" si="217"/>
        <v>2.8713359999999999</v>
      </c>
      <c r="F64" s="86"/>
      <c r="G64" s="86"/>
      <c r="H64" s="118"/>
      <c r="I64" s="86">
        <f t="shared" si="218"/>
        <v>2.2810899999999998</v>
      </c>
      <c r="J64" s="32"/>
      <c r="K64" s="32"/>
      <c r="L64" s="62"/>
      <c r="M64" s="32">
        <f t="shared" si="201"/>
        <v>2.3826960000000001</v>
      </c>
      <c r="N64" s="32"/>
      <c r="O64" s="32"/>
      <c r="P64" s="62"/>
      <c r="Q64" s="32">
        <f t="shared" si="202"/>
        <v>2.4747490000000001</v>
      </c>
      <c r="R64" s="32"/>
      <c r="S64" s="32"/>
      <c r="T64" s="62"/>
      <c r="U64" s="32">
        <f t="shared" si="203"/>
        <v>2.3827859999999998</v>
      </c>
      <c r="V64" s="32"/>
      <c r="W64" s="32"/>
      <c r="X64" s="62"/>
      <c r="Y64" s="32">
        <f t="shared" si="204"/>
        <v>2.3714270000000002</v>
      </c>
      <c r="Z64" s="32"/>
      <c r="AA64" s="32"/>
      <c r="AB64" s="62"/>
      <c r="AC64" s="32">
        <f t="shared" si="205"/>
        <v>2.4195880000000001</v>
      </c>
      <c r="AD64" s="32"/>
      <c r="AE64" s="32"/>
      <c r="AF64" s="62"/>
      <c r="AG64" s="32">
        <f t="shared" si="206"/>
        <v>2.4856630000000002</v>
      </c>
      <c r="AH64" s="32"/>
      <c r="AI64" s="32"/>
      <c r="AJ64" s="62"/>
      <c r="AK64" s="32">
        <f t="shared" si="207"/>
        <v>2.389516</v>
      </c>
      <c r="AL64" s="32"/>
      <c r="AM64" s="32"/>
      <c r="AN64" s="62"/>
      <c r="AO64" s="32">
        <f t="shared" si="208"/>
        <v>2.382225</v>
      </c>
      <c r="AP64" s="32"/>
      <c r="AQ64" s="32"/>
      <c r="AR64" s="62"/>
      <c r="AS64" s="32">
        <f t="shared" si="209"/>
        <v>2.320614</v>
      </c>
      <c r="AT64" s="32"/>
      <c r="AU64" s="32"/>
      <c r="AV64" s="62"/>
      <c r="AW64" s="32">
        <f t="shared" si="210"/>
        <v>2.3305539999999998</v>
      </c>
      <c r="AX64" s="32"/>
      <c r="AY64" s="32"/>
      <c r="AZ64" s="62"/>
      <c r="BA64" s="32">
        <f t="shared" si="211"/>
        <v>2.288332</v>
      </c>
      <c r="BB64" s="32"/>
      <c r="BC64" s="32"/>
      <c r="BD64" s="62"/>
      <c r="BE64" s="32">
        <f t="shared" si="212"/>
        <v>2.2631610000000002</v>
      </c>
      <c r="BF64" s="32"/>
      <c r="BG64" s="32"/>
      <c r="BH64" s="62"/>
      <c r="BI64" s="32">
        <f t="shared" si="213"/>
        <v>2.356141</v>
      </c>
      <c r="BJ64" s="32"/>
      <c r="BK64" s="32"/>
      <c r="BL64" s="62"/>
      <c r="BM64" s="32">
        <f t="shared" si="214"/>
        <v>2.3642099999999999</v>
      </c>
      <c r="BN64" s="32"/>
      <c r="BO64" s="32"/>
      <c r="BP64" s="62"/>
      <c r="BQ64" s="32">
        <f t="shared" si="215"/>
        <v>2.3143470000000002</v>
      </c>
      <c r="BR64" s="32"/>
      <c r="BS64" s="32"/>
      <c r="BT64" s="62"/>
      <c r="BU64" s="32">
        <f t="shared" si="216"/>
        <v>2.301949</v>
      </c>
    </row>
    <row r="65" spans="1:75" ht="15.75" x14ac:dyDescent="0.25">
      <c r="A65" s="25"/>
      <c r="B65" s="29"/>
      <c r="D65" s="83">
        <v>2021</v>
      </c>
      <c r="E65" s="86">
        <f t="shared" si="217"/>
        <v>3.2290679999999998</v>
      </c>
      <c r="F65" s="86"/>
      <c r="G65" s="86"/>
      <c r="H65" s="118"/>
      <c r="I65" s="86">
        <f t="shared" si="218"/>
        <v>3.2992880000000002</v>
      </c>
      <c r="J65" s="32"/>
      <c r="K65" s="32"/>
      <c r="L65" s="62"/>
      <c r="M65" s="32">
        <f t="shared" si="201"/>
        <v>2.9156870000000001</v>
      </c>
      <c r="N65" s="32"/>
      <c r="O65" s="32"/>
      <c r="P65" s="62"/>
      <c r="Q65" s="32">
        <f t="shared" si="202"/>
        <v>3.1118269999999999</v>
      </c>
      <c r="R65" s="32"/>
      <c r="S65" s="32"/>
      <c r="T65" s="62"/>
      <c r="U65" s="32">
        <f t="shared" si="203"/>
        <v>3.0944479999999999</v>
      </c>
      <c r="V65" s="32"/>
      <c r="W65" s="32"/>
      <c r="X65" s="62"/>
      <c r="Y65" s="32">
        <f t="shared" si="204"/>
        <v>3.1347809999999998</v>
      </c>
      <c r="Z65" s="32"/>
      <c r="AA65" s="32"/>
      <c r="AB65" s="62"/>
      <c r="AC65" s="32">
        <f t="shared" si="205"/>
        <v>2.8714949999999999</v>
      </c>
      <c r="AD65" s="32"/>
      <c r="AE65" s="32"/>
      <c r="AF65" s="62"/>
      <c r="AG65" s="32">
        <f t="shared" si="206"/>
        <v>3.0446900000000001</v>
      </c>
      <c r="AH65" s="32"/>
      <c r="AI65" s="32"/>
      <c r="AJ65" s="62"/>
      <c r="AK65" s="32">
        <f t="shared" si="207"/>
        <v>2.9730799999999999</v>
      </c>
      <c r="AL65" s="32"/>
      <c r="AM65" s="32"/>
      <c r="AN65" s="62"/>
      <c r="AO65" s="32">
        <f t="shared" si="208"/>
        <v>3.045633</v>
      </c>
      <c r="AP65" s="32"/>
      <c r="AQ65" s="32"/>
      <c r="AR65" s="62"/>
      <c r="AS65" s="32">
        <f t="shared" si="209"/>
        <v>2.8372570000000001</v>
      </c>
      <c r="AT65" s="32"/>
      <c r="AU65" s="32"/>
      <c r="AV65" s="62"/>
      <c r="AW65" s="32">
        <f t="shared" si="210"/>
        <v>3.0339</v>
      </c>
      <c r="AX65" s="32"/>
      <c r="AY65" s="32"/>
      <c r="AZ65" s="62"/>
      <c r="BA65" s="32">
        <f t="shared" si="211"/>
        <v>2.9948619999999999</v>
      </c>
      <c r="BB65" s="32"/>
      <c r="BC65" s="32"/>
      <c r="BD65" s="62"/>
      <c r="BE65" s="32">
        <f t="shared" si="212"/>
        <v>3.045153</v>
      </c>
      <c r="BF65" s="32"/>
      <c r="BG65" s="32"/>
      <c r="BH65" s="62"/>
      <c r="BI65" s="32">
        <f t="shared" si="213"/>
        <v>2.8394490000000001</v>
      </c>
      <c r="BJ65" s="32"/>
      <c r="BK65" s="32"/>
      <c r="BL65" s="62"/>
      <c r="BM65" s="32">
        <f t="shared" si="214"/>
        <v>3.0670790000000001</v>
      </c>
      <c r="BN65" s="32"/>
      <c r="BO65" s="32"/>
      <c r="BP65" s="62"/>
      <c r="BQ65" s="32">
        <f t="shared" si="215"/>
        <v>3.0027219999999999</v>
      </c>
      <c r="BR65" s="32"/>
      <c r="BS65" s="32"/>
      <c r="BT65" s="62"/>
      <c r="BU65" s="32">
        <f t="shared" si="216"/>
        <v>3.0593240000000002</v>
      </c>
    </row>
    <row r="66" spans="1:75" ht="15.75" x14ac:dyDescent="0.25">
      <c r="A66" s="25"/>
      <c r="B66" s="29"/>
      <c r="E66" s="118"/>
      <c r="F66" s="118"/>
      <c r="G66" s="118"/>
      <c r="H66" s="118"/>
      <c r="I66" s="118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  <c r="BM66" s="62"/>
      <c r="BN66" s="62"/>
      <c r="BO66" s="62"/>
      <c r="BP66" s="62"/>
      <c r="BQ66" s="62"/>
      <c r="BR66" s="62"/>
      <c r="BS66" s="62"/>
      <c r="BT66" s="62"/>
      <c r="BU66" s="62"/>
    </row>
    <row r="67" spans="1:75" ht="15.75" x14ac:dyDescent="0.25">
      <c r="A67" s="25"/>
      <c r="B67" s="29"/>
      <c r="D67" s="84" t="s">
        <v>182</v>
      </c>
    </row>
    <row r="68" spans="1:75" ht="15.75" x14ac:dyDescent="0.25">
      <c r="A68" s="25"/>
      <c r="B68" s="29"/>
      <c r="E68" s="86">
        <f>1/18</f>
        <v>5.5555555555555552E-2</v>
      </c>
      <c r="F68" s="86"/>
      <c r="G68" s="86"/>
      <c r="H68" s="118"/>
      <c r="I68" s="118">
        <f>1/18</f>
        <v>5.5555555555555552E-2</v>
      </c>
      <c r="J68" s="62"/>
      <c r="K68" s="62"/>
      <c r="L68" s="62"/>
      <c r="M68" s="32">
        <f>1/18</f>
        <v>5.5555555555555552E-2</v>
      </c>
      <c r="N68" s="32"/>
      <c r="O68" s="32"/>
      <c r="P68" s="62"/>
      <c r="Q68" s="32">
        <f>1/18</f>
        <v>5.5555555555555552E-2</v>
      </c>
      <c r="R68" s="32"/>
      <c r="S68" s="32"/>
      <c r="T68" s="62"/>
      <c r="U68" s="32">
        <f>1/18</f>
        <v>5.5555555555555552E-2</v>
      </c>
      <c r="V68" s="32"/>
      <c r="W68" s="32"/>
      <c r="X68" s="62"/>
      <c r="Y68" s="32">
        <f>1/18</f>
        <v>5.5555555555555552E-2</v>
      </c>
      <c r="Z68" s="32"/>
      <c r="AA68" s="32"/>
      <c r="AB68" s="62"/>
      <c r="AC68" s="32">
        <f>1/18</f>
        <v>5.5555555555555552E-2</v>
      </c>
      <c r="AD68" s="32"/>
      <c r="AE68" s="32"/>
      <c r="AF68" s="62"/>
      <c r="AG68" s="32">
        <f>1/18</f>
        <v>5.5555555555555552E-2</v>
      </c>
      <c r="AH68" s="32"/>
      <c r="AI68" s="32"/>
      <c r="AJ68" s="62"/>
      <c r="AK68" s="32">
        <f>1/18</f>
        <v>5.5555555555555552E-2</v>
      </c>
      <c r="AL68" s="32"/>
      <c r="AM68" s="32"/>
      <c r="AN68" s="62"/>
      <c r="AO68" s="32">
        <f>1/18</f>
        <v>5.5555555555555552E-2</v>
      </c>
      <c r="AP68" s="32"/>
      <c r="AQ68" s="32"/>
      <c r="AR68" s="62"/>
      <c r="AS68" s="32">
        <f>1/18</f>
        <v>5.5555555555555552E-2</v>
      </c>
      <c r="AT68" s="32"/>
      <c r="AU68" s="32"/>
      <c r="AV68" s="62"/>
      <c r="AW68" s="32">
        <f>1/18</f>
        <v>5.5555555555555552E-2</v>
      </c>
      <c r="AX68" s="32"/>
      <c r="AY68" s="32"/>
      <c r="AZ68" s="62"/>
      <c r="BA68" s="32">
        <f>1/18</f>
        <v>5.5555555555555552E-2</v>
      </c>
      <c r="BB68" s="32"/>
      <c r="BC68" s="32"/>
      <c r="BD68" s="62"/>
      <c r="BE68" s="32">
        <f>1/18</f>
        <v>5.5555555555555552E-2</v>
      </c>
      <c r="BF68" s="32"/>
      <c r="BG68" s="32"/>
      <c r="BH68" s="62"/>
      <c r="BI68" s="32">
        <f>1/18</f>
        <v>5.5555555555555552E-2</v>
      </c>
      <c r="BJ68" s="32"/>
      <c r="BK68" s="32"/>
      <c r="BL68" s="62"/>
      <c r="BM68" s="32">
        <f>1/18</f>
        <v>5.5555555555555552E-2</v>
      </c>
      <c r="BN68" s="32"/>
      <c r="BO68" s="32"/>
      <c r="BP68" s="62"/>
      <c r="BQ68" s="32">
        <f>1/18</f>
        <v>5.5555555555555552E-2</v>
      </c>
      <c r="BR68" s="32"/>
      <c r="BS68" s="32"/>
      <c r="BT68" s="62"/>
      <c r="BU68" s="32">
        <f>1/18</f>
        <v>5.5555555555555552E-2</v>
      </c>
      <c r="BV68" s="32">
        <f>SUM(E68,I68,M68,Q68,U68,Y68,AC68,AG68,AK68,AO68,AS68,AW68,BA68,BE68,BI68,BM68,BQ68,BU68)</f>
        <v>1.0000000000000002</v>
      </c>
      <c r="BW68" s="32"/>
    </row>
    <row r="69" spans="1:75" ht="15.75" x14ac:dyDescent="0.25">
      <c r="A69" s="25"/>
      <c r="B69" s="29"/>
      <c r="E69" s="118"/>
      <c r="F69" s="118"/>
      <c r="G69" s="118"/>
      <c r="H69" s="118"/>
      <c r="I69" s="118"/>
      <c r="J69" s="82"/>
      <c r="K69" s="82"/>
      <c r="L69" s="82"/>
      <c r="M69" s="82"/>
      <c r="N69" s="82"/>
      <c r="O69" s="82"/>
      <c r="P69" s="82"/>
      <c r="Q69" s="8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32"/>
      <c r="BB69" s="32"/>
      <c r="BC69" s="32"/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2"/>
    </row>
    <row r="70" spans="1:75" ht="29.25" customHeight="1" x14ac:dyDescent="0.25">
      <c r="A70" s="25"/>
      <c r="B70" s="29"/>
      <c r="D70" s="119" t="s">
        <v>165</v>
      </c>
      <c r="E70" s="153" t="s">
        <v>169</v>
      </c>
      <c r="F70" s="153" t="s">
        <v>168</v>
      </c>
      <c r="G70" s="153" t="s">
        <v>169</v>
      </c>
      <c r="H70" s="153" t="s">
        <v>168</v>
      </c>
      <c r="J70" s="87"/>
      <c r="K70" s="87"/>
      <c r="L70" s="76"/>
      <c r="M70" s="87"/>
      <c r="N70" s="87"/>
      <c r="O70" s="87"/>
      <c r="P70" s="87"/>
      <c r="Q70" s="76"/>
    </row>
    <row r="71" spans="1:75" ht="15.75" x14ac:dyDescent="0.25">
      <c r="B71" s="29"/>
      <c r="D71" s="84" t="s">
        <v>171</v>
      </c>
      <c r="E71" s="84" t="s">
        <v>215</v>
      </c>
      <c r="F71" s="84" t="s">
        <v>215</v>
      </c>
      <c r="G71" s="84" t="s">
        <v>167</v>
      </c>
      <c r="H71" s="84" t="s">
        <v>167</v>
      </c>
      <c r="J71" s="78"/>
      <c r="K71" s="78"/>
      <c r="L71" s="76"/>
      <c r="M71" s="78"/>
      <c r="N71" s="78"/>
      <c r="O71" s="78"/>
      <c r="P71" s="78"/>
      <c r="Q71" s="78"/>
      <c r="R71" s="78"/>
      <c r="S71" s="78"/>
      <c r="T71" s="7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</row>
    <row r="72" spans="1:75" ht="15.75" x14ac:dyDescent="0.25">
      <c r="B72" s="29"/>
      <c r="D72" s="83">
        <v>2012</v>
      </c>
      <c r="E72" s="118" cm="1">
        <f t="array" ref="E72">SUM(E42:BU42*E56:BU56)</f>
        <v>3.007101331586485</v>
      </c>
      <c r="F72" s="118">
        <f>EXP(E72)</f>
        <v>20.228678627786405</v>
      </c>
      <c r="G72" s="118" cm="1">
        <f t="array" ref="G72">SUM($E$68:$BU$68*E56:BU56)</f>
        <v>3.0081213888888887</v>
      </c>
      <c r="H72" s="118">
        <f>EXP(G72)</f>
        <v>20.249323566858969</v>
      </c>
      <c r="J72" s="82"/>
      <c r="K72" s="82"/>
      <c r="L72" s="76"/>
      <c r="M72" s="77"/>
      <c r="N72" s="77"/>
      <c r="O72" s="77"/>
      <c r="P72" s="22"/>
      <c r="Q72" s="88"/>
      <c r="R72" s="88"/>
      <c r="S72" s="88"/>
      <c r="T72" s="7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</row>
    <row r="73" spans="1:75" x14ac:dyDescent="0.25">
      <c r="D73" s="83">
        <v>2013</v>
      </c>
      <c r="E73" s="118" cm="1">
        <f t="array" ref="E73">SUM(E43:BU43*E57:BU57)</f>
        <v>4.0588384888257938</v>
      </c>
      <c r="F73" s="118">
        <f>EXP(E73)</f>
        <v>57.907012360497028</v>
      </c>
      <c r="G73" s="118" cm="1">
        <f t="array" ref="G73">SUM($E$68:$BU$68*E57:BU57)</f>
        <v>4.0604165555555554</v>
      </c>
      <c r="H73" s="118">
        <f t="shared" ref="H73:H81" si="219">EXP(G73)</f>
        <v>57.998465630825841</v>
      </c>
      <c r="J73" s="82"/>
      <c r="K73" s="82"/>
      <c r="L73" s="76"/>
      <c r="M73" s="77"/>
      <c r="N73" s="77"/>
      <c r="O73" s="77"/>
      <c r="P73" s="22"/>
      <c r="Q73" s="88"/>
      <c r="R73" s="64"/>
      <c r="S73" s="64"/>
    </row>
    <row r="74" spans="1:75" x14ac:dyDescent="0.25">
      <c r="D74" s="83">
        <v>2014</v>
      </c>
      <c r="E74" s="118" cm="1">
        <f t="array" ref="E74">SUM(E44:BU44*E58:BU58)</f>
        <v>3.3897855451602799</v>
      </c>
      <c r="F74" s="118">
        <f t="shared" ref="F74:F81" si="220">EXP(E74)</f>
        <v>29.659590945462401</v>
      </c>
      <c r="G74" s="118" cm="1">
        <f t="array" ref="G74">SUM($E$68:$BU$68*E58:BU58)</f>
        <v>3.3892359444444442</v>
      </c>
      <c r="H74" s="118">
        <f>EXP(G74)</f>
        <v>29.643294491728913</v>
      </c>
      <c r="J74" s="82"/>
      <c r="K74" s="82"/>
      <c r="L74" s="76"/>
      <c r="M74" s="77"/>
      <c r="N74" s="77"/>
      <c r="O74" s="77"/>
      <c r="P74" s="22"/>
      <c r="Q74" s="88"/>
      <c r="R74" s="64"/>
      <c r="S74" s="64"/>
    </row>
    <row r="75" spans="1:75" x14ac:dyDescent="0.25">
      <c r="D75" s="83">
        <v>2015</v>
      </c>
      <c r="E75" s="118" cm="1">
        <f t="array" ref="E75">SUM(E45:BU45*E59:BU59)</f>
        <v>3.926342700996194</v>
      </c>
      <c r="F75" s="118">
        <f t="shared" si="220"/>
        <v>50.72113567749993</v>
      </c>
      <c r="G75" s="118" cm="1">
        <f t="array" ref="G75">SUM($E$68:$BU$68*E59:BU59)</f>
        <v>3.9345074444444443</v>
      </c>
      <c r="H75" s="118">
        <f t="shared" si="219"/>
        <v>51.136955960692745</v>
      </c>
      <c r="J75" s="82"/>
      <c r="K75" s="82"/>
      <c r="L75" s="76"/>
      <c r="M75" s="77"/>
      <c r="N75" s="77"/>
      <c r="O75" s="77"/>
      <c r="P75" s="22"/>
      <c r="Q75" s="88"/>
      <c r="R75" s="64"/>
      <c r="S75" s="64"/>
    </row>
    <row r="76" spans="1:75" x14ac:dyDescent="0.25">
      <c r="D76" s="83">
        <v>2016</v>
      </c>
      <c r="E76" s="118" cm="1">
        <f t="array" ref="E76">SUM(E46:BU46*E60:BU60)</f>
        <v>2.8547651737151711</v>
      </c>
      <c r="F76" s="118">
        <f t="shared" si="220"/>
        <v>17.370357712120931</v>
      </c>
      <c r="G76" s="118" cm="1">
        <f t="array" ref="G76">SUM($E$68:$BU$68*E60:BU60)</f>
        <v>2.9016532222222224</v>
      </c>
      <c r="H76" s="118">
        <f t="shared" si="219"/>
        <v>18.204216120405619</v>
      </c>
      <c r="J76" s="82"/>
      <c r="K76" s="82"/>
      <c r="L76" s="76"/>
      <c r="M76" s="77"/>
      <c r="N76" s="77"/>
      <c r="O76" s="77"/>
      <c r="P76" s="22"/>
      <c r="Q76" s="88"/>
      <c r="R76" s="64"/>
      <c r="S76" s="64"/>
    </row>
    <row r="77" spans="1:75" x14ac:dyDescent="0.25">
      <c r="D77" s="83">
        <v>2017</v>
      </c>
      <c r="E77" s="118" cm="1">
        <f t="array" ref="E77">SUM(E47:BU47*E61:BU61)</f>
        <v>3.6054075558911918</v>
      </c>
      <c r="F77" s="118">
        <f t="shared" si="220"/>
        <v>36.796677504355216</v>
      </c>
      <c r="G77" s="118" cm="1">
        <f t="array" ref="G77">SUM($E$68:$BU$68*E61:BU61)</f>
        <v>3.6237376666666679</v>
      </c>
      <c r="H77" s="118">
        <f t="shared" si="219"/>
        <v>37.477384335706397</v>
      </c>
      <c r="J77" s="82"/>
      <c r="K77" s="82"/>
      <c r="L77" s="76"/>
      <c r="M77" s="77"/>
      <c r="N77" s="77"/>
      <c r="O77" s="77"/>
      <c r="P77" s="22"/>
      <c r="Q77" s="88"/>
      <c r="R77" s="64"/>
      <c r="S77" s="64"/>
    </row>
    <row r="78" spans="1:75" x14ac:dyDescent="0.25">
      <c r="D78" s="83">
        <v>2018</v>
      </c>
      <c r="E78" s="118" cm="1">
        <f t="array" ref="E78">SUM(E48:BU48*E62:BU62)</f>
        <v>2.3728367582074035</v>
      </c>
      <c r="F78" s="118">
        <f t="shared" si="220"/>
        <v>10.727781282211856</v>
      </c>
      <c r="G78" s="118" cm="1">
        <f t="array" ref="G78">SUM($E$68:$BU$68*E62:BU62)</f>
        <v>2.3954991111111115</v>
      </c>
      <c r="H78" s="118">
        <f t="shared" si="219"/>
        <v>10.973673774982229</v>
      </c>
      <c r="J78" s="82"/>
      <c r="K78" s="82"/>
      <c r="L78" s="76"/>
      <c r="M78" s="77"/>
      <c r="N78" s="77"/>
      <c r="O78" s="77"/>
      <c r="P78" s="22"/>
      <c r="Q78" s="88"/>
      <c r="R78" s="64"/>
      <c r="S78" s="64"/>
    </row>
    <row r="79" spans="1:75" x14ac:dyDescent="0.25">
      <c r="D79" s="83">
        <v>2019</v>
      </c>
      <c r="E79" s="118" cm="1">
        <f t="array" ref="E79">SUM(E49:BU49*E63:BU63)</f>
        <v>2.7001828569138224</v>
      </c>
      <c r="F79" s="118">
        <f t="shared" si="220"/>
        <v>14.882452835473911</v>
      </c>
      <c r="G79" s="118" cm="1">
        <f t="array" ref="G79">SUM($E$68:$BU$68*E63:BU63)</f>
        <v>2.6892510555555558</v>
      </c>
      <c r="H79" s="118">
        <f t="shared" si="219"/>
        <v>14.720646844202825</v>
      </c>
      <c r="J79" s="82"/>
      <c r="K79" s="82"/>
      <c r="L79" s="76"/>
      <c r="M79" s="77"/>
      <c r="N79" s="77"/>
      <c r="O79" s="77"/>
      <c r="P79" s="22"/>
      <c r="Q79" s="88"/>
      <c r="R79" s="64"/>
      <c r="S79" s="64"/>
    </row>
    <row r="80" spans="1:75" x14ac:dyDescent="0.25">
      <c r="D80" s="83">
        <v>2020</v>
      </c>
      <c r="E80" s="118" cm="1">
        <f t="array" ref="E80">SUM(E50:BU50*E64:BU64)</f>
        <v>2.3734588633473059</v>
      </c>
      <c r="F80" s="118">
        <f t="shared" si="220"/>
        <v>10.734457166422905</v>
      </c>
      <c r="G80" s="118" cm="1">
        <f t="array" ref="G80">SUM($E$68:$BU$68*E64:BU64)</f>
        <v>2.3877991111111108</v>
      </c>
      <c r="H80" s="118">
        <f t="shared" si="219"/>
        <v>10.889500968104736</v>
      </c>
      <c r="J80" s="82"/>
      <c r="K80" s="82"/>
      <c r="L80" s="76"/>
      <c r="M80" s="77"/>
      <c r="N80" s="77"/>
      <c r="O80" s="77"/>
      <c r="P80" s="22"/>
      <c r="Q80" s="88"/>
      <c r="R80" s="64"/>
      <c r="S80" s="64"/>
    </row>
    <row r="81" spans="4:19" x14ac:dyDescent="0.25">
      <c r="D81" s="83">
        <v>2021</v>
      </c>
      <c r="E81" s="118" cm="1">
        <f t="array" ref="E81">SUM(E51:BU51*E65:BU65)</f>
        <v>3.0110534472086412</v>
      </c>
      <c r="F81" s="118">
        <f t="shared" si="220"/>
        <v>20.308782890998078</v>
      </c>
      <c r="G81" s="118" cm="1">
        <f t="array" ref="G81">SUM($E$68:$BU$68*E65:BU65)</f>
        <v>3.0333190555555558</v>
      </c>
      <c r="H81" s="118">
        <f t="shared" si="219"/>
        <v>20.766041982130819</v>
      </c>
      <c r="J81" s="82"/>
      <c r="K81" s="82"/>
      <c r="L81" s="76"/>
      <c r="M81" s="77"/>
      <c r="N81" s="77"/>
      <c r="O81" s="77"/>
      <c r="P81" s="22"/>
      <c r="Q81" s="88"/>
      <c r="R81" s="64"/>
      <c r="S81" s="64"/>
    </row>
    <row r="82" spans="4:19" x14ac:dyDescent="0.25">
      <c r="E82" s="118"/>
      <c r="F82" s="118"/>
      <c r="G82" s="118"/>
      <c r="H82" s="118"/>
      <c r="J82" s="82"/>
      <c r="K82" s="82"/>
      <c r="L82" s="76"/>
      <c r="M82" s="82"/>
      <c r="N82" s="82"/>
      <c r="O82" s="82"/>
      <c r="P82" s="22"/>
      <c r="Q82" s="88"/>
      <c r="R82" s="64"/>
      <c r="S82" s="64"/>
    </row>
    <row r="83" spans="4:19" x14ac:dyDescent="0.25">
      <c r="D83" s="119" t="s">
        <v>165</v>
      </c>
      <c r="E83" s="83" t="s">
        <v>162</v>
      </c>
      <c r="G83" s="83" t="s">
        <v>162</v>
      </c>
    </row>
    <row r="84" spans="4:19" x14ac:dyDescent="0.25">
      <c r="D84" s="84" t="s">
        <v>171</v>
      </c>
      <c r="E84" s="84" t="s">
        <v>215</v>
      </c>
      <c r="G84" s="84" t="s">
        <v>167</v>
      </c>
    </row>
    <row r="85" spans="4:19" x14ac:dyDescent="0.25">
      <c r="D85" s="83">
        <v>2012</v>
      </c>
      <c r="E85" s="165">
        <f>ABS((E99-F72)/E99)</f>
        <v>4.9270972662315608E-2</v>
      </c>
      <c r="F85" s="165"/>
      <c r="G85" s="165">
        <f>ABS((E99-H72)/E99)</f>
        <v>4.8300679782337576E-2</v>
      </c>
    </row>
    <row r="86" spans="4:19" x14ac:dyDescent="0.25">
      <c r="D86" s="83">
        <v>2013</v>
      </c>
      <c r="E86" s="165">
        <f>ABS((E100-F73)/E100)</f>
        <v>0.38864683450001752</v>
      </c>
      <c r="F86" s="165"/>
      <c r="G86" s="165">
        <f>ABS((E100-H73)/E100)</f>
        <v>0.38768131678408396</v>
      </c>
    </row>
    <row r="87" spans="4:19" x14ac:dyDescent="0.25">
      <c r="D87" s="83">
        <v>2014</v>
      </c>
      <c r="E87" s="165">
        <f t="shared" ref="E87:E93" si="221">ABS((E101-F74)/E101)</f>
        <v>0.20213862118397394</v>
      </c>
      <c r="F87" s="165"/>
      <c r="G87" s="165">
        <f>ABS((E101-H74)/E101)</f>
        <v>0.2025770058895999</v>
      </c>
    </row>
    <row r="88" spans="4:19" x14ac:dyDescent="0.25">
      <c r="D88" s="83">
        <v>2015</v>
      </c>
      <c r="E88" s="165">
        <f t="shared" si="221"/>
        <v>0.4453526364186266</v>
      </c>
      <c r="F88" s="165"/>
      <c r="G88" s="165">
        <f t="shared" ref="G88:G94" si="222">ABS((E102-H75)/E102)</f>
        <v>0.45720187706675514</v>
      </c>
    </row>
    <row r="89" spans="4:19" x14ac:dyDescent="0.25">
      <c r="D89" s="83">
        <v>2016</v>
      </c>
      <c r="E89" s="165">
        <f t="shared" si="221"/>
        <v>5.4633251400282301E-2</v>
      </c>
      <c r="F89" s="165"/>
      <c r="G89" s="165">
        <f t="shared" si="222"/>
        <v>9.2512261537579746E-3</v>
      </c>
    </row>
    <row r="90" spans="4:19" x14ac:dyDescent="0.25">
      <c r="D90" s="83">
        <v>2017</v>
      </c>
      <c r="E90" s="165">
        <f t="shared" si="221"/>
        <v>5.9373805883061598E-2</v>
      </c>
      <c r="F90" s="165"/>
      <c r="G90" s="165">
        <f t="shared" si="222"/>
        <v>7.8971308579704469E-2</v>
      </c>
    </row>
    <row r="91" spans="4:19" x14ac:dyDescent="0.25">
      <c r="D91" s="83">
        <v>2018</v>
      </c>
      <c r="E91" s="165">
        <f t="shared" si="221"/>
        <v>0.32971990557554887</v>
      </c>
      <c r="F91" s="165"/>
      <c r="G91" s="165">
        <f t="shared" si="222"/>
        <v>0.36019854171352789</v>
      </c>
    </row>
    <row r="92" spans="4:19" x14ac:dyDescent="0.25">
      <c r="D92" s="83">
        <v>2019</v>
      </c>
      <c r="E92" s="165">
        <f t="shared" si="221"/>
        <v>0.29606926882572343</v>
      </c>
      <c r="F92" s="165"/>
      <c r="G92" s="165">
        <f t="shared" si="222"/>
        <v>0.30372259123184864</v>
      </c>
    </row>
    <row r="93" spans="4:19" x14ac:dyDescent="0.25">
      <c r="D93" s="83">
        <v>2020</v>
      </c>
      <c r="E93" s="165">
        <f t="shared" si="221"/>
        <v>0.33132479362466011</v>
      </c>
      <c r="F93" s="165"/>
      <c r="G93" s="165">
        <f t="shared" si="222"/>
        <v>0.35055386632733049</v>
      </c>
    </row>
    <row r="94" spans="4:19" x14ac:dyDescent="0.25">
      <c r="D94" s="83">
        <v>2021</v>
      </c>
      <c r="E94" s="165">
        <f>ABS((E108-F81)/E108)</f>
        <v>0.58129431495762052</v>
      </c>
      <c r="F94" s="165"/>
      <c r="G94" s="165">
        <f t="shared" si="222"/>
        <v>0.57186701534925966</v>
      </c>
    </row>
    <row r="95" spans="4:19" x14ac:dyDescent="0.25">
      <c r="D95" s="83" t="s">
        <v>216</v>
      </c>
      <c r="E95" s="165">
        <f>AVERAGE(E90:E94)</f>
        <v>0.31955641777332289</v>
      </c>
      <c r="F95" s="165"/>
      <c r="G95" s="165">
        <f>AVERAGE(G90:G94)</f>
        <v>0.33306266464033418</v>
      </c>
    </row>
    <row r="96" spans="4:19" x14ac:dyDescent="0.25">
      <c r="D96" s="83" t="s">
        <v>219</v>
      </c>
      <c r="E96" s="165">
        <f>AVERAGE(E85:E94)</f>
        <v>0.27378244050318307</v>
      </c>
      <c r="F96" s="86"/>
      <c r="G96" s="165">
        <f>AVERAGE(G85:G94)</f>
        <v>0.27703254288782059</v>
      </c>
      <c r="H96" s="86"/>
      <c r="I96" s="86"/>
      <c r="J96" s="32"/>
      <c r="K96" s="32"/>
      <c r="L96" s="32"/>
      <c r="M96" s="32"/>
      <c r="N96" s="32"/>
      <c r="O96" s="32"/>
      <c r="P96" s="32"/>
      <c r="Q96" s="32"/>
      <c r="R96" s="32"/>
      <c r="S96" s="32"/>
    </row>
    <row r="97" spans="4:68" x14ac:dyDescent="0.25">
      <c r="D97" s="112"/>
      <c r="E97" s="112"/>
      <c r="F97" s="187" t="s">
        <v>193</v>
      </c>
      <c r="G97" s="187"/>
      <c r="H97" s="187"/>
      <c r="I97" s="187"/>
      <c r="J97" s="186" t="s">
        <v>194</v>
      </c>
      <c r="K97" s="186"/>
      <c r="L97" s="186"/>
      <c r="M97" s="186"/>
    </row>
    <row r="98" spans="4:68" x14ac:dyDescent="0.25">
      <c r="D98" s="120" t="s">
        <v>71</v>
      </c>
      <c r="E98" s="149" t="s">
        <v>173</v>
      </c>
      <c r="F98" s="149" t="s">
        <v>172</v>
      </c>
      <c r="G98" s="149" t="s">
        <v>174</v>
      </c>
      <c r="H98" s="120" t="s">
        <v>175</v>
      </c>
      <c r="I98" s="120" t="s">
        <v>176</v>
      </c>
      <c r="J98" s="149" t="s">
        <v>172</v>
      </c>
      <c r="K98" s="149" t="s">
        <v>174</v>
      </c>
      <c r="L98" s="120" t="s">
        <v>175</v>
      </c>
      <c r="M98" s="120" t="s">
        <v>176</v>
      </c>
      <c r="N98" s="79"/>
      <c r="O98" s="79"/>
    </row>
    <row r="99" spans="4:68" x14ac:dyDescent="0.25">
      <c r="D99" s="121">
        <v>2012</v>
      </c>
      <c r="E99" s="150">
        <v>21.277018000000002</v>
      </c>
      <c r="F99" s="90">
        <f t="shared" ref="F99:F108" si="223">F72</f>
        <v>20.228678627786405</v>
      </c>
      <c r="G99" s="123">
        <f>(F99-E99)/E99</f>
        <v>-4.9270972662315608E-2</v>
      </c>
      <c r="H99" s="90">
        <f>ABS(E99-F99)</f>
        <v>1.0483393722135972</v>
      </c>
      <c r="I99" s="123">
        <f>ABS(G99)</f>
        <v>4.9270972662315608E-2</v>
      </c>
      <c r="J99" s="90">
        <f t="shared" ref="J99:J108" si="224">H72</f>
        <v>20.249323566858969</v>
      </c>
      <c r="K99" s="123">
        <f t="shared" ref="K99:K108" si="225">(J99-E99)/E99</f>
        <v>-4.8300679782337576E-2</v>
      </c>
      <c r="L99" s="90">
        <f>ABS(E99-J99)</f>
        <v>1.0276944331410327</v>
      </c>
      <c r="M99" s="123">
        <f>ABS(K99)</f>
        <v>4.8300679782337576E-2</v>
      </c>
      <c r="N99" s="79"/>
      <c r="O99" s="79"/>
      <c r="P99" s="91"/>
      <c r="Q99" s="130"/>
      <c r="R99" s="129"/>
    </row>
    <row r="100" spans="4:68" x14ac:dyDescent="0.25">
      <c r="D100" s="132">
        <v>2013</v>
      </c>
      <c r="E100" s="151">
        <v>94.719412000000005</v>
      </c>
      <c r="F100" s="93">
        <f t="shared" si="223"/>
        <v>57.907012360497028</v>
      </c>
      <c r="G100" s="125">
        <f t="shared" ref="G100:G108" si="226">(F100-E100)/E100</f>
        <v>-0.38864683450001752</v>
      </c>
      <c r="H100" s="93">
        <f t="shared" ref="H100:H108" si="227">ABS(E100-F100)</f>
        <v>36.812399639502978</v>
      </c>
      <c r="I100" s="125">
        <f t="shared" ref="I100:I108" si="228">ABS(G100)</f>
        <v>0.38864683450001752</v>
      </c>
      <c r="J100" s="93">
        <f t="shared" si="224"/>
        <v>57.998465630825841</v>
      </c>
      <c r="K100" s="125">
        <f t="shared" si="225"/>
        <v>-0.38768131678408396</v>
      </c>
      <c r="L100" s="93">
        <f t="shared" ref="L100:L108" si="229">ABS(E100-J100)</f>
        <v>36.720946369174165</v>
      </c>
      <c r="M100" s="125">
        <f t="shared" ref="M100:M108" si="230">ABS(K100)</f>
        <v>0.38768131678408396</v>
      </c>
      <c r="N100" s="65"/>
      <c r="O100" s="65"/>
    </row>
    <row r="101" spans="4:68" x14ac:dyDescent="0.25">
      <c r="D101" s="132">
        <v>2014</v>
      </c>
      <c r="E101" s="151">
        <v>37.173864700000003</v>
      </c>
      <c r="F101" s="93">
        <f t="shared" si="223"/>
        <v>29.659590945462401</v>
      </c>
      <c r="G101" s="125">
        <f t="shared" si="226"/>
        <v>-0.20213862118397394</v>
      </c>
      <c r="H101" s="93">
        <f t="shared" si="227"/>
        <v>7.5142737545376015</v>
      </c>
      <c r="I101" s="125">
        <f t="shared" si="228"/>
        <v>0.20213862118397394</v>
      </c>
      <c r="J101" s="93">
        <f t="shared" si="224"/>
        <v>29.643294491728913</v>
      </c>
      <c r="K101" s="125">
        <f t="shared" si="225"/>
        <v>-0.2025770058895999</v>
      </c>
      <c r="L101" s="93">
        <f t="shared" si="229"/>
        <v>7.5305702082710901</v>
      </c>
      <c r="M101" s="125">
        <f t="shared" si="230"/>
        <v>0.2025770058895999</v>
      </c>
      <c r="N101" s="65"/>
      <c r="O101" s="65"/>
    </row>
    <row r="102" spans="4:68" x14ac:dyDescent="0.25">
      <c r="D102" s="132">
        <v>2015</v>
      </c>
      <c r="E102" s="151">
        <v>35.092568</v>
      </c>
      <c r="F102" s="93">
        <f t="shared" si="223"/>
        <v>50.72113567749993</v>
      </c>
      <c r="G102" s="125">
        <f t="shared" si="226"/>
        <v>0.4453526364186266</v>
      </c>
      <c r="H102" s="93">
        <f t="shared" si="227"/>
        <v>15.62856767749993</v>
      </c>
      <c r="I102" s="125">
        <f t="shared" si="228"/>
        <v>0.4453526364186266</v>
      </c>
      <c r="J102" s="93">
        <f t="shared" si="224"/>
        <v>51.136955960692745</v>
      </c>
      <c r="K102" s="125">
        <f t="shared" si="225"/>
        <v>0.45720187706675514</v>
      </c>
      <c r="L102" s="93">
        <f t="shared" si="229"/>
        <v>16.044387960692745</v>
      </c>
      <c r="M102" s="125">
        <f t="shared" si="230"/>
        <v>0.45720187706675514</v>
      </c>
      <c r="N102" s="65"/>
      <c r="O102" s="65"/>
    </row>
    <row r="103" spans="4:68" x14ac:dyDescent="0.25">
      <c r="D103" s="132">
        <v>2016</v>
      </c>
      <c r="E103" s="151">
        <v>18.374199999999998</v>
      </c>
      <c r="F103" s="93">
        <f t="shared" si="223"/>
        <v>17.370357712120931</v>
      </c>
      <c r="G103" s="125">
        <f t="shared" si="226"/>
        <v>-5.4633251400282301E-2</v>
      </c>
      <c r="H103" s="93">
        <f t="shared" si="227"/>
        <v>1.0038422878790669</v>
      </c>
      <c r="I103" s="125">
        <f t="shared" si="228"/>
        <v>5.4633251400282301E-2</v>
      </c>
      <c r="J103" s="93">
        <f t="shared" si="224"/>
        <v>18.204216120405619</v>
      </c>
      <c r="K103" s="125">
        <f t="shared" si="225"/>
        <v>-9.2512261537579746E-3</v>
      </c>
      <c r="L103" s="93">
        <f t="shared" si="229"/>
        <v>0.16998387959437977</v>
      </c>
      <c r="M103" s="125">
        <f t="shared" si="230"/>
        <v>9.2512261537579746E-3</v>
      </c>
      <c r="N103" s="65"/>
      <c r="O103" s="65"/>
    </row>
    <row r="104" spans="4:68" x14ac:dyDescent="0.25">
      <c r="D104" s="132">
        <v>2017</v>
      </c>
      <c r="E104" s="151">
        <v>34.734366000000001</v>
      </c>
      <c r="F104" s="93">
        <f t="shared" si="223"/>
        <v>36.796677504355216</v>
      </c>
      <c r="G104" s="125">
        <f t="shared" si="226"/>
        <v>5.9373805883061598E-2</v>
      </c>
      <c r="H104" s="93">
        <f t="shared" si="227"/>
        <v>2.0623115043552147</v>
      </c>
      <c r="I104" s="125">
        <f t="shared" si="228"/>
        <v>5.9373805883061598E-2</v>
      </c>
      <c r="J104" s="93">
        <f t="shared" si="224"/>
        <v>37.477384335706397</v>
      </c>
      <c r="K104" s="125">
        <f t="shared" si="225"/>
        <v>7.8971308579704469E-2</v>
      </c>
      <c r="L104" s="93">
        <f t="shared" si="229"/>
        <v>2.7430183357063953</v>
      </c>
      <c r="M104" s="125">
        <f t="shared" si="230"/>
        <v>7.8971308579704469E-2</v>
      </c>
      <c r="N104" s="65"/>
      <c r="O104" s="65"/>
    </row>
    <row r="105" spans="4:68" x14ac:dyDescent="0.25">
      <c r="D105" s="132">
        <v>2018</v>
      </c>
      <c r="E105" s="151">
        <v>8.0677000000000003</v>
      </c>
      <c r="F105" s="93">
        <f t="shared" si="223"/>
        <v>10.727781282211856</v>
      </c>
      <c r="G105" s="125">
        <f t="shared" si="226"/>
        <v>0.32971990557554887</v>
      </c>
      <c r="H105" s="93">
        <f t="shared" si="227"/>
        <v>2.6600812822118556</v>
      </c>
      <c r="I105" s="125">
        <f t="shared" si="228"/>
        <v>0.32971990557554887</v>
      </c>
      <c r="J105" s="93">
        <f t="shared" si="224"/>
        <v>10.973673774982229</v>
      </c>
      <c r="K105" s="125">
        <f t="shared" si="225"/>
        <v>0.36019854171352789</v>
      </c>
      <c r="L105" s="93">
        <f t="shared" si="229"/>
        <v>2.905973774982229</v>
      </c>
      <c r="M105" s="125">
        <f t="shared" si="230"/>
        <v>0.36019854171352789</v>
      </c>
      <c r="N105" s="65"/>
      <c r="O105" s="65"/>
    </row>
    <row r="106" spans="4:68" x14ac:dyDescent="0.25">
      <c r="D106" s="132">
        <v>2019</v>
      </c>
      <c r="E106" s="151">
        <v>21.141928</v>
      </c>
      <c r="F106" s="93">
        <f t="shared" si="223"/>
        <v>14.882452835473911</v>
      </c>
      <c r="G106" s="125">
        <f t="shared" si="226"/>
        <v>-0.29606926882572343</v>
      </c>
      <c r="H106" s="93">
        <f t="shared" si="227"/>
        <v>6.2594751645260889</v>
      </c>
      <c r="I106" s="125">
        <f t="shared" si="228"/>
        <v>0.29606926882572343</v>
      </c>
      <c r="J106" s="93">
        <f t="shared" si="224"/>
        <v>14.720646844202825</v>
      </c>
      <c r="K106" s="125">
        <f t="shared" si="225"/>
        <v>-0.30372259123184864</v>
      </c>
      <c r="L106" s="93">
        <f t="shared" si="229"/>
        <v>6.4212811557971747</v>
      </c>
      <c r="M106" s="125">
        <f t="shared" si="230"/>
        <v>0.30372259123184864</v>
      </c>
      <c r="N106" s="65"/>
      <c r="O106" s="65"/>
    </row>
    <row r="107" spans="4:68" x14ac:dyDescent="0.25">
      <c r="D107" s="132">
        <v>2020</v>
      </c>
      <c r="E107" s="151">
        <v>8.062989</v>
      </c>
      <c r="F107" s="93">
        <f t="shared" si="223"/>
        <v>10.734457166422905</v>
      </c>
      <c r="G107" s="125">
        <f t="shared" si="226"/>
        <v>0.33132479362466011</v>
      </c>
      <c r="H107" s="93">
        <f t="shared" si="227"/>
        <v>2.6714681664229047</v>
      </c>
      <c r="I107" s="125">
        <f t="shared" si="228"/>
        <v>0.33132479362466011</v>
      </c>
      <c r="J107" s="93">
        <f t="shared" si="224"/>
        <v>10.889500968104736</v>
      </c>
      <c r="K107" s="125">
        <f t="shared" si="225"/>
        <v>0.35055386632733049</v>
      </c>
      <c r="L107" s="93">
        <f t="shared" si="229"/>
        <v>2.8265119681047359</v>
      </c>
      <c r="M107" s="125">
        <f t="shared" si="230"/>
        <v>0.35055386632733049</v>
      </c>
      <c r="N107" s="65"/>
      <c r="O107" s="65"/>
    </row>
    <row r="108" spans="4:68" x14ac:dyDescent="0.25">
      <c r="D108" s="133">
        <v>2021</v>
      </c>
      <c r="E108" s="152">
        <v>48.503718999999997</v>
      </c>
      <c r="F108" s="96">
        <f t="shared" si="223"/>
        <v>20.308782890998078</v>
      </c>
      <c r="G108" s="134">
        <f t="shared" si="226"/>
        <v>-0.58129431495762052</v>
      </c>
      <c r="H108" s="96">
        <f t="shared" si="227"/>
        <v>28.194936109001919</v>
      </c>
      <c r="I108" s="134">
        <f t="shared" si="228"/>
        <v>0.58129431495762052</v>
      </c>
      <c r="J108" s="96">
        <f t="shared" si="224"/>
        <v>20.766041982130819</v>
      </c>
      <c r="K108" s="134">
        <f t="shared" si="225"/>
        <v>-0.57186701534925966</v>
      </c>
      <c r="L108" s="96">
        <f t="shared" si="229"/>
        <v>27.737677017869178</v>
      </c>
      <c r="M108" s="134">
        <f t="shared" si="230"/>
        <v>0.57186701534925966</v>
      </c>
      <c r="N108" s="65"/>
      <c r="O108" s="65"/>
    </row>
    <row r="109" spans="4:68" x14ac:dyDescent="0.25"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</row>
    <row r="110" spans="4:68" x14ac:dyDescent="0.25"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</row>
    <row r="111" spans="4:68" x14ac:dyDescent="0.25"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</row>
    <row r="112" spans="4:68" x14ac:dyDescent="0.25"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</row>
    <row r="114" spans="3:21" x14ac:dyDescent="0.25">
      <c r="L114" s="141" t="s">
        <v>71</v>
      </c>
      <c r="M114" t="s">
        <v>218</v>
      </c>
    </row>
    <row r="115" spans="3:21" x14ac:dyDescent="0.25">
      <c r="C115" s="110" t="s">
        <v>211</v>
      </c>
      <c r="D115" s="112"/>
    </row>
    <row r="116" spans="3:21" x14ac:dyDescent="0.25">
      <c r="C116" s="121" t="s">
        <v>71</v>
      </c>
      <c r="D116" s="121" t="s">
        <v>195</v>
      </c>
      <c r="E116" s="164" t="s">
        <v>173</v>
      </c>
      <c r="F116" s="164" t="s">
        <v>172</v>
      </c>
      <c r="G116" s="164" t="s">
        <v>174</v>
      </c>
      <c r="H116" s="121" t="s">
        <v>175</v>
      </c>
      <c r="I116" s="121" t="s">
        <v>162</v>
      </c>
      <c r="J116" s="121" t="s">
        <v>176</v>
      </c>
      <c r="L116" s="141" t="s">
        <v>209</v>
      </c>
      <c r="M116" t="s">
        <v>217</v>
      </c>
      <c r="O116" s="170" t="s">
        <v>195</v>
      </c>
      <c r="P116" s="170" t="s">
        <v>216</v>
      </c>
      <c r="Q116" s="170" t="s">
        <v>219</v>
      </c>
    </row>
    <row r="117" spans="3:21" x14ac:dyDescent="0.25">
      <c r="C117" s="89">
        <v>2012</v>
      </c>
      <c r="D117" s="89" t="s">
        <v>11</v>
      </c>
      <c r="E117" s="162">
        <v>21.277018000000002</v>
      </c>
      <c r="F117" s="163">
        <f t="shared" ref="F117:F126" si="231">EXP(G18)</f>
        <v>22.868189014867525</v>
      </c>
      <c r="G117" s="123">
        <f>(F117-E117)/E117</f>
        <v>7.4783553544369955E-2</v>
      </c>
      <c r="H117" s="122">
        <f>ABS(E117-F117)</f>
        <v>1.5911710148675233</v>
      </c>
      <c r="I117" s="91">
        <f t="shared" ref="I117:I148" si="232">ABS((E117-F117)/E117)</f>
        <v>7.4783553544369955E-2</v>
      </c>
      <c r="J117" s="91">
        <f t="shared" ref="J117:J148" si="233">ABS(G117)</f>
        <v>7.4783553544369955E-2</v>
      </c>
      <c r="L117" s="142" t="s">
        <v>11</v>
      </c>
      <c r="M117" s="143">
        <v>0.63300199701118731</v>
      </c>
      <c r="O117" s="188" t="s">
        <v>11</v>
      </c>
      <c r="P117" s="173">
        <v>0.78908617660096492</v>
      </c>
      <c r="Q117" s="191">
        <v>0.63300199701118731</v>
      </c>
      <c r="R117" s="193"/>
      <c r="S117" s="193"/>
      <c r="T117" s="193"/>
      <c r="U117" s="193"/>
    </row>
    <row r="118" spans="3:21" x14ac:dyDescent="0.25">
      <c r="C118" s="92">
        <v>2013</v>
      </c>
      <c r="D118" s="92" t="s">
        <v>11</v>
      </c>
      <c r="E118" s="135">
        <v>94.719412000000005</v>
      </c>
      <c r="F118" s="128">
        <f t="shared" si="231"/>
        <v>51.459077628247272</v>
      </c>
      <c r="G118" s="125">
        <f t="shared" ref="G118:G181" si="234">(F118-E118)/E118</f>
        <v>-0.45672089235259117</v>
      </c>
      <c r="H118" s="124">
        <f t="shared" ref="H118:H126" si="235">ABS(E118-F118)</f>
        <v>43.260334371752734</v>
      </c>
      <c r="I118" s="94">
        <f t="shared" si="232"/>
        <v>0.45672089235259117</v>
      </c>
      <c r="J118" s="94">
        <f t="shared" si="233"/>
        <v>0.45672089235259117</v>
      </c>
      <c r="L118" s="142" t="s">
        <v>21</v>
      </c>
      <c r="M118" s="143">
        <v>0.31703867183398798</v>
      </c>
      <c r="O118" s="189" t="s">
        <v>12</v>
      </c>
      <c r="P118" s="175">
        <v>0.40220996508262197</v>
      </c>
      <c r="Q118" s="192">
        <v>0.36559699568655579</v>
      </c>
      <c r="R118" s="193"/>
      <c r="S118" s="193"/>
      <c r="T118" s="193"/>
      <c r="U118" s="193"/>
    </row>
    <row r="119" spans="3:21" x14ac:dyDescent="0.25">
      <c r="C119" s="92">
        <v>2014</v>
      </c>
      <c r="D119" s="92" t="s">
        <v>11</v>
      </c>
      <c r="E119" s="135">
        <v>37.173864700000003</v>
      </c>
      <c r="F119" s="128">
        <f t="shared" si="231"/>
        <v>30.418099934180848</v>
      </c>
      <c r="G119" s="125">
        <f t="shared" si="234"/>
        <v>-0.18173425927972334</v>
      </c>
      <c r="H119" s="124">
        <f t="shared" si="235"/>
        <v>6.7557647658191549</v>
      </c>
      <c r="I119" s="94">
        <f t="shared" si="232"/>
        <v>0.18173425927972334</v>
      </c>
      <c r="J119" s="94">
        <f t="shared" si="233"/>
        <v>0.18173425927972334</v>
      </c>
      <c r="L119" s="142" t="s">
        <v>22</v>
      </c>
      <c r="M119" s="143">
        <v>0.24208032753416703</v>
      </c>
      <c r="O119" s="189" t="s">
        <v>13</v>
      </c>
      <c r="P119" s="175">
        <v>0.32886924769865949</v>
      </c>
      <c r="Q119" s="192">
        <v>0.2498921209699593</v>
      </c>
      <c r="R119" s="193"/>
      <c r="S119" s="193"/>
      <c r="T119" s="193"/>
      <c r="U119" s="193"/>
    </row>
    <row r="120" spans="3:21" x14ac:dyDescent="0.25">
      <c r="C120" s="92">
        <v>2015</v>
      </c>
      <c r="D120" s="92" t="s">
        <v>11</v>
      </c>
      <c r="E120" s="135">
        <v>35.092568</v>
      </c>
      <c r="F120" s="128">
        <f t="shared" si="231"/>
        <v>62.370619493255525</v>
      </c>
      <c r="G120" s="125">
        <f t="shared" si="234"/>
        <v>0.77731705166904641</v>
      </c>
      <c r="H120" s="124">
        <f t="shared" si="235"/>
        <v>27.278051493255525</v>
      </c>
      <c r="I120" s="94">
        <f t="shared" si="232"/>
        <v>0.77731705166904641</v>
      </c>
      <c r="J120" s="94">
        <f t="shared" si="233"/>
        <v>0.77731705166904641</v>
      </c>
      <c r="L120" s="142" t="s">
        <v>23</v>
      </c>
      <c r="M120" s="143">
        <v>0.31327973167533046</v>
      </c>
      <c r="O120" s="189" t="s">
        <v>14</v>
      </c>
      <c r="P120" s="175">
        <v>0.43866130747412857</v>
      </c>
      <c r="Q120" s="192">
        <v>0.36662372890137901</v>
      </c>
      <c r="R120" s="193"/>
      <c r="S120" s="193"/>
      <c r="T120" s="193"/>
      <c r="U120" s="193"/>
    </row>
    <row r="121" spans="3:21" x14ac:dyDescent="0.25">
      <c r="C121" s="92">
        <v>2016</v>
      </c>
      <c r="D121" s="92" t="s">
        <v>11</v>
      </c>
      <c r="E121" s="135">
        <v>18.374199999999998</v>
      </c>
      <c r="F121" s="128">
        <f t="shared" si="231"/>
        <v>34.801347216887471</v>
      </c>
      <c r="G121" s="125">
        <f t="shared" si="234"/>
        <v>0.89403333026131615</v>
      </c>
      <c r="H121" s="124">
        <f t="shared" si="235"/>
        <v>16.427147216887473</v>
      </c>
      <c r="I121" s="94">
        <f t="shared" si="232"/>
        <v>0.89403333026131615</v>
      </c>
      <c r="J121" s="94">
        <f t="shared" si="233"/>
        <v>0.89403333026131615</v>
      </c>
      <c r="L121" s="142" t="s">
        <v>24</v>
      </c>
      <c r="M121" s="143">
        <v>0.27371865850823346</v>
      </c>
      <c r="O121" s="189" t="s">
        <v>15</v>
      </c>
      <c r="P121" s="175">
        <v>0.30039015210466607</v>
      </c>
      <c r="Q121" s="192">
        <v>0.27523026249816962</v>
      </c>
      <c r="R121" s="193"/>
      <c r="S121" s="193"/>
      <c r="T121" s="193"/>
      <c r="U121" s="193"/>
    </row>
    <row r="122" spans="3:21" x14ac:dyDescent="0.25">
      <c r="C122" s="92">
        <v>2017</v>
      </c>
      <c r="D122" s="92" t="s">
        <v>11</v>
      </c>
      <c r="E122" s="135">
        <v>34.734366000000001</v>
      </c>
      <c r="F122" s="128">
        <f t="shared" si="231"/>
        <v>73.442242595124824</v>
      </c>
      <c r="G122" s="125">
        <f t="shared" si="234"/>
        <v>1.1143970958077893</v>
      </c>
      <c r="H122" s="124">
        <f t="shared" si="235"/>
        <v>38.707876595124823</v>
      </c>
      <c r="I122" s="94">
        <f t="shared" si="232"/>
        <v>1.1143970958077893</v>
      </c>
      <c r="J122" s="94">
        <f t="shared" si="233"/>
        <v>1.1143970958077893</v>
      </c>
      <c r="L122" s="142" t="s">
        <v>25</v>
      </c>
      <c r="M122" s="143">
        <v>0.26566404596674387</v>
      </c>
      <c r="O122" s="189" t="s">
        <v>16</v>
      </c>
      <c r="P122" s="175">
        <v>0.34042677622205719</v>
      </c>
      <c r="Q122" s="192">
        <v>0.30394188340006612</v>
      </c>
      <c r="R122" s="193"/>
      <c r="S122" s="193"/>
      <c r="T122" s="193"/>
      <c r="U122" s="193"/>
    </row>
    <row r="123" spans="3:21" x14ac:dyDescent="0.25">
      <c r="C123" s="92">
        <v>2018</v>
      </c>
      <c r="D123" s="92" t="s">
        <v>11</v>
      </c>
      <c r="E123" s="135">
        <v>8.0677000000000003</v>
      </c>
      <c r="F123" s="128">
        <f t="shared" si="231"/>
        <v>15.554287161341461</v>
      </c>
      <c r="G123" s="125">
        <f t="shared" si="234"/>
        <v>0.92797044527454675</v>
      </c>
      <c r="H123" s="124">
        <f t="shared" si="235"/>
        <v>7.4865871613414612</v>
      </c>
      <c r="I123" s="94">
        <f t="shared" si="232"/>
        <v>0.92797044527454675</v>
      </c>
      <c r="J123" s="94">
        <f t="shared" si="233"/>
        <v>0.92797044527454675</v>
      </c>
      <c r="L123" s="142" t="s">
        <v>27</v>
      </c>
      <c r="M123" s="143">
        <v>0.27971424113787535</v>
      </c>
      <c r="O123" s="189" t="s">
        <v>17</v>
      </c>
      <c r="P123" s="175">
        <v>0.32573787265711596</v>
      </c>
      <c r="Q123" s="192">
        <v>0.2386648431110942</v>
      </c>
      <c r="R123" s="193"/>
      <c r="S123" s="193"/>
      <c r="T123" s="193"/>
      <c r="U123" s="193"/>
    </row>
    <row r="124" spans="3:21" x14ac:dyDescent="0.25">
      <c r="C124" s="92">
        <v>2019</v>
      </c>
      <c r="D124" s="92" t="s">
        <v>11</v>
      </c>
      <c r="E124" s="135">
        <v>21.141928</v>
      </c>
      <c r="F124" s="128">
        <f t="shared" si="231"/>
        <v>18.932193844509868</v>
      </c>
      <c r="G124" s="125">
        <f t="shared" si="234"/>
        <v>-0.10451904648857625</v>
      </c>
      <c r="H124" s="124">
        <f t="shared" si="235"/>
        <v>2.209734155490132</v>
      </c>
      <c r="I124" s="94">
        <f t="shared" si="232"/>
        <v>0.10451904648857625</v>
      </c>
      <c r="J124" s="94">
        <f t="shared" si="233"/>
        <v>0.10451904648857625</v>
      </c>
      <c r="L124" s="142" t="s">
        <v>29</v>
      </c>
      <c r="M124" s="143">
        <v>0.34072996740367478</v>
      </c>
      <c r="O124" s="189" t="s">
        <v>18</v>
      </c>
      <c r="P124" s="175">
        <v>0.42366927515624131</v>
      </c>
      <c r="Q124" s="192">
        <v>0.36824504608517022</v>
      </c>
      <c r="R124" s="193"/>
      <c r="S124" s="193"/>
      <c r="T124" s="193"/>
      <c r="U124" s="193"/>
    </row>
    <row r="125" spans="3:21" x14ac:dyDescent="0.25">
      <c r="C125" s="92">
        <v>2020</v>
      </c>
      <c r="D125" s="92" t="s">
        <v>11</v>
      </c>
      <c r="E125" s="135">
        <v>8.062989</v>
      </c>
      <c r="F125" s="128">
        <f t="shared" si="231"/>
        <v>19.080080787331447</v>
      </c>
      <c r="G125" s="125">
        <f t="shared" si="234"/>
        <v>1.3663781244562589</v>
      </c>
      <c r="H125" s="124">
        <f t="shared" si="235"/>
        <v>11.017091787331447</v>
      </c>
      <c r="I125" s="94">
        <f t="shared" si="232"/>
        <v>1.3663781244562589</v>
      </c>
      <c r="J125" s="94">
        <f t="shared" si="233"/>
        <v>1.3663781244562589</v>
      </c>
      <c r="L125" s="142" t="s">
        <v>45</v>
      </c>
      <c r="M125" s="143">
        <v>0.29574009985736349</v>
      </c>
      <c r="O125" s="189" t="s">
        <v>20</v>
      </c>
      <c r="P125" s="175">
        <v>0.34059729435692054</v>
      </c>
      <c r="Q125" s="192">
        <v>0.27428445085429887</v>
      </c>
      <c r="R125" s="193"/>
      <c r="S125" s="193"/>
      <c r="T125" s="193"/>
      <c r="U125" s="193"/>
    </row>
    <row r="126" spans="3:21" x14ac:dyDescent="0.25">
      <c r="C126" s="92">
        <v>2021</v>
      </c>
      <c r="D126" s="92" t="s">
        <v>11</v>
      </c>
      <c r="E126" s="135">
        <v>48.503718999999997</v>
      </c>
      <c r="F126" s="128">
        <f t="shared" si="231"/>
        <v>27.542052481593913</v>
      </c>
      <c r="G126" s="125">
        <f t="shared" si="234"/>
        <v>-0.43216617097765397</v>
      </c>
      <c r="H126" s="124">
        <f t="shared" si="235"/>
        <v>20.961666518406084</v>
      </c>
      <c r="I126" s="94">
        <f t="shared" si="232"/>
        <v>0.43216617097765397</v>
      </c>
      <c r="J126" s="94">
        <f t="shared" si="233"/>
        <v>0.43216617097765397</v>
      </c>
      <c r="L126" s="142" t="s">
        <v>32</v>
      </c>
      <c r="M126" s="143">
        <v>0.29495473670150146</v>
      </c>
      <c r="O126" s="189" t="s">
        <v>21</v>
      </c>
      <c r="P126" s="175">
        <v>0.34067539107083167</v>
      </c>
      <c r="Q126" s="192">
        <v>0.31703867183398798</v>
      </c>
      <c r="R126" s="193"/>
      <c r="S126" s="193"/>
      <c r="T126" s="193"/>
      <c r="U126" s="193"/>
    </row>
    <row r="127" spans="3:21" x14ac:dyDescent="0.25">
      <c r="C127" s="92">
        <v>2012</v>
      </c>
      <c r="D127" s="92" t="s">
        <v>12</v>
      </c>
      <c r="E127" s="135">
        <v>21.277018000000002</v>
      </c>
      <c r="F127" s="124">
        <f t="shared" ref="F127:F136" si="236">EXP(K18)</f>
        <v>24.51093291449564</v>
      </c>
      <c r="G127" s="125">
        <f t="shared" si="234"/>
        <v>0.15199098456821528</v>
      </c>
      <c r="H127" s="124">
        <f>ABS(E127-F127)</f>
        <v>3.2339149144956387</v>
      </c>
      <c r="I127" s="94">
        <f t="shared" si="232"/>
        <v>0.15199098456821528</v>
      </c>
      <c r="J127" s="94">
        <f t="shared" si="233"/>
        <v>0.15199098456821528</v>
      </c>
      <c r="L127" s="142" t="s">
        <v>12</v>
      </c>
      <c r="M127" s="143">
        <v>0.36559699568655579</v>
      </c>
      <c r="O127" s="189" t="s">
        <v>22</v>
      </c>
      <c r="P127" s="175">
        <v>0.30695985855738689</v>
      </c>
      <c r="Q127" s="192">
        <v>0.24208032753416703</v>
      </c>
      <c r="R127" s="193"/>
      <c r="S127" s="193"/>
      <c r="T127" s="193"/>
      <c r="U127" s="193"/>
    </row>
    <row r="128" spans="3:21" x14ac:dyDescent="0.25">
      <c r="C128" s="92">
        <v>2013</v>
      </c>
      <c r="D128" s="92" t="s">
        <v>12</v>
      </c>
      <c r="E128" s="135">
        <v>94.719412000000005</v>
      </c>
      <c r="F128" s="124">
        <f t="shared" si="236"/>
        <v>64.985448868838859</v>
      </c>
      <c r="G128" s="125">
        <f t="shared" si="234"/>
        <v>-0.31391625542566864</v>
      </c>
      <c r="H128" s="124">
        <f t="shared" ref="H128:H137" si="237">ABS(E128-F128)</f>
        <v>29.733963131161147</v>
      </c>
      <c r="I128" s="94">
        <f t="shared" si="232"/>
        <v>0.31391625542566864</v>
      </c>
      <c r="J128" s="94">
        <f t="shared" si="233"/>
        <v>0.31391625542566864</v>
      </c>
      <c r="L128" s="142" t="s">
        <v>13</v>
      </c>
      <c r="M128" s="143">
        <v>0.2498921209699593</v>
      </c>
      <c r="O128" s="189" t="s">
        <v>23</v>
      </c>
      <c r="P128" s="175">
        <v>0.37330860401017263</v>
      </c>
      <c r="Q128" s="192">
        <v>0.31327973167533046</v>
      </c>
      <c r="R128" s="193"/>
      <c r="S128" s="193"/>
      <c r="T128" s="193"/>
      <c r="U128" s="193"/>
    </row>
    <row r="129" spans="3:21" x14ac:dyDescent="0.25">
      <c r="C129" s="92">
        <v>2014</v>
      </c>
      <c r="D129" s="92" t="s">
        <v>12</v>
      </c>
      <c r="E129" s="135">
        <v>37.173864700000003</v>
      </c>
      <c r="F129" s="124">
        <f t="shared" si="236"/>
        <v>30.362922731209636</v>
      </c>
      <c r="G129" s="125">
        <f t="shared" si="234"/>
        <v>-0.18321856023730473</v>
      </c>
      <c r="H129" s="124">
        <f t="shared" si="237"/>
        <v>6.8109419687903667</v>
      </c>
      <c r="I129" s="94">
        <f t="shared" si="232"/>
        <v>0.18321856023730473</v>
      </c>
      <c r="J129" s="94">
        <f t="shared" si="233"/>
        <v>0.18321856023730473</v>
      </c>
      <c r="L129" s="142" t="s">
        <v>14</v>
      </c>
      <c r="M129" s="143">
        <v>0.36662372890137901</v>
      </c>
      <c r="O129" s="189" t="s">
        <v>24</v>
      </c>
      <c r="P129" s="175">
        <v>0.27749929544260293</v>
      </c>
      <c r="Q129" s="192">
        <v>0.27371865850823346</v>
      </c>
      <c r="R129" s="193"/>
      <c r="S129" s="193"/>
      <c r="T129" s="193"/>
      <c r="U129" s="193"/>
    </row>
    <row r="130" spans="3:21" x14ac:dyDescent="0.25">
      <c r="C130" s="92">
        <v>2015</v>
      </c>
      <c r="D130" s="92" t="s">
        <v>12</v>
      </c>
      <c r="E130" s="135">
        <v>35.092568</v>
      </c>
      <c r="F130" s="124">
        <f t="shared" si="236"/>
        <v>58.840021322977528</v>
      </c>
      <c r="G130" s="125">
        <f t="shared" si="234"/>
        <v>0.67670890665446681</v>
      </c>
      <c r="H130" s="124">
        <f t="shared" si="237"/>
        <v>23.747453322977528</v>
      </c>
      <c r="I130" s="94">
        <f t="shared" si="232"/>
        <v>0.67670890665446681</v>
      </c>
      <c r="J130" s="94">
        <f t="shared" si="233"/>
        <v>0.67670890665446681</v>
      </c>
      <c r="L130" s="142" t="s">
        <v>15</v>
      </c>
      <c r="M130" s="143">
        <v>0.27523026249816962</v>
      </c>
      <c r="O130" s="189" t="s">
        <v>25</v>
      </c>
      <c r="P130" s="175">
        <v>0.29103658188834042</v>
      </c>
      <c r="Q130" s="192">
        <v>0.26566404596674387</v>
      </c>
      <c r="R130" s="193"/>
      <c r="S130" s="193"/>
      <c r="T130" s="193"/>
      <c r="U130" s="193"/>
    </row>
    <row r="131" spans="3:21" x14ac:dyDescent="0.25">
      <c r="C131" s="92">
        <v>2016</v>
      </c>
      <c r="D131" s="92" t="s">
        <v>12</v>
      </c>
      <c r="E131" s="135">
        <v>18.374199999999998</v>
      </c>
      <c r="F131" s="124">
        <f t="shared" si="236"/>
        <v>24.237139408075151</v>
      </c>
      <c r="G131" s="125">
        <f t="shared" si="234"/>
        <v>0.31908542456679223</v>
      </c>
      <c r="H131" s="124">
        <f t="shared" si="237"/>
        <v>5.8629394080751531</v>
      </c>
      <c r="I131" s="94">
        <f t="shared" si="232"/>
        <v>0.31908542456679223</v>
      </c>
      <c r="J131" s="94">
        <f t="shared" si="233"/>
        <v>0.31908542456679223</v>
      </c>
      <c r="L131" s="142" t="s">
        <v>16</v>
      </c>
      <c r="M131" s="143">
        <v>0.30394188340006612</v>
      </c>
      <c r="O131" s="189" t="s">
        <v>27</v>
      </c>
      <c r="P131" s="175">
        <v>0.33892078051097307</v>
      </c>
      <c r="Q131" s="192">
        <v>0.27971424113787535</v>
      </c>
      <c r="R131" s="193"/>
      <c r="S131" s="193"/>
      <c r="T131" s="193"/>
      <c r="U131" s="193"/>
    </row>
    <row r="132" spans="3:21" x14ac:dyDescent="0.25">
      <c r="C132" s="92">
        <v>2017</v>
      </c>
      <c r="D132" s="92" t="s">
        <v>12</v>
      </c>
      <c r="E132" s="135">
        <v>34.734366000000001</v>
      </c>
      <c r="F132" s="124">
        <f t="shared" si="236"/>
        <v>41.11377020867932</v>
      </c>
      <c r="G132" s="125">
        <f t="shared" si="234"/>
        <v>0.18366260690289607</v>
      </c>
      <c r="H132" s="124">
        <f t="shared" si="237"/>
        <v>6.3794042086793183</v>
      </c>
      <c r="I132" s="94">
        <f t="shared" si="232"/>
        <v>0.18366260690289607</v>
      </c>
      <c r="J132" s="94">
        <f t="shared" si="233"/>
        <v>0.18366260690289607</v>
      </c>
      <c r="L132" s="142" t="s">
        <v>17</v>
      </c>
      <c r="M132" s="143">
        <v>0.2386648431110942</v>
      </c>
      <c r="O132" s="189" t="s">
        <v>29</v>
      </c>
      <c r="P132" s="175">
        <v>0.40887052221283071</v>
      </c>
      <c r="Q132" s="192">
        <v>0.34072996740367478</v>
      </c>
      <c r="R132" s="193"/>
      <c r="S132" s="193"/>
      <c r="T132" s="193"/>
      <c r="U132" s="193"/>
    </row>
    <row r="133" spans="3:21" x14ac:dyDescent="0.25">
      <c r="C133" s="92">
        <v>2018</v>
      </c>
      <c r="D133" s="92" t="s">
        <v>12</v>
      </c>
      <c r="E133" s="135">
        <v>8.0677000000000003</v>
      </c>
      <c r="F133" s="124">
        <f t="shared" si="236"/>
        <v>15.636674821562034</v>
      </c>
      <c r="G133" s="125">
        <f t="shared" si="234"/>
        <v>0.93818248342923427</v>
      </c>
      <c r="H133" s="124">
        <f t="shared" si="237"/>
        <v>7.5689748215620334</v>
      </c>
      <c r="I133" s="94">
        <f t="shared" si="232"/>
        <v>0.93818248342923427</v>
      </c>
      <c r="J133" s="94">
        <f t="shared" si="233"/>
        <v>0.93818248342923427</v>
      </c>
      <c r="L133" s="142" t="s">
        <v>18</v>
      </c>
      <c r="M133" s="143">
        <v>0.36824504608517022</v>
      </c>
      <c r="O133" s="189" t="s">
        <v>45</v>
      </c>
      <c r="P133" s="175">
        <v>0.29676445276320107</v>
      </c>
      <c r="Q133" s="192">
        <v>0.29574009985736349</v>
      </c>
      <c r="R133" s="193"/>
      <c r="S133" s="193"/>
      <c r="T133" s="193"/>
      <c r="U133" s="193"/>
    </row>
    <row r="134" spans="3:21" x14ac:dyDescent="0.25">
      <c r="C134" s="92">
        <v>2019</v>
      </c>
      <c r="D134" s="92" t="s">
        <v>12</v>
      </c>
      <c r="E134" s="135">
        <v>21.141928</v>
      </c>
      <c r="F134" s="124">
        <f t="shared" si="236"/>
        <v>16.760346855095314</v>
      </c>
      <c r="G134" s="125">
        <f t="shared" si="234"/>
        <v>-0.20724605366666116</v>
      </c>
      <c r="H134" s="124">
        <f t="shared" si="237"/>
        <v>4.3815811449046862</v>
      </c>
      <c r="I134" s="94">
        <f t="shared" si="232"/>
        <v>0.20724605366666116</v>
      </c>
      <c r="J134" s="94">
        <f t="shared" si="233"/>
        <v>0.20724605366666116</v>
      </c>
      <c r="L134" s="142" t="s">
        <v>20</v>
      </c>
      <c r="M134" s="143">
        <v>0.27428445085429887</v>
      </c>
      <c r="O134" s="189" t="s">
        <v>32</v>
      </c>
      <c r="P134" s="175">
        <v>0.33268669168290443</v>
      </c>
      <c r="Q134" s="192">
        <v>0.29495473670150146</v>
      </c>
      <c r="R134" s="193"/>
      <c r="S134" s="193"/>
      <c r="T134" s="193"/>
      <c r="U134" s="193"/>
    </row>
    <row r="135" spans="3:21" x14ac:dyDescent="0.25">
      <c r="C135" s="92">
        <v>2020</v>
      </c>
      <c r="D135" s="92" t="s">
        <v>12</v>
      </c>
      <c r="E135" s="135">
        <v>8.062989</v>
      </c>
      <c r="F135" s="124">
        <f t="shared" si="236"/>
        <v>10.175091587579882</v>
      </c>
      <c r="G135" s="125">
        <f t="shared" si="234"/>
        <v>0.26195032482121478</v>
      </c>
      <c r="H135" s="124">
        <f t="shared" si="237"/>
        <v>2.1121025875798818</v>
      </c>
      <c r="I135" s="94">
        <f t="shared" si="232"/>
        <v>0.26195032482121478</v>
      </c>
      <c r="J135" s="94">
        <f t="shared" si="233"/>
        <v>0.26195032482121478</v>
      </c>
      <c r="L135" s="142" t="s">
        <v>210</v>
      </c>
      <c r="M135" s="143">
        <v>0.31657787828537542</v>
      </c>
      <c r="O135" s="189" t="s">
        <v>197</v>
      </c>
      <c r="P135" s="175">
        <v>0.31955641777332289</v>
      </c>
      <c r="Q135" s="94">
        <v>0.27378244050318307</v>
      </c>
      <c r="R135" s="193"/>
      <c r="S135" s="193"/>
      <c r="T135" s="193"/>
      <c r="U135" s="193"/>
    </row>
    <row r="136" spans="3:21" x14ac:dyDescent="0.25">
      <c r="C136" s="92">
        <v>2021</v>
      </c>
      <c r="D136" s="92" t="s">
        <v>12</v>
      </c>
      <c r="E136" s="135">
        <v>48.503718999999997</v>
      </c>
      <c r="F136" s="124">
        <f t="shared" si="236"/>
        <v>28.131751694156318</v>
      </c>
      <c r="G136" s="125">
        <f t="shared" si="234"/>
        <v>-0.42000835659310332</v>
      </c>
      <c r="H136" s="124">
        <f t="shared" si="237"/>
        <v>20.371967305843679</v>
      </c>
      <c r="I136" s="94">
        <f t="shared" si="232"/>
        <v>0.42000835659310332</v>
      </c>
      <c r="J136" s="94">
        <f t="shared" si="233"/>
        <v>0.42000835659310332</v>
      </c>
      <c r="O136" s="190" t="s">
        <v>198</v>
      </c>
      <c r="P136" s="179">
        <v>0.33306266464033418</v>
      </c>
      <c r="Q136" s="97">
        <v>0.27703254288782059</v>
      </c>
      <c r="R136" s="193"/>
      <c r="S136" s="193"/>
      <c r="T136" s="193"/>
      <c r="U136" s="193"/>
    </row>
    <row r="137" spans="3:21" x14ac:dyDescent="0.25">
      <c r="C137" s="92">
        <v>2012</v>
      </c>
      <c r="D137" s="92" t="s">
        <v>13</v>
      </c>
      <c r="E137" s="135">
        <v>21.277018000000002</v>
      </c>
      <c r="F137" s="124">
        <f t="shared" ref="F137:F146" si="238">EXP(O18)</f>
        <v>20.135083675376237</v>
      </c>
      <c r="G137" s="125">
        <f t="shared" si="234"/>
        <v>-5.3669848125511059E-2</v>
      </c>
      <c r="H137" s="124">
        <f t="shared" si="237"/>
        <v>1.1419343246237652</v>
      </c>
      <c r="I137" s="94">
        <f t="shared" si="232"/>
        <v>5.3669848125511059E-2</v>
      </c>
      <c r="J137" s="94">
        <f t="shared" si="233"/>
        <v>5.3669848125511059E-2</v>
      </c>
    </row>
    <row r="138" spans="3:21" x14ac:dyDescent="0.25">
      <c r="C138" s="92">
        <v>2013</v>
      </c>
      <c r="D138" s="92" t="s">
        <v>13</v>
      </c>
      <c r="E138" s="135">
        <v>94.719412000000005</v>
      </c>
      <c r="F138" s="124">
        <f t="shared" si="238"/>
        <v>60.030217583173417</v>
      </c>
      <c r="G138" s="125">
        <f t="shared" si="234"/>
        <v>-0.36623109966969164</v>
      </c>
      <c r="H138" s="124">
        <f t="shared" ref="H138:H146" si="239">ABS(E138-F138)</f>
        <v>34.689194416826588</v>
      </c>
      <c r="I138" s="94">
        <f t="shared" si="232"/>
        <v>0.36623109966969164</v>
      </c>
      <c r="J138" s="94">
        <f t="shared" si="233"/>
        <v>0.36623109966969164</v>
      </c>
    </row>
    <row r="139" spans="3:21" x14ac:dyDescent="0.25">
      <c r="C139" s="92">
        <v>2014</v>
      </c>
      <c r="D139" s="92" t="s">
        <v>13</v>
      </c>
      <c r="E139" s="135">
        <v>37.173864700000003</v>
      </c>
      <c r="F139" s="124">
        <f t="shared" si="238"/>
        <v>37.025320406947273</v>
      </c>
      <c r="G139" s="125">
        <f t="shared" si="234"/>
        <v>-3.9959335477091212E-3</v>
      </c>
      <c r="H139" s="124">
        <f t="shared" si="239"/>
        <v>0.14854429305272987</v>
      </c>
      <c r="I139" s="94">
        <f t="shared" si="232"/>
        <v>3.9959335477091212E-3</v>
      </c>
      <c r="J139" s="94">
        <f t="shared" si="233"/>
        <v>3.9959335477091212E-3</v>
      </c>
    </row>
    <row r="140" spans="3:21" x14ac:dyDescent="0.25">
      <c r="C140" s="92">
        <v>2015</v>
      </c>
      <c r="D140" s="92" t="s">
        <v>13</v>
      </c>
      <c r="E140" s="135">
        <v>35.092568</v>
      </c>
      <c r="F140" s="124">
        <f t="shared" si="238"/>
        <v>43.617108046486187</v>
      </c>
      <c r="G140" s="125">
        <f t="shared" si="234"/>
        <v>0.24291582327306988</v>
      </c>
      <c r="H140" s="124">
        <f t="shared" si="239"/>
        <v>8.5245400464861874</v>
      </c>
      <c r="I140" s="94">
        <f t="shared" si="232"/>
        <v>0.24291582327306988</v>
      </c>
      <c r="J140" s="94">
        <f t="shared" si="233"/>
        <v>0.24291582327306988</v>
      </c>
    </row>
    <row r="141" spans="3:21" x14ac:dyDescent="0.25">
      <c r="C141" s="92">
        <v>2016</v>
      </c>
      <c r="D141" s="92" t="s">
        <v>13</v>
      </c>
      <c r="E141" s="135">
        <v>18.374199999999998</v>
      </c>
      <c r="F141" s="124">
        <f t="shared" si="238"/>
        <v>14.924218561216261</v>
      </c>
      <c r="G141" s="125">
        <f t="shared" si="234"/>
        <v>-0.18776226659031348</v>
      </c>
      <c r="H141" s="124">
        <f t="shared" si="239"/>
        <v>3.4499814387837375</v>
      </c>
      <c r="I141" s="94">
        <f t="shared" si="232"/>
        <v>0.18776226659031348</v>
      </c>
      <c r="J141" s="94">
        <f t="shared" si="233"/>
        <v>0.18776226659031348</v>
      </c>
      <c r="R141" s="165"/>
    </row>
    <row r="142" spans="3:21" x14ac:dyDescent="0.25">
      <c r="C142" s="92">
        <v>2017</v>
      </c>
      <c r="D142" s="92" t="s">
        <v>13</v>
      </c>
      <c r="E142" s="135">
        <v>34.734366000000001</v>
      </c>
      <c r="F142" s="124">
        <f t="shared" si="238"/>
        <v>40.79225359780434</v>
      </c>
      <c r="G142" s="125">
        <f t="shared" si="234"/>
        <v>0.17440616586479046</v>
      </c>
      <c r="H142" s="124">
        <f t="shared" si="239"/>
        <v>6.0578875978043385</v>
      </c>
      <c r="I142" s="94">
        <f t="shared" si="232"/>
        <v>0.17440616586479046</v>
      </c>
      <c r="J142" s="94">
        <f t="shared" si="233"/>
        <v>0.17440616586479046</v>
      </c>
    </row>
    <row r="143" spans="3:21" x14ac:dyDescent="0.25">
      <c r="C143" s="92">
        <v>2018</v>
      </c>
      <c r="D143" s="92" t="s">
        <v>13</v>
      </c>
      <c r="E143" s="135">
        <v>8.0677000000000003</v>
      </c>
      <c r="F143" s="124">
        <f t="shared" si="238"/>
        <v>10.079577910901664</v>
      </c>
      <c r="G143" s="125">
        <f t="shared" si="234"/>
        <v>0.24937440793555332</v>
      </c>
      <c r="H143" s="124">
        <f t="shared" si="239"/>
        <v>2.0118779109016636</v>
      </c>
      <c r="I143" s="94">
        <f t="shared" si="232"/>
        <v>0.24937440793555332</v>
      </c>
      <c r="J143" s="94">
        <f t="shared" si="233"/>
        <v>0.24937440793555332</v>
      </c>
    </row>
    <row r="144" spans="3:21" x14ac:dyDescent="0.25">
      <c r="C144" s="92">
        <v>2019</v>
      </c>
      <c r="D144" s="92" t="s">
        <v>13</v>
      </c>
      <c r="E144" s="135">
        <v>21.141928</v>
      </c>
      <c r="F144" s="124">
        <f t="shared" si="238"/>
        <v>16.280254771328469</v>
      </c>
      <c r="G144" s="125">
        <f t="shared" si="234"/>
        <v>-0.22995410960965959</v>
      </c>
      <c r="H144" s="124">
        <f t="shared" si="239"/>
        <v>4.8616732286715312</v>
      </c>
      <c r="I144" s="94">
        <f t="shared" si="232"/>
        <v>0.22995410960965959</v>
      </c>
      <c r="J144" s="94">
        <f t="shared" si="233"/>
        <v>0.22995410960965959</v>
      </c>
    </row>
    <row r="145" spans="3:10" x14ac:dyDescent="0.25">
      <c r="C145" s="92">
        <v>2020</v>
      </c>
      <c r="D145" s="92" t="s">
        <v>13</v>
      </c>
      <c r="E145" s="135">
        <v>8.062989</v>
      </c>
      <c r="F145" s="124">
        <f t="shared" si="238"/>
        <v>11.145516451770511</v>
      </c>
      <c r="G145" s="125">
        <f t="shared" si="234"/>
        <v>0.3823057989748605</v>
      </c>
      <c r="H145" s="124">
        <f t="shared" si="239"/>
        <v>3.0825274517705115</v>
      </c>
      <c r="I145" s="94">
        <f t="shared" si="232"/>
        <v>0.3823057989748605</v>
      </c>
      <c r="J145" s="94">
        <f t="shared" si="233"/>
        <v>0.3823057989748605</v>
      </c>
    </row>
    <row r="146" spans="3:10" x14ac:dyDescent="0.25">
      <c r="C146" s="92">
        <v>2021</v>
      </c>
      <c r="D146" s="92" t="s">
        <v>13</v>
      </c>
      <c r="E146" s="135">
        <v>48.503718999999997</v>
      </c>
      <c r="F146" s="124">
        <f t="shared" si="238"/>
        <v>18.998627539634008</v>
      </c>
      <c r="G146" s="125">
        <f t="shared" si="234"/>
        <v>-0.60830575610843352</v>
      </c>
      <c r="H146" s="124">
        <f t="shared" si="239"/>
        <v>29.505091460365989</v>
      </c>
      <c r="I146" s="94">
        <f t="shared" si="232"/>
        <v>0.60830575610843352</v>
      </c>
      <c r="J146" s="94">
        <f t="shared" si="233"/>
        <v>0.60830575610843352</v>
      </c>
    </row>
    <row r="147" spans="3:10" x14ac:dyDescent="0.25">
      <c r="C147" s="92">
        <v>2012</v>
      </c>
      <c r="D147" s="92" t="s">
        <v>14</v>
      </c>
      <c r="E147" s="135">
        <v>21.277018000000002</v>
      </c>
      <c r="F147" s="128">
        <f t="shared" ref="F147:F156" si="240">EXP(S18)</f>
        <v>21.798026466173305</v>
      </c>
      <c r="G147" s="125">
        <f t="shared" si="234"/>
        <v>2.4486911942890811E-2</v>
      </c>
      <c r="H147" s="124">
        <f>ABS(E147-F147)</f>
        <v>0.52100846617330276</v>
      </c>
      <c r="I147" s="94">
        <f t="shared" si="232"/>
        <v>2.4486911942890811E-2</v>
      </c>
      <c r="J147" s="94">
        <f t="shared" si="233"/>
        <v>2.4486911942890811E-2</v>
      </c>
    </row>
    <row r="148" spans="3:10" x14ac:dyDescent="0.25">
      <c r="C148" s="92">
        <v>2013</v>
      </c>
      <c r="D148" s="92" t="s">
        <v>14</v>
      </c>
      <c r="E148" s="135">
        <v>94.719412000000005</v>
      </c>
      <c r="F148" s="128">
        <f t="shared" si="240"/>
        <v>60.194299724999993</v>
      </c>
      <c r="G148" s="125">
        <f t="shared" si="234"/>
        <v>-0.36449880279028768</v>
      </c>
      <c r="H148" s="124">
        <f t="shared" ref="H148:H156" si="241">ABS(E148-F148)</f>
        <v>34.525112275000012</v>
      </c>
      <c r="I148" s="94">
        <f t="shared" si="232"/>
        <v>0.36449880279028768</v>
      </c>
      <c r="J148" s="94">
        <f t="shared" si="233"/>
        <v>0.36449880279028768</v>
      </c>
    </row>
    <row r="149" spans="3:10" x14ac:dyDescent="0.25">
      <c r="C149" s="92">
        <v>2014</v>
      </c>
      <c r="D149" s="92" t="s">
        <v>14</v>
      </c>
      <c r="E149" s="135">
        <v>37.173864700000003</v>
      </c>
      <c r="F149" s="128">
        <f t="shared" si="240"/>
        <v>28.663607701069164</v>
      </c>
      <c r="G149" s="125">
        <f t="shared" si="234"/>
        <v>-0.22893118774736482</v>
      </c>
      <c r="H149" s="124">
        <f t="shared" si="241"/>
        <v>8.5102569989308385</v>
      </c>
      <c r="I149" s="94">
        <f t="shared" ref="I149:I180" si="242">ABS((E149-F149)/E149)</f>
        <v>0.22893118774736482</v>
      </c>
      <c r="J149" s="94">
        <f t="shared" ref="J149:J180" si="243">ABS(G149)</f>
        <v>0.22893118774736482</v>
      </c>
    </row>
    <row r="150" spans="3:10" x14ac:dyDescent="0.25">
      <c r="C150" s="92">
        <v>2015</v>
      </c>
      <c r="D150" s="92" t="s">
        <v>14</v>
      </c>
      <c r="E150" s="135">
        <v>35.092568</v>
      </c>
      <c r="F150" s="128">
        <f t="shared" si="240"/>
        <v>55.8173344576565</v>
      </c>
      <c r="G150" s="125">
        <f t="shared" si="234"/>
        <v>0.59057423377099394</v>
      </c>
      <c r="H150" s="124">
        <f t="shared" si="241"/>
        <v>20.7247664576565</v>
      </c>
      <c r="I150" s="94">
        <f t="shared" si="242"/>
        <v>0.59057423377099394</v>
      </c>
      <c r="J150" s="94">
        <f t="shared" si="243"/>
        <v>0.59057423377099394</v>
      </c>
    </row>
    <row r="151" spans="3:10" x14ac:dyDescent="0.25">
      <c r="C151" s="92">
        <v>2016</v>
      </c>
      <c r="D151" s="92" t="s">
        <v>14</v>
      </c>
      <c r="E151" s="135">
        <v>18.374199999999998</v>
      </c>
      <c r="F151" s="128">
        <f t="shared" si="240"/>
        <v>23.233066381128513</v>
      </c>
      <c r="G151" s="125">
        <f t="shared" si="234"/>
        <v>0.26443961539160971</v>
      </c>
      <c r="H151" s="124">
        <f t="shared" si="241"/>
        <v>4.8588663811285144</v>
      </c>
      <c r="I151" s="94">
        <f t="shared" si="242"/>
        <v>0.26443961539160971</v>
      </c>
      <c r="J151" s="94">
        <f t="shared" si="243"/>
        <v>0.26443961539160971</v>
      </c>
    </row>
    <row r="152" spans="3:10" x14ac:dyDescent="0.25">
      <c r="C152" s="92">
        <v>2017</v>
      </c>
      <c r="D152" s="92" t="s">
        <v>14</v>
      </c>
      <c r="E152" s="135">
        <v>34.734366000000001</v>
      </c>
      <c r="F152" s="128">
        <f t="shared" si="240"/>
        <v>43.448852457664437</v>
      </c>
      <c r="G152" s="125">
        <f t="shared" si="234"/>
        <v>0.25088946369899007</v>
      </c>
      <c r="H152" s="124">
        <f t="shared" si="241"/>
        <v>8.7144864576644352</v>
      </c>
      <c r="I152" s="94">
        <f t="shared" si="242"/>
        <v>0.25088946369899007</v>
      </c>
      <c r="J152" s="94">
        <f t="shared" si="243"/>
        <v>0.25088946369899007</v>
      </c>
    </row>
    <row r="153" spans="3:10" x14ac:dyDescent="0.25">
      <c r="C153" s="92">
        <v>2018</v>
      </c>
      <c r="D153" s="92" t="s">
        <v>14</v>
      </c>
      <c r="E153" s="135">
        <v>8.0677000000000003</v>
      </c>
      <c r="F153" s="128">
        <f t="shared" si="240"/>
        <v>13.109012409908248</v>
      </c>
      <c r="G153" s="125">
        <f t="shared" si="234"/>
        <v>0.62487603776891143</v>
      </c>
      <c r="H153" s="124">
        <f t="shared" si="241"/>
        <v>5.0413124099082474</v>
      </c>
      <c r="I153" s="94">
        <f t="shared" si="242"/>
        <v>0.62487603776891143</v>
      </c>
      <c r="J153" s="94">
        <f t="shared" si="243"/>
        <v>0.62487603776891143</v>
      </c>
    </row>
    <row r="154" spans="3:10" x14ac:dyDescent="0.25">
      <c r="C154" s="92">
        <v>2019</v>
      </c>
      <c r="D154" s="92" t="s">
        <v>14</v>
      </c>
      <c r="E154" s="135">
        <v>21.141928</v>
      </c>
      <c r="F154" s="128">
        <f t="shared" si="240"/>
        <v>15.661090686544533</v>
      </c>
      <c r="G154" s="125">
        <f t="shared" si="234"/>
        <v>-0.25924018440775443</v>
      </c>
      <c r="H154" s="124">
        <f t="shared" si="241"/>
        <v>5.4808373134554671</v>
      </c>
      <c r="I154" s="94">
        <f t="shared" si="242"/>
        <v>0.25924018440775443</v>
      </c>
      <c r="J154" s="94">
        <f t="shared" si="243"/>
        <v>0.25924018440775443</v>
      </c>
    </row>
    <row r="155" spans="3:10" x14ac:dyDescent="0.25">
      <c r="C155" s="92">
        <v>2020</v>
      </c>
      <c r="D155" s="92" t="s">
        <v>14</v>
      </c>
      <c r="E155" s="135">
        <v>8.062989</v>
      </c>
      <c r="F155" s="128">
        <f t="shared" si="240"/>
        <v>12.448891949148789</v>
      </c>
      <c r="G155" s="125">
        <f t="shared" si="234"/>
        <v>0.54395497118361313</v>
      </c>
      <c r="H155" s="124">
        <f t="shared" si="241"/>
        <v>4.3859029491487895</v>
      </c>
      <c r="I155" s="94">
        <f t="shared" si="242"/>
        <v>0.54395497118361313</v>
      </c>
      <c r="J155" s="94">
        <f t="shared" si="243"/>
        <v>0.54395497118361313</v>
      </c>
    </row>
    <row r="156" spans="3:10" x14ac:dyDescent="0.25">
      <c r="C156" s="92">
        <v>2021</v>
      </c>
      <c r="D156" s="92" t="s">
        <v>14</v>
      </c>
      <c r="E156" s="135">
        <v>48.503718999999997</v>
      </c>
      <c r="F156" s="128">
        <f t="shared" si="240"/>
        <v>23.556030952569483</v>
      </c>
      <c r="G156" s="125">
        <f t="shared" si="234"/>
        <v>-0.51434588031137396</v>
      </c>
      <c r="H156" s="124">
        <f t="shared" si="241"/>
        <v>24.947688047430514</v>
      </c>
      <c r="I156" s="94">
        <f t="shared" si="242"/>
        <v>0.51434588031137396</v>
      </c>
      <c r="J156" s="94">
        <f t="shared" si="243"/>
        <v>0.51434588031137396</v>
      </c>
    </row>
    <row r="157" spans="3:10" x14ac:dyDescent="0.25">
      <c r="C157" s="92">
        <v>2012</v>
      </c>
      <c r="D157" s="92" t="s">
        <v>15</v>
      </c>
      <c r="E157" s="135">
        <v>21.277018000000002</v>
      </c>
      <c r="F157" s="124">
        <f t="shared" ref="F157:F166" si="244">EXP(W18)</f>
        <v>19.6735962580048</v>
      </c>
      <c r="G157" s="125">
        <f t="shared" si="234"/>
        <v>-7.5359326292584891E-2</v>
      </c>
      <c r="H157" s="124">
        <f>ABS(E157-F157)</f>
        <v>1.6034217419952022</v>
      </c>
      <c r="I157" s="94">
        <f t="shared" si="242"/>
        <v>7.5359326292584891E-2</v>
      </c>
      <c r="J157" s="94">
        <f t="shared" si="243"/>
        <v>7.5359326292584891E-2</v>
      </c>
    </row>
    <row r="158" spans="3:10" x14ac:dyDescent="0.25">
      <c r="C158" s="92">
        <v>2013</v>
      </c>
      <c r="D158" s="92" t="s">
        <v>15</v>
      </c>
      <c r="E158" s="135">
        <v>94.719412000000005</v>
      </c>
      <c r="F158" s="124">
        <f t="shared" si="244"/>
        <v>60.527862182407326</v>
      </c>
      <c r="G158" s="125">
        <f t="shared" si="234"/>
        <v>-0.36097721782302322</v>
      </c>
      <c r="H158" s="124">
        <f t="shared" ref="H158:H176" si="245">ABS(E158-F158)</f>
        <v>34.19154981759268</v>
      </c>
      <c r="I158" s="94">
        <f t="shared" si="242"/>
        <v>0.36097721782302322</v>
      </c>
      <c r="J158" s="94">
        <f t="shared" si="243"/>
        <v>0.36097721782302322</v>
      </c>
    </row>
    <row r="159" spans="3:10" x14ac:dyDescent="0.25">
      <c r="C159" s="92">
        <v>2014</v>
      </c>
      <c r="D159" s="92" t="s">
        <v>15</v>
      </c>
      <c r="E159" s="135">
        <v>37.173864700000003</v>
      </c>
      <c r="F159" s="124">
        <f t="shared" si="244"/>
        <v>32.769126460526024</v>
      </c>
      <c r="G159" s="125">
        <f t="shared" si="234"/>
        <v>-0.11849018860484468</v>
      </c>
      <c r="H159" s="124">
        <f t="shared" si="245"/>
        <v>4.4047382394739785</v>
      </c>
      <c r="I159" s="94">
        <f t="shared" si="242"/>
        <v>0.11849018860484468</v>
      </c>
      <c r="J159" s="94">
        <f t="shared" si="243"/>
        <v>0.11849018860484468</v>
      </c>
    </row>
    <row r="160" spans="3:10" x14ac:dyDescent="0.25">
      <c r="C160" s="92">
        <v>2015</v>
      </c>
      <c r="D160" s="92" t="s">
        <v>15</v>
      </c>
      <c r="E160" s="135">
        <v>35.092568</v>
      </c>
      <c r="F160" s="124">
        <f t="shared" si="244"/>
        <v>55.641863867913216</v>
      </c>
      <c r="G160" s="125">
        <f t="shared" si="234"/>
        <v>0.58557401293382738</v>
      </c>
      <c r="H160" s="124">
        <f t="shared" si="245"/>
        <v>20.549295867913216</v>
      </c>
      <c r="I160" s="94">
        <f t="shared" si="242"/>
        <v>0.58557401293382738</v>
      </c>
      <c r="J160" s="94">
        <f t="shared" si="243"/>
        <v>0.58557401293382738</v>
      </c>
    </row>
    <row r="161" spans="3:10" x14ac:dyDescent="0.25">
      <c r="C161" s="92">
        <v>2016</v>
      </c>
      <c r="D161" s="92" t="s">
        <v>15</v>
      </c>
      <c r="E161" s="135">
        <v>18.374199999999998</v>
      </c>
      <c r="F161" s="124">
        <f t="shared" si="244"/>
        <v>16.35393615286997</v>
      </c>
      <c r="G161" s="125">
        <f t="shared" si="234"/>
        <v>-0.10995111880408553</v>
      </c>
      <c r="H161" s="124">
        <f t="shared" si="245"/>
        <v>2.0202638471300283</v>
      </c>
      <c r="I161" s="94">
        <f t="shared" si="242"/>
        <v>0.10995111880408553</v>
      </c>
      <c r="J161" s="94">
        <f t="shared" si="243"/>
        <v>0.10995111880408553</v>
      </c>
    </row>
    <row r="162" spans="3:10" x14ac:dyDescent="0.25">
      <c r="C162" s="92">
        <v>2017</v>
      </c>
      <c r="D162" s="92" t="s">
        <v>15</v>
      </c>
      <c r="E162" s="135">
        <v>34.734366000000001</v>
      </c>
      <c r="F162" s="124">
        <f t="shared" si="244"/>
        <v>35.438335019491042</v>
      </c>
      <c r="G162" s="125">
        <f t="shared" si="234"/>
        <v>2.0267219487784534E-2</v>
      </c>
      <c r="H162" s="124">
        <f t="shared" si="245"/>
        <v>0.70396901949104063</v>
      </c>
      <c r="I162" s="94">
        <f t="shared" si="242"/>
        <v>2.0267219487784534E-2</v>
      </c>
      <c r="J162" s="94">
        <f t="shared" si="243"/>
        <v>2.0267219487784534E-2</v>
      </c>
    </row>
    <row r="163" spans="3:10" x14ac:dyDescent="0.25">
      <c r="C163" s="92">
        <v>2018</v>
      </c>
      <c r="D163" s="92" t="s">
        <v>15</v>
      </c>
      <c r="E163" s="135">
        <v>8.0677000000000003</v>
      </c>
      <c r="F163" s="124">
        <f t="shared" si="244"/>
        <v>10.695498647792592</v>
      </c>
      <c r="G163" s="125">
        <f t="shared" si="234"/>
        <v>0.32571843868668782</v>
      </c>
      <c r="H163" s="124">
        <f t="shared" si="245"/>
        <v>2.6277986477925914</v>
      </c>
      <c r="I163" s="94">
        <f t="shared" si="242"/>
        <v>0.32571843868668782</v>
      </c>
      <c r="J163" s="94">
        <f t="shared" si="243"/>
        <v>0.32571843868668782</v>
      </c>
    </row>
    <row r="164" spans="3:10" x14ac:dyDescent="0.25">
      <c r="C164" s="92">
        <v>2019</v>
      </c>
      <c r="D164" s="92" t="s">
        <v>15</v>
      </c>
      <c r="E164" s="135">
        <v>21.141928</v>
      </c>
      <c r="F164" s="124">
        <f t="shared" si="244"/>
        <v>16.154630612583034</v>
      </c>
      <c r="G164" s="125">
        <f t="shared" si="234"/>
        <v>-0.23589605391792867</v>
      </c>
      <c r="H164" s="124">
        <f t="shared" si="245"/>
        <v>4.9872973874169659</v>
      </c>
      <c r="I164" s="94">
        <f t="shared" si="242"/>
        <v>0.23589605391792867</v>
      </c>
      <c r="J164" s="94">
        <f t="shared" si="243"/>
        <v>0.23589605391792867</v>
      </c>
    </row>
    <row r="165" spans="3:10" x14ac:dyDescent="0.25">
      <c r="C165" s="92">
        <v>2020</v>
      </c>
      <c r="D165" s="92" t="s">
        <v>15</v>
      </c>
      <c r="E165" s="135">
        <v>8.062989</v>
      </c>
      <c r="F165" s="124">
        <f t="shared" si="244"/>
        <v>11.217748936509295</v>
      </c>
      <c r="G165" s="125">
        <f t="shared" si="234"/>
        <v>0.39126432350450874</v>
      </c>
      <c r="H165" s="124">
        <f t="shared" si="245"/>
        <v>3.1547599365092953</v>
      </c>
      <c r="I165" s="94">
        <f t="shared" si="242"/>
        <v>0.39126432350450874</v>
      </c>
      <c r="J165" s="94">
        <f t="shared" si="243"/>
        <v>0.39126432350450874</v>
      </c>
    </row>
    <row r="166" spans="3:10" x14ac:dyDescent="0.25">
      <c r="C166" s="92">
        <v>2021</v>
      </c>
      <c r="D166" s="92" t="s">
        <v>15</v>
      </c>
      <c r="E166" s="135">
        <v>48.503718999999997</v>
      </c>
      <c r="F166" s="124">
        <f t="shared" si="244"/>
        <v>22.854723216296591</v>
      </c>
      <c r="G166" s="125">
        <f t="shared" si="234"/>
        <v>-0.52880472492642072</v>
      </c>
      <c r="H166" s="124">
        <f t="shared" si="245"/>
        <v>25.648995783703405</v>
      </c>
      <c r="I166" s="94">
        <f t="shared" si="242"/>
        <v>0.52880472492642072</v>
      </c>
      <c r="J166" s="94">
        <f t="shared" si="243"/>
        <v>0.52880472492642072</v>
      </c>
    </row>
    <row r="167" spans="3:10" x14ac:dyDescent="0.25">
      <c r="C167" s="92">
        <v>2012</v>
      </c>
      <c r="D167" s="92" t="s">
        <v>16</v>
      </c>
      <c r="E167" s="135">
        <v>21.277018000000002</v>
      </c>
      <c r="F167" s="124">
        <f t="shared" ref="F167:F176" si="246">EXP(AA18)</f>
        <v>21.416500094389978</v>
      </c>
      <c r="G167" s="125">
        <f t="shared" si="234"/>
        <v>6.5555283353135258E-3</v>
      </c>
      <c r="H167" s="124">
        <f t="shared" si="245"/>
        <v>0.13948209438997594</v>
      </c>
      <c r="I167" s="94">
        <f t="shared" si="242"/>
        <v>6.5555283353135258E-3</v>
      </c>
      <c r="J167" s="94">
        <f t="shared" si="243"/>
        <v>6.5555283353135258E-3</v>
      </c>
    </row>
    <row r="168" spans="3:10" x14ac:dyDescent="0.25">
      <c r="C168" s="92">
        <v>2013</v>
      </c>
      <c r="D168" s="92" t="s">
        <v>16</v>
      </c>
      <c r="E168" s="135">
        <v>94.719412000000005</v>
      </c>
      <c r="F168" s="124">
        <f t="shared" si="246"/>
        <v>61.259483377067269</v>
      </c>
      <c r="G168" s="125">
        <f t="shared" si="234"/>
        <v>-0.35325312854489355</v>
      </c>
      <c r="H168" s="124">
        <f t="shared" si="245"/>
        <v>33.459928622932736</v>
      </c>
      <c r="I168" s="94">
        <f t="shared" si="242"/>
        <v>0.35325312854489355</v>
      </c>
      <c r="J168" s="94">
        <f t="shared" si="243"/>
        <v>0.35325312854489355</v>
      </c>
    </row>
    <row r="169" spans="3:10" x14ac:dyDescent="0.25">
      <c r="C169" s="92">
        <v>2014</v>
      </c>
      <c r="D169" s="92" t="s">
        <v>16</v>
      </c>
      <c r="E169" s="135">
        <v>37.173864700000003</v>
      </c>
      <c r="F169" s="124">
        <f t="shared" si="246"/>
        <v>29.954664595899633</v>
      </c>
      <c r="G169" s="125">
        <f t="shared" si="234"/>
        <v>-0.19420095710684526</v>
      </c>
      <c r="H169" s="124">
        <f t="shared" si="245"/>
        <v>7.2192001041003699</v>
      </c>
      <c r="I169" s="94">
        <f t="shared" si="242"/>
        <v>0.19420095710684526</v>
      </c>
      <c r="J169" s="94">
        <f t="shared" si="243"/>
        <v>0.19420095710684526</v>
      </c>
    </row>
    <row r="170" spans="3:10" x14ac:dyDescent="0.25">
      <c r="C170" s="92">
        <v>2015</v>
      </c>
      <c r="D170" s="92" t="s">
        <v>16</v>
      </c>
      <c r="E170" s="135">
        <v>35.092568</v>
      </c>
      <c r="F170" s="124">
        <f t="shared" si="246"/>
        <v>58.203990066613606</v>
      </c>
      <c r="G170" s="125">
        <f t="shared" si="234"/>
        <v>0.65858452042077986</v>
      </c>
      <c r="H170" s="124">
        <f t="shared" si="245"/>
        <v>23.111422066613606</v>
      </c>
      <c r="I170" s="94">
        <f t="shared" si="242"/>
        <v>0.65858452042077986</v>
      </c>
      <c r="J170" s="94">
        <f t="shared" si="243"/>
        <v>0.65858452042077986</v>
      </c>
    </row>
    <row r="171" spans="3:10" x14ac:dyDescent="0.25">
      <c r="C171" s="92">
        <v>2016</v>
      </c>
      <c r="D171" s="92" t="s">
        <v>16</v>
      </c>
      <c r="E171" s="135">
        <v>18.374199999999998</v>
      </c>
      <c r="F171" s="124">
        <f t="shared" si="246"/>
        <v>20.665294036961946</v>
      </c>
      <c r="G171" s="125">
        <f t="shared" si="234"/>
        <v>0.12469081848254333</v>
      </c>
      <c r="H171" s="124">
        <f t="shared" si="245"/>
        <v>2.2910940369619475</v>
      </c>
      <c r="I171" s="94">
        <f t="shared" si="242"/>
        <v>0.12469081848254333</v>
      </c>
      <c r="J171" s="94">
        <f t="shared" si="243"/>
        <v>0.12469081848254333</v>
      </c>
    </row>
    <row r="172" spans="3:10" x14ac:dyDescent="0.25">
      <c r="C172" s="92">
        <v>2017</v>
      </c>
      <c r="D172" s="92" t="s">
        <v>16</v>
      </c>
      <c r="E172" s="135">
        <v>34.734366000000001</v>
      </c>
      <c r="F172" s="124">
        <f t="shared" si="246"/>
        <v>38.253089993443666</v>
      </c>
      <c r="G172" s="125">
        <f t="shared" si="234"/>
        <v>0.10130382093180179</v>
      </c>
      <c r="H172" s="124">
        <f t="shared" si="245"/>
        <v>3.5187239934436647</v>
      </c>
      <c r="I172" s="94">
        <f t="shared" si="242"/>
        <v>0.10130382093180179</v>
      </c>
      <c r="J172" s="94">
        <f t="shared" si="243"/>
        <v>0.10130382093180179</v>
      </c>
    </row>
    <row r="173" spans="3:10" x14ac:dyDescent="0.25">
      <c r="C173" s="92">
        <v>2018</v>
      </c>
      <c r="D173" s="92" t="s">
        <v>16</v>
      </c>
      <c r="E173" s="135">
        <v>8.0677000000000003</v>
      </c>
      <c r="F173" s="124">
        <f t="shared" si="246"/>
        <v>11.624060724052516</v>
      </c>
      <c r="G173" s="125">
        <f t="shared" si="234"/>
        <v>0.44081469614047564</v>
      </c>
      <c r="H173" s="124">
        <f t="shared" si="245"/>
        <v>3.5563607240525155</v>
      </c>
      <c r="I173" s="94">
        <f t="shared" si="242"/>
        <v>0.44081469614047564</v>
      </c>
      <c r="J173" s="94">
        <f t="shared" si="243"/>
        <v>0.44081469614047564</v>
      </c>
    </row>
    <row r="174" spans="3:10" x14ac:dyDescent="0.25">
      <c r="C174" s="92">
        <v>2019</v>
      </c>
      <c r="D174" s="92" t="s">
        <v>16</v>
      </c>
      <c r="E174" s="135">
        <v>21.141928</v>
      </c>
      <c r="F174" s="124">
        <f t="shared" si="246"/>
        <v>15.460122834702359</v>
      </c>
      <c r="G174" s="125">
        <f t="shared" si="234"/>
        <v>-0.26874583837848853</v>
      </c>
      <c r="H174" s="124">
        <f t="shared" si="245"/>
        <v>5.6818051652976411</v>
      </c>
      <c r="I174" s="94">
        <f t="shared" si="242"/>
        <v>0.26874583837848853</v>
      </c>
      <c r="J174" s="94">
        <f t="shared" si="243"/>
        <v>0.26874583837848853</v>
      </c>
    </row>
    <row r="175" spans="3:10" x14ac:dyDescent="0.25">
      <c r="C175" s="92">
        <v>2020</v>
      </c>
      <c r="D175" s="92" t="s">
        <v>16</v>
      </c>
      <c r="E175" s="135">
        <v>8.062989</v>
      </c>
      <c r="F175" s="124">
        <f t="shared" si="246"/>
        <v>11.166945484959289</v>
      </c>
      <c r="G175" s="125">
        <f t="shared" si="234"/>
        <v>0.38496350236361343</v>
      </c>
      <c r="H175" s="124">
        <f t="shared" si="245"/>
        <v>3.1039564849592889</v>
      </c>
      <c r="I175" s="94">
        <f t="shared" si="242"/>
        <v>0.38496350236361343</v>
      </c>
      <c r="J175" s="94">
        <f t="shared" si="243"/>
        <v>0.38496350236361343</v>
      </c>
    </row>
    <row r="176" spans="3:10" x14ac:dyDescent="0.25">
      <c r="C176" s="92">
        <v>2021</v>
      </c>
      <c r="D176" s="92" t="s">
        <v>16</v>
      </c>
      <c r="E176" s="135">
        <v>48.503718999999997</v>
      </c>
      <c r="F176" s="124">
        <f t="shared" si="246"/>
        <v>23.945993918047893</v>
      </c>
      <c r="G176" s="125">
        <f t="shared" si="234"/>
        <v>-0.50630602329590657</v>
      </c>
      <c r="H176" s="124">
        <f t="shared" si="245"/>
        <v>24.557725081952103</v>
      </c>
      <c r="I176" s="94">
        <f t="shared" si="242"/>
        <v>0.50630602329590657</v>
      </c>
      <c r="J176" s="94">
        <f t="shared" si="243"/>
        <v>0.50630602329590657</v>
      </c>
    </row>
    <row r="177" spans="3:10" x14ac:dyDescent="0.25">
      <c r="C177" s="92">
        <v>2012</v>
      </c>
      <c r="D177" s="92" t="s">
        <v>17</v>
      </c>
      <c r="E177" s="135">
        <v>21.277018000000002</v>
      </c>
      <c r="F177" s="128">
        <f t="shared" ref="F177:F186" si="247">EXP(AE18)</f>
        <v>21.648810108433786</v>
      </c>
      <c r="G177" s="125">
        <f t="shared" si="234"/>
        <v>1.747388230971952E-2</v>
      </c>
      <c r="H177" s="124">
        <f>ABS(E177-F177)</f>
        <v>0.37179210843378385</v>
      </c>
      <c r="I177" s="94">
        <f t="shared" si="242"/>
        <v>1.747388230971952E-2</v>
      </c>
      <c r="J177" s="94">
        <f t="shared" si="243"/>
        <v>1.747388230971952E-2</v>
      </c>
    </row>
    <row r="178" spans="3:10" x14ac:dyDescent="0.25">
      <c r="C178" s="92">
        <v>2013</v>
      </c>
      <c r="D178" s="92" t="s">
        <v>17</v>
      </c>
      <c r="E178" s="135">
        <v>94.719412000000005</v>
      </c>
      <c r="F178" s="128">
        <f t="shared" si="247"/>
        <v>54.84160313942899</v>
      </c>
      <c r="G178" s="125">
        <f t="shared" si="234"/>
        <v>-0.42100988613158846</v>
      </c>
      <c r="H178" s="124">
        <f t="shared" ref="H178:H186" si="248">ABS(E178-F178)</f>
        <v>39.877808860571015</v>
      </c>
      <c r="I178" s="94">
        <f t="shared" si="242"/>
        <v>0.42100988613158846</v>
      </c>
      <c r="J178" s="94">
        <f t="shared" si="243"/>
        <v>0.42100988613158846</v>
      </c>
    </row>
    <row r="179" spans="3:10" x14ac:dyDescent="0.25">
      <c r="C179" s="92">
        <v>2014</v>
      </c>
      <c r="D179" s="92" t="s">
        <v>17</v>
      </c>
      <c r="E179" s="135">
        <v>37.173864700000003</v>
      </c>
      <c r="F179" s="128">
        <f t="shared" si="247"/>
        <v>36.512067026190721</v>
      </c>
      <c r="G179" s="125">
        <f t="shared" si="234"/>
        <v>-1.7802767593579853E-2</v>
      </c>
      <c r="H179" s="124">
        <f t="shared" si="248"/>
        <v>0.66179767380928212</v>
      </c>
      <c r="I179" s="94">
        <f t="shared" si="242"/>
        <v>1.7802767593579853E-2</v>
      </c>
      <c r="J179" s="94">
        <f t="shared" si="243"/>
        <v>1.7802767593579853E-2</v>
      </c>
    </row>
    <row r="180" spans="3:10" x14ac:dyDescent="0.25">
      <c r="C180" s="92">
        <v>2015</v>
      </c>
      <c r="D180" s="92" t="s">
        <v>17</v>
      </c>
      <c r="E180" s="135">
        <v>35.092568</v>
      </c>
      <c r="F180" s="128">
        <f t="shared" si="247"/>
        <v>44.366734298406996</v>
      </c>
      <c r="G180" s="125">
        <f t="shared" si="234"/>
        <v>0.26427721956418226</v>
      </c>
      <c r="H180" s="124">
        <f t="shared" si="248"/>
        <v>9.2741662984069961</v>
      </c>
      <c r="I180" s="94">
        <f t="shared" si="242"/>
        <v>0.26427721956418226</v>
      </c>
      <c r="J180" s="94">
        <f t="shared" si="243"/>
        <v>0.26427721956418226</v>
      </c>
    </row>
    <row r="181" spans="3:10" x14ac:dyDescent="0.25">
      <c r="C181" s="92">
        <v>2016</v>
      </c>
      <c r="D181" s="92" t="s">
        <v>17</v>
      </c>
      <c r="E181" s="135">
        <v>18.374199999999998</v>
      </c>
      <c r="F181" s="128">
        <f t="shared" si="247"/>
        <v>17.68709105409166</v>
      </c>
      <c r="G181" s="125">
        <f t="shared" si="234"/>
        <v>-3.7395312226292228E-2</v>
      </c>
      <c r="H181" s="124">
        <f t="shared" si="248"/>
        <v>0.6871089459083386</v>
      </c>
      <c r="I181" s="94">
        <f t="shared" ref="I181:I212" si="249">ABS((E181-F181)/E181)</f>
        <v>3.7395312226292228E-2</v>
      </c>
      <c r="J181" s="94">
        <f t="shared" ref="J181:J212" si="250">ABS(G181)</f>
        <v>3.7395312226292228E-2</v>
      </c>
    </row>
    <row r="182" spans="3:10" x14ac:dyDescent="0.25">
      <c r="C182" s="92">
        <v>2017</v>
      </c>
      <c r="D182" s="92" t="s">
        <v>17</v>
      </c>
      <c r="E182" s="135">
        <v>34.734366000000001</v>
      </c>
      <c r="F182" s="128">
        <f t="shared" si="247"/>
        <v>38.090271927381053</v>
      </c>
      <c r="G182" s="125">
        <f t="shared" ref="G182:G245" si="251">(F182-E182)/E182</f>
        <v>9.6616300046502984E-2</v>
      </c>
      <c r="H182" s="124">
        <f t="shared" si="248"/>
        <v>3.3559059273810519</v>
      </c>
      <c r="I182" s="94">
        <f t="shared" si="249"/>
        <v>9.6616300046502984E-2</v>
      </c>
      <c r="J182" s="94">
        <f t="shared" si="250"/>
        <v>9.6616300046502984E-2</v>
      </c>
    </row>
    <row r="183" spans="3:10" x14ac:dyDescent="0.25">
      <c r="C183" s="92">
        <v>2018</v>
      </c>
      <c r="D183" s="92" t="s">
        <v>17</v>
      </c>
      <c r="E183" s="135">
        <v>8.0677000000000003</v>
      </c>
      <c r="F183" s="128">
        <f t="shared" si="247"/>
        <v>10.286580458339683</v>
      </c>
      <c r="G183" s="125">
        <f t="shared" si="251"/>
        <v>0.27503259396602292</v>
      </c>
      <c r="H183" s="124">
        <f t="shared" si="248"/>
        <v>2.2188804583396831</v>
      </c>
      <c r="I183" s="94">
        <f t="shared" si="249"/>
        <v>0.27503259396602292</v>
      </c>
      <c r="J183" s="94">
        <f t="shared" si="250"/>
        <v>0.27503259396602292</v>
      </c>
    </row>
    <row r="184" spans="3:10" x14ac:dyDescent="0.25">
      <c r="C184" s="92">
        <v>2019</v>
      </c>
      <c r="D184" s="92" t="s">
        <v>17</v>
      </c>
      <c r="E184" s="135">
        <v>21.141928</v>
      </c>
      <c r="F184" s="128">
        <f t="shared" si="247"/>
        <v>17.00465753923454</v>
      </c>
      <c r="G184" s="125">
        <f t="shared" si="251"/>
        <v>-0.19569031077796975</v>
      </c>
      <c r="H184" s="124">
        <f t="shared" si="248"/>
        <v>4.1372704607654605</v>
      </c>
      <c r="I184" s="94">
        <f t="shared" si="249"/>
        <v>0.19569031077796975</v>
      </c>
      <c r="J184" s="94">
        <f t="shared" si="250"/>
        <v>0.19569031077796975</v>
      </c>
    </row>
    <row r="185" spans="3:10" x14ac:dyDescent="0.25">
      <c r="C185" s="92">
        <v>2020</v>
      </c>
      <c r="D185" s="92" t="s">
        <v>17</v>
      </c>
      <c r="E185" s="135">
        <v>8.062989</v>
      </c>
      <c r="F185" s="128">
        <f t="shared" si="247"/>
        <v>11.586270730423687</v>
      </c>
      <c r="G185" s="125">
        <f t="shared" si="251"/>
        <v>0.43696968089919097</v>
      </c>
      <c r="H185" s="124">
        <f t="shared" si="248"/>
        <v>3.5232817304236868</v>
      </c>
      <c r="I185" s="94">
        <f t="shared" si="249"/>
        <v>0.43696968089919097</v>
      </c>
      <c r="J185" s="94">
        <f t="shared" si="250"/>
        <v>0.43696968089919097</v>
      </c>
    </row>
    <row r="186" spans="3:10" x14ac:dyDescent="0.25">
      <c r="C186" s="92">
        <v>2021</v>
      </c>
      <c r="D186" s="92" t="s">
        <v>17</v>
      </c>
      <c r="E186" s="135">
        <v>48.503718999999997</v>
      </c>
      <c r="F186" s="128">
        <f t="shared" si="247"/>
        <v>18.218943765602997</v>
      </c>
      <c r="G186" s="125">
        <f t="shared" si="251"/>
        <v>-0.62438047759589321</v>
      </c>
      <c r="H186" s="124">
        <f t="shared" si="248"/>
        <v>30.284775234396999</v>
      </c>
      <c r="I186" s="94">
        <f t="shared" si="249"/>
        <v>0.62438047759589321</v>
      </c>
      <c r="J186" s="94">
        <f t="shared" si="250"/>
        <v>0.62438047759589321</v>
      </c>
    </row>
    <row r="187" spans="3:10" x14ac:dyDescent="0.25">
      <c r="C187" s="92">
        <v>2012</v>
      </c>
      <c r="D187" s="92" t="s">
        <v>18</v>
      </c>
      <c r="E187" s="135">
        <v>21.277018000000002</v>
      </c>
      <c r="F187" s="128">
        <f t="shared" ref="F187:F196" si="252">EXP(AI18)</f>
        <v>21.953219134276075</v>
      </c>
      <c r="G187" s="125">
        <f t="shared" si="251"/>
        <v>3.1780822588770359E-2</v>
      </c>
      <c r="H187" s="124">
        <f>ABS(E187-F187)</f>
        <v>0.67620113427607365</v>
      </c>
      <c r="I187" s="94">
        <f t="shared" si="249"/>
        <v>3.1780822588770359E-2</v>
      </c>
      <c r="J187" s="94">
        <f t="shared" si="250"/>
        <v>3.1780822588770359E-2</v>
      </c>
    </row>
    <row r="188" spans="3:10" x14ac:dyDescent="0.25">
      <c r="C188" s="92">
        <v>2013</v>
      </c>
      <c r="D188" s="92" t="s">
        <v>18</v>
      </c>
      <c r="E188" s="135">
        <v>94.719412000000005</v>
      </c>
      <c r="F188" s="128">
        <f t="shared" si="252"/>
        <v>61.881436257900447</v>
      </c>
      <c r="G188" s="125">
        <f t="shared" si="251"/>
        <v>-0.34668686226746803</v>
      </c>
      <c r="H188" s="124">
        <f t="shared" ref="H188:H206" si="253">ABS(E188-F188)</f>
        <v>32.837975742099559</v>
      </c>
      <c r="I188" s="94">
        <f t="shared" si="249"/>
        <v>0.34668686226746803</v>
      </c>
      <c r="J188" s="94">
        <f t="shared" si="250"/>
        <v>0.34668686226746803</v>
      </c>
    </row>
    <row r="189" spans="3:10" x14ac:dyDescent="0.25">
      <c r="C189" s="92">
        <v>2014</v>
      </c>
      <c r="D189" s="92" t="s">
        <v>18</v>
      </c>
      <c r="E189" s="135">
        <v>37.173864700000003</v>
      </c>
      <c r="F189" s="128">
        <f t="shared" si="252"/>
        <v>29.011372532147501</v>
      </c>
      <c r="G189" s="125">
        <f t="shared" si="251"/>
        <v>-0.21957609825411833</v>
      </c>
      <c r="H189" s="124">
        <f t="shared" si="253"/>
        <v>8.162492167852502</v>
      </c>
      <c r="I189" s="94">
        <f t="shared" si="249"/>
        <v>0.21957609825411833</v>
      </c>
      <c r="J189" s="94">
        <f t="shared" si="250"/>
        <v>0.21957609825411833</v>
      </c>
    </row>
    <row r="190" spans="3:10" x14ac:dyDescent="0.25">
      <c r="C190" s="92">
        <v>2015</v>
      </c>
      <c r="D190" s="92" t="s">
        <v>18</v>
      </c>
      <c r="E190" s="135">
        <v>35.092568</v>
      </c>
      <c r="F190" s="128">
        <f t="shared" si="252"/>
        <v>55.945841893539011</v>
      </c>
      <c r="G190" s="125">
        <f t="shared" si="251"/>
        <v>0.5942361896552858</v>
      </c>
      <c r="H190" s="124">
        <f t="shared" si="253"/>
        <v>20.853273893539011</v>
      </c>
      <c r="I190" s="94">
        <f t="shared" si="249"/>
        <v>0.5942361896552858</v>
      </c>
      <c r="J190" s="94">
        <f t="shared" si="250"/>
        <v>0.5942361896552858</v>
      </c>
    </row>
    <row r="191" spans="3:10" x14ac:dyDescent="0.25">
      <c r="C191" s="92">
        <v>2016</v>
      </c>
      <c r="D191" s="92" t="s">
        <v>18</v>
      </c>
      <c r="E191" s="135">
        <v>18.374199999999998</v>
      </c>
      <c r="F191" s="128">
        <f t="shared" si="252"/>
        <v>25.206170604311836</v>
      </c>
      <c r="G191" s="125">
        <f t="shared" si="251"/>
        <v>0.37182411230485346</v>
      </c>
      <c r="H191" s="124">
        <f t="shared" si="253"/>
        <v>6.831970604311838</v>
      </c>
      <c r="I191" s="94">
        <f t="shared" si="249"/>
        <v>0.37182411230485346</v>
      </c>
      <c r="J191" s="94">
        <f t="shared" si="250"/>
        <v>0.37182411230485346</v>
      </c>
    </row>
    <row r="192" spans="3:10" x14ac:dyDescent="0.25">
      <c r="C192" s="92">
        <v>2017</v>
      </c>
      <c r="D192" s="92" t="s">
        <v>18</v>
      </c>
      <c r="E192" s="135">
        <v>34.734366000000001</v>
      </c>
      <c r="F192" s="128">
        <f t="shared" si="252"/>
        <v>39.061757525869794</v>
      </c>
      <c r="G192" s="125">
        <f t="shared" si="251"/>
        <v>0.12458530338137717</v>
      </c>
      <c r="H192" s="124">
        <f t="shared" si="253"/>
        <v>4.3273915258697926</v>
      </c>
      <c r="I192" s="94">
        <f t="shared" si="249"/>
        <v>0.12458530338137717</v>
      </c>
      <c r="J192" s="94">
        <f t="shared" si="250"/>
        <v>0.12458530338137717</v>
      </c>
    </row>
    <row r="193" spans="3:10" x14ac:dyDescent="0.25">
      <c r="C193" s="92">
        <v>2018</v>
      </c>
      <c r="D193" s="92" t="s">
        <v>18</v>
      </c>
      <c r="E193" s="135">
        <v>8.0677000000000003</v>
      </c>
      <c r="F193" s="128">
        <f t="shared" si="252"/>
        <v>13.461423747824925</v>
      </c>
      <c r="G193" s="125">
        <f t="shared" si="251"/>
        <v>0.66855779811159621</v>
      </c>
      <c r="H193" s="124">
        <f t="shared" si="253"/>
        <v>5.3937237478249251</v>
      </c>
      <c r="I193" s="94">
        <f t="shared" si="249"/>
        <v>0.66855779811159621</v>
      </c>
      <c r="J193" s="94">
        <f t="shared" si="250"/>
        <v>0.66855779811159621</v>
      </c>
    </row>
    <row r="194" spans="3:10" x14ac:dyDescent="0.25">
      <c r="C194" s="92">
        <v>2019</v>
      </c>
      <c r="D194" s="92" t="s">
        <v>18</v>
      </c>
      <c r="E194" s="135">
        <v>21.141928</v>
      </c>
      <c r="F194" s="128">
        <f t="shared" si="252"/>
        <v>16.53600561492771</v>
      </c>
      <c r="G194" s="125">
        <f t="shared" si="251"/>
        <v>-0.21785725431816294</v>
      </c>
      <c r="H194" s="124">
        <f t="shared" si="253"/>
        <v>4.6059223850722901</v>
      </c>
      <c r="I194" s="94">
        <f t="shared" si="249"/>
        <v>0.21785725431816294</v>
      </c>
      <c r="J194" s="94">
        <f t="shared" si="250"/>
        <v>0.21785725431816294</v>
      </c>
    </row>
    <row r="195" spans="3:10" x14ac:dyDescent="0.25">
      <c r="C195" s="92">
        <v>2020</v>
      </c>
      <c r="D195" s="92" t="s">
        <v>18</v>
      </c>
      <c r="E195" s="135">
        <v>8.062989</v>
      </c>
      <c r="F195" s="128">
        <f t="shared" si="252"/>
        <v>12.592755740163248</v>
      </c>
      <c r="G195" s="125">
        <f t="shared" si="251"/>
        <v>0.56179745999445718</v>
      </c>
      <c r="H195" s="124">
        <f t="shared" si="253"/>
        <v>4.5297667401632484</v>
      </c>
      <c r="I195" s="94">
        <f t="shared" si="249"/>
        <v>0.56179745999445718</v>
      </c>
      <c r="J195" s="94">
        <f t="shared" si="250"/>
        <v>0.56179745999445718</v>
      </c>
    </row>
    <row r="196" spans="3:10" x14ac:dyDescent="0.25">
      <c r="C196" s="92">
        <v>2021</v>
      </c>
      <c r="D196" s="92" t="s">
        <v>18</v>
      </c>
      <c r="E196" s="135">
        <v>48.503718999999997</v>
      </c>
      <c r="F196" s="128">
        <f t="shared" si="252"/>
        <v>22.042584946088212</v>
      </c>
      <c r="G196" s="125">
        <f t="shared" si="251"/>
        <v>-0.54554855997561313</v>
      </c>
      <c r="H196" s="124">
        <f t="shared" si="253"/>
        <v>26.461134053911785</v>
      </c>
      <c r="I196" s="94">
        <f t="shared" si="249"/>
        <v>0.54554855997561313</v>
      </c>
      <c r="J196" s="94">
        <f t="shared" si="250"/>
        <v>0.54554855997561313</v>
      </c>
    </row>
    <row r="197" spans="3:10" x14ac:dyDescent="0.25">
      <c r="C197" s="92">
        <v>2012</v>
      </c>
      <c r="D197" s="92" t="s">
        <v>20</v>
      </c>
      <c r="E197" s="135">
        <v>21.277018000000002</v>
      </c>
      <c r="F197" s="124">
        <f t="shared" ref="F197:F206" si="254">EXP(AM18)</f>
        <v>21.308258463202069</v>
      </c>
      <c r="G197" s="125">
        <f t="shared" si="251"/>
        <v>1.4682726311585253E-3</v>
      </c>
      <c r="H197" s="124">
        <f t="shared" si="253"/>
        <v>3.1240463202067303E-2</v>
      </c>
      <c r="I197" s="94">
        <f t="shared" si="249"/>
        <v>1.4682726311585253E-3</v>
      </c>
      <c r="J197" s="94">
        <f t="shared" si="250"/>
        <v>1.4682726311585253E-3</v>
      </c>
    </row>
    <row r="198" spans="3:10" x14ac:dyDescent="0.25">
      <c r="C198" s="92">
        <v>2013</v>
      </c>
      <c r="D198" s="92" t="s">
        <v>20</v>
      </c>
      <c r="E198" s="135">
        <v>94.719412000000005</v>
      </c>
      <c r="F198" s="124">
        <f t="shared" si="254"/>
        <v>59.192701578188306</v>
      </c>
      <c r="G198" s="125">
        <f t="shared" si="251"/>
        <v>-0.37507317319296385</v>
      </c>
      <c r="H198" s="124">
        <f t="shared" si="253"/>
        <v>35.5267104218117</v>
      </c>
      <c r="I198" s="94">
        <f t="shared" si="249"/>
        <v>0.37507317319296385</v>
      </c>
      <c r="J198" s="94">
        <f t="shared" si="250"/>
        <v>0.37507317319296385</v>
      </c>
    </row>
    <row r="199" spans="3:10" x14ac:dyDescent="0.25">
      <c r="C199" s="92">
        <v>2014</v>
      </c>
      <c r="D199" s="92" t="s">
        <v>20</v>
      </c>
      <c r="E199" s="135">
        <v>37.173864700000003</v>
      </c>
      <c r="F199" s="124">
        <f t="shared" si="254"/>
        <v>33.152261928707304</v>
      </c>
      <c r="G199" s="125">
        <f t="shared" si="251"/>
        <v>-0.1081836070515611</v>
      </c>
      <c r="H199" s="124">
        <f t="shared" si="253"/>
        <v>4.0216027712926987</v>
      </c>
      <c r="I199" s="94">
        <f t="shared" si="249"/>
        <v>0.1081836070515611</v>
      </c>
      <c r="J199" s="94">
        <f t="shared" si="250"/>
        <v>0.1081836070515611</v>
      </c>
    </row>
    <row r="200" spans="3:10" x14ac:dyDescent="0.25">
      <c r="C200" s="92">
        <v>2015</v>
      </c>
      <c r="D200" s="92" t="s">
        <v>20</v>
      </c>
      <c r="E200" s="135">
        <v>35.092568</v>
      </c>
      <c r="F200" s="124">
        <f t="shared" si="254"/>
        <v>54.547565175428282</v>
      </c>
      <c r="G200" s="125">
        <f t="shared" si="251"/>
        <v>0.55439080934254459</v>
      </c>
      <c r="H200" s="124">
        <f t="shared" si="253"/>
        <v>19.454997175428282</v>
      </c>
      <c r="I200" s="94">
        <f t="shared" si="249"/>
        <v>0.55439080934254459</v>
      </c>
      <c r="J200" s="94">
        <f t="shared" si="250"/>
        <v>0.55439080934254459</v>
      </c>
    </row>
    <row r="201" spans="3:10" x14ac:dyDescent="0.25">
      <c r="C201" s="92">
        <v>2016</v>
      </c>
      <c r="D201" s="92" t="s">
        <v>20</v>
      </c>
      <c r="E201" s="135">
        <v>18.374199999999998</v>
      </c>
      <c r="F201" s="124">
        <f t="shared" si="254"/>
        <v>18.387836863435755</v>
      </c>
      <c r="G201" s="125">
        <f t="shared" si="251"/>
        <v>7.4217454015721243E-4</v>
      </c>
      <c r="H201" s="124">
        <f t="shared" si="253"/>
        <v>1.3636863435756652E-2</v>
      </c>
      <c r="I201" s="94">
        <f t="shared" si="249"/>
        <v>7.4217454015721243E-4</v>
      </c>
      <c r="J201" s="94">
        <f t="shared" si="250"/>
        <v>7.4217454015721243E-4</v>
      </c>
    </row>
    <row r="202" spans="3:10" x14ac:dyDescent="0.25">
      <c r="C202" s="92">
        <v>2017</v>
      </c>
      <c r="D202" s="92" t="s">
        <v>20</v>
      </c>
      <c r="E202" s="135">
        <v>34.734366000000001</v>
      </c>
      <c r="F202" s="124">
        <f t="shared" si="254"/>
        <v>29.256552735383011</v>
      </c>
      <c r="G202" s="125">
        <f t="shared" si="251"/>
        <v>-0.1577058658452839</v>
      </c>
      <c r="H202" s="124">
        <f t="shared" si="253"/>
        <v>5.4778132646169908</v>
      </c>
      <c r="I202" s="94">
        <f t="shared" si="249"/>
        <v>0.1577058658452839</v>
      </c>
      <c r="J202" s="94">
        <f t="shared" si="250"/>
        <v>0.1577058658452839</v>
      </c>
    </row>
    <row r="203" spans="3:10" x14ac:dyDescent="0.25">
      <c r="C203" s="92">
        <v>2018</v>
      </c>
      <c r="D203" s="92" t="s">
        <v>20</v>
      </c>
      <c r="E203" s="135">
        <v>8.0677000000000003</v>
      </c>
      <c r="F203" s="124">
        <f t="shared" si="254"/>
        <v>10.414654411621454</v>
      </c>
      <c r="G203" s="125">
        <f t="shared" si="251"/>
        <v>0.29090749676133887</v>
      </c>
      <c r="H203" s="124">
        <f t="shared" si="253"/>
        <v>2.3469544116214536</v>
      </c>
      <c r="I203" s="94">
        <f t="shared" si="249"/>
        <v>0.29090749676133887</v>
      </c>
      <c r="J203" s="94">
        <f t="shared" si="250"/>
        <v>0.29090749676133887</v>
      </c>
    </row>
    <row r="204" spans="3:10" x14ac:dyDescent="0.25">
      <c r="C204" s="92">
        <v>2019</v>
      </c>
      <c r="D204" s="92" t="s">
        <v>20</v>
      </c>
      <c r="E204" s="135">
        <v>21.141928</v>
      </c>
      <c r="F204" s="124">
        <f t="shared" si="254"/>
        <v>15.470327921328842</v>
      </c>
      <c r="G204" s="125">
        <f t="shared" si="251"/>
        <v>-0.26826314414991659</v>
      </c>
      <c r="H204" s="124">
        <f t="shared" si="253"/>
        <v>5.6716000786711582</v>
      </c>
      <c r="I204" s="94">
        <f t="shared" si="249"/>
        <v>0.26826314414991659</v>
      </c>
      <c r="J204" s="94">
        <f t="shared" si="250"/>
        <v>0.26826314414991659</v>
      </c>
    </row>
    <row r="205" spans="3:10" x14ac:dyDescent="0.25">
      <c r="C205" s="92">
        <v>2020</v>
      </c>
      <c r="D205" s="92" t="s">
        <v>20</v>
      </c>
      <c r="E205" s="135">
        <v>8.062989</v>
      </c>
      <c r="F205" s="124">
        <f t="shared" si="254"/>
        <v>11.325245279602637</v>
      </c>
      <c r="G205" s="125">
        <f t="shared" si="251"/>
        <v>0.40459639466240582</v>
      </c>
      <c r="H205" s="124">
        <f t="shared" si="253"/>
        <v>3.2622562796026369</v>
      </c>
      <c r="I205" s="94">
        <f t="shared" si="249"/>
        <v>0.40459639466240582</v>
      </c>
      <c r="J205" s="94">
        <f t="shared" si="250"/>
        <v>0.40459639466240582</v>
      </c>
    </row>
    <row r="206" spans="3:10" x14ac:dyDescent="0.25">
      <c r="C206" s="92">
        <v>2021</v>
      </c>
      <c r="D206" s="92" t="s">
        <v>20</v>
      </c>
      <c r="E206" s="135">
        <v>48.503718999999997</v>
      </c>
      <c r="F206" s="124">
        <f t="shared" si="254"/>
        <v>20.298148188297414</v>
      </c>
      <c r="G206" s="125">
        <f t="shared" si="251"/>
        <v>-0.58151357036565765</v>
      </c>
      <c r="H206" s="124">
        <f t="shared" si="253"/>
        <v>28.205570811702582</v>
      </c>
      <c r="I206" s="94">
        <f t="shared" si="249"/>
        <v>0.58151357036565765</v>
      </c>
      <c r="J206" s="94">
        <f t="shared" si="250"/>
        <v>0.58151357036565765</v>
      </c>
    </row>
    <row r="207" spans="3:10" x14ac:dyDescent="0.25">
      <c r="C207" s="92">
        <v>2012</v>
      </c>
      <c r="D207" s="92" t="s">
        <v>21</v>
      </c>
      <c r="E207" s="135">
        <v>21.277018000000002</v>
      </c>
      <c r="F207" s="128">
        <f t="shared" ref="F207:F216" si="255">EXP(AQ18)</f>
        <v>21.972815933057415</v>
      </c>
      <c r="G207" s="125">
        <f t="shared" si="251"/>
        <v>3.2701853852706866E-2</v>
      </c>
      <c r="H207" s="124">
        <f>ABS(E207-F207)</f>
        <v>0.69579793305741333</v>
      </c>
      <c r="I207" s="94">
        <f t="shared" si="249"/>
        <v>3.2701853852706866E-2</v>
      </c>
      <c r="J207" s="94">
        <f t="shared" si="250"/>
        <v>3.2701853852706866E-2</v>
      </c>
    </row>
    <row r="208" spans="3:10" x14ac:dyDescent="0.25">
      <c r="C208" s="92">
        <v>2013</v>
      </c>
      <c r="D208" s="92" t="s">
        <v>21</v>
      </c>
      <c r="E208" s="135">
        <v>94.719412000000005</v>
      </c>
      <c r="F208" s="128">
        <f t="shared" si="255"/>
        <v>62.666041907108145</v>
      </c>
      <c r="G208" s="125">
        <f t="shared" si="251"/>
        <v>-0.3384033897179583</v>
      </c>
      <c r="H208" s="124">
        <f t="shared" ref="H208:H216" si="256">ABS(E208-F208)</f>
        <v>32.053370092891861</v>
      </c>
      <c r="I208" s="94">
        <f t="shared" si="249"/>
        <v>0.3384033897179583</v>
      </c>
      <c r="J208" s="94">
        <f t="shared" si="250"/>
        <v>0.3384033897179583</v>
      </c>
    </row>
    <row r="209" spans="3:10" x14ac:dyDescent="0.25">
      <c r="C209" s="92">
        <v>2014</v>
      </c>
      <c r="D209" s="92" t="s">
        <v>21</v>
      </c>
      <c r="E209" s="135">
        <v>37.173864700000003</v>
      </c>
      <c r="F209" s="128">
        <f t="shared" si="255"/>
        <v>30.150108758102586</v>
      </c>
      <c r="G209" s="125">
        <f t="shared" si="251"/>
        <v>-0.1889433880114546</v>
      </c>
      <c r="H209" s="124">
        <f t="shared" si="256"/>
        <v>7.0237559418974165</v>
      </c>
      <c r="I209" s="94">
        <f t="shared" si="249"/>
        <v>0.1889433880114546</v>
      </c>
      <c r="J209" s="94">
        <f t="shared" si="250"/>
        <v>0.1889433880114546</v>
      </c>
    </row>
    <row r="210" spans="3:10" x14ac:dyDescent="0.25">
      <c r="C210" s="92">
        <v>2015</v>
      </c>
      <c r="D210" s="92" t="s">
        <v>21</v>
      </c>
      <c r="E210" s="135">
        <v>35.092568</v>
      </c>
      <c r="F210" s="128">
        <f t="shared" si="255"/>
        <v>58.1795247474167</v>
      </c>
      <c r="G210" s="125">
        <f t="shared" si="251"/>
        <v>0.65788735516354058</v>
      </c>
      <c r="H210" s="124">
        <f t="shared" si="256"/>
        <v>23.0869567474167</v>
      </c>
      <c r="I210" s="94">
        <f t="shared" si="249"/>
        <v>0.65788735516354058</v>
      </c>
      <c r="J210" s="94">
        <f t="shared" si="250"/>
        <v>0.65788735516354058</v>
      </c>
    </row>
    <row r="211" spans="3:10" x14ac:dyDescent="0.25">
      <c r="C211" s="92">
        <v>2016</v>
      </c>
      <c r="D211" s="92" t="s">
        <v>21</v>
      </c>
      <c r="E211" s="135">
        <v>18.374199999999998</v>
      </c>
      <c r="F211" s="128">
        <f t="shared" si="255"/>
        <v>22.95073137939012</v>
      </c>
      <c r="G211" s="125">
        <f t="shared" si="251"/>
        <v>0.24907377624006066</v>
      </c>
      <c r="H211" s="124">
        <f t="shared" si="256"/>
        <v>4.5765313793901221</v>
      </c>
      <c r="I211" s="94">
        <f t="shared" si="249"/>
        <v>0.24907377624006066</v>
      </c>
      <c r="J211" s="94">
        <f t="shared" si="250"/>
        <v>0.24907377624006066</v>
      </c>
    </row>
    <row r="212" spans="3:10" x14ac:dyDescent="0.25">
      <c r="C212" s="92">
        <v>2017</v>
      </c>
      <c r="D212" s="92" t="s">
        <v>21</v>
      </c>
      <c r="E212" s="135">
        <v>34.734366000000001</v>
      </c>
      <c r="F212" s="128">
        <f t="shared" si="255"/>
        <v>34.068941523612814</v>
      </c>
      <c r="G212" s="125">
        <f t="shared" si="251"/>
        <v>-1.9157524751918238E-2</v>
      </c>
      <c r="H212" s="124">
        <f t="shared" si="256"/>
        <v>0.66542447638718727</v>
      </c>
      <c r="I212" s="94">
        <f t="shared" si="249"/>
        <v>1.9157524751918238E-2</v>
      </c>
      <c r="J212" s="94">
        <f t="shared" si="250"/>
        <v>1.9157524751918238E-2</v>
      </c>
    </row>
    <row r="213" spans="3:10" x14ac:dyDescent="0.25">
      <c r="C213" s="92">
        <v>2018</v>
      </c>
      <c r="D213" s="92" t="s">
        <v>21</v>
      </c>
      <c r="E213" s="135">
        <v>8.0677000000000003</v>
      </c>
      <c r="F213" s="128">
        <f t="shared" si="255"/>
        <v>11.892416390567629</v>
      </c>
      <c r="G213" s="125">
        <f t="shared" si="251"/>
        <v>0.47407766656762501</v>
      </c>
      <c r="H213" s="124">
        <f t="shared" si="256"/>
        <v>3.8247163905676285</v>
      </c>
      <c r="I213" s="94">
        <f t="shared" ref="I213:I244" si="257">ABS((E213-F213)/E213)</f>
        <v>0.47407766656762501</v>
      </c>
      <c r="J213" s="94">
        <f t="shared" ref="J213:J244" si="258">ABS(G213)</f>
        <v>0.47407766656762501</v>
      </c>
    </row>
    <row r="214" spans="3:10" x14ac:dyDescent="0.25">
      <c r="C214" s="92">
        <v>2019</v>
      </c>
      <c r="D214" s="92" t="s">
        <v>21</v>
      </c>
      <c r="E214" s="135">
        <v>21.141928</v>
      </c>
      <c r="F214" s="128">
        <f t="shared" si="255"/>
        <v>15.657500887703074</v>
      </c>
      <c r="G214" s="125">
        <f t="shared" si="251"/>
        <v>-0.25940997965260904</v>
      </c>
      <c r="H214" s="124">
        <f t="shared" si="256"/>
        <v>5.4844271122969257</v>
      </c>
      <c r="I214" s="94">
        <f t="shared" si="257"/>
        <v>0.25940997965260904</v>
      </c>
      <c r="J214" s="94">
        <f t="shared" si="258"/>
        <v>0.25940997965260904</v>
      </c>
    </row>
    <row r="215" spans="3:10" x14ac:dyDescent="0.25">
      <c r="C215" s="92">
        <v>2020</v>
      </c>
      <c r="D215" s="92" t="s">
        <v>21</v>
      </c>
      <c r="E215" s="135">
        <v>8.062989</v>
      </c>
      <c r="F215" s="128">
        <f t="shared" si="255"/>
        <v>11.315757440813721</v>
      </c>
      <c r="G215" s="125">
        <f t="shared" si="251"/>
        <v>0.40341967982515181</v>
      </c>
      <c r="H215" s="124">
        <f t="shared" si="256"/>
        <v>3.2527684408137212</v>
      </c>
      <c r="I215" s="94">
        <f t="shared" si="257"/>
        <v>0.40341967982515181</v>
      </c>
      <c r="J215" s="94">
        <f t="shared" si="258"/>
        <v>0.40341967982515181</v>
      </c>
    </row>
    <row r="216" spans="3:10" x14ac:dyDescent="0.25">
      <c r="C216" s="92">
        <v>2021</v>
      </c>
      <c r="D216" s="92" t="s">
        <v>21</v>
      </c>
      <c r="E216" s="135">
        <v>48.503718999999997</v>
      </c>
      <c r="F216" s="128">
        <f t="shared" si="255"/>
        <v>21.957046475275718</v>
      </c>
      <c r="G216" s="125">
        <f t="shared" si="251"/>
        <v>-0.54731210455685431</v>
      </c>
      <c r="H216" s="124">
        <f t="shared" si="256"/>
        <v>26.546672524724279</v>
      </c>
      <c r="I216" s="94">
        <f t="shared" si="257"/>
        <v>0.54731210455685431</v>
      </c>
      <c r="J216" s="94">
        <f t="shared" si="258"/>
        <v>0.54731210455685431</v>
      </c>
    </row>
    <row r="217" spans="3:10" x14ac:dyDescent="0.25">
      <c r="C217" s="92">
        <v>2012</v>
      </c>
      <c r="D217" s="92" t="s">
        <v>22</v>
      </c>
      <c r="E217" s="135">
        <v>21.277018000000002</v>
      </c>
      <c r="F217" s="128">
        <f t="shared" ref="F217:F226" si="259">EXP(AU18)</f>
        <v>19.781036171949193</v>
      </c>
      <c r="G217" s="125">
        <f t="shared" si="251"/>
        <v>-7.0309750551078576E-2</v>
      </c>
      <c r="H217" s="124">
        <f>ABS(E217-F217)</f>
        <v>1.4959818280508088</v>
      </c>
      <c r="I217" s="94">
        <f t="shared" si="257"/>
        <v>7.0309750551078576E-2</v>
      </c>
      <c r="J217" s="94">
        <f t="shared" si="258"/>
        <v>7.0309750551078576E-2</v>
      </c>
    </row>
    <row r="218" spans="3:10" x14ac:dyDescent="0.25">
      <c r="C218" s="92">
        <v>2013</v>
      </c>
      <c r="D218" s="92" t="s">
        <v>22</v>
      </c>
      <c r="E218" s="135">
        <v>94.719412000000005</v>
      </c>
      <c r="F218" s="128">
        <f t="shared" si="259"/>
        <v>60.2568191406273</v>
      </c>
      <c r="G218" s="125">
        <f t="shared" si="251"/>
        <v>-0.36383875418665712</v>
      </c>
      <c r="H218" s="124">
        <f t="shared" ref="H218:H236" si="260">ABS(E218-F218)</f>
        <v>34.462592859372705</v>
      </c>
      <c r="I218" s="94">
        <f t="shared" si="257"/>
        <v>0.36383875418665712</v>
      </c>
      <c r="J218" s="94">
        <f t="shared" si="258"/>
        <v>0.36383875418665712</v>
      </c>
    </row>
    <row r="219" spans="3:10" x14ac:dyDescent="0.25">
      <c r="C219" s="92">
        <v>2014</v>
      </c>
      <c r="D219" s="92" t="s">
        <v>22</v>
      </c>
      <c r="E219" s="135">
        <v>37.173864700000003</v>
      </c>
      <c r="F219" s="128">
        <f t="shared" si="259"/>
        <v>38.14486749413603</v>
      </c>
      <c r="G219" s="125">
        <f t="shared" si="251"/>
        <v>2.6120576969120634E-2</v>
      </c>
      <c r="H219" s="124">
        <f t="shared" si="260"/>
        <v>0.97100279413602664</v>
      </c>
      <c r="I219" s="94">
        <f t="shared" si="257"/>
        <v>2.6120576969120634E-2</v>
      </c>
      <c r="J219" s="94">
        <f t="shared" si="258"/>
        <v>2.6120576969120634E-2</v>
      </c>
    </row>
    <row r="220" spans="3:10" x14ac:dyDescent="0.25">
      <c r="C220" s="92">
        <v>2015</v>
      </c>
      <c r="D220" s="92" t="s">
        <v>22</v>
      </c>
      <c r="E220" s="135">
        <v>35.092568</v>
      </c>
      <c r="F220" s="128">
        <f t="shared" si="259"/>
        <v>41.215987799922239</v>
      </c>
      <c r="G220" s="125">
        <f t="shared" si="251"/>
        <v>0.17449335141053909</v>
      </c>
      <c r="H220" s="124">
        <f t="shared" si="260"/>
        <v>6.1234197999222388</v>
      </c>
      <c r="I220" s="94">
        <f t="shared" si="257"/>
        <v>0.17449335141053909</v>
      </c>
      <c r="J220" s="94">
        <f t="shared" si="258"/>
        <v>0.17449335141053909</v>
      </c>
    </row>
    <row r="221" spans="3:10" x14ac:dyDescent="0.25">
      <c r="C221" s="92">
        <v>2016</v>
      </c>
      <c r="D221" s="92" t="s">
        <v>22</v>
      </c>
      <c r="E221" s="135">
        <v>18.374199999999998</v>
      </c>
      <c r="F221" s="128">
        <f t="shared" si="259"/>
        <v>13.757837522328424</v>
      </c>
      <c r="G221" s="125">
        <f t="shared" si="251"/>
        <v>-0.25124154943734012</v>
      </c>
      <c r="H221" s="124">
        <f t="shared" si="260"/>
        <v>4.6163624776715739</v>
      </c>
      <c r="I221" s="94">
        <f t="shared" si="257"/>
        <v>0.25124154943734012</v>
      </c>
      <c r="J221" s="94">
        <f t="shared" si="258"/>
        <v>0.25124154943734012</v>
      </c>
    </row>
    <row r="222" spans="3:10" x14ac:dyDescent="0.25">
      <c r="C222" s="92">
        <v>2017</v>
      </c>
      <c r="D222" s="92" t="s">
        <v>22</v>
      </c>
      <c r="E222" s="135">
        <v>34.734366000000001</v>
      </c>
      <c r="F222" s="128">
        <f t="shared" si="259"/>
        <v>39.525040146294472</v>
      </c>
      <c r="G222" s="125">
        <f t="shared" si="251"/>
        <v>0.13792317805065077</v>
      </c>
      <c r="H222" s="124">
        <f t="shared" si="260"/>
        <v>4.7906741462944709</v>
      </c>
      <c r="I222" s="94">
        <f t="shared" si="257"/>
        <v>0.13792317805065077</v>
      </c>
      <c r="J222" s="94">
        <f t="shared" si="258"/>
        <v>0.13792317805065077</v>
      </c>
    </row>
    <row r="223" spans="3:10" x14ac:dyDescent="0.25">
      <c r="C223" s="92">
        <v>2018</v>
      </c>
      <c r="D223" s="92" t="s">
        <v>22</v>
      </c>
      <c r="E223" s="135">
        <v>8.0677000000000003</v>
      </c>
      <c r="F223" s="128">
        <f t="shared" si="259"/>
        <v>9.444729015082288</v>
      </c>
      <c r="G223" s="125">
        <f t="shared" si="251"/>
        <v>0.17068421174340737</v>
      </c>
      <c r="H223" s="124">
        <f t="shared" si="260"/>
        <v>1.3770290150822877</v>
      </c>
      <c r="I223" s="94">
        <f t="shared" si="257"/>
        <v>0.17068421174340737</v>
      </c>
      <c r="J223" s="94">
        <f t="shared" si="258"/>
        <v>0.17068421174340737</v>
      </c>
    </row>
    <row r="224" spans="3:10" x14ac:dyDescent="0.25">
      <c r="C224" s="92">
        <v>2019</v>
      </c>
      <c r="D224" s="92" t="s">
        <v>22</v>
      </c>
      <c r="E224" s="135">
        <v>21.141928</v>
      </c>
      <c r="F224" s="128">
        <f t="shared" si="259"/>
        <v>15.040753626039384</v>
      </c>
      <c r="G224" s="125">
        <f t="shared" si="251"/>
        <v>-0.28858174022542388</v>
      </c>
      <c r="H224" s="124">
        <f t="shared" si="260"/>
        <v>6.1011743739606157</v>
      </c>
      <c r="I224" s="94">
        <f t="shared" si="257"/>
        <v>0.28858174022542388</v>
      </c>
      <c r="J224" s="94">
        <f t="shared" si="258"/>
        <v>0.28858174022542388</v>
      </c>
    </row>
    <row r="225" spans="3:10" x14ac:dyDescent="0.25">
      <c r="C225" s="92">
        <v>2020</v>
      </c>
      <c r="D225" s="92" t="s">
        <v>22</v>
      </c>
      <c r="E225" s="135">
        <v>8.062989</v>
      </c>
      <c r="F225" s="128">
        <f t="shared" si="259"/>
        <v>10.479108411407804</v>
      </c>
      <c r="G225" s="125">
        <f t="shared" si="251"/>
        <v>0.29965555098832503</v>
      </c>
      <c r="H225" s="124">
        <f t="shared" si="260"/>
        <v>2.416119411407804</v>
      </c>
      <c r="I225" s="94">
        <f t="shared" si="257"/>
        <v>0.29965555098832503</v>
      </c>
      <c r="J225" s="94">
        <f t="shared" si="258"/>
        <v>0.29965555098832503</v>
      </c>
    </row>
    <row r="226" spans="3:10" x14ac:dyDescent="0.25">
      <c r="C226" s="92">
        <v>2021</v>
      </c>
      <c r="D226" s="92" t="s">
        <v>22</v>
      </c>
      <c r="E226" s="135">
        <v>48.503718999999997</v>
      </c>
      <c r="F226" s="128">
        <f t="shared" si="259"/>
        <v>17.560547775511097</v>
      </c>
      <c r="G226" s="125">
        <f t="shared" si="251"/>
        <v>-0.63795461177912771</v>
      </c>
      <c r="H226" s="124">
        <f t="shared" si="260"/>
        <v>30.9431712244889</v>
      </c>
      <c r="I226" s="94">
        <f t="shared" si="257"/>
        <v>0.63795461177912771</v>
      </c>
      <c r="J226" s="94">
        <f t="shared" si="258"/>
        <v>0.63795461177912771</v>
      </c>
    </row>
    <row r="227" spans="3:10" x14ac:dyDescent="0.25">
      <c r="C227" s="92">
        <v>2012</v>
      </c>
      <c r="D227" s="92" t="s">
        <v>23</v>
      </c>
      <c r="E227" s="135">
        <v>21.277018000000002</v>
      </c>
      <c r="F227" s="124">
        <f t="shared" ref="F227:F236" si="261">EXP(AY18)</f>
        <v>20.947657705362754</v>
      </c>
      <c r="G227" s="125">
        <f t="shared" si="251"/>
        <v>-1.5479626639280342E-2</v>
      </c>
      <c r="H227" s="124">
        <f t="shared" si="260"/>
        <v>0.32936029463724736</v>
      </c>
      <c r="I227" s="94">
        <f t="shared" si="257"/>
        <v>1.5479626639280342E-2</v>
      </c>
      <c r="J227" s="94">
        <f t="shared" si="258"/>
        <v>1.5479626639280342E-2</v>
      </c>
    </row>
    <row r="228" spans="3:10" x14ac:dyDescent="0.25">
      <c r="C228" s="92">
        <v>2013</v>
      </c>
      <c r="D228" s="92" t="s">
        <v>23</v>
      </c>
      <c r="E228" s="135">
        <v>94.719412000000005</v>
      </c>
      <c r="F228" s="124">
        <f t="shared" si="261"/>
        <v>61.660271793197559</v>
      </c>
      <c r="G228" s="125">
        <f t="shared" si="251"/>
        <v>-0.349021805654816</v>
      </c>
      <c r="H228" s="124">
        <f t="shared" si="260"/>
        <v>33.059140206802446</v>
      </c>
      <c r="I228" s="94">
        <f t="shared" si="257"/>
        <v>0.349021805654816</v>
      </c>
      <c r="J228" s="94">
        <f t="shared" si="258"/>
        <v>0.349021805654816</v>
      </c>
    </row>
    <row r="229" spans="3:10" x14ac:dyDescent="0.25">
      <c r="C229" s="92">
        <v>2014</v>
      </c>
      <c r="D229" s="92" t="s">
        <v>23</v>
      </c>
      <c r="E229" s="135">
        <v>37.173864700000003</v>
      </c>
      <c r="F229" s="124">
        <f t="shared" si="261"/>
        <v>28.30206796052699</v>
      </c>
      <c r="G229" s="125">
        <f t="shared" si="251"/>
        <v>-0.23865683084258418</v>
      </c>
      <c r="H229" s="124">
        <f t="shared" si="260"/>
        <v>8.8717967394730124</v>
      </c>
      <c r="I229" s="94">
        <f t="shared" si="257"/>
        <v>0.23865683084258418</v>
      </c>
      <c r="J229" s="94">
        <f t="shared" si="258"/>
        <v>0.23865683084258418</v>
      </c>
    </row>
    <row r="230" spans="3:10" x14ac:dyDescent="0.25">
      <c r="C230" s="92">
        <v>2015</v>
      </c>
      <c r="D230" s="92" t="s">
        <v>23</v>
      </c>
      <c r="E230" s="135">
        <v>35.092568</v>
      </c>
      <c r="F230" s="124">
        <f t="shared" si="261"/>
        <v>54.11354877838297</v>
      </c>
      <c r="G230" s="125">
        <f t="shared" si="251"/>
        <v>0.54202305110252891</v>
      </c>
      <c r="H230" s="124">
        <f t="shared" si="260"/>
        <v>19.02098077838297</v>
      </c>
      <c r="I230" s="94">
        <f t="shared" si="257"/>
        <v>0.54202305110252891</v>
      </c>
      <c r="J230" s="94">
        <f t="shared" si="258"/>
        <v>0.54202305110252891</v>
      </c>
    </row>
    <row r="231" spans="3:10" x14ac:dyDescent="0.25">
      <c r="C231" s="92">
        <v>2016</v>
      </c>
      <c r="D231" s="92" t="s">
        <v>23</v>
      </c>
      <c r="E231" s="135">
        <v>18.374199999999998</v>
      </c>
      <c r="F231" s="124">
        <f t="shared" si="261"/>
        <v>20.598819194375913</v>
      </c>
      <c r="G231" s="125">
        <f t="shared" si="251"/>
        <v>0.12107298246323188</v>
      </c>
      <c r="H231" s="124">
        <f t="shared" si="260"/>
        <v>2.224619194375915</v>
      </c>
      <c r="I231" s="94">
        <f t="shared" si="257"/>
        <v>0.12107298246323188</v>
      </c>
      <c r="J231" s="94">
        <f t="shared" si="258"/>
        <v>0.12107298246323188</v>
      </c>
    </row>
    <row r="232" spans="3:10" x14ac:dyDescent="0.25">
      <c r="C232" s="92">
        <v>2017</v>
      </c>
      <c r="D232" s="92" t="s">
        <v>23</v>
      </c>
      <c r="E232" s="135">
        <v>34.734366000000001</v>
      </c>
      <c r="F232" s="124">
        <f t="shared" si="261"/>
        <v>40.063491482431573</v>
      </c>
      <c r="G232" s="125">
        <f t="shared" si="251"/>
        <v>0.15342515485762923</v>
      </c>
      <c r="H232" s="124">
        <f t="shared" si="260"/>
        <v>5.3291254824315715</v>
      </c>
      <c r="I232" s="94">
        <f t="shared" si="257"/>
        <v>0.15342515485762923</v>
      </c>
      <c r="J232" s="94">
        <f t="shared" si="258"/>
        <v>0.15342515485762923</v>
      </c>
    </row>
    <row r="233" spans="3:10" x14ac:dyDescent="0.25">
      <c r="C233" s="92">
        <v>2018</v>
      </c>
      <c r="D233" s="92" t="s">
        <v>23</v>
      </c>
      <c r="E233" s="135">
        <v>8.0677000000000003</v>
      </c>
      <c r="F233" s="124">
        <f t="shared" si="261"/>
        <v>12.062220022431708</v>
      </c>
      <c r="G233" s="125">
        <f t="shared" si="251"/>
        <v>0.49512500742859894</v>
      </c>
      <c r="H233" s="124">
        <f t="shared" si="260"/>
        <v>3.9945200224317077</v>
      </c>
      <c r="I233" s="94">
        <f t="shared" si="257"/>
        <v>0.49512500742859894</v>
      </c>
      <c r="J233" s="94">
        <f t="shared" si="258"/>
        <v>0.49512500742859894</v>
      </c>
    </row>
    <row r="234" spans="3:10" x14ac:dyDescent="0.25">
      <c r="C234" s="92">
        <v>2019</v>
      </c>
      <c r="D234" s="92" t="s">
        <v>23</v>
      </c>
      <c r="E234" s="135">
        <v>21.141928</v>
      </c>
      <c r="F234" s="124">
        <f t="shared" si="261"/>
        <v>14.125086679646323</v>
      </c>
      <c r="G234" s="125">
        <f t="shared" si="251"/>
        <v>-0.33189221533408292</v>
      </c>
      <c r="H234" s="124">
        <f t="shared" si="260"/>
        <v>7.0168413203536772</v>
      </c>
      <c r="I234" s="94">
        <f t="shared" si="257"/>
        <v>0.33189221533408292</v>
      </c>
      <c r="J234" s="94">
        <f t="shared" si="258"/>
        <v>0.33189221533408292</v>
      </c>
    </row>
    <row r="235" spans="3:10" x14ac:dyDescent="0.25">
      <c r="C235" s="92">
        <v>2020</v>
      </c>
      <c r="D235" s="92" t="s">
        <v>23</v>
      </c>
      <c r="E235" s="135">
        <v>8.062989</v>
      </c>
      <c r="F235" s="124">
        <f t="shared" si="261"/>
        <v>10.751908540633393</v>
      </c>
      <c r="G235" s="125">
        <f t="shared" si="251"/>
        <v>0.33348917388246374</v>
      </c>
      <c r="H235" s="124">
        <f t="shared" si="260"/>
        <v>2.6889195406333926</v>
      </c>
      <c r="I235" s="94">
        <f t="shared" si="257"/>
        <v>0.33348917388246374</v>
      </c>
      <c r="J235" s="94">
        <f t="shared" si="258"/>
        <v>0.33348917388246374</v>
      </c>
    </row>
    <row r="236" spans="3:10" x14ac:dyDescent="0.25">
      <c r="C236" s="92">
        <v>2021</v>
      </c>
      <c r="D236" s="92" t="s">
        <v>23</v>
      </c>
      <c r="E236" s="135">
        <v>48.503718999999997</v>
      </c>
      <c r="F236" s="124">
        <f t="shared" si="261"/>
        <v>21.700007613366179</v>
      </c>
      <c r="G236" s="125">
        <f t="shared" si="251"/>
        <v>-0.5526114685480884</v>
      </c>
      <c r="H236" s="124">
        <f t="shared" si="260"/>
        <v>26.803711386633818</v>
      </c>
      <c r="I236" s="94">
        <f t="shared" si="257"/>
        <v>0.5526114685480884</v>
      </c>
      <c r="J236" s="94">
        <f t="shared" si="258"/>
        <v>0.5526114685480884</v>
      </c>
    </row>
    <row r="237" spans="3:10" x14ac:dyDescent="0.25">
      <c r="C237" s="92">
        <v>2012</v>
      </c>
      <c r="D237" s="92" t="s">
        <v>24</v>
      </c>
      <c r="E237" s="135">
        <v>21.277018000000002</v>
      </c>
      <c r="F237" s="128">
        <f t="shared" ref="F237:F246" si="262">EXP(BC18)</f>
        <v>18.725046900963523</v>
      </c>
      <c r="G237" s="125">
        <f t="shared" si="251"/>
        <v>-0.11994026132028832</v>
      </c>
      <c r="H237" s="124">
        <f>ABS(E237-F237)</f>
        <v>2.5519710990364786</v>
      </c>
      <c r="I237" s="94">
        <f t="shared" si="257"/>
        <v>0.11994026132028832</v>
      </c>
      <c r="J237" s="94">
        <f t="shared" si="258"/>
        <v>0.11994026132028832</v>
      </c>
    </row>
    <row r="238" spans="3:10" x14ac:dyDescent="0.25">
      <c r="C238" s="92">
        <v>2013</v>
      </c>
      <c r="D238" s="92" t="s">
        <v>24</v>
      </c>
      <c r="E238" s="135">
        <v>94.719412000000005</v>
      </c>
      <c r="F238" s="128">
        <f t="shared" si="262"/>
        <v>60.491939619770122</v>
      </c>
      <c r="G238" s="125">
        <f t="shared" si="251"/>
        <v>-0.36135647020517697</v>
      </c>
      <c r="H238" s="124">
        <f t="shared" ref="H238:H246" si="263">ABS(E238-F238)</f>
        <v>34.227472380229884</v>
      </c>
      <c r="I238" s="94">
        <f t="shared" si="257"/>
        <v>0.36135647020517697</v>
      </c>
      <c r="J238" s="94">
        <f t="shared" si="258"/>
        <v>0.36135647020517697</v>
      </c>
    </row>
    <row r="239" spans="3:10" x14ac:dyDescent="0.25">
      <c r="C239" s="92">
        <v>2014</v>
      </c>
      <c r="D239" s="92" t="s">
        <v>24</v>
      </c>
      <c r="E239" s="135">
        <v>37.173864700000003</v>
      </c>
      <c r="F239" s="128">
        <f t="shared" si="262"/>
        <v>33.38549315213195</v>
      </c>
      <c r="G239" s="125">
        <f t="shared" si="251"/>
        <v>-0.10190954258969077</v>
      </c>
      <c r="H239" s="124">
        <f t="shared" si="263"/>
        <v>3.7883715478680529</v>
      </c>
      <c r="I239" s="94">
        <f t="shared" si="257"/>
        <v>0.10190954258969077</v>
      </c>
      <c r="J239" s="94">
        <f t="shared" si="258"/>
        <v>0.10190954258969077</v>
      </c>
    </row>
    <row r="240" spans="3:10" x14ac:dyDescent="0.25">
      <c r="C240" s="92">
        <v>2015</v>
      </c>
      <c r="D240" s="92" t="s">
        <v>24</v>
      </c>
      <c r="E240" s="135">
        <v>35.092568</v>
      </c>
      <c r="F240" s="128">
        <f t="shared" si="262"/>
        <v>54.098350244393423</v>
      </c>
      <c r="G240" s="125">
        <f t="shared" si="251"/>
        <v>0.54158995273282429</v>
      </c>
      <c r="H240" s="124">
        <f t="shared" si="263"/>
        <v>19.005782244393423</v>
      </c>
      <c r="I240" s="94">
        <f t="shared" si="257"/>
        <v>0.54158995273282429</v>
      </c>
      <c r="J240" s="94">
        <f t="shared" si="258"/>
        <v>0.54158995273282429</v>
      </c>
    </row>
    <row r="241" spans="3:10" x14ac:dyDescent="0.25">
      <c r="C241" s="92">
        <v>2016</v>
      </c>
      <c r="D241" s="92" t="s">
        <v>24</v>
      </c>
      <c r="E241" s="135">
        <v>18.374199999999998</v>
      </c>
      <c r="F241" s="128">
        <f t="shared" si="262"/>
        <v>14.241954851337699</v>
      </c>
      <c r="G241" s="125">
        <f t="shared" si="251"/>
        <v>-0.2248938810213397</v>
      </c>
      <c r="H241" s="124">
        <f t="shared" si="263"/>
        <v>4.1322451486622995</v>
      </c>
      <c r="I241" s="94">
        <f t="shared" si="257"/>
        <v>0.2248938810213397</v>
      </c>
      <c r="J241" s="94">
        <f t="shared" si="258"/>
        <v>0.2248938810213397</v>
      </c>
    </row>
    <row r="242" spans="3:10" x14ac:dyDescent="0.25">
      <c r="C242" s="92">
        <v>2017</v>
      </c>
      <c r="D242" s="92" t="s">
        <v>24</v>
      </c>
      <c r="E242" s="135">
        <v>34.734366000000001</v>
      </c>
      <c r="F242" s="128">
        <f t="shared" si="262"/>
        <v>32.886608029483064</v>
      </c>
      <c r="G242" s="125">
        <f t="shared" si="251"/>
        <v>-5.3196824450946867E-2</v>
      </c>
      <c r="H242" s="124">
        <f t="shared" si="263"/>
        <v>1.8477579705169376</v>
      </c>
      <c r="I242" s="94">
        <f t="shared" si="257"/>
        <v>5.3196824450946867E-2</v>
      </c>
      <c r="J242" s="94">
        <f t="shared" si="258"/>
        <v>5.3196824450946867E-2</v>
      </c>
    </row>
    <row r="243" spans="3:10" x14ac:dyDescent="0.25">
      <c r="C243" s="92">
        <v>2018</v>
      </c>
      <c r="D243" s="92" t="s">
        <v>24</v>
      </c>
      <c r="E243" s="135">
        <v>8.0677000000000003</v>
      </c>
      <c r="F243" s="128">
        <f t="shared" si="262"/>
        <v>9.6911925167809603</v>
      </c>
      <c r="G243" s="125">
        <f t="shared" si="251"/>
        <v>0.20123362504567099</v>
      </c>
      <c r="H243" s="124">
        <f t="shared" si="263"/>
        <v>1.62349251678096</v>
      </c>
      <c r="I243" s="94">
        <f t="shared" si="257"/>
        <v>0.20123362504567099</v>
      </c>
      <c r="J243" s="94">
        <f t="shared" si="258"/>
        <v>0.20123362504567099</v>
      </c>
    </row>
    <row r="244" spans="3:10" x14ac:dyDescent="0.25">
      <c r="C244" s="92">
        <v>2019</v>
      </c>
      <c r="D244" s="92" t="s">
        <v>24</v>
      </c>
      <c r="E244" s="135">
        <v>21.141928</v>
      </c>
      <c r="F244" s="128">
        <f t="shared" si="262"/>
        <v>14.93643951064815</v>
      </c>
      <c r="G244" s="125">
        <f t="shared" si="251"/>
        <v>-0.29351573278235793</v>
      </c>
      <c r="H244" s="124">
        <f t="shared" si="263"/>
        <v>6.2054884893518505</v>
      </c>
      <c r="I244" s="94">
        <f t="shared" si="257"/>
        <v>0.29351573278235793</v>
      </c>
      <c r="J244" s="94">
        <f t="shared" si="258"/>
        <v>0.29351573278235793</v>
      </c>
    </row>
    <row r="245" spans="3:10" x14ac:dyDescent="0.25">
      <c r="C245" s="92">
        <v>2020</v>
      </c>
      <c r="D245" s="92" t="s">
        <v>24</v>
      </c>
      <c r="E245" s="135">
        <v>8.062989</v>
      </c>
      <c r="F245" s="128">
        <f t="shared" si="262"/>
        <v>10.204331623414877</v>
      </c>
      <c r="G245" s="125">
        <f t="shared" si="251"/>
        <v>0.26557677598405216</v>
      </c>
      <c r="H245" s="124">
        <f t="shared" si="263"/>
        <v>2.1413426234148769</v>
      </c>
      <c r="I245" s="94">
        <f t="shared" ref="I245:I276" si="264">ABS((E245-F245)/E245)</f>
        <v>0.26557677598405216</v>
      </c>
      <c r="J245" s="94">
        <f t="shared" ref="J245:J276" si="265">ABS(G245)</f>
        <v>0.26557677598405216</v>
      </c>
    </row>
    <row r="246" spans="3:10" x14ac:dyDescent="0.25">
      <c r="C246" s="92">
        <v>2021</v>
      </c>
      <c r="D246" s="92" t="s">
        <v>24</v>
      </c>
      <c r="E246" s="135">
        <v>48.503718999999997</v>
      </c>
      <c r="F246" s="128">
        <f t="shared" si="262"/>
        <v>20.663868723408665</v>
      </c>
      <c r="G246" s="125">
        <f t="shared" ref="G246:G296" si="266">(F246-E246)/E246</f>
        <v>-0.57397351894998672</v>
      </c>
      <c r="H246" s="124">
        <f t="shared" si="263"/>
        <v>27.839850276591331</v>
      </c>
      <c r="I246" s="94">
        <f t="shared" si="264"/>
        <v>0.57397351894998672</v>
      </c>
      <c r="J246" s="94">
        <f t="shared" si="265"/>
        <v>0.57397351894998672</v>
      </c>
    </row>
    <row r="247" spans="3:10" x14ac:dyDescent="0.25">
      <c r="C247" s="92">
        <v>2012</v>
      </c>
      <c r="D247" s="92" t="s">
        <v>25</v>
      </c>
      <c r="E247" s="135">
        <v>21.277018000000002</v>
      </c>
      <c r="F247" s="128">
        <f t="shared" ref="F247:F256" si="267">EXP(BG18)</f>
        <v>20.836194312924398</v>
      </c>
      <c r="G247" s="125">
        <f t="shared" si="266"/>
        <v>-2.0718302117129547E-2</v>
      </c>
      <c r="H247" s="124">
        <f>ABS(E247-F247)</f>
        <v>0.44082368707560349</v>
      </c>
      <c r="I247" s="94">
        <f t="shared" si="264"/>
        <v>2.0718302117129547E-2</v>
      </c>
      <c r="J247" s="94">
        <f t="shared" si="265"/>
        <v>2.0718302117129547E-2</v>
      </c>
    </row>
    <row r="248" spans="3:10" x14ac:dyDescent="0.25">
      <c r="C248" s="92">
        <v>2013</v>
      </c>
      <c r="D248" s="92" t="s">
        <v>25</v>
      </c>
      <c r="E248" s="135">
        <v>94.719412000000005</v>
      </c>
      <c r="F248" s="128">
        <f t="shared" si="267"/>
        <v>62.631890807435816</v>
      </c>
      <c r="G248" s="125">
        <f t="shared" si="266"/>
        <v>-0.33876393988345482</v>
      </c>
      <c r="H248" s="124">
        <f t="shared" ref="H248:H266" si="268">ABS(E248-F248)</f>
        <v>32.087521192564189</v>
      </c>
      <c r="I248" s="94">
        <f t="shared" si="264"/>
        <v>0.33876393988345482</v>
      </c>
      <c r="J248" s="94">
        <f t="shared" si="265"/>
        <v>0.33876393988345482</v>
      </c>
    </row>
    <row r="249" spans="3:10" x14ac:dyDescent="0.25">
      <c r="C249" s="92">
        <v>2014</v>
      </c>
      <c r="D249" s="92" t="s">
        <v>25</v>
      </c>
      <c r="E249" s="135">
        <v>37.173864700000003</v>
      </c>
      <c r="F249" s="128">
        <f t="shared" si="267"/>
        <v>29.802990893179171</v>
      </c>
      <c r="G249" s="125">
        <f t="shared" si="266"/>
        <v>-0.19828107371415787</v>
      </c>
      <c r="H249" s="124">
        <f t="shared" si="268"/>
        <v>7.3708738068208319</v>
      </c>
      <c r="I249" s="94">
        <f t="shared" si="264"/>
        <v>0.19828107371415787</v>
      </c>
      <c r="J249" s="94">
        <f t="shared" si="265"/>
        <v>0.19828107371415787</v>
      </c>
    </row>
    <row r="250" spans="3:10" x14ac:dyDescent="0.25">
      <c r="C250" s="92">
        <v>2015</v>
      </c>
      <c r="D250" s="92" t="s">
        <v>25</v>
      </c>
      <c r="E250" s="135">
        <v>35.092568</v>
      </c>
      <c r="F250" s="128">
        <f t="shared" si="267"/>
        <v>57.268286737007749</v>
      </c>
      <c r="G250" s="125">
        <f t="shared" si="266"/>
        <v>0.63192066015253567</v>
      </c>
      <c r="H250" s="124">
        <f t="shared" si="268"/>
        <v>22.175718737007749</v>
      </c>
      <c r="I250" s="94">
        <f t="shared" si="264"/>
        <v>0.63192066015253567</v>
      </c>
      <c r="J250" s="94">
        <f t="shared" si="265"/>
        <v>0.63192066015253567</v>
      </c>
    </row>
    <row r="251" spans="3:10" x14ac:dyDescent="0.25">
      <c r="C251" s="92">
        <v>2016</v>
      </c>
      <c r="D251" s="92" t="s">
        <v>25</v>
      </c>
      <c r="E251" s="135">
        <v>18.374199999999998</v>
      </c>
      <c r="F251" s="128">
        <f t="shared" si="267"/>
        <v>18.590530009977194</v>
      </c>
      <c r="G251" s="125">
        <f t="shared" si="266"/>
        <v>1.1773574358458884E-2</v>
      </c>
      <c r="H251" s="124">
        <f t="shared" si="268"/>
        <v>0.2163300099771952</v>
      </c>
      <c r="I251" s="94">
        <f t="shared" si="264"/>
        <v>1.1773574358458884E-2</v>
      </c>
      <c r="J251" s="94">
        <f t="shared" si="265"/>
        <v>1.1773574358458884E-2</v>
      </c>
    </row>
    <row r="252" spans="3:10" x14ac:dyDescent="0.25">
      <c r="C252" s="92">
        <v>2017</v>
      </c>
      <c r="D252" s="92" t="s">
        <v>25</v>
      </c>
      <c r="E252" s="135">
        <v>34.734366000000001</v>
      </c>
      <c r="F252" s="128">
        <f t="shared" si="267"/>
        <v>35.254421504759435</v>
      </c>
      <c r="G252" s="125">
        <f t="shared" si="266"/>
        <v>1.4972362091176026E-2</v>
      </c>
      <c r="H252" s="124">
        <f t="shared" si="268"/>
        <v>0.52005550475943352</v>
      </c>
      <c r="I252" s="94">
        <f t="shared" si="264"/>
        <v>1.4972362091176026E-2</v>
      </c>
      <c r="J252" s="94">
        <f t="shared" si="265"/>
        <v>1.4972362091176026E-2</v>
      </c>
    </row>
    <row r="253" spans="3:10" x14ac:dyDescent="0.25">
      <c r="C253" s="92">
        <v>2018</v>
      </c>
      <c r="D253" s="92" t="s">
        <v>25</v>
      </c>
      <c r="E253" s="135">
        <v>8.0677000000000003</v>
      </c>
      <c r="F253" s="128">
        <f t="shared" si="267"/>
        <v>10.599916261114934</v>
      </c>
      <c r="G253" s="125">
        <f t="shared" si="266"/>
        <v>0.31387090014687385</v>
      </c>
      <c r="H253" s="124">
        <f t="shared" si="268"/>
        <v>2.5322162611149341</v>
      </c>
      <c r="I253" s="94">
        <f t="shared" si="264"/>
        <v>0.31387090014687385</v>
      </c>
      <c r="J253" s="94">
        <f t="shared" si="265"/>
        <v>0.31387090014687385</v>
      </c>
    </row>
    <row r="254" spans="3:10" x14ac:dyDescent="0.25">
      <c r="C254" s="92">
        <v>2019</v>
      </c>
      <c r="D254" s="92" t="s">
        <v>25</v>
      </c>
      <c r="E254" s="135">
        <v>21.141928</v>
      </c>
      <c r="F254" s="128">
        <f t="shared" si="267"/>
        <v>14.060725286777746</v>
      </c>
      <c r="G254" s="125">
        <f t="shared" si="266"/>
        <v>-0.3349364690496654</v>
      </c>
      <c r="H254" s="124">
        <f t="shared" si="268"/>
        <v>7.0812027132222539</v>
      </c>
      <c r="I254" s="94">
        <f t="shared" si="264"/>
        <v>0.3349364690496654</v>
      </c>
      <c r="J254" s="94">
        <f t="shared" si="265"/>
        <v>0.3349364690496654</v>
      </c>
    </row>
    <row r="255" spans="3:10" x14ac:dyDescent="0.25">
      <c r="C255" s="92">
        <v>2020</v>
      </c>
      <c r="D255" s="92" t="s">
        <v>25</v>
      </c>
      <c r="E255" s="135">
        <v>8.062989</v>
      </c>
      <c r="F255" s="128">
        <f t="shared" si="267"/>
        <v>10.014595571768339</v>
      </c>
      <c r="G255" s="125">
        <f t="shared" si="266"/>
        <v>0.24204504951803102</v>
      </c>
      <c r="H255" s="124">
        <f t="shared" si="268"/>
        <v>1.9516065717683393</v>
      </c>
      <c r="I255" s="94">
        <f t="shared" si="264"/>
        <v>0.24204504951803102</v>
      </c>
      <c r="J255" s="94">
        <f t="shared" si="265"/>
        <v>0.24204504951803102</v>
      </c>
    </row>
    <row r="256" spans="3:10" x14ac:dyDescent="0.25">
      <c r="C256" s="92">
        <v>2021</v>
      </c>
      <c r="D256" s="92" t="s">
        <v>25</v>
      </c>
      <c r="E256" s="135">
        <v>48.503718999999997</v>
      </c>
      <c r="F256" s="128">
        <f t="shared" si="267"/>
        <v>21.857806698275738</v>
      </c>
      <c r="G256" s="125">
        <f t="shared" si="266"/>
        <v>-0.5493581286359559</v>
      </c>
      <c r="H256" s="124">
        <f t="shared" si="268"/>
        <v>26.645912301724259</v>
      </c>
      <c r="I256" s="94">
        <f t="shared" si="264"/>
        <v>0.5493581286359559</v>
      </c>
      <c r="J256" s="94">
        <f t="shared" si="265"/>
        <v>0.5493581286359559</v>
      </c>
    </row>
    <row r="257" spans="3:10" x14ac:dyDescent="0.25">
      <c r="C257" s="92">
        <v>2012</v>
      </c>
      <c r="D257" s="92" t="s">
        <v>27</v>
      </c>
      <c r="E257" s="135">
        <v>21.277018000000002</v>
      </c>
      <c r="F257" s="124">
        <f t="shared" ref="F257:F266" si="269">EXP(BK18)</f>
        <v>20.307246480687379</v>
      </c>
      <c r="G257" s="125">
        <f t="shared" si="266"/>
        <v>-4.5578356859623033E-2</v>
      </c>
      <c r="H257" s="124">
        <f t="shared" si="268"/>
        <v>0.96977151931262284</v>
      </c>
      <c r="I257" s="94">
        <f t="shared" si="264"/>
        <v>4.5578356859623033E-2</v>
      </c>
      <c r="J257" s="94">
        <f t="shared" si="265"/>
        <v>4.5578356859623033E-2</v>
      </c>
    </row>
    <row r="258" spans="3:10" x14ac:dyDescent="0.25">
      <c r="C258" s="92">
        <v>2013</v>
      </c>
      <c r="D258" s="92" t="s">
        <v>27</v>
      </c>
      <c r="E258" s="135">
        <v>94.719412000000005</v>
      </c>
      <c r="F258" s="124">
        <f t="shared" si="269"/>
        <v>61.337378104972409</v>
      </c>
      <c r="G258" s="125">
        <f t="shared" si="266"/>
        <v>-0.35243075511308702</v>
      </c>
      <c r="H258" s="124">
        <f t="shared" si="268"/>
        <v>33.382033895027597</v>
      </c>
      <c r="I258" s="94">
        <f t="shared" si="264"/>
        <v>0.35243075511308702</v>
      </c>
      <c r="J258" s="94">
        <f t="shared" si="265"/>
        <v>0.35243075511308702</v>
      </c>
    </row>
    <row r="259" spans="3:10" x14ac:dyDescent="0.25">
      <c r="C259" s="92">
        <v>2014</v>
      </c>
      <c r="D259" s="92" t="s">
        <v>27</v>
      </c>
      <c r="E259" s="135">
        <v>37.173864700000003</v>
      </c>
      <c r="F259" s="124">
        <f t="shared" si="269"/>
        <v>31.64869893662301</v>
      </c>
      <c r="G259" s="125">
        <f t="shared" si="266"/>
        <v>-0.14863038341496393</v>
      </c>
      <c r="H259" s="124">
        <f t="shared" si="268"/>
        <v>5.5251657633769931</v>
      </c>
      <c r="I259" s="94">
        <f t="shared" si="264"/>
        <v>0.14863038341496393</v>
      </c>
      <c r="J259" s="94">
        <f t="shared" si="265"/>
        <v>0.14863038341496393</v>
      </c>
    </row>
    <row r="260" spans="3:10" x14ac:dyDescent="0.25">
      <c r="C260" s="92">
        <v>2015</v>
      </c>
      <c r="D260" s="92" t="s">
        <v>27</v>
      </c>
      <c r="E260" s="135">
        <v>35.092568</v>
      </c>
      <c r="F260" s="124">
        <f t="shared" si="269"/>
        <v>44.417575435961993</v>
      </c>
      <c r="G260" s="125">
        <f t="shared" si="266"/>
        <v>0.26572599178156447</v>
      </c>
      <c r="H260" s="124">
        <f t="shared" si="268"/>
        <v>9.325007435961993</v>
      </c>
      <c r="I260" s="94">
        <f t="shared" si="264"/>
        <v>0.26572599178156447</v>
      </c>
      <c r="J260" s="94">
        <f t="shared" si="265"/>
        <v>0.26572599178156447</v>
      </c>
    </row>
    <row r="261" spans="3:10" x14ac:dyDescent="0.25">
      <c r="C261" s="92">
        <v>2016</v>
      </c>
      <c r="D261" s="92" t="s">
        <v>27</v>
      </c>
      <c r="E261" s="135">
        <v>18.374199999999998</v>
      </c>
      <c r="F261" s="124">
        <f t="shared" si="269"/>
        <v>13.042502865513137</v>
      </c>
      <c r="G261" s="125">
        <f t="shared" si="266"/>
        <v>-0.29017302165464953</v>
      </c>
      <c r="H261" s="124">
        <f t="shared" si="268"/>
        <v>5.3316971344868609</v>
      </c>
      <c r="I261" s="94">
        <f t="shared" si="264"/>
        <v>0.29017302165464953</v>
      </c>
      <c r="J261" s="94">
        <f t="shared" si="265"/>
        <v>0.29017302165464953</v>
      </c>
    </row>
    <row r="262" spans="3:10" x14ac:dyDescent="0.25">
      <c r="C262" s="92">
        <v>2017</v>
      </c>
      <c r="D262" s="92" t="s">
        <v>27</v>
      </c>
      <c r="E262" s="135">
        <v>34.734366000000001</v>
      </c>
      <c r="F262" s="124">
        <f t="shared" si="269"/>
        <v>39.388190737086752</v>
      </c>
      <c r="G262" s="125">
        <f t="shared" si="266"/>
        <v>0.13398329300401657</v>
      </c>
      <c r="H262" s="124">
        <f t="shared" si="268"/>
        <v>4.6538247370867509</v>
      </c>
      <c r="I262" s="94">
        <f t="shared" si="264"/>
        <v>0.13398329300401657</v>
      </c>
      <c r="J262" s="94">
        <f t="shared" si="265"/>
        <v>0.13398329300401657</v>
      </c>
    </row>
    <row r="263" spans="3:10" x14ac:dyDescent="0.25">
      <c r="C263" s="92">
        <v>2018</v>
      </c>
      <c r="D263" s="92" t="s">
        <v>27</v>
      </c>
      <c r="E263" s="135">
        <v>8.0677000000000003</v>
      </c>
      <c r="F263" s="124">
        <f t="shared" si="269"/>
        <v>9.9584375514845451</v>
      </c>
      <c r="G263" s="125">
        <f t="shared" si="266"/>
        <v>0.23435893147793604</v>
      </c>
      <c r="H263" s="124">
        <f t="shared" si="268"/>
        <v>1.8907375514845448</v>
      </c>
      <c r="I263" s="94">
        <f t="shared" si="264"/>
        <v>0.23435893147793604</v>
      </c>
      <c r="J263" s="94">
        <f t="shared" si="265"/>
        <v>0.23435893147793604</v>
      </c>
    </row>
    <row r="264" spans="3:10" x14ac:dyDescent="0.25">
      <c r="C264" s="92">
        <v>2019</v>
      </c>
      <c r="D264" s="92" t="s">
        <v>27</v>
      </c>
      <c r="E264" s="135">
        <v>21.141928</v>
      </c>
      <c r="F264" s="124">
        <f t="shared" si="269"/>
        <v>13.993593312837158</v>
      </c>
      <c r="G264" s="125">
        <f t="shared" si="266"/>
        <v>-0.33811176952087069</v>
      </c>
      <c r="H264" s="124">
        <f t="shared" si="268"/>
        <v>7.1483346871628424</v>
      </c>
      <c r="I264" s="94">
        <f t="shared" si="264"/>
        <v>0.33811176952087069</v>
      </c>
      <c r="J264" s="94">
        <f t="shared" si="265"/>
        <v>0.33811176952087069</v>
      </c>
    </row>
    <row r="265" spans="3:10" x14ac:dyDescent="0.25">
      <c r="C265" s="92">
        <v>2020</v>
      </c>
      <c r="D265" s="92" t="s">
        <v>27</v>
      </c>
      <c r="E265" s="135">
        <v>8.062989</v>
      </c>
      <c r="F265" s="124">
        <f t="shared" si="269"/>
        <v>10.906438458665511</v>
      </c>
      <c r="G265" s="125">
        <f t="shared" si="266"/>
        <v>0.35265451294371236</v>
      </c>
      <c r="H265" s="124">
        <f t="shared" si="268"/>
        <v>2.8434494586655106</v>
      </c>
      <c r="I265" s="94">
        <f t="shared" si="264"/>
        <v>0.35265451294371236</v>
      </c>
      <c r="J265" s="94">
        <f t="shared" si="265"/>
        <v>0.35265451294371236</v>
      </c>
    </row>
    <row r="266" spans="3:10" x14ac:dyDescent="0.25">
      <c r="C266" s="92">
        <v>2021</v>
      </c>
      <c r="D266" s="92" t="s">
        <v>27</v>
      </c>
      <c r="E266" s="135">
        <v>48.503718999999997</v>
      </c>
      <c r="F266" s="124">
        <f t="shared" si="269"/>
        <v>17.679828905619729</v>
      </c>
      <c r="G266" s="125">
        <f t="shared" si="266"/>
        <v>-0.6354953956083299</v>
      </c>
      <c r="H266" s="124">
        <f t="shared" si="268"/>
        <v>30.823890094380268</v>
      </c>
      <c r="I266" s="94">
        <f t="shared" si="264"/>
        <v>0.6354953956083299</v>
      </c>
      <c r="J266" s="94">
        <f t="shared" si="265"/>
        <v>0.6354953956083299</v>
      </c>
    </row>
    <row r="267" spans="3:10" x14ac:dyDescent="0.25">
      <c r="C267" s="92">
        <v>2012</v>
      </c>
      <c r="D267" s="92" t="s">
        <v>29</v>
      </c>
      <c r="E267" s="135">
        <v>21.277018000000002</v>
      </c>
      <c r="F267" s="128">
        <f t="shared" ref="F267:F276" si="270">EXP(BO18)</f>
        <v>21.462817612527832</v>
      </c>
      <c r="G267" s="125">
        <f t="shared" si="266"/>
        <v>8.7324084854292303E-3</v>
      </c>
      <c r="H267" s="124">
        <f>ABS(E267-F267)</f>
        <v>0.1857996125278305</v>
      </c>
      <c r="I267" s="94">
        <f t="shared" si="264"/>
        <v>8.7324084854292303E-3</v>
      </c>
      <c r="J267" s="94">
        <f t="shared" si="265"/>
        <v>8.7324084854292303E-3</v>
      </c>
    </row>
    <row r="268" spans="3:10" x14ac:dyDescent="0.25">
      <c r="C268" s="92">
        <v>2013</v>
      </c>
      <c r="D268" s="92" t="s">
        <v>29</v>
      </c>
      <c r="E268" s="135">
        <v>94.719412000000005</v>
      </c>
      <c r="F268" s="128">
        <f t="shared" si="270"/>
        <v>59.246836670416002</v>
      </c>
      <c r="G268" s="125">
        <f t="shared" si="266"/>
        <v>-0.37450164206661252</v>
      </c>
      <c r="H268" s="124">
        <f t="shared" ref="H268:H276" si="271">ABS(E268-F268)</f>
        <v>35.472575329584004</v>
      </c>
      <c r="I268" s="94">
        <f t="shared" si="264"/>
        <v>0.37450164206661252</v>
      </c>
      <c r="J268" s="94">
        <f t="shared" si="265"/>
        <v>0.37450164206661252</v>
      </c>
    </row>
    <row r="269" spans="3:10" x14ac:dyDescent="0.25">
      <c r="C269" s="92">
        <v>2014</v>
      </c>
      <c r="D269" s="92" t="s">
        <v>29</v>
      </c>
      <c r="E269" s="135">
        <v>37.173864700000003</v>
      </c>
      <c r="F269" s="128">
        <f t="shared" si="270"/>
        <v>25.675099673744072</v>
      </c>
      <c r="G269" s="125">
        <f t="shared" si="266"/>
        <v>-0.30932390589606712</v>
      </c>
      <c r="H269" s="124">
        <f t="shared" si="271"/>
        <v>11.498765026255931</v>
      </c>
      <c r="I269" s="94">
        <f t="shared" si="264"/>
        <v>0.30932390589606712</v>
      </c>
      <c r="J269" s="94">
        <f t="shared" si="265"/>
        <v>0.30932390589606712</v>
      </c>
    </row>
    <row r="270" spans="3:10" x14ac:dyDescent="0.25">
      <c r="C270" s="92">
        <v>2015</v>
      </c>
      <c r="D270" s="92" t="s">
        <v>29</v>
      </c>
      <c r="E270" s="135">
        <v>35.092568</v>
      </c>
      <c r="F270" s="128">
        <f t="shared" si="270"/>
        <v>53.917568307477325</v>
      </c>
      <c r="G270" s="125">
        <f t="shared" si="266"/>
        <v>0.53643837941632899</v>
      </c>
      <c r="H270" s="124">
        <f t="shared" si="271"/>
        <v>18.825000307477325</v>
      </c>
      <c r="I270" s="94">
        <f t="shared" si="264"/>
        <v>0.53643837941632899</v>
      </c>
      <c r="J270" s="94">
        <f t="shared" si="265"/>
        <v>0.53643837941632899</v>
      </c>
    </row>
    <row r="271" spans="3:10" x14ac:dyDescent="0.25">
      <c r="C271" s="92">
        <v>2016</v>
      </c>
      <c r="D271" s="92" t="s">
        <v>29</v>
      </c>
      <c r="E271" s="135">
        <v>18.374199999999998</v>
      </c>
      <c r="F271" s="128">
        <f t="shared" si="270"/>
        <v>20.835437450030692</v>
      </c>
      <c r="G271" s="125">
        <f t="shared" si="266"/>
        <v>0.13395072710815678</v>
      </c>
      <c r="H271" s="124">
        <f t="shared" si="271"/>
        <v>2.4612374500306942</v>
      </c>
      <c r="I271" s="94">
        <f t="shared" si="264"/>
        <v>0.13395072710815678</v>
      </c>
      <c r="J271" s="94">
        <f t="shared" si="265"/>
        <v>0.13395072710815678</v>
      </c>
    </row>
    <row r="272" spans="3:10" x14ac:dyDescent="0.25">
      <c r="C272" s="92">
        <v>2017</v>
      </c>
      <c r="D272" s="92" t="s">
        <v>29</v>
      </c>
      <c r="E272" s="135">
        <v>34.734366000000001</v>
      </c>
      <c r="F272" s="128">
        <f t="shared" si="270"/>
        <v>42.84532254073752</v>
      </c>
      <c r="G272" s="125">
        <f t="shared" si="266"/>
        <v>0.23351387904237314</v>
      </c>
      <c r="H272" s="124">
        <f t="shared" si="271"/>
        <v>8.1109565407375186</v>
      </c>
      <c r="I272" s="94">
        <f t="shared" si="264"/>
        <v>0.23351387904237314</v>
      </c>
      <c r="J272" s="94">
        <f t="shared" si="265"/>
        <v>0.23351387904237314</v>
      </c>
    </row>
    <row r="273" spans="3:10" x14ac:dyDescent="0.25">
      <c r="C273" s="92">
        <v>2018</v>
      </c>
      <c r="D273" s="92" t="s">
        <v>29</v>
      </c>
      <c r="E273" s="135">
        <v>8.0677000000000003</v>
      </c>
      <c r="F273" s="128">
        <f t="shared" si="270"/>
        <v>12.268836125869866</v>
      </c>
      <c r="G273" s="125">
        <f t="shared" si="266"/>
        <v>0.52073529331406287</v>
      </c>
      <c r="H273" s="124">
        <f t="shared" si="271"/>
        <v>4.2011361258698656</v>
      </c>
      <c r="I273" s="94">
        <f t="shared" si="264"/>
        <v>0.52073529331406287</v>
      </c>
      <c r="J273" s="94">
        <f t="shared" si="265"/>
        <v>0.52073529331406287</v>
      </c>
    </row>
    <row r="274" spans="3:10" x14ac:dyDescent="0.25">
      <c r="C274" s="92">
        <v>2019</v>
      </c>
      <c r="D274" s="92" t="s">
        <v>29</v>
      </c>
      <c r="E274" s="135">
        <v>21.141928</v>
      </c>
      <c r="F274" s="128">
        <f t="shared" si="270"/>
        <v>13.330315552638961</v>
      </c>
      <c r="G274" s="125">
        <f t="shared" si="266"/>
        <v>-0.36948439363529378</v>
      </c>
      <c r="H274" s="124">
        <f t="shared" si="271"/>
        <v>7.8116124473610391</v>
      </c>
      <c r="I274" s="94">
        <f t="shared" si="264"/>
        <v>0.36948439363529378</v>
      </c>
      <c r="J274" s="94">
        <f t="shared" si="265"/>
        <v>0.36948439363529378</v>
      </c>
    </row>
    <row r="275" spans="3:10" x14ac:dyDescent="0.25">
      <c r="C275" s="92">
        <v>2020</v>
      </c>
      <c r="D275" s="92" t="s">
        <v>29</v>
      </c>
      <c r="E275" s="135">
        <v>8.062989</v>
      </c>
      <c r="F275" s="128">
        <f t="shared" si="270"/>
        <v>11.168684572591086</v>
      </c>
      <c r="G275" s="125">
        <f t="shared" si="266"/>
        <v>0.38517919007344381</v>
      </c>
      <c r="H275" s="124">
        <f t="shared" si="271"/>
        <v>3.1056955725910864</v>
      </c>
      <c r="I275" s="94">
        <f t="shared" si="264"/>
        <v>0.38517919007344381</v>
      </c>
      <c r="J275" s="94">
        <f t="shared" si="265"/>
        <v>0.38517919007344381</v>
      </c>
    </row>
    <row r="276" spans="3:10" x14ac:dyDescent="0.25">
      <c r="C276" s="92">
        <v>2021</v>
      </c>
      <c r="D276" s="92" t="s">
        <v>29</v>
      </c>
      <c r="E276" s="135">
        <v>48.503718999999997</v>
      </c>
      <c r="F276" s="128">
        <f t="shared" si="270"/>
        <v>22.532894731728732</v>
      </c>
      <c r="G276" s="125">
        <f t="shared" si="266"/>
        <v>-0.53543985499897995</v>
      </c>
      <c r="H276" s="124">
        <f t="shared" si="271"/>
        <v>25.970824268271265</v>
      </c>
      <c r="I276" s="94">
        <f t="shared" si="264"/>
        <v>0.53543985499897995</v>
      </c>
      <c r="J276" s="94">
        <f t="shared" si="265"/>
        <v>0.53543985499897995</v>
      </c>
    </row>
    <row r="277" spans="3:10" x14ac:dyDescent="0.25">
      <c r="C277" s="92">
        <v>2012</v>
      </c>
      <c r="D277" s="92" t="s">
        <v>45</v>
      </c>
      <c r="E277" s="135">
        <v>21.277018000000002</v>
      </c>
      <c r="F277" s="128">
        <f t="shared" ref="F277:F286" si="272">EXP(BS18)</f>
        <v>19.488342421300182</v>
      </c>
      <c r="G277" s="125">
        <f t="shared" si="266"/>
        <v>-8.4066083823391979E-2</v>
      </c>
      <c r="H277" s="124">
        <f>ABS(E277-F277)</f>
        <v>1.7886755786998201</v>
      </c>
      <c r="I277" s="94">
        <f t="shared" ref="I277:I296" si="273">ABS((E277-F277)/E277)</f>
        <v>8.4066083823391979E-2</v>
      </c>
      <c r="J277" s="94">
        <f t="shared" ref="J277:J296" si="274">ABS(G277)</f>
        <v>8.4066083823391979E-2</v>
      </c>
    </row>
    <row r="278" spans="3:10" x14ac:dyDescent="0.25">
      <c r="C278" s="92">
        <v>2013</v>
      </c>
      <c r="D278" s="92" t="s">
        <v>45</v>
      </c>
      <c r="E278" s="135">
        <v>94.719412000000005</v>
      </c>
      <c r="F278" s="128">
        <f t="shared" si="272"/>
        <v>61.347111819736213</v>
      </c>
      <c r="G278" s="125">
        <f t="shared" si="266"/>
        <v>-0.35232799143921828</v>
      </c>
      <c r="H278" s="124">
        <f t="shared" ref="H278:H296" si="275">ABS(E278-F278)</f>
        <v>33.372300180263792</v>
      </c>
      <c r="I278" s="94">
        <f t="shared" si="273"/>
        <v>0.35232799143921828</v>
      </c>
      <c r="J278" s="94">
        <f t="shared" si="274"/>
        <v>0.35232799143921828</v>
      </c>
    </row>
    <row r="279" spans="3:10" x14ac:dyDescent="0.25">
      <c r="C279" s="92">
        <v>2014</v>
      </c>
      <c r="D279" s="92" t="s">
        <v>45</v>
      </c>
      <c r="E279" s="135">
        <v>37.173864700000003</v>
      </c>
      <c r="F279" s="128">
        <f t="shared" si="272"/>
        <v>28.417972211734916</v>
      </c>
      <c r="G279" s="125">
        <f t="shared" si="266"/>
        <v>-0.23553893465010339</v>
      </c>
      <c r="H279" s="124">
        <f t="shared" si="275"/>
        <v>8.7558924882650864</v>
      </c>
      <c r="I279" s="94">
        <f t="shared" si="273"/>
        <v>0.23553893465010339</v>
      </c>
      <c r="J279" s="94">
        <f t="shared" si="274"/>
        <v>0.23553893465010339</v>
      </c>
    </row>
    <row r="280" spans="3:10" x14ac:dyDescent="0.25">
      <c r="C280" s="92">
        <v>2015</v>
      </c>
      <c r="D280" s="92" t="s">
        <v>45</v>
      </c>
      <c r="E280" s="135">
        <v>35.092568</v>
      </c>
      <c r="F280" s="128">
        <f t="shared" si="272"/>
        <v>56.215512795184196</v>
      </c>
      <c r="G280" s="125">
        <f t="shared" si="266"/>
        <v>0.60192074843836441</v>
      </c>
      <c r="H280" s="124">
        <f t="shared" si="275"/>
        <v>21.122944795184196</v>
      </c>
      <c r="I280" s="94">
        <f t="shared" si="273"/>
        <v>0.60192074843836441</v>
      </c>
      <c r="J280" s="94">
        <f t="shared" si="274"/>
        <v>0.60192074843836441</v>
      </c>
    </row>
    <row r="281" spans="3:10" x14ac:dyDescent="0.25">
      <c r="C281" s="92">
        <v>2016</v>
      </c>
      <c r="D281" s="92" t="s">
        <v>45</v>
      </c>
      <c r="E281" s="135">
        <v>18.374199999999998</v>
      </c>
      <c r="F281" s="128">
        <f t="shared" si="272"/>
        <v>14.704413338510747</v>
      </c>
      <c r="G281" s="125">
        <f t="shared" si="266"/>
        <v>-0.19972497640655112</v>
      </c>
      <c r="H281" s="124">
        <f t="shared" si="275"/>
        <v>3.6697866614892511</v>
      </c>
      <c r="I281" s="94">
        <f t="shared" si="273"/>
        <v>0.19972497640655112</v>
      </c>
      <c r="J281" s="94">
        <f t="shared" si="274"/>
        <v>0.19972497640655112</v>
      </c>
    </row>
    <row r="282" spans="3:10" x14ac:dyDescent="0.25">
      <c r="C282" s="92">
        <v>2017</v>
      </c>
      <c r="D282" s="92" t="s">
        <v>45</v>
      </c>
      <c r="E282" s="135">
        <v>34.734366000000001</v>
      </c>
      <c r="F282" s="128">
        <f t="shared" si="272"/>
        <v>35.443618879439519</v>
      </c>
      <c r="G282" s="125">
        <f t="shared" si="266"/>
        <v>2.0419341451043554E-2</v>
      </c>
      <c r="H282" s="124">
        <f t="shared" si="275"/>
        <v>0.70925287943951787</v>
      </c>
      <c r="I282" s="94">
        <f t="shared" si="273"/>
        <v>2.0419341451043554E-2</v>
      </c>
      <c r="J282" s="94">
        <f t="shared" si="274"/>
        <v>2.0419341451043554E-2</v>
      </c>
    </row>
    <row r="283" spans="3:10" x14ac:dyDescent="0.25">
      <c r="C283" s="92">
        <v>2018</v>
      </c>
      <c r="D283" s="92" t="s">
        <v>45</v>
      </c>
      <c r="E283" s="135">
        <v>8.0677000000000003</v>
      </c>
      <c r="F283" s="128">
        <f t="shared" si="272"/>
        <v>10.209048917359882</v>
      </c>
      <c r="G283" s="125">
        <f t="shared" si="266"/>
        <v>0.26542247695872195</v>
      </c>
      <c r="H283" s="124">
        <f t="shared" si="275"/>
        <v>2.1413489173598812</v>
      </c>
      <c r="I283" s="94">
        <f t="shared" si="273"/>
        <v>0.26542247695872195</v>
      </c>
      <c r="J283" s="94">
        <f t="shared" si="274"/>
        <v>0.26542247695872195</v>
      </c>
    </row>
    <row r="284" spans="3:10" x14ac:dyDescent="0.25">
      <c r="C284" s="92">
        <v>2019</v>
      </c>
      <c r="D284" s="92" t="s">
        <v>45</v>
      </c>
      <c r="E284" s="135">
        <v>21.141928</v>
      </c>
      <c r="F284" s="128">
        <f t="shared" si="272"/>
        <v>14.263910691382707</v>
      </c>
      <c r="G284" s="125">
        <f t="shared" si="266"/>
        <v>-0.32532592621719708</v>
      </c>
      <c r="H284" s="124">
        <f t="shared" si="275"/>
        <v>6.8780173086172933</v>
      </c>
      <c r="I284" s="94">
        <f t="shared" si="273"/>
        <v>0.32532592621719708</v>
      </c>
      <c r="J284" s="94">
        <f t="shared" si="274"/>
        <v>0.32532592621719708</v>
      </c>
    </row>
    <row r="285" spans="3:10" x14ac:dyDescent="0.25">
      <c r="C285" s="92">
        <v>2020</v>
      </c>
      <c r="D285" s="92" t="s">
        <v>45</v>
      </c>
      <c r="E285" s="135">
        <v>8.062989</v>
      </c>
      <c r="F285" s="128">
        <f t="shared" si="272"/>
        <v>10.510915939284109</v>
      </c>
      <c r="G285" s="125">
        <f t="shared" si="266"/>
        <v>0.30360043146333315</v>
      </c>
      <c r="H285" s="124">
        <f t="shared" si="275"/>
        <v>2.447926939284109</v>
      </c>
      <c r="I285" s="94">
        <f t="shared" si="273"/>
        <v>0.30360043146333315</v>
      </c>
      <c r="J285" s="94">
        <f t="shared" si="274"/>
        <v>0.30360043146333315</v>
      </c>
    </row>
    <row r="286" spans="3:10" x14ac:dyDescent="0.25">
      <c r="C286" s="92">
        <v>2021</v>
      </c>
      <c r="D286" s="92" t="s">
        <v>45</v>
      </c>
      <c r="E286" s="135">
        <v>48.503718999999997</v>
      </c>
      <c r="F286" s="128">
        <f t="shared" si="272"/>
        <v>20.902479433150837</v>
      </c>
      <c r="G286" s="125">
        <f t="shared" si="266"/>
        <v>-0.56905408772570942</v>
      </c>
      <c r="H286" s="124">
        <f t="shared" si="275"/>
        <v>27.601239566849159</v>
      </c>
      <c r="I286" s="94">
        <f t="shared" si="273"/>
        <v>0.56905408772570942</v>
      </c>
      <c r="J286" s="94">
        <f t="shared" si="274"/>
        <v>0.56905408772570942</v>
      </c>
    </row>
    <row r="287" spans="3:10" x14ac:dyDescent="0.25">
      <c r="C287" s="92">
        <v>2012</v>
      </c>
      <c r="D287" s="92" t="s">
        <v>32</v>
      </c>
      <c r="E287" s="135">
        <v>21.277018000000002</v>
      </c>
      <c r="F287" s="124">
        <f t="shared" ref="F287:F296" si="276">EXP(BW18)</f>
        <v>21.284630939194532</v>
      </c>
      <c r="G287" s="125">
        <f t="shared" si="266"/>
        <v>3.5780104122345053E-4</v>
      </c>
      <c r="H287" s="124">
        <f t="shared" si="275"/>
        <v>7.6129391945300995E-3</v>
      </c>
      <c r="I287" s="94">
        <f t="shared" si="273"/>
        <v>3.5780104122345053E-4</v>
      </c>
      <c r="J287" s="94">
        <f t="shared" si="274"/>
        <v>3.5780104122345053E-4</v>
      </c>
    </row>
    <row r="288" spans="3:10" x14ac:dyDescent="0.25">
      <c r="C288" s="92">
        <v>2013</v>
      </c>
      <c r="D288" s="92" t="s">
        <v>32</v>
      </c>
      <c r="E288" s="135">
        <v>94.719412000000005</v>
      </c>
      <c r="F288" s="124">
        <f t="shared" si="276"/>
        <v>60.606406401386693</v>
      </c>
      <c r="G288" s="125">
        <f t="shared" si="266"/>
        <v>-0.36014798739051834</v>
      </c>
      <c r="H288" s="124">
        <f t="shared" si="275"/>
        <v>34.113005598613313</v>
      </c>
      <c r="I288" s="94">
        <f t="shared" si="273"/>
        <v>0.36014798739051834</v>
      </c>
      <c r="J288" s="94">
        <f t="shared" si="274"/>
        <v>0.36014798739051834</v>
      </c>
    </row>
    <row r="289" spans="3:10" x14ac:dyDescent="0.25">
      <c r="C289" s="92">
        <v>2014</v>
      </c>
      <c r="D289" s="92" t="s">
        <v>32</v>
      </c>
      <c r="E289" s="135">
        <v>37.173864700000003</v>
      </c>
      <c r="F289" s="124">
        <f t="shared" si="276"/>
        <v>26.425439874338529</v>
      </c>
      <c r="G289" s="125">
        <f t="shared" si="266"/>
        <v>-0.28913928945519274</v>
      </c>
      <c r="H289" s="124">
        <f t="shared" si="275"/>
        <v>10.748424825661473</v>
      </c>
      <c r="I289" s="94">
        <f t="shared" si="273"/>
        <v>0.28913928945519274</v>
      </c>
      <c r="J289" s="94">
        <f t="shared" si="274"/>
        <v>0.28913928945519274</v>
      </c>
    </row>
    <row r="290" spans="3:10" x14ac:dyDescent="0.25">
      <c r="C290" s="92">
        <v>2015</v>
      </c>
      <c r="D290" s="92" t="s">
        <v>32</v>
      </c>
      <c r="E290" s="135">
        <v>35.092568</v>
      </c>
      <c r="F290" s="124">
        <f t="shared" si="276"/>
        <v>56.669673329098309</v>
      </c>
      <c r="G290" s="125">
        <f t="shared" si="266"/>
        <v>0.6148625352552799</v>
      </c>
      <c r="H290" s="124">
        <f t="shared" si="275"/>
        <v>21.577105329098309</v>
      </c>
      <c r="I290" s="94">
        <f t="shared" si="273"/>
        <v>0.6148625352552799</v>
      </c>
      <c r="J290" s="94">
        <f t="shared" si="274"/>
        <v>0.6148625352552799</v>
      </c>
    </row>
    <row r="291" spans="3:10" x14ac:dyDescent="0.25">
      <c r="C291" s="92">
        <v>2016</v>
      </c>
      <c r="D291" s="92" t="s">
        <v>32</v>
      </c>
      <c r="E291" s="135">
        <v>18.374199999999998</v>
      </c>
      <c r="F291" s="124">
        <f t="shared" si="276"/>
        <v>18.771198394009495</v>
      </c>
      <c r="G291" s="125">
        <f t="shared" si="266"/>
        <v>2.1606295458278295E-2</v>
      </c>
      <c r="H291" s="124">
        <f t="shared" si="275"/>
        <v>0.39699839400949699</v>
      </c>
      <c r="I291" s="94">
        <f t="shared" si="273"/>
        <v>2.1606295458278295E-2</v>
      </c>
      <c r="J291" s="94">
        <f t="shared" si="274"/>
        <v>2.1606295458278295E-2</v>
      </c>
    </row>
    <row r="292" spans="3:10" x14ac:dyDescent="0.25">
      <c r="C292" s="92">
        <v>2017</v>
      </c>
      <c r="D292" s="92" t="s">
        <v>32</v>
      </c>
      <c r="E292" s="135">
        <v>34.734366000000001</v>
      </c>
      <c r="F292" s="124">
        <f t="shared" si="276"/>
        <v>38.116223143436436</v>
      </c>
      <c r="G292" s="125">
        <f t="shared" si="266"/>
        <v>9.7363433765753321E-2</v>
      </c>
      <c r="H292" s="124">
        <f t="shared" si="275"/>
        <v>3.3818571434364344</v>
      </c>
      <c r="I292" s="94">
        <f t="shared" si="273"/>
        <v>9.7363433765753321E-2</v>
      </c>
      <c r="J292" s="94">
        <f t="shared" si="274"/>
        <v>9.7363433765753321E-2</v>
      </c>
    </row>
    <row r="293" spans="3:10" x14ac:dyDescent="0.25">
      <c r="C293" s="92">
        <v>2018</v>
      </c>
      <c r="D293" s="92" t="s">
        <v>32</v>
      </c>
      <c r="E293" s="135">
        <v>8.0677000000000003</v>
      </c>
      <c r="F293" s="124">
        <f t="shared" si="276"/>
        <v>10.945557185093119</v>
      </c>
      <c r="G293" s="125">
        <f t="shared" si="266"/>
        <v>0.3567134604773502</v>
      </c>
      <c r="H293" s="124">
        <f t="shared" si="275"/>
        <v>2.8778571850931183</v>
      </c>
      <c r="I293" s="94">
        <f t="shared" si="273"/>
        <v>0.3567134604773502</v>
      </c>
      <c r="J293" s="94">
        <f t="shared" si="274"/>
        <v>0.3567134604773502</v>
      </c>
    </row>
    <row r="294" spans="3:10" x14ac:dyDescent="0.25">
      <c r="C294" s="92">
        <v>2019</v>
      </c>
      <c r="D294" s="92" t="s">
        <v>32</v>
      </c>
      <c r="E294" s="135">
        <v>21.141928</v>
      </c>
      <c r="F294" s="124">
        <f t="shared" si="276"/>
        <v>13.280573358445075</v>
      </c>
      <c r="G294" s="125">
        <f t="shared" si="266"/>
        <v>-0.37183716837721353</v>
      </c>
      <c r="H294" s="124">
        <f t="shared" si="275"/>
        <v>7.8613546415549251</v>
      </c>
      <c r="I294" s="94">
        <f t="shared" si="273"/>
        <v>0.37183716837721353</v>
      </c>
      <c r="J294" s="94">
        <f t="shared" si="274"/>
        <v>0.37183716837721353</v>
      </c>
    </row>
    <row r="295" spans="3:10" x14ac:dyDescent="0.25">
      <c r="C295" s="92">
        <v>2020</v>
      </c>
      <c r="D295" s="92" t="s">
        <v>32</v>
      </c>
      <c r="E295" s="135">
        <v>8.062989</v>
      </c>
      <c r="F295" s="124">
        <f t="shared" si="276"/>
        <v>10.45384404947416</v>
      </c>
      <c r="G295" s="125">
        <f t="shared" si="266"/>
        <v>0.29652217676027587</v>
      </c>
      <c r="H295" s="124">
        <f t="shared" si="275"/>
        <v>2.3908550494741601</v>
      </c>
      <c r="I295" s="94">
        <f t="shared" si="273"/>
        <v>0.29652217676027587</v>
      </c>
      <c r="J295" s="94">
        <f t="shared" si="274"/>
        <v>0.29652217676027587</v>
      </c>
    </row>
    <row r="296" spans="3:10" x14ac:dyDescent="0.25">
      <c r="C296" s="95">
        <v>2021</v>
      </c>
      <c r="D296" s="95" t="s">
        <v>32</v>
      </c>
      <c r="E296" s="144">
        <v>48.503718999999997</v>
      </c>
      <c r="F296" s="131">
        <f t="shared" si="276"/>
        <v>22.263341908196857</v>
      </c>
      <c r="G296" s="134">
        <f t="shared" si="266"/>
        <v>-0.54099721903392894</v>
      </c>
      <c r="H296" s="131">
        <f t="shared" si="275"/>
        <v>26.24037709180314</v>
      </c>
      <c r="I296" s="97">
        <f t="shared" si="273"/>
        <v>0.54099721903392894</v>
      </c>
      <c r="J296" s="97">
        <f t="shared" si="274"/>
        <v>0.54099721903392894</v>
      </c>
    </row>
    <row r="299" spans="3:10" x14ac:dyDescent="0.25">
      <c r="D299" s="117"/>
      <c r="I299" s="137"/>
    </row>
    <row r="300" spans="3:10" x14ac:dyDescent="0.25">
      <c r="D300" s="127"/>
      <c r="I300" s="137"/>
    </row>
    <row r="301" spans="3:10" x14ac:dyDescent="0.25">
      <c r="D301" s="127"/>
      <c r="I301" s="137"/>
    </row>
    <row r="302" spans="3:10" x14ac:dyDescent="0.25">
      <c r="D302" s="127"/>
      <c r="I302" s="137"/>
    </row>
    <row r="303" spans="3:10" x14ac:dyDescent="0.25">
      <c r="D303" s="127"/>
      <c r="I303" s="137"/>
    </row>
    <row r="304" spans="3:10" x14ac:dyDescent="0.25">
      <c r="D304" s="127"/>
      <c r="I304" s="137"/>
    </row>
    <row r="305" spans="4:16" x14ac:dyDescent="0.25">
      <c r="D305" s="127"/>
      <c r="I305" s="137"/>
    </row>
    <row r="306" spans="4:16" x14ac:dyDescent="0.25">
      <c r="D306" s="117"/>
      <c r="I306" s="137"/>
    </row>
    <row r="307" spans="4:16" x14ac:dyDescent="0.25">
      <c r="D307" s="117"/>
      <c r="I307" s="137"/>
      <c r="O307" s="12"/>
      <c r="P307" s="12"/>
    </row>
    <row r="308" spans="4:16" x14ac:dyDescent="0.25">
      <c r="D308" s="117"/>
      <c r="I308" s="137"/>
      <c r="O308" s="12"/>
      <c r="P308" s="12"/>
    </row>
    <row r="309" spans="4:16" x14ac:dyDescent="0.25">
      <c r="D309" s="117"/>
      <c r="F309" s="92"/>
      <c r="G309" s="138"/>
      <c r="H309" s="124"/>
      <c r="I309" s="137"/>
      <c r="N309" s="171"/>
      <c r="O309" s="171"/>
      <c r="P309" s="171"/>
    </row>
    <row r="310" spans="4:16" x14ac:dyDescent="0.25">
      <c r="D310" s="117"/>
      <c r="E310" s="141" t="s">
        <v>71</v>
      </c>
      <c r="F310" t="s">
        <v>218</v>
      </c>
      <c r="G310"/>
      <c r="H310" s="126"/>
      <c r="I310" s="126"/>
      <c r="N310" s="171"/>
      <c r="O310" s="171"/>
      <c r="P310" s="171"/>
    </row>
    <row r="311" spans="4:16" x14ac:dyDescent="0.25">
      <c r="D311" s="117"/>
      <c r="H311" s="126"/>
      <c r="I311" s="145" t="s">
        <v>213</v>
      </c>
      <c r="L311" s="145" t="s">
        <v>212</v>
      </c>
      <c r="N311" s="171"/>
      <c r="O311" s="171"/>
      <c r="P311" s="171"/>
    </row>
    <row r="312" spans="4:16" x14ac:dyDescent="0.25">
      <c r="E312" s="141" t="s">
        <v>209</v>
      </c>
      <c r="F312" t="s">
        <v>217</v>
      </c>
      <c r="G312"/>
      <c r="H312"/>
      <c r="I312" s="199" t="s">
        <v>195</v>
      </c>
      <c r="J312" s="169" t="s">
        <v>162</v>
      </c>
      <c r="K312" s="195" t="s">
        <v>220</v>
      </c>
      <c r="L312" s="120" t="s">
        <v>195</v>
      </c>
      <c r="M312" s="194" t="s">
        <v>162</v>
      </c>
      <c r="N312" s="195" t="s">
        <v>220</v>
      </c>
      <c r="O312" s="7"/>
      <c r="P312" s="7"/>
    </row>
    <row r="313" spans="4:16" x14ac:dyDescent="0.25">
      <c r="E313" s="142" t="s">
        <v>11</v>
      </c>
      <c r="F313" s="143">
        <v>0.63300199701118731</v>
      </c>
      <c r="G313"/>
      <c r="H313"/>
      <c r="I313" s="203" t="s">
        <v>17</v>
      </c>
      <c r="J313" s="204">
        <v>0.2386648431110942</v>
      </c>
      <c r="K313" s="200">
        <v>1</v>
      </c>
      <c r="L313" s="205" t="s">
        <v>24</v>
      </c>
      <c r="M313" s="206">
        <v>0.27749929544260293</v>
      </c>
      <c r="N313" s="196">
        <v>1</v>
      </c>
      <c r="O313" s="7"/>
      <c r="P313" s="168"/>
    </row>
    <row r="314" spans="4:16" x14ac:dyDescent="0.25">
      <c r="E314" s="142" t="s">
        <v>21</v>
      </c>
      <c r="F314" s="143">
        <v>0.31703867183398798</v>
      </c>
      <c r="G314"/>
      <c r="H314"/>
      <c r="I314" s="207" t="s">
        <v>22</v>
      </c>
      <c r="J314" s="208">
        <v>0.24208032753416703</v>
      </c>
      <c r="K314" s="200">
        <v>2</v>
      </c>
      <c r="L314" s="197" t="s">
        <v>25</v>
      </c>
      <c r="M314" s="209">
        <v>0.29103658188834042</v>
      </c>
      <c r="N314" s="197">
        <v>2</v>
      </c>
      <c r="O314" s="7"/>
      <c r="P314" s="168"/>
    </row>
    <row r="315" spans="4:16" x14ac:dyDescent="0.25">
      <c r="E315" s="142" t="s">
        <v>22</v>
      </c>
      <c r="F315" s="143">
        <v>0.24208032753416703</v>
      </c>
      <c r="G315"/>
      <c r="H315"/>
      <c r="I315" s="207" t="s">
        <v>13</v>
      </c>
      <c r="J315" s="208">
        <v>0.2498921209699593</v>
      </c>
      <c r="K315" s="200">
        <v>3</v>
      </c>
      <c r="L315" s="197" t="s">
        <v>45</v>
      </c>
      <c r="M315" s="209">
        <v>0.29676445276320107</v>
      </c>
      <c r="N315" s="197">
        <v>3</v>
      </c>
      <c r="O315" s="7"/>
      <c r="P315" s="168"/>
    </row>
    <row r="316" spans="4:16" x14ac:dyDescent="0.25">
      <c r="E316" s="142" t="s">
        <v>23</v>
      </c>
      <c r="F316" s="143">
        <v>0.31327973167533046</v>
      </c>
      <c r="G316"/>
      <c r="H316"/>
      <c r="I316" s="207" t="s">
        <v>25</v>
      </c>
      <c r="J316" s="208">
        <v>0.26566404596674387</v>
      </c>
      <c r="K316" s="200">
        <v>4</v>
      </c>
      <c r="L316" s="197" t="s">
        <v>15</v>
      </c>
      <c r="M316" s="209">
        <v>0.30039015210466607</v>
      </c>
      <c r="N316" s="197">
        <v>4</v>
      </c>
      <c r="O316" s="7"/>
      <c r="P316" s="168"/>
    </row>
    <row r="317" spans="4:16" x14ac:dyDescent="0.25">
      <c r="E317" s="142" t="s">
        <v>24</v>
      </c>
      <c r="F317" s="143">
        <v>0.27371865850823346</v>
      </c>
      <c r="G317"/>
      <c r="H317"/>
      <c r="I317" s="207" t="s">
        <v>24</v>
      </c>
      <c r="J317" s="208">
        <v>0.27371865850823346</v>
      </c>
      <c r="K317" s="200">
        <v>5</v>
      </c>
      <c r="L317" s="197" t="s">
        <v>22</v>
      </c>
      <c r="M317" s="209">
        <v>0.30695985855738689</v>
      </c>
      <c r="N317" s="197">
        <v>5</v>
      </c>
      <c r="O317" s="7"/>
      <c r="P317" s="168"/>
    </row>
    <row r="318" spans="4:16" x14ac:dyDescent="0.25">
      <c r="E318" s="142" t="s">
        <v>25</v>
      </c>
      <c r="F318" s="143">
        <v>0.26566404596674387</v>
      </c>
      <c r="G318"/>
      <c r="H318"/>
      <c r="I318" s="207" t="s">
        <v>197</v>
      </c>
      <c r="J318" s="208">
        <v>0.27378244050318307</v>
      </c>
      <c r="K318" s="200">
        <v>6</v>
      </c>
      <c r="L318" s="189" t="s">
        <v>197</v>
      </c>
      <c r="M318" s="175">
        <v>0.31955641777332289</v>
      </c>
      <c r="N318" s="189">
        <v>6</v>
      </c>
      <c r="O318" s="7"/>
      <c r="P318" s="168"/>
    </row>
    <row r="319" spans="4:16" x14ac:dyDescent="0.25">
      <c r="E319" s="142" t="s">
        <v>27</v>
      </c>
      <c r="F319" s="143">
        <v>0.27971424113787535</v>
      </c>
      <c r="G319"/>
      <c r="H319"/>
      <c r="I319" s="207" t="s">
        <v>20</v>
      </c>
      <c r="J319" s="208">
        <v>0.27428445085429887</v>
      </c>
      <c r="K319" s="200">
        <v>7</v>
      </c>
      <c r="L319" s="189" t="s">
        <v>17</v>
      </c>
      <c r="M319" s="175">
        <v>0.32573787265711596</v>
      </c>
      <c r="N319" s="189">
        <v>7</v>
      </c>
      <c r="O319" s="7"/>
      <c r="P319" s="168"/>
    </row>
    <row r="320" spans="4:16" x14ac:dyDescent="0.25">
      <c r="E320" s="142" t="s">
        <v>29</v>
      </c>
      <c r="F320" s="143">
        <v>0.34072996740367478</v>
      </c>
      <c r="G320"/>
      <c r="H320"/>
      <c r="I320" s="210" t="s">
        <v>15</v>
      </c>
      <c r="J320" s="211">
        <v>0.27523026249816962</v>
      </c>
      <c r="K320" s="200">
        <v>8</v>
      </c>
      <c r="L320" s="189" t="s">
        <v>13</v>
      </c>
      <c r="M320" s="175">
        <v>0.32886924769865949</v>
      </c>
      <c r="N320" s="189">
        <v>8</v>
      </c>
      <c r="O320" s="7"/>
      <c r="P320" s="168"/>
    </row>
    <row r="321" spans="3:16" x14ac:dyDescent="0.25">
      <c r="E321" s="142" t="s">
        <v>45</v>
      </c>
      <c r="F321" s="143">
        <v>0.29574009985736349</v>
      </c>
      <c r="G321"/>
      <c r="H321"/>
      <c r="I321" s="210" t="s">
        <v>198</v>
      </c>
      <c r="J321" s="211">
        <v>0.27703254288782059</v>
      </c>
      <c r="K321" s="200">
        <v>9</v>
      </c>
      <c r="L321" s="189" t="s">
        <v>32</v>
      </c>
      <c r="M321" s="175">
        <v>0.33268669168290443</v>
      </c>
      <c r="N321" s="189">
        <v>9</v>
      </c>
      <c r="O321" s="7"/>
      <c r="P321" s="168"/>
    </row>
    <row r="322" spans="3:16" x14ac:dyDescent="0.25">
      <c r="E322" s="142" t="s">
        <v>32</v>
      </c>
      <c r="F322" s="143">
        <v>0.29495473670150146</v>
      </c>
      <c r="G322"/>
      <c r="H322"/>
      <c r="I322" s="210" t="s">
        <v>27</v>
      </c>
      <c r="J322" s="211">
        <v>0.27971424113787535</v>
      </c>
      <c r="K322" s="200">
        <v>10</v>
      </c>
      <c r="L322" s="189" t="s">
        <v>198</v>
      </c>
      <c r="M322" s="175">
        <v>0.33306266464033418</v>
      </c>
      <c r="N322" s="189">
        <v>10</v>
      </c>
      <c r="O322" s="7"/>
      <c r="P322" s="168"/>
    </row>
    <row r="323" spans="3:16" x14ac:dyDescent="0.25">
      <c r="E323" s="142" t="s">
        <v>197</v>
      </c>
      <c r="F323" s="143">
        <v>0.27378244050318307</v>
      </c>
      <c r="G323"/>
      <c r="H323"/>
      <c r="I323" s="210" t="s">
        <v>32</v>
      </c>
      <c r="J323" s="211">
        <v>0.29495473670150146</v>
      </c>
      <c r="K323" s="200">
        <v>11</v>
      </c>
      <c r="L323" s="189" t="s">
        <v>27</v>
      </c>
      <c r="M323" s="175">
        <v>0.33892078051097307</v>
      </c>
      <c r="N323" s="189">
        <v>11</v>
      </c>
      <c r="O323" s="7"/>
      <c r="P323" s="168"/>
    </row>
    <row r="324" spans="3:16" x14ac:dyDescent="0.25">
      <c r="E324" s="142" t="s">
        <v>12</v>
      </c>
      <c r="F324" s="143">
        <v>0.36559699568655579</v>
      </c>
      <c r="G324"/>
      <c r="H324"/>
      <c r="I324" s="210" t="s">
        <v>45</v>
      </c>
      <c r="J324" s="211">
        <v>0.29574009985736349</v>
      </c>
      <c r="K324" s="200">
        <v>12</v>
      </c>
      <c r="L324" s="189" t="s">
        <v>16</v>
      </c>
      <c r="M324" s="175">
        <v>0.34042677622205719</v>
      </c>
      <c r="N324" s="189">
        <v>12</v>
      </c>
      <c r="O324" s="7"/>
      <c r="P324" s="168"/>
    </row>
    <row r="325" spans="3:16" x14ac:dyDescent="0.25">
      <c r="E325" s="142" t="s">
        <v>198</v>
      </c>
      <c r="F325" s="143">
        <v>0.27703254288782059</v>
      </c>
      <c r="G325"/>
      <c r="H325"/>
      <c r="I325" s="210" t="s">
        <v>16</v>
      </c>
      <c r="J325" s="211">
        <v>0.30394188340006612</v>
      </c>
      <c r="K325" s="200">
        <v>13</v>
      </c>
      <c r="L325" s="189" t="s">
        <v>20</v>
      </c>
      <c r="M325" s="175">
        <v>0.3405972943569206</v>
      </c>
      <c r="N325" s="189">
        <v>13</v>
      </c>
      <c r="O325" s="7"/>
      <c r="P325" s="168"/>
    </row>
    <row r="326" spans="3:16" x14ac:dyDescent="0.25">
      <c r="E326" s="142" t="s">
        <v>13</v>
      </c>
      <c r="F326" s="143">
        <v>0.2498921209699593</v>
      </c>
      <c r="G326"/>
      <c r="H326"/>
      <c r="I326" s="210" t="s">
        <v>23</v>
      </c>
      <c r="J326" s="211">
        <v>0.31327973167533046</v>
      </c>
      <c r="K326" s="200">
        <v>14</v>
      </c>
      <c r="L326" s="212" t="s">
        <v>21</v>
      </c>
      <c r="M326" s="175">
        <v>0.34067539107083167</v>
      </c>
      <c r="N326" s="189">
        <v>14</v>
      </c>
      <c r="O326" s="7"/>
      <c r="P326" s="168"/>
    </row>
    <row r="327" spans="3:16" x14ac:dyDescent="0.25">
      <c r="E327" s="142" t="s">
        <v>14</v>
      </c>
      <c r="F327" s="143">
        <v>0.36662372890137901</v>
      </c>
      <c r="G327"/>
      <c r="H327"/>
      <c r="I327" s="210" t="s">
        <v>21</v>
      </c>
      <c r="J327" s="211">
        <v>0.31703867183398798</v>
      </c>
      <c r="K327" s="200">
        <v>15</v>
      </c>
      <c r="L327" s="189" t="s">
        <v>23</v>
      </c>
      <c r="M327" s="175">
        <v>0.37330860401017263</v>
      </c>
      <c r="N327" s="189">
        <v>15</v>
      </c>
      <c r="O327" s="7"/>
      <c r="P327" s="168"/>
    </row>
    <row r="328" spans="3:16" x14ac:dyDescent="0.25">
      <c r="E328" s="142" t="s">
        <v>15</v>
      </c>
      <c r="F328" s="143">
        <v>0.27523026249816962</v>
      </c>
      <c r="G328"/>
      <c r="H328"/>
      <c r="I328" s="210" t="s">
        <v>29</v>
      </c>
      <c r="J328" s="211">
        <v>0.34072996740367478</v>
      </c>
      <c r="K328" s="200">
        <v>16</v>
      </c>
      <c r="L328" s="198" t="s">
        <v>12</v>
      </c>
      <c r="M328" s="213">
        <v>0.40220996508262197</v>
      </c>
      <c r="N328" s="198">
        <v>16</v>
      </c>
      <c r="O328" s="7"/>
      <c r="P328" s="168"/>
    </row>
    <row r="329" spans="3:16" x14ac:dyDescent="0.25">
      <c r="E329" s="142" t="s">
        <v>16</v>
      </c>
      <c r="F329" s="143">
        <v>0.30394188340006612</v>
      </c>
      <c r="G329"/>
      <c r="H329"/>
      <c r="I329" s="198" t="s">
        <v>12</v>
      </c>
      <c r="J329" s="213">
        <v>0.36559699568655579</v>
      </c>
      <c r="K329" s="201">
        <v>17</v>
      </c>
      <c r="L329" s="189" t="s">
        <v>29</v>
      </c>
      <c r="M329" s="175">
        <v>0.40887052221283071</v>
      </c>
      <c r="N329" s="189">
        <v>17</v>
      </c>
      <c r="O329" s="7"/>
      <c r="P329" s="168"/>
    </row>
    <row r="330" spans="3:16" x14ac:dyDescent="0.25">
      <c r="E330" s="142" t="s">
        <v>17</v>
      </c>
      <c r="F330" s="143">
        <v>0.2386648431110942</v>
      </c>
      <c r="G330"/>
      <c r="I330" s="210" t="s">
        <v>14</v>
      </c>
      <c r="J330" s="211">
        <v>0.36662372890137901</v>
      </c>
      <c r="K330" s="200">
        <v>18</v>
      </c>
      <c r="L330" s="189" t="s">
        <v>18</v>
      </c>
      <c r="M330" s="175">
        <v>0.42366927515624131</v>
      </c>
      <c r="N330" s="189">
        <v>18</v>
      </c>
      <c r="O330" s="7"/>
      <c r="P330" s="168"/>
    </row>
    <row r="331" spans="3:16" x14ac:dyDescent="0.25">
      <c r="E331" s="142" t="s">
        <v>18</v>
      </c>
      <c r="F331" s="143">
        <v>0.36824504608517022</v>
      </c>
      <c r="G331"/>
      <c r="I331" s="210" t="s">
        <v>18</v>
      </c>
      <c r="J331" s="211">
        <v>0.36824504608517022</v>
      </c>
      <c r="K331" s="200">
        <v>19</v>
      </c>
      <c r="L331" s="189" t="s">
        <v>14</v>
      </c>
      <c r="M331" s="175">
        <v>0.43866130747412868</v>
      </c>
      <c r="N331" s="189">
        <v>19</v>
      </c>
      <c r="O331" s="7"/>
      <c r="P331" s="168"/>
    </row>
    <row r="332" spans="3:16" x14ac:dyDescent="0.25">
      <c r="E332" s="142" t="s">
        <v>20</v>
      </c>
      <c r="F332" s="143">
        <v>0.27428445085429887</v>
      </c>
      <c r="G332"/>
      <c r="I332" s="214" t="s">
        <v>11</v>
      </c>
      <c r="J332" s="215">
        <v>0.63300199701118731</v>
      </c>
      <c r="K332" s="202">
        <v>20</v>
      </c>
      <c r="L332" s="216" t="s">
        <v>11</v>
      </c>
      <c r="M332" s="179">
        <v>0.78908617660096514</v>
      </c>
      <c r="N332" s="190">
        <v>20</v>
      </c>
      <c r="O332" s="7"/>
      <c r="P332" s="168"/>
    </row>
    <row r="333" spans="3:16" x14ac:dyDescent="0.25">
      <c r="E333" s="142" t="s">
        <v>210</v>
      </c>
      <c r="F333" s="143">
        <v>0.31246083962638804</v>
      </c>
      <c r="G333"/>
      <c r="N333" s="171"/>
      <c r="O333" s="171"/>
      <c r="P333" s="171"/>
    </row>
    <row r="334" spans="3:16" x14ac:dyDescent="0.25">
      <c r="N334" s="171"/>
      <c r="O334" s="171"/>
      <c r="P334" s="171"/>
    </row>
    <row r="335" spans="3:16" x14ac:dyDescent="0.25">
      <c r="C335" s="80" t="s">
        <v>214</v>
      </c>
      <c r="N335" s="171"/>
      <c r="O335" s="171"/>
      <c r="P335" s="171"/>
    </row>
    <row r="336" spans="3:16" x14ac:dyDescent="0.25">
      <c r="C336" s="121" t="s">
        <v>71</v>
      </c>
      <c r="D336" s="89" t="s">
        <v>195</v>
      </c>
      <c r="E336" s="89" t="s">
        <v>173</v>
      </c>
      <c r="F336" s="89" t="s">
        <v>172</v>
      </c>
      <c r="G336" s="89" t="s">
        <v>174</v>
      </c>
      <c r="H336" s="89" t="s">
        <v>175</v>
      </c>
      <c r="I336" s="89" t="s">
        <v>176</v>
      </c>
      <c r="J336" s="167" t="s">
        <v>162</v>
      </c>
      <c r="O336" s="12"/>
      <c r="P336" s="12"/>
    </row>
    <row r="337" spans="3:16" x14ac:dyDescent="0.25">
      <c r="C337" s="167">
        <v>2012</v>
      </c>
      <c r="D337" s="167" t="s">
        <v>32</v>
      </c>
      <c r="E337" s="163">
        <v>21.277018000000002</v>
      </c>
      <c r="F337" s="163">
        <v>21.284630939194532</v>
      </c>
      <c r="G337" s="180">
        <v>3.5780104122345053E-4</v>
      </c>
      <c r="H337" s="163">
        <v>7.6129391945300995E-3</v>
      </c>
      <c r="I337" s="172">
        <v>3.5780104122345053E-4</v>
      </c>
      <c r="J337" s="173">
        <v>3.5780104122345053E-4</v>
      </c>
      <c r="O337" s="12"/>
      <c r="P337" s="12"/>
    </row>
    <row r="338" spans="3:16" x14ac:dyDescent="0.25">
      <c r="C338" s="127">
        <v>2012</v>
      </c>
      <c r="D338" s="127" t="s">
        <v>20</v>
      </c>
      <c r="E338" s="128">
        <v>21.277018000000002</v>
      </c>
      <c r="F338" s="128">
        <v>21.308258463202069</v>
      </c>
      <c r="G338" s="181">
        <v>1.4682726311585253E-3</v>
      </c>
      <c r="H338" s="128">
        <v>3.1240463202067303E-2</v>
      </c>
      <c r="I338" s="174">
        <v>1.4682726311585253E-3</v>
      </c>
      <c r="J338" s="175">
        <v>1.4682726311585253E-3</v>
      </c>
    </row>
    <row r="339" spans="3:16" x14ac:dyDescent="0.25">
      <c r="C339" s="127">
        <v>2012</v>
      </c>
      <c r="D339" s="127" t="s">
        <v>16</v>
      </c>
      <c r="E339" s="128">
        <v>21.277018000000002</v>
      </c>
      <c r="F339" s="128">
        <v>21.416500094389978</v>
      </c>
      <c r="G339" s="181">
        <v>6.5555283353135258E-3</v>
      </c>
      <c r="H339" s="128">
        <v>0.13948209438997594</v>
      </c>
      <c r="I339" s="174">
        <v>6.5555283353135258E-3</v>
      </c>
      <c r="J339" s="175">
        <v>6.5555283353135258E-3</v>
      </c>
    </row>
    <row r="340" spans="3:16" x14ac:dyDescent="0.25">
      <c r="C340" s="127">
        <v>2012</v>
      </c>
      <c r="D340" s="127" t="s">
        <v>29</v>
      </c>
      <c r="E340" s="128">
        <v>21.277018000000002</v>
      </c>
      <c r="F340" s="128">
        <v>21.462817612527832</v>
      </c>
      <c r="G340" s="181">
        <v>8.7324084854292303E-3</v>
      </c>
      <c r="H340" s="128">
        <v>0.1857996125278305</v>
      </c>
      <c r="I340" s="174">
        <v>8.7324084854292303E-3</v>
      </c>
      <c r="J340" s="175">
        <v>8.7324084854292303E-3</v>
      </c>
      <c r="L340" s="83" t="s">
        <v>196</v>
      </c>
      <c r="M340" s="83" t="s">
        <v>199</v>
      </c>
      <c r="N340" s="83" t="s">
        <v>200</v>
      </c>
    </row>
    <row r="341" spans="3:16" x14ac:dyDescent="0.25">
      <c r="C341" s="127">
        <v>2012</v>
      </c>
      <c r="D341" s="127" t="s">
        <v>23</v>
      </c>
      <c r="E341" s="128">
        <v>21.277018000000002</v>
      </c>
      <c r="F341" s="128">
        <v>20.947657705362754</v>
      </c>
      <c r="G341" s="181">
        <v>-1.5479626639280342E-2</v>
      </c>
      <c r="H341" s="128">
        <v>0.32936029463724736</v>
      </c>
      <c r="I341" s="174">
        <v>1.5479626639280342E-2</v>
      </c>
      <c r="J341" s="175">
        <v>1.5479626639280342E-2</v>
      </c>
      <c r="L341" s="89">
        <v>2012</v>
      </c>
      <c r="M341" s="136" t="s">
        <v>202</v>
      </c>
      <c r="N341" s="122" t="s">
        <v>201</v>
      </c>
    </row>
    <row r="342" spans="3:16" x14ac:dyDescent="0.25">
      <c r="C342" s="127">
        <v>2012</v>
      </c>
      <c r="D342" s="127" t="s">
        <v>17</v>
      </c>
      <c r="E342" s="128">
        <v>21.277018000000002</v>
      </c>
      <c r="F342" s="128">
        <v>21.648810108433786</v>
      </c>
      <c r="G342" s="181">
        <v>1.747388230971952E-2</v>
      </c>
      <c r="H342" s="128">
        <v>0.37179210843378385</v>
      </c>
      <c r="I342" s="174">
        <v>1.747388230971952E-2</v>
      </c>
      <c r="J342" s="175">
        <v>1.747388230971952E-2</v>
      </c>
      <c r="L342" s="92">
        <v>2013</v>
      </c>
      <c r="M342" s="138" t="s">
        <v>203</v>
      </c>
      <c r="N342" s="148" t="s">
        <v>12</v>
      </c>
    </row>
    <row r="343" spans="3:16" x14ac:dyDescent="0.25">
      <c r="C343" s="127">
        <v>2012</v>
      </c>
      <c r="D343" s="127" t="s">
        <v>25</v>
      </c>
      <c r="E343" s="128">
        <v>21.277018000000002</v>
      </c>
      <c r="F343" s="128">
        <v>20.836194312924398</v>
      </c>
      <c r="G343" s="181">
        <v>-2.0718302117129547E-2</v>
      </c>
      <c r="H343" s="128">
        <v>0.44082368707560349</v>
      </c>
      <c r="I343" s="174">
        <v>2.0718302117129547E-2</v>
      </c>
      <c r="J343" s="175">
        <v>2.0718302117129547E-2</v>
      </c>
      <c r="L343" s="92">
        <v>2014</v>
      </c>
      <c r="M343" s="137" t="s">
        <v>204</v>
      </c>
      <c r="N343" s="124" t="s">
        <v>13</v>
      </c>
    </row>
    <row r="344" spans="3:16" x14ac:dyDescent="0.25">
      <c r="C344" s="127">
        <v>2012</v>
      </c>
      <c r="D344" s="127" t="s">
        <v>14</v>
      </c>
      <c r="E344" s="128">
        <v>21.277018000000002</v>
      </c>
      <c r="F344" s="128">
        <v>21.798026466173305</v>
      </c>
      <c r="G344" s="181">
        <v>2.4486911942890811E-2</v>
      </c>
      <c r="H344" s="128">
        <v>0.52100846617330276</v>
      </c>
      <c r="I344" s="174">
        <v>2.4486911942890811E-2</v>
      </c>
      <c r="J344" s="175">
        <v>2.4486911942890811E-2</v>
      </c>
      <c r="L344" s="92">
        <v>2015</v>
      </c>
      <c r="M344" s="138" t="s">
        <v>203</v>
      </c>
      <c r="N344" s="124" t="s">
        <v>22</v>
      </c>
    </row>
    <row r="345" spans="3:16" x14ac:dyDescent="0.25">
      <c r="C345" s="127">
        <v>2012</v>
      </c>
      <c r="D345" s="127" t="s">
        <v>18</v>
      </c>
      <c r="E345" s="128">
        <v>21.277018000000002</v>
      </c>
      <c r="F345" s="128">
        <v>21.953219134276075</v>
      </c>
      <c r="G345" s="181">
        <v>3.1780822588770359E-2</v>
      </c>
      <c r="H345" s="128">
        <v>0.67620113427607365</v>
      </c>
      <c r="I345" s="174">
        <v>3.1780822588770359E-2</v>
      </c>
      <c r="J345" s="175">
        <v>3.1780822588770359E-2</v>
      </c>
      <c r="L345" s="92">
        <v>2016</v>
      </c>
      <c r="M345" s="137" t="s">
        <v>205</v>
      </c>
      <c r="N345" s="124" t="s">
        <v>20</v>
      </c>
    </row>
    <row r="346" spans="3:16" x14ac:dyDescent="0.25">
      <c r="C346" s="127">
        <v>2012</v>
      </c>
      <c r="D346" s="127" t="s">
        <v>21</v>
      </c>
      <c r="E346" s="128">
        <v>21.277018000000002</v>
      </c>
      <c r="F346" s="128">
        <v>21.972815933057415</v>
      </c>
      <c r="G346" s="181">
        <v>3.2701853852706866E-2</v>
      </c>
      <c r="H346" s="128">
        <v>0.69579793305741333</v>
      </c>
      <c r="I346" s="174">
        <v>3.2701853852706866E-2</v>
      </c>
      <c r="J346" s="175">
        <v>3.2701853852706866E-2</v>
      </c>
      <c r="L346" s="92">
        <v>2017</v>
      </c>
      <c r="M346" s="137" t="s">
        <v>206</v>
      </c>
      <c r="N346" s="124" t="s">
        <v>25</v>
      </c>
    </row>
    <row r="347" spans="3:16" x14ac:dyDescent="0.25">
      <c r="C347" s="127">
        <v>2012</v>
      </c>
      <c r="D347" s="127" t="s">
        <v>27</v>
      </c>
      <c r="E347" s="128">
        <v>21.277018000000002</v>
      </c>
      <c r="F347" s="128">
        <v>20.307246480687379</v>
      </c>
      <c r="G347" s="181">
        <v>-4.5578356859623033E-2</v>
      </c>
      <c r="H347" s="128">
        <v>0.96977151931262284</v>
      </c>
      <c r="I347" s="174">
        <v>4.5578356859623033E-2</v>
      </c>
      <c r="J347" s="175">
        <v>4.5578356859623033E-2</v>
      </c>
      <c r="L347" s="92">
        <v>2018</v>
      </c>
      <c r="M347" s="138" t="s">
        <v>203</v>
      </c>
      <c r="N347" s="124" t="s">
        <v>22</v>
      </c>
    </row>
    <row r="348" spans="3:16" x14ac:dyDescent="0.25">
      <c r="C348" s="127">
        <v>2012</v>
      </c>
      <c r="D348" s="127" t="s">
        <v>198</v>
      </c>
      <c r="E348" s="128">
        <v>21.277018000000002</v>
      </c>
      <c r="F348" s="128">
        <v>20.249323566858969</v>
      </c>
      <c r="G348" s="181">
        <v>-4.8300679782337576E-2</v>
      </c>
      <c r="H348" s="128">
        <f>ABS(E348-F348)</f>
        <v>1.0276944331410327</v>
      </c>
      <c r="I348" s="174">
        <f>ABS(G348)</f>
        <v>4.8300679782337576E-2</v>
      </c>
      <c r="J348" s="174">
        <f>ABS((E348-F348)/E348)</f>
        <v>4.8300679782337576E-2</v>
      </c>
      <c r="L348" s="92">
        <v>2019</v>
      </c>
      <c r="M348" s="137" t="s">
        <v>11</v>
      </c>
      <c r="N348" s="124" t="s">
        <v>11</v>
      </c>
    </row>
    <row r="349" spans="3:16" x14ac:dyDescent="0.25">
      <c r="C349" s="127">
        <v>2012</v>
      </c>
      <c r="D349" s="127" t="s">
        <v>197</v>
      </c>
      <c r="E349" s="128">
        <v>21.277018000000002</v>
      </c>
      <c r="F349" s="176">
        <v>20.228678627786405</v>
      </c>
      <c r="G349" s="181">
        <v>-4.9270972662315608E-2</v>
      </c>
      <c r="H349" s="128">
        <f>ABS(E349-F349)</f>
        <v>1.0483393722135972</v>
      </c>
      <c r="I349" s="174">
        <f>ABS(G349)</f>
        <v>4.9270972662315608E-2</v>
      </c>
      <c r="J349" s="174">
        <f>ABS((E349-F349)/E349)</f>
        <v>4.9270972662315608E-2</v>
      </c>
      <c r="L349" s="92">
        <v>2020</v>
      </c>
      <c r="M349" s="138" t="s">
        <v>203</v>
      </c>
      <c r="N349" s="124" t="s">
        <v>25</v>
      </c>
    </row>
    <row r="350" spans="3:16" x14ac:dyDescent="0.25">
      <c r="C350" s="127">
        <v>2012</v>
      </c>
      <c r="D350" s="127" t="s">
        <v>13</v>
      </c>
      <c r="E350" s="128">
        <v>21.277018000000002</v>
      </c>
      <c r="F350" s="128">
        <v>20.135083675376237</v>
      </c>
      <c r="G350" s="181">
        <v>-5.3669848125511059E-2</v>
      </c>
      <c r="H350" s="128">
        <v>1.1419343246237652</v>
      </c>
      <c r="I350" s="174">
        <v>5.3669848125511059E-2</v>
      </c>
      <c r="J350" s="175">
        <v>5.3669848125511059E-2</v>
      </c>
      <c r="L350" s="95">
        <v>2021</v>
      </c>
      <c r="M350" s="139" t="s">
        <v>203</v>
      </c>
      <c r="N350" s="147" t="s">
        <v>12</v>
      </c>
    </row>
    <row r="351" spans="3:16" x14ac:dyDescent="0.25">
      <c r="C351" s="127">
        <v>2012</v>
      </c>
      <c r="D351" s="127" t="s">
        <v>22</v>
      </c>
      <c r="E351" s="128">
        <v>21.277018000000002</v>
      </c>
      <c r="F351" s="128">
        <v>19.781036171949193</v>
      </c>
      <c r="G351" s="181">
        <v>-7.0309750551078576E-2</v>
      </c>
      <c r="H351" s="128">
        <v>1.4959818280508088</v>
      </c>
      <c r="I351" s="174">
        <v>7.0309750551078576E-2</v>
      </c>
      <c r="J351" s="175">
        <v>7.0309750551078576E-2</v>
      </c>
    </row>
    <row r="352" spans="3:16" x14ac:dyDescent="0.25">
      <c r="C352" s="127">
        <v>2012</v>
      </c>
      <c r="D352" s="127" t="s">
        <v>11</v>
      </c>
      <c r="E352" s="128">
        <v>21.277018000000002</v>
      </c>
      <c r="F352" s="128">
        <v>22.868189014867525</v>
      </c>
      <c r="G352" s="181">
        <v>7.4783553544369955E-2</v>
      </c>
      <c r="H352" s="128">
        <v>1.5911710148675233</v>
      </c>
      <c r="I352" s="174">
        <v>7.4783553544369955E-2</v>
      </c>
      <c r="J352" s="175">
        <v>7.4783553544369955E-2</v>
      </c>
    </row>
    <row r="353" spans="3:14" x14ac:dyDescent="0.25">
      <c r="C353" s="127">
        <v>2012</v>
      </c>
      <c r="D353" s="127" t="s">
        <v>15</v>
      </c>
      <c r="E353" s="128">
        <v>21.277018000000002</v>
      </c>
      <c r="F353" s="128">
        <v>19.6735962580048</v>
      </c>
      <c r="G353" s="181">
        <v>-7.5359326292584891E-2</v>
      </c>
      <c r="H353" s="128">
        <v>1.6034217419952022</v>
      </c>
      <c r="I353" s="174">
        <v>7.5359326292584891E-2</v>
      </c>
      <c r="J353" s="175">
        <v>7.5359326292584891E-2</v>
      </c>
      <c r="L353" s="171"/>
      <c r="M353" s="171"/>
      <c r="N353" s="171"/>
    </row>
    <row r="354" spans="3:14" x14ac:dyDescent="0.25">
      <c r="C354" s="127">
        <v>2012</v>
      </c>
      <c r="D354" s="127" t="s">
        <v>45</v>
      </c>
      <c r="E354" s="128">
        <v>21.277018000000002</v>
      </c>
      <c r="F354" s="128">
        <v>19.488342421300182</v>
      </c>
      <c r="G354" s="181">
        <v>-8.4066083823391979E-2</v>
      </c>
      <c r="H354" s="128">
        <v>1.7886755786998201</v>
      </c>
      <c r="I354" s="174">
        <v>8.4066083823391979E-2</v>
      </c>
      <c r="J354" s="175">
        <v>8.4066083823391979E-2</v>
      </c>
      <c r="L354" s="171"/>
      <c r="M354" s="171"/>
      <c r="N354" s="171"/>
    </row>
    <row r="355" spans="3:14" x14ac:dyDescent="0.25">
      <c r="C355" s="127">
        <v>2012</v>
      </c>
      <c r="D355" s="127" t="s">
        <v>24</v>
      </c>
      <c r="E355" s="128">
        <v>21.277018000000002</v>
      </c>
      <c r="F355" s="128">
        <v>18.725046900963523</v>
      </c>
      <c r="G355" s="181">
        <v>-0.11994026132028832</v>
      </c>
      <c r="H355" s="128">
        <v>2.5519710990364786</v>
      </c>
      <c r="I355" s="174">
        <v>0.11994026132028832</v>
      </c>
      <c r="J355" s="175">
        <v>0.11994026132028832</v>
      </c>
      <c r="L355" s="171"/>
      <c r="M355" s="171"/>
      <c r="N355" s="171"/>
    </row>
    <row r="356" spans="3:14" x14ac:dyDescent="0.25">
      <c r="C356" s="127">
        <v>2012</v>
      </c>
      <c r="D356" s="127" t="s">
        <v>12</v>
      </c>
      <c r="E356" s="128">
        <v>21.277018000000002</v>
      </c>
      <c r="F356" s="128">
        <v>24.51093291449564</v>
      </c>
      <c r="G356" s="181">
        <v>0.15199098456821528</v>
      </c>
      <c r="H356" s="128">
        <v>3.2339149144956387</v>
      </c>
      <c r="I356" s="174">
        <v>0.15199098456821528</v>
      </c>
      <c r="J356" s="175">
        <v>0.15199098456821528</v>
      </c>
      <c r="L356" s="171"/>
      <c r="M356" s="127"/>
      <c r="N356" s="171"/>
    </row>
    <row r="357" spans="3:14" x14ac:dyDescent="0.25">
      <c r="C357" s="127">
        <v>2013</v>
      </c>
      <c r="D357" s="127" t="s">
        <v>12</v>
      </c>
      <c r="E357" s="128">
        <v>94.719412000000005</v>
      </c>
      <c r="F357" s="128">
        <v>64.985448868838859</v>
      </c>
      <c r="G357" s="181">
        <v>-0.31391625542566864</v>
      </c>
      <c r="H357" s="128">
        <v>29.733963131161147</v>
      </c>
      <c r="I357" s="174">
        <v>0.31391625542566864</v>
      </c>
      <c r="J357" s="175">
        <v>0.31391625542566864</v>
      </c>
      <c r="L357" s="171"/>
      <c r="M357" s="127"/>
      <c r="N357" s="171"/>
    </row>
    <row r="358" spans="3:14" x14ac:dyDescent="0.25">
      <c r="C358" s="127">
        <v>2013</v>
      </c>
      <c r="D358" s="127" t="s">
        <v>21</v>
      </c>
      <c r="E358" s="128">
        <v>94.719412000000005</v>
      </c>
      <c r="F358" s="128">
        <v>62.666041907108145</v>
      </c>
      <c r="G358" s="181">
        <v>-0.3384033897179583</v>
      </c>
      <c r="H358" s="128">
        <v>32.053370092891861</v>
      </c>
      <c r="I358" s="174">
        <v>0.3384033897179583</v>
      </c>
      <c r="J358" s="175">
        <v>0.3384033897179583</v>
      </c>
      <c r="L358" s="171"/>
      <c r="M358" s="127"/>
      <c r="N358" s="171"/>
    </row>
    <row r="359" spans="3:14" x14ac:dyDescent="0.25">
      <c r="C359" s="127">
        <v>2013</v>
      </c>
      <c r="D359" s="127" t="s">
        <v>25</v>
      </c>
      <c r="E359" s="128">
        <v>94.719412000000005</v>
      </c>
      <c r="F359" s="128">
        <v>62.631890807435816</v>
      </c>
      <c r="G359" s="181">
        <v>-0.33876393988345482</v>
      </c>
      <c r="H359" s="128">
        <v>32.087521192564189</v>
      </c>
      <c r="I359" s="174">
        <v>0.33876393988345482</v>
      </c>
      <c r="J359" s="175">
        <v>0.33876393988345482</v>
      </c>
      <c r="L359" s="171"/>
      <c r="M359" s="127"/>
      <c r="N359" s="171"/>
    </row>
    <row r="360" spans="3:14" x14ac:dyDescent="0.25">
      <c r="C360" s="127">
        <v>2013</v>
      </c>
      <c r="D360" s="127" t="s">
        <v>18</v>
      </c>
      <c r="E360" s="128">
        <v>94.719412000000005</v>
      </c>
      <c r="F360" s="128">
        <v>61.881436257900447</v>
      </c>
      <c r="G360" s="181">
        <v>-0.34668686226746803</v>
      </c>
      <c r="H360" s="128">
        <v>32.837975742099559</v>
      </c>
      <c r="I360" s="174">
        <v>0.34668686226746803</v>
      </c>
      <c r="J360" s="175">
        <v>0.34668686226746803</v>
      </c>
      <c r="L360" s="171"/>
      <c r="M360" s="127"/>
      <c r="N360" s="171"/>
    </row>
    <row r="361" spans="3:14" x14ac:dyDescent="0.25">
      <c r="C361" s="127">
        <v>2013</v>
      </c>
      <c r="D361" s="127" t="s">
        <v>23</v>
      </c>
      <c r="E361" s="128">
        <v>94.719412000000005</v>
      </c>
      <c r="F361" s="128">
        <v>61.660271793197559</v>
      </c>
      <c r="G361" s="181">
        <v>-0.349021805654816</v>
      </c>
      <c r="H361" s="128">
        <v>33.059140206802446</v>
      </c>
      <c r="I361" s="174">
        <v>0.349021805654816</v>
      </c>
      <c r="J361" s="175">
        <v>0.349021805654816</v>
      </c>
      <c r="L361" s="171"/>
      <c r="M361" s="127"/>
      <c r="N361" s="171"/>
    </row>
    <row r="362" spans="3:14" x14ac:dyDescent="0.25">
      <c r="C362" s="127">
        <v>2013</v>
      </c>
      <c r="D362" s="127" t="s">
        <v>45</v>
      </c>
      <c r="E362" s="128">
        <v>94.719412000000005</v>
      </c>
      <c r="F362" s="128">
        <v>61.347111819736213</v>
      </c>
      <c r="G362" s="181">
        <v>-0.35232799143921828</v>
      </c>
      <c r="H362" s="128">
        <v>33.372300180263792</v>
      </c>
      <c r="I362" s="174">
        <v>0.35232799143921828</v>
      </c>
      <c r="J362" s="175">
        <v>0.35232799143921828</v>
      </c>
      <c r="L362" s="171"/>
      <c r="M362" s="127"/>
      <c r="N362" s="171"/>
    </row>
    <row r="363" spans="3:14" x14ac:dyDescent="0.25">
      <c r="C363" s="127">
        <v>2013</v>
      </c>
      <c r="D363" s="127" t="s">
        <v>27</v>
      </c>
      <c r="E363" s="128">
        <v>94.719412000000005</v>
      </c>
      <c r="F363" s="128">
        <v>61.337378104972409</v>
      </c>
      <c r="G363" s="181">
        <v>-0.35243075511308702</v>
      </c>
      <c r="H363" s="128">
        <v>33.382033895027597</v>
      </c>
      <c r="I363" s="174">
        <v>0.35243075511308702</v>
      </c>
      <c r="J363" s="175">
        <v>0.35243075511308702</v>
      </c>
      <c r="L363" s="171"/>
      <c r="M363" s="127"/>
      <c r="N363" s="171"/>
    </row>
    <row r="364" spans="3:14" x14ac:dyDescent="0.25">
      <c r="C364" s="127">
        <v>2013</v>
      </c>
      <c r="D364" s="127" t="s">
        <v>16</v>
      </c>
      <c r="E364" s="128">
        <v>94.719412000000005</v>
      </c>
      <c r="F364" s="128">
        <v>61.259483377067269</v>
      </c>
      <c r="G364" s="181">
        <v>-0.35325312854489355</v>
      </c>
      <c r="H364" s="128">
        <v>33.459928622932736</v>
      </c>
      <c r="I364" s="174">
        <v>0.35325312854489355</v>
      </c>
      <c r="J364" s="175">
        <v>0.35325312854489355</v>
      </c>
      <c r="L364" s="171"/>
      <c r="M364" s="127"/>
      <c r="N364" s="171"/>
    </row>
    <row r="365" spans="3:14" x14ac:dyDescent="0.25">
      <c r="C365" s="127">
        <v>2013</v>
      </c>
      <c r="D365" s="127" t="s">
        <v>32</v>
      </c>
      <c r="E365" s="128">
        <v>94.719412000000005</v>
      </c>
      <c r="F365" s="128">
        <v>60.606406401386693</v>
      </c>
      <c r="G365" s="181">
        <v>-0.36014798739051834</v>
      </c>
      <c r="H365" s="128">
        <v>34.113005598613313</v>
      </c>
      <c r="I365" s="174">
        <v>0.36014798739051834</v>
      </c>
      <c r="J365" s="175">
        <v>0.36014798739051834</v>
      </c>
      <c r="L365" s="171"/>
      <c r="M365" s="127"/>
      <c r="N365" s="171"/>
    </row>
    <row r="366" spans="3:14" x14ac:dyDescent="0.25">
      <c r="C366" s="127">
        <v>2013</v>
      </c>
      <c r="D366" s="127" t="s">
        <v>15</v>
      </c>
      <c r="E366" s="128">
        <v>94.719412000000005</v>
      </c>
      <c r="F366" s="128">
        <v>60.527862182407326</v>
      </c>
      <c r="G366" s="181">
        <v>-0.36097721782302322</v>
      </c>
      <c r="H366" s="128">
        <v>34.19154981759268</v>
      </c>
      <c r="I366" s="174">
        <v>0.36097721782302322</v>
      </c>
      <c r="J366" s="175">
        <v>0.36097721782302322</v>
      </c>
      <c r="L366" s="171"/>
      <c r="M366" s="171"/>
      <c r="N366" s="171"/>
    </row>
    <row r="367" spans="3:14" x14ac:dyDescent="0.25">
      <c r="C367" s="127">
        <v>2013</v>
      </c>
      <c r="D367" s="127" t="s">
        <v>24</v>
      </c>
      <c r="E367" s="128">
        <v>94.719412000000005</v>
      </c>
      <c r="F367" s="128">
        <v>60.491939619770122</v>
      </c>
      <c r="G367" s="181">
        <v>-0.36135647020517697</v>
      </c>
      <c r="H367" s="128">
        <v>34.227472380229884</v>
      </c>
      <c r="I367" s="174">
        <v>0.36135647020517697</v>
      </c>
      <c r="J367" s="175">
        <v>0.36135647020517697</v>
      </c>
      <c r="L367" s="171"/>
      <c r="M367" s="171"/>
      <c r="N367" s="171"/>
    </row>
    <row r="368" spans="3:14" x14ac:dyDescent="0.25">
      <c r="C368" s="127">
        <v>2013</v>
      </c>
      <c r="D368" s="127" t="s">
        <v>22</v>
      </c>
      <c r="E368" s="128">
        <v>94.719412000000005</v>
      </c>
      <c r="F368" s="128">
        <v>60.2568191406273</v>
      </c>
      <c r="G368" s="181">
        <v>-0.36383875418665712</v>
      </c>
      <c r="H368" s="128">
        <v>34.462592859372705</v>
      </c>
      <c r="I368" s="174">
        <v>0.36383875418665712</v>
      </c>
      <c r="J368" s="175">
        <v>0.36383875418665712</v>
      </c>
      <c r="L368" s="171"/>
      <c r="M368" s="171"/>
      <c r="N368" s="171"/>
    </row>
    <row r="369" spans="3:14" x14ac:dyDescent="0.25">
      <c r="C369" s="127">
        <v>2013</v>
      </c>
      <c r="D369" s="127" t="s">
        <v>14</v>
      </c>
      <c r="E369" s="128">
        <v>94.719412000000005</v>
      </c>
      <c r="F369" s="128">
        <v>60.194299724999993</v>
      </c>
      <c r="G369" s="181">
        <v>-0.36449880279028768</v>
      </c>
      <c r="H369" s="128">
        <v>34.525112275000012</v>
      </c>
      <c r="I369" s="174">
        <v>0.36449880279028768</v>
      </c>
      <c r="J369" s="175">
        <v>0.36449880279028768</v>
      </c>
      <c r="L369" s="171"/>
      <c r="M369" s="171"/>
      <c r="N369" s="171"/>
    </row>
    <row r="370" spans="3:14" x14ac:dyDescent="0.25">
      <c r="C370" s="127">
        <v>2013</v>
      </c>
      <c r="D370" s="127" t="s">
        <v>13</v>
      </c>
      <c r="E370" s="128">
        <v>94.719412000000005</v>
      </c>
      <c r="F370" s="128">
        <v>60.030217583173417</v>
      </c>
      <c r="G370" s="181">
        <v>-0.36623109966969164</v>
      </c>
      <c r="H370" s="128">
        <v>34.689194416826588</v>
      </c>
      <c r="I370" s="174">
        <v>0.36623109966969164</v>
      </c>
      <c r="J370" s="175">
        <v>0.36623109966969164</v>
      </c>
      <c r="L370" s="171"/>
      <c r="M370" s="171"/>
      <c r="N370" s="171"/>
    </row>
    <row r="371" spans="3:14" x14ac:dyDescent="0.25">
      <c r="C371" s="127">
        <v>2013</v>
      </c>
      <c r="D371" s="127" t="s">
        <v>29</v>
      </c>
      <c r="E371" s="128">
        <v>94.719412000000005</v>
      </c>
      <c r="F371" s="128">
        <v>59.246836670416002</v>
      </c>
      <c r="G371" s="181">
        <v>-0.37450164206661252</v>
      </c>
      <c r="H371" s="128">
        <v>35.472575329584004</v>
      </c>
      <c r="I371" s="174">
        <v>0.37450164206661252</v>
      </c>
      <c r="J371" s="175">
        <v>0.37450164206661252</v>
      </c>
      <c r="L371" s="171"/>
      <c r="M371" s="171"/>
      <c r="N371" s="171"/>
    </row>
    <row r="372" spans="3:14" x14ac:dyDescent="0.25">
      <c r="C372" s="127">
        <v>2013</v>
      </c>
      <c r="D372" s="127" t="s">
        <v>20</v>
      </c>
      <c r="E372" s="128">
        <v>94.719412000000005</v>
      </c>
      <c r="F372" s="128">
        <v>59.192701578188306</v>
      </c>
      <c r="G372" s="181">
        <v>-0.37507317319296385</v>
      </c>
      <c r="H372" s="128">
        <v>35.5267104218117</v>
      </c>
      <c r="I372" s="174">
        <v>0.37507317319296385</v>
      </c>
      <c r="J372" s="175">
        <v>0.37507317319296385</v>
      </c>
      <c r="L372" s="171"/>
      <c r="M372" s="171"/>
      <c r="N372" s="171"/>
    </row>
    <row r="373" spans="3:14" x14ac:dyDescent="0.25">
      <c r="C373" s="127">
        <v>2013</v>
      </c>
      <c r="D373" s="127" t="s">
        <v>198</v>
      </c>
      <c r="E373" s="128">
        <v>94.719412000000005</v>
      </c>
      <c r="F373" s="128">
        <v>57.998465630825841</v>
      </c>
      <c r="G373" s="181">
        <v>-0.38768131678408396</v>
      </c>
      <c r="H373" s="128">
        <f>ABS(E373-F373)</f>
        <v>36.720946369174165</v>
      </c>
      <c r="I373" s="174">
        <f>ABS(G373)</f>
        <v>0.38768131678408396</v>
      </c>
      <c r="J373" s="174">
        <f>ABS((E373-F373)/E373)</f>
        <v>0.38768131678408396</v>
      </c>
      <c r="L373" s="171"/>
      <c r="M373" s="171"/>
      <c r="N373" s="171"/>
    </row>
    <row r="374" spans="3:14" x14ac:dyDescent="0.25">
      <c r="C374" s="127">
        <v>2013</v>
      </c>
      <c r="D374" s="127" t="s">
        <v>197</v>
      </c>
      <c r="E374" s="128">
        <v>94.719412000000005</v>
      </c>
      <c r="F374" s="176">
        <v>57.907012360497028</v>
      </c>
      <c r="G374" s="181">
        <v>-0.38864683450001752</v>
      </c>
      <c r="H374" s="128">
        <f>ABS(E374-F374)</f>
        <v>36.812399639502978</v>
      </c>
      <c r="I374" s="174">
        <f>ABS(G374)</f>
        <v>0.38864683450001752</v>
      </c>
      <c r="J374" s="174">
        <f>ABS((E374-F374)/E374)</f>
        <v>0.38864683450001752</v>
      </c>
      <c r="L374" s="171"/>
      <c r="M374" s="171"/>
      <c r="N374" s="171"/>
    </row>
    <row r="375" spans="3:14" x14ac:dyDescent="0.25">
      <c r="C375" s="127">
        <v>2013</v>
      </c>
      <c r="D375" s="127" t="s">
        <v>17</v>
      </c>
      <c r="E375" s="128">
        <v>94.719412000000005</v>
      </c>
      <c r="F375" s="128">
        <v>54.84160313942899</v>
      </c>
      <c r="G375" s="181">
        <v>-0.42100988613158846</v>
      </c>
      <c r="H375" s="128">
        <v>39.877808860571015</v>
      </c>
      <c r="I375" s="174">
        <v>0.42100988613158846</v>
      </c>
      <c r="J375" s="175">
        <v>0.42100988613158846</v>
      </c>
      <c r="L375" s="171"/>
      <c r="M375" s="171"/>
      <c r="N375" s="171"/>
    </row>
    <row r="376" spans="3:14" x14ac:dyDescent="0.25">
      <c r="C376" s="127">
        <v>2013</v>
      </c>
      <c r="D376" s="127" t="s">
        <v>11</v>
      </c>
      <c r="E376" s="128">
        <v>94.719412000000005</v>
      </c>
      <c r="F376" s="128">
        <v>51.459077628247272</v>
      </c>
      <c r="G376" s="181">
        <v>-0.45672089235259117</v>
      </c>
      <c r="H376" s="128">
        <v>43.260334371752734</v>
      </c>
      <c r="I376" s="174">
        <v>0.45672089235259117</v>
      </c>
      <c r="J376" s="175">
        <v>0.45672089235259117</v>
      </c>
    </row>
    <row r="377" spans="3:14" x14ac:dyDescent="0.25">
      <c r="C377" s="127">
        <v>2014</v>
      </c>
      <c r="D377" s="127" t="s">
        <v>13</v>
      </c>
      <c r="E377" s="128">
        <v>37.173864700000003</v>
      </c>
      <c r="F377" s="128">
        <v>37.025320406947273</v>
      </c>
      <c r="G377" s="181">
        <v>-3.9959335477091212E-3</v>
      </c>
      <c r="H377" s="128">
        <v>0.14854429305272987</v>
      </c>
      <c r="I377" s="174">
        <v>3.9959335477091212E-3</v>
      </c>
      <c r="J377" s="175">
        <v>3.9959335477091212E-3</v>
      </c>
    </row>
    <row r="378" spans="3:14" x14ac:dyDescent="0.25">
      <c r="C378" s="127">
        <v>2014</v>
      </c>
      <c r="D378" s="127" t="s">
        <v>17</v>
      </c>
      <c r="E378" s="128">
        <v>37.173864700000003</v>
      </c>
      <c r="F378" s="128">
        <v>36.512067026190721</v>
      </c>
      <c r="G378" s="181">
        <v>-1.7802767593579853E-2</v>
      </c>
      <c r="H378" s="128">
        <v>0.66179767380928212</v>
      </c>
      <c r="I378" s="174">
        <v>1.7802767593579853E-2</v>
      </c>
      <c r="J378" s="175">
        <v>1.7802767593579853E-2</v>
      </c>
    </row>
    <row r="379" spans="3:14" x14ac:dyDescent="0.25">
      <c r="C379" s="127">
        <v>2014</v>
      </c>
      <c r="D379" s="127" t="s">
        <v>22</v>
      </c>
      <c r="E379" s="128">
        <v>37.173864700000003</v>
      </c>
      <c r="F379" s="128">
        <v>38.14486749413603</v>
      </c>
      <c r="G379" s="181">
        <v>2.6120576969120634E-2</v>
      </c>
      <c r="H379" s="128">
        <v>0.97100279413602664</v>
      </c>
      <c r="I379" s="174">
        <v>2.6120576969120634E-2</v>
      </c>
      <c r="J379" s="175">
        <v>2.6120576969120634E-2</v>
      </c>
    </row>
    <row r="380" spans="3:14" x14ac:dyDescent="0.25">
      <c r="C380" s="127">
        <v>2014</v>
      </c>
      <c r="D380" s="127" t="s">
        <v>24</v>
      </c>
      <c r="E380" s="128">
        <v>37.173864700000003</v>
      </c>
      <c r="F380" s="128">
        <v>33.38549315213195</v>
      </c>
      <c r="G380" s="181">
        <v>-0.10190954258969077</v>
      </c>
      <c r="H380" s="128">
        <v>3.7883715478680529</v>
      </c>
      <c r="I380" s="174">
        <v>0.10190954258969077</v>
      </c>
      <c r="J380" s="175">
        <v>0.10190954258969077</v>
      </c>
    </row>
    <row r="381" spans="3:14" x14ac:dyDescent="0.25">
      <c r="C381" s="127">
        <v>2014</v>
      </c>
      <c r="D381" s="127" t="s">
        <v>20</v>
      </c>
      <c r="E381" s="128">
        <v>37.173864700000003</v>
      </c>
      <c r="F381" s="128">
        <v>33.152261928707304</v>
      </c>
      <c r="G381" s="181">
        <v>-0.1081836070515611</v>
      </c>
      <c r="H381" s="128">
        <v>4.0216027712926987</v>
      </c>
      <c r="I381" s="174">
        <v>0.1081836070515611</v>
      </c>
      <c r="J381" s="175">
        <v>0.1081836070515611</v>
      </c>
    </row>
    <row r="382" spans="3:14" x14ac:dyDescent="0.25">
      <c r="C382" s="127">
        <v>2014</v>
      </c>
      <c r="D382" s="127" t="s">
        <v>15</v>
      </c>
      <c r="E382" s="128">
        <v>37.173864700000003</v>
      </c>
      <c r="F382" s="128">
        <v>32.769126460526024</v>
      </c>
      <c r="G382" s="181">
        <v>-0.11849018860484468</v>
      </c>
      <c r="H382" s="128">
        <v>4.4047382394739785</v>
      </c>
      <c r="I382" s="174">
        <v>0.11849018860484468</v>
      </c>
      <c r="J382" s="175">
        <v>0.11849018860484468</v>
      </c>
    </row>
    <row r="383" spans="3:14" x14ac:dyDescent="0.25">
      <c r="C383" s="127">
        <v>2014</v>
      </c>
      <c r="D383" s="127" t="s">
        <v>27</v>
      </c>
      <c r="E383" s="128">
        <v>37.173864700000003</v>
      </c>
      <c r="F383" s="128">
        <v>31.64869893662301</v>
      </c>
      <c r="G383" s="181">
        <v>-0.14863038341496393</v>
      </c>
      <c r="H383" s="128">
        <v>5.5251657633769931</v>
      </c>
      <c r="I383" s="174">
        <v>0.14863038341496393</v>
      </c>
      <c r="J383" s="175">
        <v>0.14863038341496393</v>
      </c>
    </row>
    <row r="384" spans="3:14" x14ac:dyDescent="0.25">
      <c r="C384" s="127">
        <v>2014</v>
      </c>
      <c r="D384" s="127" t="s">
        <v>11</v>
      </c>
      <c r="E384" s="128">
        <v>37.173864700000003</v>
      </c>
      <c r="F384" s="128">
        <v>30.418099934180848</v>
      </c>
      <c r="G384" s="181">
        <v>-0.18173425927972334</v>
      </c>
      <c r="H384" s="128">
        <v>6.7557647658191549</v>
      </c>
      <c r="I384" s="174">
        <v>0.18173425927972334</v>
      </c>
      <c r="J384" s="175">
        <v>0.18173425927972334</v>
      </c>
    </row>
    <row r="385" spans="3:10" x14ac:dyDescent="0.25">
      <c r="C385" s="127">
        <v>2014</v>
      </c>
      <c r="D385" s="127" t="s">
        <v>12</v>
      </c>
      <c r="E385" s="128">
        <v>37.173864700000003</v>
      </c>
      <c r="F385" s="128">
        <v>30.362922731209636</v>
      </c>
      <c r="G385" s="181">
        <v>-0.18321856023730473</v>
      </c>
      <c r="H385" s="128">
        <v>6.8109419687903667</v>
      </c>
      <c r="I385" s="174">
        <v>0.18321856023730473</v>
      </c>
      <c r="J385" s="175">
        <v>0.18321856023730473</v>
      </c>
    </row>
    <row r="386" spans="3:10" x14ac:dyDescent="0.25">
      <c r="C386" s="127">
        <v>2014</v>
      </c>
      <c r="D386" s="127" t="s">
        <v>21</v>
      </c>
      <c r="E386" s="128">
        <v>37.173864700000003</v>
      </c>
      <c r="F386" s="128">
        <v>30.150108758102586</v>
      </c>
      <c r="G386" s="181">
        <v>-0.1889433880114546</v>
      </c>
      <c r="H386" s="128">
        <v>7.0237559418974165</v>
      </c>
      <c r="I386" s="174">
        <v>0.1889433880114546</v>
      </c>
      <c r="J386" s="175">
        <v>0.1889433880114546</v>
      </c>
    </row>
    <row r="387" spans="3:10" x14ac:dyDescent="0.25">
      <c r="C387" s="127">
        <v>2014</v>
      </c>
      <c r="D387" s="127" t="s">
        <v>16</v>
      </c>
      <c r="E387" s="128">
        <v>37.173864700000003</v>
      </c>
      <c r="F387" s="128">
        <v>29.954664595899633</v>
      </c>
      <c r="G387" s="181">
        <v>-0.19420095710684526</v>
      </c>
      <c r="H387" s="128">
        <v>7.2192001041003699</v>
      </c>
      <c r="I387" s="174">
        <v>0.19420095710684526</v>
      </c>
      <c r="J387" s="175">
        <v>0.19420095710684526</v>
      </c>
    </row>
    <row r="388" spans="3:10" x14ac:dyDescent="0.25">
      <c r="C388" s="127">
        <v>2014</v>
      </c>
      <c r="D388" s="127" t="s">
        <v>25</v>
      </c>
      <c r="E388" s="128">
        <v>37.173864700000003</v>
      </c>
      <c r="F388" s="128">
        <v>29.802990893179171</v>
      </c>
      <c r="G388" s="181">
        <v>-0.19828107371415787</v>
      </c>
      <c r="H388" s="128">
        <v>7.3708738068208319</v>
      </c>
      <c r="I388" s="174">
        <v>0.19828107371415787</v>
      </c>
      <c r="J388" s="175">
        <v>0.19828107371415787</v>
      </c>
    </row>
    <row r="389" spans="3:10" x14ac:dyDescent="0.25">
      <c r="C389" s="127">
        <v>2014</v>
      </c>
      <c r="D389" s="127" t="s">
        <v>197</v>
      </c>
      <c r="E389" s="128">
        <v>37.173864700000003</v>
      </c>
      <c r="F389" s="176">
        <v>29.659590945462401</v>
      </c>
      <c r="G389" s="181">
        <v>-0.20213862118397394</v>
      </c>
      <c r="H389" s="128">
        <f>ABS(E389-F389)</f>
        <v>7.5142737545376015</v>
      </c>
      <c r="I389" s="174">
        <f>ABS(G389)</f>
        <v>0.20213862118397394</v>
      </c>
      <c r="J389" s="174">
        <f>ABS((E389-F389)/E389)</f>
        <v>0.20213862118397394</v>
      </c>
    </row>
    <row r="390" spans="3:10" x14ac:dyDescent="0.25">
      <c r="C390" s="127">
        <v>2014</v>
      </c>
      <c r="D390" s="127" t="s">
        <v>198</v>
      </c>
      <c r="E390" s="128">
        <v>37.173864700000003</v>
      </c>
      <c r="F390" s="128">
        <v>29.643294491728913</v>
      </c>
      <c r="G390" s="181">
        <v>-0.2025770058895999</v>
      </c>
      <c r="H390" s="128">
        <f>ABS(E390-F390)</f>
        <v>7.5305702082710901</v>
      </c>
      <c r="I390" s="174">
        <f>ABS(G390)</f>
        <v>0.2025770058895999</v>
      </c>
      <c r="J390" s="174">
        <f>ABS((E390-F390)/E390)</f>
        <v>0.2025770058895999</v>
      </c>
    </row>
    <row r="391" spans="3:10" x14ac:dyDescent="0.25">
      <c r="C391" s="127">
        <v>2014</v>
      </c>
      <c r="D391" s="127" t="s">
        <v>18</v>
      </c>
      <c r="E391" s="128">
        <v>37.173864700000003</v>
      </c>
      <c r="F391" s="128">
        <v>29.011372532147501</v>
      </c>
      <c r="G391" s="181">
        <v>-0.21957609825411833</v>
      </c>
      <c r="H391" s="128">
        <v>8.162492167852502</v>
      </c>
      <c r="I391" s="174">
        <v>0.21957609825411833</v>
      </c>
      <c r="J391" s="175">
        <v>0.21957609825411833</v>
      </c>
    </row>
    <row r="392" spans="3:10" x14ac:dyDescent="0.25">
      <c r="C392" s="127">
        <v>2014</v>
      </c>
      <c r="D392" s="127" t="s">
        <v>14</v>
      </c>
      <c r="E392" s="128">
        <v>37.173864700000003</v>
      </c>
      <c r="F392" s="128">
        <v>28.663607701069164</v>
      </c>
      <c r="G392" s="181">
        <v>-0.22893118774736482</v>
      </c>
      <c r="H392" s="128">
        <v>8.5102569989308385</v>
      </c>
      <c r="I392" s="174">
        <v>0.22893118774736482</v>
      </c>
      <c r="J392" s="175">
        <v>0.22893118774736482</v>
      </c>
    </row>
    <row r="393" spans="3:10" x14ac:dyDescent="0.25">
      <c r="C393" s="127">
        <v>2014</v>
      </c>
      <c r="D393" s="127" t="s">
        <v>45</v>
      </c>
      <c r="E393" s="128">
        <v>37.173864700000003</v>
      </c>
      <c r="F393" s="128">
        <v>28.417972211734916</v>
      </c>
      <c r="G393" s="181">
        <v>-0.23553893465010339</v>
      </c>
      <c r="H393" s="128">
        <v>8.7558924882650864</v>
      </c>
      <c r="I393" s="174">
        <v>0.23553893465010339</v>
      </c>
      <c r="J393" s="175">
        <v>0.23553893465010339</v>
      </c>
    </row>
    <row r="394" spans="3:10" x14ac:dyDescent="0.25">
      <c r="C394" s="127">
        <v>2014</v>
      </c>
      <c r="D394" s="127" t="s">
        <v>23</v>
      </c>
      <c r="E394" s="128">
        <v>37.173864700000003</v>
      </c>
      <c r="F394" s="128">
        <v>28.30206796052699</v>
      </c>
      <c r="G394" s="181">
        <v>-0.23865683084258418</v>
      </c>
      <c r="H394" s="128">
        <v>8.8717967394730124</v>
      </c>
      <c r="I394" s="174">
        <v>0.23865683084258418</v>
      </c>
      <c r="J394" s="175">
        <v>0.23865683084258418</v>
      </c>
    </row>
    <row r="395" spans="3:10" x14ac:dyDescent="0.25">
      <c r="C395" s="127">
        <v>2014</v>
      </c>
      <c r="D395" s="127" t="s">
        <v>32</v>
      </c>
      <c r="E395" s="128">
        <v>37.173864700000003</v>
      </c>
      <c r="F395" s="128">
        <v>26.425439874338529</v>
      </c>
      <c r="G395" s="181">
        <v>-0.28913928945519274</v>
      </c>
      <c r="H395" s="128">
        <v>10.748424825661473</v>
      </c>
      <c r="I395" s="174">
        <v>0.28913928945519274</v>
      </c>
      <c r="J395" s="175">
        <v>0.28913928945519274</v>
      </c>
    </row>
    <row r="396" spans="3:10" x14ac:dyDescent="0.25">
      <c r="C396" s="127">
        <v>2014</v>
      </c>
      <c r="D396" s="127" t="s">
        <v>29</v>
      </c>
      <c r="E396" s="128">
        <v>37.173864700000003</v>
      </c>
      <c r="F396" s="128">
        <v>25.675099673744072</v>
      </c>
      <c r="G396" s="181">
        <v>-0.30932390589606712</v>
      </c>
      <c r="H396" s="128">
        <v>11.498765026255931</v>
      </c>
      <c r="I396" s="174">
        <v>0.30932390589606712</v>
      </c>
      <c r="J396" s="175">
        <v>0.30932390589606712</v>
      </c>
    </row>
    <row r="397" spans="3:10" x14ac:dyDescent="0.25">
      <c r="C397" s="127">
        <v>2015</v>
      </c>
      <c r="D397" s="127" t="s">
        <v>22</v>
      </c>
      <c r="E397" s="128">
        <v>35.092568</v>
      </c>
      <c r="F397" s="128">
        <v>41.215987799922239</v>
      </c>
      <c r="G397" s="181">
        <v>0.17449335141053909</v>
      </c>
      <c r="H397" s="128">
        <v>6.1234197999222388</v>
      </c>
      <c r="I397" s="174">
        <v>0.17449335141053909</v>
      </c>
      <c r="J397" s="175">
        <v>0.17449335141053909</v>
      </c>
    </row>
    <row r="398" spans="3:10" x14ac:dyDescent="0.25">
      <c r="C398" s="127">
        <v>2015</v>
      </c>
      <c r="D398" s="127" t="s">
        <v>13</v>
      </c>
      <c r="E398" s="128">
        <v>35.092568</v>
      </c>
      <c r="F398" s="128">
        <v>43.617108046486187</v>
      </c>
      <c r="G398" s="181">
        <v>0.24291582327306988</v>
      </c>
      <c r="H398" s="128">
        <v>8.5245400464861874</v>
      </c>
      <c r="I398" s="174">
        <v>0.24291582327306988</v>
      </c>
      <c r="J398" s="175">
        <v>0.24291582327306988</v>
      </c>
    </row>
    <row r="399" spans="3:10" x14ac:dyDescent="0.25">
      <c r="C399" s="127">
        <v>2015</v>
      </c>
      <c r="D399" s="127" t="s">
        <v>17</v>
      </c>
      <c r="E399" s="128">
        <v>35.092568</v>
      </c>
      <c r="F399" s="128">
        <v>44.366734298406996</v>
      </c>
      <c r="G399" s="181">
        <v>0.26427721956418226</v>
      </c>
      <c r="H399" s="128">
        <v>9.2741662984069961</v>
      </c>
      <c r="I399" s="174">
        <v>0.26427721956418226</v>
      </c>
      <c r="J399" s="175">
        <v>0.26427721956418226</v>
      </c>
    </row>
    <row r="400" spans="3:10" x14ac:dyDescent="0.25">
      <c r="C400" s="127">
        <v>2015</v>
      </c>
      <c r="D400" s="127" t="s">
        <v>27</v>
      </c>
      <c r="E400" s="128">
        <v>35.092568</v>
      </c>
      <c r="F400" s="128">
        <v>44.417575435961993</v>
      </c>
      <c r="G400" s="181">
        <v>0.26572599178156447</v>
      </c>
      <c r="H400" s="128">
        <v>9.325007435961993</v>
      </c>
      <c r="I400" s="174">
        <v>0.26572599178156447</v>
      </c>
      <c r="J400" s="175">
        <v>0.26572599178156447</v>
      </c>
    </row>
    <row r="401" spans="3:10" x14ac:dyDescent="0.25">
      <c r="C401" s="127">
        <v>2015</v>
      </c>
      <c r="D401" s="127" t="s">
        <v>197</v>
      </c>
      <c r="E401" s="128">
        <v>35.092568</v>
      </c>
      <c r="F401" s="176">
        <v>50.72113567749993</v>
      </c>
      <c r="G401" s="181">
        <v>0.4453526364186266</v>
      </c>
      <c r="H401" s="128">
        <f>ABS(E401-F401)</f>
        <v>15.62856767749993</v>
      </c>
      <c r="I401" s="174">
        <f>ABS(G401)</f>
        <v>0.4453526364186266</v>
      </c>
      <c r="J401" s="174">
        <f>ABS((E401-F401)/E401)</f>
        <v>0.4453526364186266</v>
      </c>
    </row>
    <row r="402" spans="3:10" x14ac:dyDescent="0.25">
      <c r="C402" s="127">
        <v>2015</v>
      </c>
      <c r="D402" s="127" t="s">
        <v>198</v>
      </c>
      <c r="E402" s="128">
        <v>35.092568</v>
      </c>
      <c r="F402" s="128">
        <v>51.136955960692745</v>
      </c>
      <c r="G402" s="181">
        <v>0.45720187706675514</v>
      </c>
      <c r="H402" s="128">
        <f>ABS(E402-F402)</f>
        <v>16.044387960692745</v>
      </c>
      <c r="I402" s="174">
        <f>ABS(G402)</f>
        <v>0.45720187706675514</v>
      </c>
      <c r="J402" s="174">
        <f>ABS((E402-F402)/E402)</f>
        <v>0.45720187706675514</v>
      </c>
    </row>
    <row r="403" spans="3:10" x14ac:dyDescent="0.25">
      <c r="C403" s="127">
        <v>2015</v>
      </c>
      <c r="D403" s="127" t="s">
        <v>29</v>
      </c>
      <c r="E403" s="128">
        <v>35.092568</v>
      </c>
      <c r="F403" s="128">
        <v>53.917568307477325</v>
      </c>
      <c r="G403" s="181">
        <v>0.53643837941632899</v>
      </c>
      <c r="H403" s="128">
        <v>18.825000307477325</v>
      </c>
      <c r="I403" s="174">
        <v>0.53643837941632899</v>
      </c>
      <c r="J403" s="175">
        <v>0.53643837941632899</v>
      </c>
    </row>
    <row r="404" spans="3:10" x14ac:dyDescent="0.25">
      <c r="C404" s="127">
        <v>2015</v>
      </c>
      <c r="D404" s="127" t="s">
        <v>24</v>
      </c>
      <c r="E404" s="128">
        <v>35.092568</v>
      </c>
      <c r="F404" s="128">
        <v>54.098350244393423</v>
      </c>
      <c r="G404" s="181">
        <v>0.54158995273282429</v>
      </c>
      <c r="H404" s="128">
        <v>19.005782244393423</v>
      </c>
      <c r="I404" s="174">
        <v>0.54158995273282429</v>
      </c>
      <c r="J404" s="175">
        <v>0.54158995273282429</v>
      </c>
    </row>
    <row r="405" spans="3:10" x14ac:dyDescent="0.25">
      <c r="C405" s="127">
        <v>2015</v>
      </c>
      <c r="D405" s="127" t="s">
        <v>23</v>
      </c>
      <c r="E405" s="128">
        <v>35.092568</v>
      </c>
      <c r="F405" s="128">
        <v>54.11354877838297</v>
      </c>
      <c r="G405" s="181">
        <v>0.54202305110252891</v>
      </c>
      <c r="H405" s="128">
        <v>19.02098077838297</v>
      </c>
      <c r="I405" s="174">
        <v>0.54202305110252891</v>
      </c>
      <c r="J405" s="175">
        <v>0.54202305110252891</v>
      </c>
    </row>
    <row r="406" spans="3:10" x14ac:dyDescent="0.25">
      <c r="C406" s="127">
        <v>2015</v>
      </c>
      <c r="D406" s="127" t="s">
        <v>20</v>
      </c>
      <c r="E406" s="128">
        <v>35.092568</v>
      </c>
      <c r="F406" s="128">
        <v>54.547565175428282</v>
      </c>
      <c r="G406" s="181">
        <v>0.55439080934254459</v>
      </c>
      <c r="H406" s="128">
        <v>19.454997175428282</v>
      </c>
      <c r="I406" s="174">
        <v>0.55439080934254459</v>
      </c>
      <c r="J406" s="175">
        <v>0.55439080934254459</v>
      </c>
    </row>
    <row r="407" spans="3:10" x14ac:dyDescent="0.25">
      <c r="C407" s="127">
        <v>2015</v>
      </c>
      <c r="D407" s="127" t="s">
        <v>15</v>
      </c>
      <c r="E407" s="128">
        <v>35.092568</v>
      </c>
      <c r="F407" s="128">
        <v>55.641863867913216</v>
      </c>
      <c r="G407" s="181">
        <v>0.58557401293382738</v>
      </c>
      <c r="H407" s="128">
        <v>20.549295867913216</v>
      </c>
      <c r="I407" s="174">
        <v>0.58557401293382738</v>
      </c>
      <c r="J407" s="175">
        <v>0.58557401293382738</v>
      </c>
    </row>
    <row r="408" spans="3:10" x14ac:dyDescent="0.25">
      <c r="C408" s="127">
        <v>2015</v>
      </c>
      <c r="D408" s="127" t="s">
        <v>14</v>
      </c>
      <c r="E408" s="128">
        <v>35.092568</v>
      </c>
      <c r="F408" s="128">
        <v>55.8173344576565</v>
      </c>
      <c r="G408" s="181">
        <v>0.59057423377099394</v>
      </c>
      <c r="H408" s="128">
        <v>20.7247664576565</v>
      </c>
      <c r="I408" s="174">
        <v>0.59057423377099394</v>
      </c>
      <c r="J408" s="175">
        <v>0.59057423377099394</v>
      </c>
    </row>
    <row r="409" spans="3:10" x14ac:dyDescent="0.25">
      <c r="C409" s="127">
        <v>2015</v>
      </c>
      <c r="D409" s="127" t="s">
        <v>18</v>
      </c>
      <c r="E409" s="128">
        <v>35.092568</v>
      </c>
      <c r="F409" s="128">
        <v>55.945841893539011</v>
      </c>
      <c r="G409" s="181">
        <v>0.5942361896552858</v>
      </c>
      <c r="H409" s="128">
        <v>20.853273893539011</v>
      </c>
      <c r="I409" s="174">
        <v>0.5942361896552858</v>
      </c>
      <c r="J409" s="175">
        <v>0.5942361896552858</v>
      </c>
    </row>
    <row r="410" spans="3:10" x14ac:dyDescent="0.25">
      <c r="C410" s="127">
        <v>2015</v>
      </c>
      <c r="D410" s="127" t="s">
        <v>45</v>
      </c>
      <c r="E410" s="128">
        <v>35.092568</v>
      </c>
      <c r="F410" s="128">
        <v>56.215512795184196</v>
      </c>
      <c r="G410" s="181">
        <v>0.60192074843836441</v>
      </c>
      <c r="H410" s="128">
        <v>21.122944795184196</v>
      </c>
      <c r="I410" s="174">
        <v>0.60192074843836441</v>
      </c>
      <c r="J410" s="175">
        <v>0.60192074843836441</v>
      </c>
    </row>
    <row r="411" spans="3:10" x14ac:dyDescent="0.25">
      <c r="C411" s="127">
        <v>2015</v>
      </c>
      <c r="D411" s="127" t="s">
        <v>32</v>
      </c>
      <c r="E411" s="128">
        <v>35.092568</v>
      </c>
      <c r="F411" s="128">
        <v>56.669673329098309</v>
      </c>
      <c r="G411" s="181">
        <v>0.6148625352552799</v>
      </c>
      <c r="H411" s="128">
        <v>21.577105329098309</v>
      </c>
      <c r="I411" s="174">
        <v>0.6148625352552799</v>
      </c>
      <c r="J411" s="175">
        <v>0.6148625352552799</v>
      </c>
    </row>
    <row r="412" spans="3:10" x14ac:dyDescent="0.25">
      <c r="C412" s="127">
        <v>2015</v>
      </c>
      <c r="D412" s="127" t="s">
        <v>25</v>
      </c>
      <c r="E412" s="128">
        <v>35.092568</v>
      </c>
      <c r="F412" s="128">
        <v>57.268286737007749</v>
      </c>
      <c r="G412" s="181">
        <v>0.63192066015253567</v>
      </c>
      <c r="H412" s="128">
        <v>22.175718737007749</v>
      </c>
      <c r="I412" s="174">
        <v>0.63192066015253567</v>
      </c>
      <c r="J412" s="175">
        <v>0.63192066015253567</v>
      </c>
    </row>
    <row r="413" spans="3:10" x14ac:dyDescent="0.25">
      <c r="C413" s="127">
        <v>2015</v>
      </c>
      <c r="D413" s="127" t="s">
        <v>21</v>
      </c>
      <c r="E413" s="128">
        <v>35.092568</v>
      </c>
      <c r="F413" s="128">
        <v>58.1795247474167</v>
      </c>
      <c r="G413" s="181">
        <v>0.65788735516354058</v>
      </c>
      <c r="H413" s="128">
        <v>23.0869567474167</v>
      </c>
      <c r="I413" s="174">
        <v>0.65788735516354058</v>
      </c>
      <c r="J413" s="175">
        <v>0.65788735516354058</v>
      </c>
    </row>
    <row r="414" spans="3:10" x14ac:dyDescent="0.25">
      <c r="C414" s="127">
        <v>2015</v>
      </c>
      <c r="D414" s="127" t="s">
        <v>16</v>
      </c>
      <c r="E414" s="128">
        <v>35.092568</v>
      </c>
      <c r="F414" s="128">
        <v>58.203990066613606</v>
      </c>
      <c r="G414" s="181">
        <v>0.65858452042077986</v>
      </c>
      <c r="H414" s="128">
        <v>23.111422066613606</v>
      </c>
      <c r="I414" s="174">
        <v>0.65858452042077986</v>
      </c>
      <c r="J414" s="175">
        <v>0.65858452042077986</v>
      </c>
    </row>
    <row r="415" spans="3:10" x14ac:dyDescent="0.25">
      <c r="C415" s="127">
        <v>2015</v>
      </c>
      <c r="D415" s="127" t="s">
        <v>12</v>
      </c>
      <c r="E415" s="128">
        <v>35.092568</v>
      </c>
      <c r="F415" s="128">
        <v>58.840021322977528</v>
      </c>
      <c r="G415" s="181">
        <v>0.67670890665446681</v>
      </c>
      <c r="H415" s="128">
        <v>23.747453322977528</v>
      </c>
      <c r="I415" s="174">
        <v>0.67670890665446681</v>
      </c>
      <c r="J415" s="175">
        <v>0.67670890665446681</v>
      </c>
    </row>
    <row r="416" spans="3:10" x14ac:dyDescent="0.25">
      <c r="C416" s="127">
        <v>2015</v>
      </c>
      <c r="D416" s="127" t="s">
        <v>11</v>
      </c>
      <c r="E416" s="128">
        <v>35.092568</v>
      </c>
      <c r="F416" s="128">
        <v>62.370619493255525</v>
      </c>
      <c r="G416" s="181">
        <v>0.77731705166904641</v>
      </c>
      <c r="H416" s="128">
        <v>27.278051493255525</v>
      </c>
      <c r="I416" s="174">
        <v>0.77731705166904641</v>
      </c>
      <c r="J416" s="175">
        <v>0.77731705166904641</v>
      </c>
    </row>
    <row r="417" spans="3:10" x14ac:dyDescent="0.25">
      <c r="C417" s="127">
        <v>2016</v>
      </c>
      <c r="D417" s="127" t="s">
        <v>20</v>
      </c>
      <c r="E417" s="128">
        <v>18.374199999999998</v>
      </c>
      <c r="F417" s="128">
        <v>18.387836863435755</v>
      </c>
      <c r="G417" s="181">
        <v>7.4217454015721243E-4</v>
      </c>
      <c r="H417" s="128">
        <v>1.3636863435756652E-2</v>
      </c>
      <c r="I417" s="174">
        <v>7.4217454015721243E-4</v>
      </c>
      <c r="J417" s="175">
        <v>7.4217454015721243E-4</v>
      </c>
    </row>
    <row r="418" spans="3:10" x14ac:dyDescent="0.25">
      <c r="C418" s="127">
        <v>2016</v>
      </c>
      <c r="D418" s="127" t="s">
        <v>198</v>
      </c>
      <c r="E418" s="128">
        <v>18.374199999999998</v>
      </c>
      <c r="F418" s="128">
        <v>18.204216120405619</v>
      </c>
      <c r="G418" s="181">
        <v>-9.2512261537579746E-3</v>
      </c>
      <c r="H418" s="128">
        <f>ABS(E418-F418)</f>
        <v>0.16998387959437977</v>
      </c>
      <c r="I418" s="174">
        <f>ABS(G418)</f>
        <v>9.2512261537579746E-3</v>
      </c>
      <c r="J418" s="174">
        <f>ABS((E418-F418)/E418)</f>
        <v>9.2512261537579746E-3</v>
      </c>
    </row>
    <row r="419" spans="3:10" x14ac:dyDescent="0.25">
      <c r="C419" s="127">
        <v>2016</v>
      </c>
      <c r="D419" s="127" t="s">
        <v>25</v>
      </c>
      <c r="E419" s="128">
        <v>18.374199999999998</v>
      </c>
      <c r="F419" s="128">
        <v>18.590530009977194</v>
      </c>
      <c r="G419" s="181">
        <v>1.1773574358458884E-2</v>
      </c>
      <c r="H419" s="128">
        <v>0.2163300099771952</v>
      </c>
      <c r="I419" s="174">
        <v>1.1773574358458884E-2</v>
      </c>
      <c r="J419" s="175">
        <v>1.1773574358458884E-2</v>
      </c>
    </row>
    <row r="420" spans="3:10" x14ac:dyDescent="0.25">
      <c r="C420" s="127">
        <v>2016</v>
      </c>
      <c r="D420" s="127" t="s">
        <v>32</v>
      </c>
      <c r="E420" s="128">
        <v>18.374199999999998</v>
      </c>
      <c r="F420" s="128">
        <v>18.771198394009495</v>
      </c>
      <c r="G420" s="181">
        <v>2.1606295458278295E-2</v>
      </c>
      <c r="H420" s="128">
        <v>0.39699839400949699</v>
      </c>
      <c r="I420" s="174">
        <v>2.1606295458278295E-2</v>
      </c>
      <c r="J420" s="175">
        <v>2.1606295458278295E-2</v>
      </c>
    </row>
    <row r="421" spans="3:10" x14ac:dyDescent="0.25">
      <c r="C421" s="127">
        <v>2016</v>
      </c>
      <c r="D421" s="127" t="s">
        <v>17</v>
      </c>
      <c r="E421" s="128">
        <v>18.374199999999998</v>
      </c>
      <c r="F421" s="128">
        <v>17.68709105409166</v>
      </c>
      <c r="G421" s="181">
        <v>-3.7395312226292228E-2</v>
      </c>
      <c r="H421" s="128">
        <v>0.6871089459083386</v>
      </c>
      <c r="I421" s="174">
        <v>3.7395312226292228E-2</v>
      </c>
      <c r="J421" s="175">
        <v>3.7395312226292228E-2</v>
      </c>
    </row>
    <row r="422" spans="3:10" x14ac:dyDescent="0.25">
      <c r="C422" s="127">
        <v>2016</v>
      </c>
      <c r="D422" s="127" t="s">
        <v>197</v>
      </c>
      <c r="E422" s="128">
        <v>18.374199999999998</v>
      </c>
      <c r="F422" s="176">
        <v>17.370357712120931</v>
      </c>
      <c r="G422" s="181">
        <v>-5.4633251400282301E-2</v>
      </c>
      <c r="H422" s="128">
        <f>ABS(E422-F422)</f>
        <v>1.0038422878790669</v>
      </c>
      <c r="I422" s="174">
        <f>ABS(G422)</f>
        <v>5.4633251400282301E-2</v>
      </c>
      <c r="J422" s="174">
        <f>ABS((E422-F422)/E422)</f>
        <v>5.4633251400282301E-2</v>
      </c>
    </row>
    <row r="423" spans="3:10" x14ac:dyDescent="0.25">
      <c r="C423" s="127">
        <v>2016</v>
      </c>
      <c r="D423" s="127" t="s">
        <v>15</v>
      </c>
      <c r="E423" s="128">
        <v>18.374199999999998</v>
      </c>
      <c r="F423" s="128">
        <v>16.35393615286997</v>
      </c>
      <c r="G423" s="181">
        <v>-0.10995111880408553</v>
      </c>
      <c r="H423" s="128">
        <v>2.0202638471300283</v>
      </c>
      <c r="I423" s="174">
        <v>0.10995111880408553</v>
      </c>
      <c r="J423" s="175">
        <v>0.10995111880408553</v>
      </c>
    </row>
    <row r="424" spans="3:10" x14ac:dyDescent="0.25">
      <c r="C424" s="127">
        <v>2016</v>
      </c>
      <c r="D424" s="127" t="s">
        <v>23</v>
      </c>
      <c r="E424" s="128">
        <v>18.374199999999998</v>
      </c>
      <c r="F424" s="128">
        <v>20.598819194375913</v>
      </c>
      <c r="G424" s="181">
        <v>0.12107298246323188</v>
      </c>
      <c r="H424" s="128">
        <v>2.224619194375915</v>
      </c>
      <c r="I424" s="174">
        <v>0.12107298246323188</v>
      </c>
      <c r="J424" s="175">
        <v>0.12107298246323188</v>
      </c>
    </row>
    <row r="425" spans="3:10" x14ac:dyDescent="0.25">
      <c r="C425" s="127">
        <v>2016</v>
      </c>
      <c r="D425" s="127" t="s">
        <v>16</v>
      </c>
      <c r="E425" s="128">
        <v>18.374199999999998</v>
      </c>
      <c r="F425" s="128">
        <v>20.665294036961946</v>
      </c>
      <c r="G425" s="181">
        <v>0.12469081848254333</v>
      </c>
      <c r="H425" s="128">
        <v>2.2910940369619475</v>
      </c>
      <c r="I425" s="174">
        <v>0.12469081848254333</v>
      </c>
      <c r="J425" s="175">
        <v>0.12469081848254333</v>
      </c>
    </row>
    <row r="426" spans="3:10" x14ac:dyDescent="0.25">
      <c r="C426" s="127">
        <v>2016</v>
      </c>
      <c r="D426" s="127" t="s">
        <v>29</v>
      </c>
      <c r="E426" s="128">
        <v>18.374199999999998</v>
      </c>
      <c r="F426" s="128">
        <v>20.835437450030692</v>
      </c>
      <c r="G426" s="181">
        <v>0.13395072710815678</v>
      </c>
      <c r="H426" s="128">
        <v>2.4612374500306942</v>
      </c>
      <c r="I426" s="174">
        <v>0.13395072710815678</v>
      </c>
      <c r="J426" s="175">
        <v>0.13395072710815678</v>
      </c>
    </row>
    <row r="427" spans="3:10" x14ac:dyDescent="0.25">
      <c r="C427" s="127">
        <v>2016</v>
      </c>
      <c r="D427" s="127" t="s">
        <v>13</v>
      </c>
      <c r="E427" s="128">
        <v>18.374199999999998</v>
      </c>
      <c r="F427" s="128">
        <v>14.924218561216261</v>
      </c>
      <c r="G427" s="181">
        <v>-0.18776226659031348</v>
      </c>
      <c r="H427" s="128">
        <v>3.4499814387837375</v>
      </c>
      <c r="I427" s="174">
        <v>0.18776226659031348</v>
      </c>
      <c r="J427" s="175">
        <v>0.18776226659031348</v>
      </c>
    </row>
    <row r="428" spans="3:10" x14ac:dyDescent="0.25">
      <c r="C428" s="127">
        <v>2016</v>
      </c>
      <c r="D428" s="127" t="s">
        <v>45</v>
      </c>
      <c r="E428" s="128">
        <v>18.374199999999998</v>
      </c>
      <c r="F428" s="128">
        <v>14.704413338510747</v>
      </c>
      <c r="G428" s="181">
        <v>-0.19972497640655112</v>
      </c>
      <c r="H428" s="128">
        <v>3.6697866614892511</v>
      </c>
      <c r="I428" s="174">
        <v>0.19972497640655112</v>
      </c>
      <c r="J428" s="175">
        <v>0.19972497640655112</v>
      </c>
    </row>
    <row r="429" spans="3:10" x14ac:dyDescent="0.25">
      <c r="C429" s="127">
        <v>2016</v>
      </c>
      <c r="D429" s="127" t="s">
        <v>24</v>
      </c>
      <c r="E429" s="128">
        <v>18.374199999999998</v>
      </c>
      <c r="F429" s="128">
        <v>14.241954851337699</v>
      </c>
      <c r="G429" s="181">
        <v>-0.2248938810213397</v>
      </c>
      <c r="H429" s="128">
        <v>4.1322451486622995</v>
      </c>
      <c r="I429" s="174">
        <v>0.2248938810213397</v>
      </c>
      <c r="J429" s="175">
        <v>0.2248938810213397</v>
      </c>
    </row>
    <row r="430" spans="3:10" x14ac:dyDescent="0.25">
      <c r="C430" s="127">
        <v>2016</v>
      </c>
      <c r="D430" s="127" t="s">
        <v>21</v>
      </c>
      <c r="E430" s="128">
        <v>18.374199999999998</v>
      </c>
      <c r="F430" s="128">
        <v>22.95073137939012</v>
      </c>
      <c r="G430" s="181">
        <v>0.24907377624006066</v>
      </c>
      <c r="H430" s="128">
        <v>4.5765313793901221</v>
      </c>
      <c r="I430" s="174">
        <v>0.24907377624006066</v>
      </c>
      <c r="J430" s="175">
        <v>0.24907377624006066</v>
      </c>
    </row>
    <row r="431" spans="3:10" x14ac:dyDescent="0.25">
      <c r="C431" s="127">
        <v>2016</v>
      </c>
      <c r="D431" s="127" t="s">
        <v>22</v>
      </c>
      <c r="E431" s="128">
        <v>18.374199999999998</v>
      </c>
      <c r="F431" s="128">
        <v>13.757837522328424</v>
      </c>
      <c r="G431" s="181">
        <v>-0.25124154943734012</v>
      </c>
      <c r="H431" s="128">
        <v>4.6163624776715739</v>
      </c>
      <c r="I431" s="174">
        <v>0.25124154943734012</v>
      </c>
      <c r="J431" s="175">
        <v>0.25124154943734012</v>
      </c>
    </row>
    <row r="432" spans="3:10" x14ac:dyDescent="0.25">
      <c r="C432" s="127">
        <v>2016</v>
      </c>
      <c r="D432" s="127" t="s">
        <v>14</v>
      </c>
      <c r="E432" s="128">
        <v>18.374199999999998</v>
      </c>
      <c r="F432" s="128">
        <v>23.233066381128513</v>
      </c>
      <c r="G432" s="181">
        <v>0.26443961539160971</v>
      </c>
      <c r="H432" s="128">
        <v>4.8588663811285144</v>
      </c>
      <c r="I432" s="174">
        <v>0.26443961539160971</v>
      </c>
      <c r="J432" s="175">
        <v>0.26443961539160971</v>
      </c>
    </row>
    <row r="433" spans="3:10" x14ac:dyDescent="0.25">
      <c r="C433" s="127">
        <v>2016</v>
      </c>
      <c r="D433" s="127" t="s">
        <v>27</v>
      </c>
      <c r="E433" s="128">
        <v>18.374199999999998</v>
      </c>
      <c r="F433" s="128">
        <v>13.042502865513137</v>
      </c>
      <c r="G433" s="181">
        <v>-0.29017302165464953</v>
      </c>
      <c r="H433" s="128">
        <v>5.3316971344868609</v>
      </c>
      <c r="I433" s="174">
        <v>0.29017302165464953</v>
      </c>
      <c r="J433" s="175">
        <v>0.29017302165464953</v>
      </c>
    </row>
    <row r="434" spans="3:10" x14ac:dyDescent="0.25">
      <c r="C434" s="127">
        <v>2016</v>
      </c>
      <c r="D434" s="127" t="s">
        <v>12</v>
      </c>
      <c r="E434" s="128">
        <v>18.374199999999998</v>
      </c>
      <c r="F434" s="128">
        <v>24.237139408075151</v>
      </c>
      <c r="G434" s="181">
        <v>0.31908542456679223</v>
      </c>
      <c r="H434" s="128">
        <v>5.8629394080751531</v>
      </c>
      <c r="I434" s="174">
        <v>0.31908542456679223</v>
      </c>
      <c r="J434" s="175">
        <v>0.31908542456679223</v>
      </c>
    </row>
    <row r="435" spans="3:10" x14ac:dyDescent="0.25">
      <c r="C435" s="127">
        <v>2016</v>
      </c>
      <c r="D435" s="127" t="s">
        <v>18</v>
      </c>
      <c r="E435" s="128">
        <v>18.374199999999998</v>
      </c>
      <c r="F435" s="128">
        <v>25.206170604311836</v>
      </c>
      <c r="G435" s="181">
        <v>0.37182411230485346</v>
      </c>
      <c r="H435" s="128">
        <v>6.831970604311838</v>
      </c>
      <c r="I435" s="174">
        <v>0.37182411230485346</v>
      </c>
      <c r="J435" s="175">
        <v>0.37182411230485346</v>
      </c>
    </row>
    <row r="436" spans="3:10" x14ac:dyDescent="0.25">
      <c r="C436" s="127">
        <v>2016</v>
      </c>
      <c r="D436" s="127" t="s">
        <v>11</v>
      </c>
      <c r="E436" s="128">
        <v>18.374199999999998</v>
      </c>
      <c r="F436" s="128">
        <v>34.801347216887471</v>
      </c>
      <c r="G436" s="181">
        <v>0.89403333026131615</v>
      </c>
      <c r="H436" s="128">
        <v>16.427147216887473</v>
      </c>
      <c r="I436" s="174">
        <v>0.89403333026131615</v>
      </c>
      <c r="J436" s="175">
        <v>0.89403333026131615</v>
      </c>
    </row>
    <row r="437" spans="3:10" x14ac:dyDescent="0.25">
      <c r="C437" s="127">
        <v>2017</v>
      </c>
      <c r="D437" s="127" t="s">
        <v>25</v>
      </c>
      <c r="E437" s="128">
        <v>34.734366000000001</v>
      </c>
      <c r="F437" s="128">
        <v>35.254421504759435</v>
      </c>
      <c r="G437" s="181">
        <v>1.4972362091176026E-2</v>
      </c>
      <c r="H437" s="128">
        <v>0.52005550475943352</v>
      </c>
      <c r="I437" s="174">
        <v>1.4972362091176026E-2</v>
      </c>
      <c r="J437" s="175">
        <v>1.4972362091176026E-2</v>
      </c>
    </row>
    <row r="438" spans="3:10" x14ac:dyDescent="0.25">
      <c r="C438" s="127">
        <v>2017</v>
      </c>
      <c r="D438" s="127" t="s">
        <v>21</v>
      </c>
      <c r="E438" s="128">
        <v>34.734366000000001</v>
      </c>
      <c r="F438" s="128">
        <v>34.068941523612814</v>
      </c>
      <c r="G438" s="181">
        <v>-1.9157524751918238E-2</v>
      </c>
      <c r="H438" s="128">
        <v>0.66542447638718727</v>
      </c>
      <c r="I438" s="174">
        <v>1.9157524751918238E-2</v>
      </c>
      <c r="J438" s="175">
        <v>1.9157524751918238E-2</v>
      </c>
    </row>
    <row r="439" spans="3:10" x14ac:dyDescent="0.25">
      <c r="C439" s="127">
        <v>2017</v>
      </c>
      <c r="D439" s="127" t="s">
        <v>15</v>
      </c>
      <c r="E439" s="128">
        <v>34.734366000000001</v>
      </c>
      <c r="F439" s="128">
        <v>35.438335019491042</v>
      </c>
      <c r="G439" s="181">
        <v>2.0267219487784534E-2</v>
      </c>
      <c r="H439" s="128">
        <v>0.70396901949104063</v>
      </c>
      <c r="I439" s="174">
        <v>2.0267219487784534E-2</v>
      </c>
      <c r="J439" s="175">
        <v>2.0267219487784534E-2</v>
      </c>
    </row>
    <row r="440" spans="3:10" x14ac:dyDescent="0.25">
      <c r="C440" s="127">
        <v>2017</v>
      </c>
      <c r="D440" s="127" t="s">
        <v>45</v>
      </c>
      <c r="E440" s="128">
        <v>34.734366000000001</v>
      </c>
      <c r="F440" s="128">
        <v>35.443618879439519</v>
      </c>
      <c r="G440" s="181">
        <v>2.0419341451043554E-2</v>
      </c>
      <c r="H440" s="128">
        <v>0.70925287943951787</v>
      </c>
      <c r="I440" s="174">
        <v>2.0419341451043554E-2</v>
      </c>
      <c r="J440" s="175">
        <v>2.0419341451043554E-2</v>
      </c>
    </row>
    <row r="441" spans="3:10" x14ac:dyDescent="0.25">
      <c r="C441" s="127">
        <v>2017</v>
      </c>
      <c r="D441" s="127" t="s">
        <v>24</v>
      </c>
      <c r="E441" s="128">
        <v>34.734366000000001</v>
      </c>
      <c r="F441" s="128">
        <v>32.886608029483064</v>
      </c>
      <c r="G441" s="181">
        <v>-5.3196824450946867E-2</v>
      </c>
      <c r="H441" s="128">
        <v>1.8477579705169376</v>
      </c>
      <c r="I441" s="174">
        <v>5.3196824450946867E-2</v>
      </c>
      <c r="J441" s="175">
        <v>5.3196824450946867E-2</v>
      </c>
    </row>
    <row r="442" spans="3:10" x14ac:dyDescent="0.25">
      <c r="C442" s="127">
        <v>2017</v>
      </c>
      <c r="D442" s="127" t="s">
        <v>197</v>
      </c>
      <c r="E442" s="128">
        <v>34.734366000000001</v>
      </c>
      <c r="F442" s="176">
        <v>36.796677504355216</v>
      </c>
      <c r="G442" s="181">
        <v>5.9373805883061598E-2</v>
      </c>
      <c r="H442" s="128">
        <f>ABS(E442-F442)</f>
        <v>2.0623115043552147</v>
      </c>
      <c r="I442" s="174">
        <f>ABS(G442)</f>
        <v>5.9373805883061598E-2</v>
      </c>
      <c r="J442" s="174">
        <f>ABS((E442-F442)/E442)</f>
        <v>5.9373805883061598E-2</v>
      </c>
    </row>
    <row r="443" spans="3:10" x14ac:dyDescent="0.25">
      <c r="C443" s="127">
        <v>2017</v>
      </c>
      <c r="D443" s="127" t="s">
        <v>198</v>
      </c>
      <c r="E443" s="128">
        <v>34.734366000000001</v>
      </c>
      <c r="F443" s="128">
        <v>37.477384335706397</v>
      </c>
      <c r="G443" s="181">
        <v>7.8971308579704469E-2</v>
      </c>
      <c r="H443" s="128">
        <f>ABS(E443-F443)</f>
        <v>2.7430183357063953</v>
      </c>
      <c r="I443" s="174">
        <f>ABS(G443)</f>
        <v>7.8971308579704469E-2</v>
      </c>
      <c r="J443" s="174">
        <f>ABS((E443-F443)/E443)</f>
        <v>7.8971308579704469E-2</v>
      </c>
    </row>
    <row r="444" spans="3:10" x14ac:dyDescent="0.25">
      <c r="C444" s="127">
        <v>2017</v>
      </c>
      <c r="D444" s="127" t="s">
        <v>17</v>
      </c>
      <c r="E444" s="128">
        <v>34.734366000000001</v>
      </c>
      <c r="F444" s="128">
        <v>38.090271927381053</v>
      </c>
      <c r="G444" s="181">
        <v>9.6616300046502984E-2</v>
      </c>
      <c r="H444" s="128">
        <v>3.3559059273810519</v>
      </c>
      <c r="I444" s="174">
        <v>9.6616300046502984E-2</v>
      </c>
      <c r="J444" s="175">
        <v>9.6616300046502984E-2</v>
      </c>
    </row>
    <row r="445" spans="3:10" x14ac:dyDescent="0.25">
      <c r="C445" s="127">
        <v>2017</v>
      </c>
      <c r="D445" s="127" t="s">
        <v>32</v>
      </c>
      <c r="E445" s="128">
        <v>34.734366000000001</v>
      </c>
      <c r="F445" s="128">
        <v>38.116223143436436</v>
      </c>
      <c r="G445" s="181">
        <v>9.7363433765753321E-2</v>
      </c>
      <c r="H445" s="128">
        <v>3.3818571434364344</v>
      </c>
      <c r="I445" s="174">
        <v>9.7363433765753321E-2</v>
      </c>
      <c r="J445" s="175">
        <v>9.7363433765753321E-2</v>
      </c>
    </row>
    <row r="446" spans="3:10" x14ac:dyDescent="0.25">
      <c r="C446" s="127">
        <v>2017</v>
      </c>
      <c r="D446" s="127" t="s">
        <v>16</v>
      </c>
      <c r="E446" s="128">
        <v>34.734366000000001</v>
      </c>
      <c r="F446" s="128">
        <v>38.253089993443666</v>
      </c>
      <c r="G446" s="181">
        <v>0.10130382093180179</v>
      </c>
      <c r="H446" s="128">
        <v>3.5187239934436647</v>
      </c>
      <c r="I446" s="174">
        <v>0.10130382093180179</v>
      </c>
      <c r="J446" s="175">
        <v>0.10130382093180179</v>
      </c>
    </row>
    <row r="447" spans="3:10" x14ac:dyDescent="0.25">
      <c r="C447" s="127">
        <v>2017</v>
      </c>
      <c r="D447" s="127" t="s">
        <v>18</v>
      </c>
      <c r="E447" s="128">
        <v>34.734366000000001</v>
      </c>
      <c r="F447" s="128">
        <v>39.061757525869794</v>
      </c>
      <c r="G447" s="181">
        <v>0.12458530338137717</v>
      </c>
      <c r="H447" s="128">
        <v>4.3273915258697926</v>
      </c>
      <c r="I447" s="174">
        <v>0.12458530338137717</v>
      </c>
      <c r="J447" s="175">
        <v>0.12458530338137717</v>
      </c>
    </row>
    <row r="448" spans="3:10" x14ac:dyDescent="0.25">
      <c r="C448" s="127">
        <v>2017</v>
      </c>
      <c r="D448" s="127" t="s">
        <v>27</v>
      </c>
      <c r="E448" s="128">
        <v>34.734366000000001</v>
      </c>
      <c r="F448" s="128">
        <v>39.388190737086752</v>
      </c>
      <c r="G448" s="181">
        <v>0.13398329300401657</v>
      </c>
      <c r="H448" s="128">
        <v>4.6538247370867509</v>
      </c>
      <c r="I448" s="174">
        <v>0.13398329300401657</v>
      </c>
      <c r="J448" s="175">
        <v>0.13398329300401657</v>
      </c>
    </row>
    <row r="449" spans="3:10" x14ac:dyDescent="0.25">
      <c r="C449" s="127">
        <v>2017</v>
      </c>
      <c r="D449" s="127" t="s">
        <v>22</v>
      </c>
      <c r="E449" s="128">
        <v>34.734366000000001</v>
      </c>
      <c r="F449" s="128">
        <v>39.525040146294472</v>
      </c>
      <c r="G449" s="181">
        <v>0.13792317805065077</v>
      </c>
      <c r="H449" s="128">
        <v>4.7906741462944709</v>
      </c>
      <c r="I449" s="174">
        <v>0.13792317805065077</v>
      </c>
      <c r="J449" s="175">
        <v>0.13792317805065077</v>
      </c>
    </row>
    <row r="450" spans="3:10" x14ac:dyDescent="0.25">
      <c r="C450" s="127">
        <v>2017</v>
      </c>
      <c r="D450" s="127" t="s">
        <v>23</v>
      </c>
      <c r="E450" s="128">
        <v>34.734366000000001</v>
      </c>
      <c r="F450" s="128">
        <v>40.063491482431573</v>
      </c>
      <c r="G450" s="181">
        <v>0.15342515485762923</v>
      </c>
      <c r="H450" s="128">
        <v>5.3291254824315715</v>
      </c>
      <c r="I450" s="174">
        <v>0.15342515485762923</v>
      </c>
      <c r="J450" s="175">
        <v>0.15342515485762923</v>
      </c>
    </row>
    <row r="451" spans="3:10" x14ac:dyDescent="0.25">
      <c r="C451" s="127">
        <v>2017</v>
      </c>
      <c r="D451" s="127" t="s">
        <v>20</v>
      </c>
      <c r="E451" s="128">
        <v>34.734366000000001</v>
      </c>
      <c r="F451" s="128">
        <v>29.256552735383011</v>
      </c>
      <c r="G451" s="181">
        <v>-0.1577058658452839</v>
      </c>
      <c r="H451" s="128">
        <v>5.4778132646169908</v>
      </c>
      <c r="I451" s="174">
        <v>0.1577058658452839</v>
      </c>
      <c r="J451" s="175">
        <v>0.1577058658452839</v>
      </c>
    </row>
    <row r="452" spans="3:10" x14ac:dyDescent="0.25">
      <c r="C452" s="127">
        <v>2017</v>
      </c>
      <c r="D452" s="127" t="s">
        <v>13</v>
      </c>
      <c r="E452" s="128">
        <v>34.734366000000001</v>
      </c>
      <c r="F452" s="128">
        <v>40.79225359780434</v>
      </c>
      <c r="G452" s="181">
        <v>0.17440616586479046</v>
      </c>
      <c r="H452" s="128">
        <v>6.0578875978043385</v>
      </c>
      <c r="I452" s="174">
        <v>0.17440616586479046</v>
      </c>
      <c r="J452" s="175">
        <v>0.17440616586479046</v>
      </c>
    </row>
    <row r="453" spans="3:10" x14ac:dyDescent="0.25">
      <c r="C453" s="127">
        <v>2017</v>
      </c>
      <c r="D453" s="127" t="s">
        <v>12</v>
      </c>
      <c r="E453" s="128">
        <v>34.734366000000001</v>
      </c>
      <c r="F453" s="128">
        <v>41.11377020867932</v>
      </c>
      <c r="G453" s="181">
        <v>0.18366260690289607</v>
      </c>
      <c r="H453" s="128">
        <v>6.3794042086793183</v>
      </c>
      <c r="I453" s="174">
        <v>0.18366260690289607</v>
      </c>
      <c r="J453" s="175">
        <v>0.18366260690289607</v>
      </c>
    </row>
    <row r="454" spans="3:10" x14ac:dyDescent="0.25">
      <c r="C454" s="127">
        <v>2017</v>
      </c>
      <c r="D454" s="127" t="s">
        <v>29</v>
      </c>
      <c r="E454" s="128">
        <v>34.734366000000001</v>
      </c>
      <c r="F454" s="128">
        <v>42.84532254073752</v>
      </c>
      <c r="G454" s="181">
        <v>0.23351387904237314</v>
      </c>
      <c r="H454" s="128">
        <v>8.1109565407375186</v>
      </c>
      <c r="I454" s="174">
        <v>0.23351387904237314</v>
      </c>
      <c r="J454" s="175">
        <v>0.23351387904237314</v>
      </c>
    </row>
    <row r="455" spans="3:10" x14ac:dyDescent="0.25">
      <c r="C455" s="127">
        <v>2017</v>
      </c>
      <c r="D455" s="127" t="s">
        <v>14</v>
      </c>
      <c r="E455" s="128">
        <v>34.734366000000001</v>
      </c>
      <c r="F455" s="128">
        <v>43.448852457664437</v>
      </c>
      <c r="G455" s="181">
        <v>0.25088946369899007</v>
      </c>
      <c r="H455" s="128">
        <v>8.7144864576644352</v>
      </c>
      <c r="I455" s="174">
        <v>0.25088946369899007</v>
      </c>
      <c r="J455" s="175">
        <v>0.25088946369899007</v>
      </c>
    </row>
    <row r="456" spans="3:10" x14ac:dyDescent="0.25">
      <c r="C456" s="127">
        <v>2017</v>
      </c>
      <c r="D456" s="127" t="s">
        <v>11</v>
      </c>
      <c r="E456" s="128">
        <v>34.734366000000001</v>
      </c>
      <c r="F456" s="128">
        <v>73.442242595124824</v>
      </c>
      <c r="G456" s="181">
        <v>1.1143970958077893</v>
      </c>
      <c r="H456" s="128">
        <v>38.707876595124823</v>
      </c>
      <c r="I456" s="174">
        <v>1.1143970958077893</v>
      </c>
      <c r="J456" s="175">
        <v>1.1143970958077893</v>
      </c>
    </row>
    <row r="457" spans="3:10" x14ac:dyDescent="0.25">
      <c r="C457" s="127">
        <v>2018</v>
      </c>
      <c r="D457" s="127" t="s">
        <v>22</v>
      </c>
      <c r="E457" s="128">
        <v>8.0677000000000003</v>
      </c>
      <c r="F457" s="128">
        <v>9.444729015082288</v>
      </c>
      <c r="G457" s="181">
        <v>0.17068421174340737</v>
      </c>
      <c r="H457" s="128">
        <v>1.3770290150822877</v>
      </c>
      <c r="I457" s="174">
        <v>0.17068421174340737</v>
      </c>
      <c r="J457" s="175">
        <v>0.17068421174340737</v>
      </c>
    </row>
    <row r="458" spans="3:10" x14ac:dyDescent="0.25">
      <c r="C458" s="127">
        <v>2018</v>
      </c>
      <c r="D458" s="127" t="s">
        <v>24</v>
      </c>
      <c r="E458" s="128">
        <v>8.0677000000000003</v>
      </c>
      <c r="F458" s="128">
        <v>9.6911925167809603</v>
      </c>
      <c r="G458" s="181">
        <v>0.20123362504567099</v>
      </c>
      <c r="H458" s="128">
        <v>1.62349251678096</v>
      </c>
      <c r="I458" s="174">
        <v>0.20123362504567099</v>
      </c>
      <c r="J458" s="175">
        <v>0.20123362504567099</v>
      </c>
    </row>
    <row r="459" spans="3:10" x14ac:dyDescent="0.25">
      <c r="C459" s="127">
        <v>2018</v>
      </c>
      <c r="D459" s="127" t="s">
        <v>27</v>
      </c>
      <c r="E459" s="128">
        <v>8.0677000000000003</v>
      </c>
      <c r="F459" s="128">
        <v>9.9584375514845451</v>
      </c>
      <c r="G459" s="181">
        <v>0.23435893147793604</v>
      </c>
      <c r="H459" s="128">
        <v>1.8907375514845448</v>
      </c>
      <c r="I459" s="174">
        <v>0.23435893147793604</v>
      </c>
      <c r="J459" s="175">
        <v>0.23435893147793604</v>
      </c>
    </row>
    <row r="460" spans="3:10" x14ac:dyDescent="0.25">
      <c r="C460" s="127">
        <v>2018</v>
      </c>
      <c r="D460" s="127" t="s">
        <v>13</v>
      </c>
      <c r="E460" s="128">
        <v>8.0677000000000003</v>
      </c>
      <c r="F460" s="128">
        <v>10.079577910901664</v>
      </c>
      <c r="G460" s="181">
        <v>0.24937440793555332</v>
      </c>
      <c r="H460" s="128">
        <v>2.0118779109016636</v>
      </c>
      <c r="I460" s="174">
        <v>0.24937440793555332</v>
      </c>
      <c r="J460" s="175">
        <v>0.24937440793555332</v>
      </c>
    </row>
    <row r="461" spans="3:10" x14ac:dyDescent="0.25">
      <c r="C461" s="127">
        <v>2018</v>
      </c>
      <c r="D461" s="127" t="s">
        <v>45</v>
      </c>
      <c r="E461" s="128">
        <v>8.0677000000000003</v>
      </c>
      <c r="F461" s="128">
        <v>10.209048917359882</v>
      </c>
      <c r="G461" s="181">
        <v>0.26542247695872195</v>
      </c>
      <c r="H461" s="128">
        <v>2.1413489173598812</v>
      </c>
      <c r="I461" s="174">
        <v>0.26542247695872195</v>
      </c>
      <c r="J461" s="175">
        <v>0.26542247695872195</v>
      </c>
    </row>
    <row r="462" spans="3:10" x14ac:dyDescent="0.25">
      <c r="C462" s="127">
        <v>2018</v>
      </c>
      <c r="D462" s="127" t="s">
        <v>17</v>
      </c>
      <c r="E462" s="128">
        <v>8.0677000000000003</v>
      </c>
      <c r="F462" s="128">
        <v>10.286580458339683</v>
      </c>
      <c r="G462" s="181">
        <v>0.27503259396602292</v>
      </c>
      <c r="H462" s="128">
        <v>2.2188804583396831</v>
      </c>
      <c r="I462" s="174">
        <v>0.27503259396602292</v>
      </c>
      <c r="J462" s="175">
        <v>0.27503259396602292</v>
      </c>
    </row>
    <row r="463" spans="3:10" x14ac:dyDescent="0.25">
      <c r="C463" s="127">
        <v>2018</v>
      </c>
      <c r="D463" s="127" t="s">
        <v>20</v>
      </c>
      <c r="E463" s="128">
        <v>8.0677000000000003</v>
      </c>
      <c r="F463" s="128">
        <v>10.414654411621454</v>
      </c>
      <c r="G463" s="181">
        <v>0.29090749676133887</v>
      </c>
      <c r="H463" s="128">
        <v>2.3469544116214536</v>
      </c>
      <c r="I463" s="174">
        <v>0.29090749676133887</v>
      </c>
      <c r="J463" s="175">
        <v>0.29090749676133887</v>
      </c>
    </row>
    <row r="464" spans="3:10" x14ac:dyDescent="0.25">
      <c r="C464" s="127">
        <v>2018</v>
      </c>
      <c r="D464" s="127" t="s">
        <v>25</v>
      </c>
      <c r="E464" s="128">
        <v>8.0677000000000003</v>
      </c>
      <c r="F464" s="128">
        <v>10.599916261114934</v>
      </c>
      <c r="G464" s="181">
        <v>0.31387090014687385</v>
      </c>
      <c r="H464" s="128">
        <v>2.5322162611149341</v>
      </c>
      <c r="I464" s="174">
        <v>0.31387090014687385</v>
      </c>
      <c r="J464" s="175">
        <v>0.31387090014687385</v>
      </c>
    </row>
    <row r="465" spans="3:10" x14ac:dyDescent="0.25">
      <c r="C465" s="127">
        <v>2018</v>
      </c>
      <c r="D465" s="127" t="s">
        <v>15</v>
      </c>
      <c r="E465" s="128">
        <v>8.0677000000000003</v>
      </c>
      <c r="F465" s="128">
        <v>10.695498647792592</v>
      </c>
      <c r="G465" s="181">
        <v>0.32571843868668782</v>
      </c>
      <c r="H465" s="128">
        <v>2.6277986477925914</v>
      </c>
      <c r="I465" s="174">
        <v>0.32571843868668782</v>
      </c>
      <c r="J465" s="175">
        <v>0.32571843868668782</v>
      </c>
    </row>
    <row r="466" spans="3:10" x14ac:dyDescent="0.25">
      <c r="C466" s="127">
        <v>2018</v>
      </c>
      <c r="D466" s="127" t="s">
        <v>197</v>
      </c>
      <c r="E466" s="128">
        <v>8.0677000000000003</v>
      </c>
      <c r="F466" s="176">
        <v>10.727781282211856</v>
      </c>
      <c r="G466" s="181">
        <v>0.32971990557554887</v>
      </c>
      <c r="H466" s="128">
        <f>ABS(E466-F466)</f>
        <v>2.6600812822118556</v>
      </c>
      <c r="I466" s="174">
        <f>ABS(G466)</f>
        <v>0.32971990557554887</v>
      </c>
      <c r="J466" s="174">
        <f>ABS((E466-F466)/E466)</f>
        <v>0.32971990557554887</v>
      </c>
    </row>
    <row r="467" spans="3:10" x14ac:dyDescent="0.25">
      <c r="C467" s="127">
        <v>2018</v>
      </c>
      <c r="D467" s="127" t="s">
        <v>32</v>
      </c>
      <c r="E467" s="128">
        <v>8.0677000000000003</v>
      </c>
      <c r="F467" s="128">
        <v>10.945557185093119</v>
      </c>
      <c r="G467" s="181">
        <v>0.3567134604773502</v>
      </c>
      <c r="H467" s="128">
        <v>2.8778571850931183</v>
      </c>
      <c r="I467" s="174">
        <v>0.3567134604773502</v>
      </c>
      <c r="J467" s="175">
        <v>0.3567134604773502</v>
      </c>
    </row>
    <row r="468" spans="3:10" x14ac:dyDescent="0.25">
      <c r="C468" s="127">
        <v>2018</v>
      </c>
      <c r="D468" s="127" t="s">
        <v>198</v>
      </c>
      <c r="E468" s="128">
        <v>8.0677000000000003</v>
      </c>
      <c r="F468" s="128">
        <v>10.973673774982229</v>
      </c>
      <c r="G468" s="181">
        <v>0.36019854171352789</v>
      </c>
      <c r="H468" s="128">
        <f>ABS(E468-F468)</f>
        <v>2.905973774982229</v>
      </c>
      <c r="I468" s="174">
        <f>ABS(G468)</f>
        <v>0.36019854171352789</v>
      </c>
      <c r="J468" s="174">
        <f>ABS((E468-F468)/E468)</f>
        <v>0.36019854171352789</v>
      </c>
    </row>
    <row r="469" spans="3:10" x14ac:dyDescent="0.25">
      <c r="C469" s="127">
        <v>2018</v>
      </c>
      <c r="D469" s="127" t="s">
        <v>16</v>
      </c>
      <c r="E469" s="128">
        <v>8.0677000000000003</v>
      </c>
      <c r="F469" s="128">
        <v>11.624060724052516</v>
      </c>
      <c r="G469" s="181">
        <v>0.44081469614047564</v>
      </c>
      <c r="H469" s="128">
        <v>3.5563607240525155</v>
      </c>
      <c r="I469" s="174">
        <v>0.44081469614047564</v>
      </c>
      <c r="J469" s="175">
        <v>0.44081469614047564</v>
      </c>
    </row>
    <row r="470" spans="3:10" x14ac:dyDescent="0.25">
      <c r="C470" s="127">
        <v>2018</v>
      </c>
      <c r="D470" s="127" t="s">
        <v>21</v>
      </c>
      <c r="E470" s="128">
        <v>8.0677000000000003</v>
      </c>
      <c r="F470" s="128">
        <v>11.892416390567629</v>
      </c>
      <c r="G470" s="181">
        <v>0.47407766656762501</v>
      </c>
      <c r="H470" s="128">
        <v>3.8247163905676285</v>
      </c>
      <c r="I470" s="174">
        <v>0.47407766656762501</v>
      </c>
      <c r="J470" s="175">
        <v>0.47407766656762501</v>
      </c>
    </row>
    <row r="471" spans="3:10" x14ac:dyDescent="0.25">
      <c r="C471" s="127">
        <v>2018</v>
      </c>
      <c r="D471" s="127" t="s">
        <v>23</v>
      </c>
      <c r="E471" s="128">
        <v>8.0677000000000003</v>
      </c>
      <c r="F471" s="128">
        <v>12.062220022431708</v>
      </c>
      <c r="G471" s="181">
        <v>0.49512500742859894</v>
      </c>
      <c r="H471" s="128">
        <v>3.9945200224317077</v>
      </c>
      <c r="I471" s="174">
        <v>0.49512500742859894</v>
      </c>
      <c r="J471" s="175">
        <v>0.49512500742859894</v>
      </c>
    </row>
    <row r="472" spans="3:10" x14ac:dyDescent="0.25">
      <c r="C472" s="127">
        <v>2018</v>
      </c>
      <c r="D472" s="127" t="s">
        <v>29</v>
      </c>
      <c r="E472" s="128">
        <v>8.0677000000000003</v>
      </c>
      <c r="F472" s="128">
        <v>12.268836125869866</v>
      </c>
      <c r="G472" s="181">
        <v>0.52073529331406287</v>
      </c>
      <c r="H472" s="128">
        <v>4.2011361258698656</v>
      </c>
      <c r="I472" s="174">
        <v>0.52073529331406287</v>
      </c>
      <c r="J472" s="175">
        <v>0.52073529331406287</v>
      </c>
    </row>
    <row r="473" spans="3:10" x14ac:dyDescent="0.25">
      <c r="C473" s="127">
        <v>2018</v>
      </c>
      <c r="D473" s="127" t="s">
        <v>14</v>
      </c>
      <c r="E473" s="128">
        <v>8.0677000000000003</v>
      </c>
      <c r="F473" s="128">
        <v>13.109012409908248</v>
      </c>
      <c r="G473" s="181">
        <v>0.62487603776891143</v>
      </c>
      <c r="H473" s="128">
        <v>5.0413124099082474</v>
      </c>
      <c r="I473" s="174">
        <v>0.62487603776891143</v>
      </c>
      <c r="J473" s="175">
        <v>0.62487603776891143</v>
      </c>
    </row>
    <row r="474" spans="3:10" x14ac:dyDescent="0.25">
      <c r="C474" s="127">
        <v>2018</v>
      </c>
      <c r="D474" s="127" t="s">
        <v>18</v>
      </c>
      <c r="E474" s="128">
        <v>8.0677000000000003</v>
      </c>
      <c r="F474" s="128">
        <v>13.461423747824925</v>
      </c>
      <c r="G474" s="181">
        <v>0.66855779811159621</v>
      </c>
      <c r="H474" s="128">
        <v>5.3937237478249251</v>
      </c>
      <c r="I474" s="174">
        <v>0.66855779811159621</v>
      </c>
      <c r="J474" s="175">
        <v>0.66855779811159621</v>
      </c>
    </row>
    <row r="475" spans="3:10" x14ac:dyDescent="0.25">
      <c r="C475" s="127">
        <v>2018</v>
      </c>
      <c r="D475" s="127" t="s">
        <v>11</v>
      </c>
      <c r="E475" s="128">
        <v>8.0677000000000003</v>
      </c>
      <c r="F475" s="128">
        <v>15.554287161341461</v>
      </c>
      <c r="G475" s="181">
        <v>0.92797044527454675</v>
      </c>
      <c r="H475" s="128">
        <v>7.4865871613414612</v>
      </c>
      <c r="I475" s="174">
        <v>0.92797044527454675</v>
      </c>
      <c r="J475" s="175">
        <v>0.92797044527454675</v>
      </c>
    </row>
    <row r="476" spans="3:10" x14ac:dyDescent="0.25">
      <c r="C476" s="127">
        <v>2018</v>
      </c>
      <c r="D476" s="127" t="s">
        <v>12</v>
      </c>
      <c r="E476" s="128">
        <v>8.0677000000000003</v>
      </c>
      <c r="F476" s="128">
        <v>15.636674821562034</v>
      </c>
      <c r="G476" s="181">
        <v>0.93818248342923427</v>
      </c>
      <c r="H476" s="128">
        <v>7.5689748215620334</v>
      </c>
      <c r="I476" s="174">
        <v>0.93818248342923427</v>
      </c>
      <c r="J476" s="175">
        <v>0.93818248342923427</v>
      </c>
    </row>
    <row r="477" spans="3:10" x14ac:dyDescent="0.25">
      <c r="C477" s="127">
        <v>2019</v>
      </c>
      <c r="D477" s="127" t="s">
        <v>11</v>
      </c>
      <c r="E477" s="128">
        <v>21.141928</v>
      </c>
      <c r="F477" s="128">
        <v>18.932193844509868</v>
      </c>
      <c r="G477" s="181">
        <v>-0.10451904648857625</v>
      </c>
      <c r="H477" s="128">
        <v>2.209734155490132</v>
      </c>
      <c r="I477" s="174">
        <v>0.10451904648857625</v>
      </c>
      <c r="J477" s="175">
        <v>0.10451904648857625</v>
      </c>
    </row>
    <row r="478" spans="3:10" x14ac:dyDescent="0.25">
      <c r="C478" s="127">
        <v>2019</v>
      </c>
      <c r="D478" s="127" t="s">
        <v>17</v>
      </c>
      <c r="E478" s="128">
        <v>21.141928</v>
      </c>
      <c r="F478" s="128">
        <v>17.00465753923454</v>
      </c>
      <c r="G478" s="181">
        <v>-0.19569031077796975</v>
      </c>
      <c r="H478" s="128">
        <v>4.1372704607654605</v>
      </c>
      <c r="I478" s="174">
        <v>0.19569031077796975</v>
      </c>
      <c r="J478" s="175">
        <v>0.19569031077796975</v>
      </c>
    </row>
    <row r="479" spans="3:10" x14ac:dyDescent="0.25">
      <c r="C479" s="127">
        <v>2019</v>
      </c>
      <c r="D479" s="127" t="s">
        <v>12</v>
      </c>
      <c r="E479" s="128">
        <v>21.141928</v>
      </c>
      <c r="F479" s="128">
        <v>16.760346855095314</v>
      </c>
      <c r="G479" s="181">
        <v>-0.20724605366666116</v>
      </c>
      <c r="H479" s="128">
        <v>4.3815811449046862</v>
      </c>
      <c r="I479" s="174">
        <v>0.20724605366666116</v>
      </c>
      <c r="J479" s="175">
        <v>0.20724605366666116</v>
      </c>
    </row>
    <row r="480" spans="3:10" x14ac:dyDescent="0.25">
      <c r="C480" s="127">
        <v>2019</v>
      </c>
      <c r="D480" s="127" t="s">
        <v>18</v>
      </c>
      <c r="E480" s="128">
        <v>21.141928</v>
      </c>
      <c r="F480" s="128">
        <v>16.53600561492771</v>
      </c>
      <c r="G480" s="181">
        <v>-0.21785725431816294</v>
      </c>
      <c r="H480" s="128">
        <v>4.6059223850722901</v>
      </c>
      <c r="I480" s="174">
        <v>0.21785725431816294</v>
      </c>
      <c r="J480" s="175">
        <v>0.21785725431816294</v>
      </c>
    </row>
    <row r="481" spans="3:10" x14ac:dyDescent="0.25">
      <c r="C481" s="127">
        <v>2019</v>
      </c>
      <c r="D481" s="127" t="s">
        <v>13</v>
      </c>
      <c r="E481" s="128">
        <v>21.141928</v>
      </c>
      <c r="F481" s="128">
        <v>16.280254771328469</v>
      </c>
      <c r="G481" s="181">
        <v>-0.22995410960965959</v>
      </c>
      <c r="H481" s="128">
        <v>4.8616732286715312</v>
      </c>
      <c r="I481" s="174">
        <v>0.22995410960965959</v>
      </c>
      <c r="J481" s="175">
        <v>0.22995410960965959</v>
      </c>
    </row>
    <row r="482" spans="3:10" x14ac:dyDescent="0.25">
      <c r="C482" s="127">
        <v>2019</v>
      </c>
      <c r="D482" s="127" t="s">
        <v>15</v>
      </c>
      <c r="E482" s="128">
        <v>21.141928</v>
      </c>
      <c r="F482" s="128">
        <v>16.154630612583034</v>
      </c>
      <c r="G482" s="181">
        <v>-0.23589605391792867</v>
      </c>
      <c r="H482" s="128">
        <v>4.9872973874169659</v>
      </c>
      <c r="I482" s="174">
        <v>0.23589605391792867</v>
      </c>
      <c r="J482" s="175">
        <v>0.23589605391792867</v>
      </c>
    </row>
    <row r="483" spans="3:10" x14ac:dyDescent="0.25">
      <c r="C483" s="127">
        <v>2019</v>
      </c>
      <c r="D483" s="127" t="s">
        <v>14</v>
      </c>
      <c r="E483" s="128">
        <v>21.141928</v>
      </c>
      <c r="F483" s="128">
        <v>15.661090686544533</v>
      </c>
      <c r="G483" s="181">
        <v>-0.25924018440775443</v>
      </c>
      <c r="H483" s="128">
        <v>5.4808373134554671</v>
      </c>
      <c r="I483" s="174">
        <v>0.25924018440775443</v>
      </c>
      <c r="J483" s="175">
        <v>0.25924018440775443</v>
      </c>
    </row>
    <row r="484" spans="3:10" x14ac:dyDescent="0.25">
      <c r="C484" s="127">
        <v>2019</v>
      </c>
      <c r="D484" s="127" t="s">
        <v>21</v>
      </c>
      <c r="E484" s="128">
        <v>21.141928</v>
      </c>
      <c r="F484" s="128">
        <v>15.657500887703074</v>
      </c>
      <c r="G484" s="181">
        <v>-0.25940997965260904</v>
      </c>
      <c r="H484" s="128">
        <v>5.4844271122969257</v>
      </c>
      <c r="I484" s="174">
        <v>0.25940997965260904</v>
      </c>
      <c r="J484" s="175">
        <v>0.25940997965260904</v>
      </c>
    </row>
    <row r="485" spans="3:10" x14ac:dyDescent="0.25">
      <c r="C485" s="127">
        <v>2019</v>
      </c>
      <c r="D485" s="127" t="s">
        <v>20</v>
      </c>
      <c r="E485" s="128">
        <v>21.141928</v>
      </c>
      <c r="F485" s="128">
        <v>15.470327921328842</v>
      </c>
      <c r="G485" s="181">
        <v>-0.26826314414991659</v>
      </c>
      <c r="H485" s="128">
        <v>5.6716000786711582</v>
      </c>
      <c r="I485" s="174">
        <v>0.26826314414991659</v>
      </c>
      <c r="J485" s="175">
        <v>0.26826314414991659</v>
      </c>
    </row>
    <row r="486" spans="3:10" x14ac:dyDescent="0.25">
      <c r="C486" s="127">
        <v>2019</v>
      </c>
      <c r="D486" s="127" t="s">
        <v>16</v>
      </c>
      <c r="E486" s="128">
        <v>21.141928</v>
      </c>
      <c r="F486" s="128">
        <v>15.460122834702359</v>
      </c>
      <c r="G486" s="181">
        <v>-0.26874583837848853</v>
      </c>
      <c r="H486" s="128">
        <v>5.6818051652976411</v>
      </c>
      <c r="I486" s="174">
        <v>0.26874583837848853</v>
      </c>
      <c r="J486" s="175">
        <v>0.26874583837848853</v>
      </c>
    </row>
    <row r="487" spans="3:10" x14ac:dyDescent="0.25">
      <c r="C487" s="127">
        <v>2019</v>
      </c>
      <c r="D487" s="127" t="s">
        <v>22</v>
      </c>
      <c r="E487" s="128">
        <v>21.141928</v>
      </c>
      <c r="F487" s="128">
        <v>15.040753626039384</v>
      </c>
      <c r="G487" s="181">
        <v>-0.28858174022542388</v>
      </c>
      <c r="H487" s="128">
        <v>6.1011743739606157</v>
      </c>
      <c r="I487" s="174">
        <v>0.28858174022542388</v>
      </c>
      <c r="J487" s="175">
        <v>0.28858174022542388</v>
      </c>
    </row>
    <row r="488" spans="3:10" x14ac:dyDescent="0.25">
      <c r="C488" s="127">
        <v>2019</v>
      </c>
      <c r="D488" s="127" t="s">
        <v>24</v>
      </c>
      <c r="E488" s="128">
        <v>21.141928</v>
      </c>
      <c r="F488" s="128">
        <v>14.93643951064815</v>
      </c>
      <c r="G488" s="181">
        <v>-0.29351573278235793</v>
      </c>
      <c r="H488" s="128">
        <v>6.2054884893518505</v>
      </c>
      <c r="I488" s="174">
        <v>0.29351573278235793</v>
      </c>
      <c r="J488" s="175">
        <v>0.29351573278235793</v>
      </c>
    </row>
    <row r="489" spans="3:10" x14ac:dyDescent="0.25">
      <c r="C489" s="127">
        <v>2019</v>
      </c>
      <c r="D489" s="127" t="s">
        <v>197</v>
      </c>
      <c r="E489" s="128">
        <v>21.141928</v>
      </c>
      <c r="F489" s="176">
        <v>14.882452835473911</v>
      </c>
      <c r="G489" s="181">
        <v>-0.29606926882572343</v>
      </c>
      <c r="H489" s="128">
        <f>ABS(E489-F489)</f>
        <v>6.2594751645260889</v>
      </c>
      <c r="I489" s="174">
        <f>ABS(G489)</f>
        <v>0.29606926882572343</v>
      </c>
      <c r="J489" s="174">
        <f>ABS((E489-F489)/E489)</f>
        <v>0.29606926882572343</v>
      </c>
    </row>
    <row r="490" spans="3:10" x14ac:dyDescent="0.25">
      <c r="C490" s="127">
        <v>2019</v>
      </c>
      <c r="D490" s="127" t="s">
        <v>198</v>
      </c>
      <c r="E490" s="128">
        <v>21.141928</v>
      </c>
      <c r="F490" s="128">
        <v>14.720646844202825</v>
      </c>
      <c r="G490" s="181">
        <v>-0.30372259123184864</v>
      </c>
      <c r="H490" s="128">
        <f>ABS(E490-F490)</f>
        <v>6.4212811557971747</v>
      </c>
      <c r="I490" s="174">
        <f>ABS(G490)</f>
        <v>0.30372259123184864</v>
      </c>
      <c r="J490" s="174">
        <f>ABS((E490-F490)/E490)</f>
        <v>0.30372259123184864</v>
      </c>
    </row>
    <row r="491" spans="3:10" x14ac:dyDescent="0.25">
      <c r="C491" s="127">
        <v>2019</v>
      </c>
      <c r="D491" s="127" t="s">
        <v>45</v>
      </c>
      <c r="E491" s="128">
        <v>21.141928</v>
      </c>
      <c r="F491" s="128">
        <v>14.263910691382707</v>
      </c>
      <c r="G491" s="181">
        <v>-0.32532592621719708</v>
      </c>
      <c r="H491" s="128">
        <v>6.8780173086172933</v>
      </c>
      <c r="I491" s="174">
        <v>0.32532592621719708</v>
      </c>
      <c r="J491" s="175">
        <v>0.32532592621719708</v>
      </c>
    </row>
    <row r="492" spans="3:10" x14ac:dyDescent="0.25">
      <c r="C492" s="127">
        <v>2019</v>
      </c>
      <c r="D492" s="127" t="s">
        <v>23</v>
      </c>
      <c r="E492" s="128">
        <v>21.141928</v>
      </c>
      <c r="F492" s="128">
        <v>14.125086679646323</v>
      </c>
      <c r="G492" s="181">
        <v>-0.33189221533408292</v>
      </c>
      <c r="H492" s="128">
        <v>7.0168413203536772</v>
      </c>
      <c r="I492" s="174">
        <v>0.33189221533408292</v>
      </c>
      <c r="J492" s="175">
        <v>0.33189221533408292</v>
      </c>
    </row>
    <row r="493" spans="3:10" x14ac:dyDescent="0.25">
      <c r="C493" s="127">
        <v>2019</v>
      </c>
      <c r="D493" s="127" t="s">
        <v>25</v>
      </c>
      <c r="E493" s="128">
        <v>21.141928</v>
      </c>
      <c r="F493" s="128">
        <v>14.060725286777746</v>
      </c>
      <c r="G493" s="181">
        <v>-0.3349364690496654</v>
      </c>
      <c r="H493" s="128">
        <v>7.0812027132222539</v>
      </c>
      <c r="I493" s="174">
        <v>0.3349364690496654</v>
      </c>
      <c r="J493" s="175">
        <v>0.3349364690496654</v>
      </c>
    </row>
    <row r="494" spans="3:10" x14ac:dyDescent="0.25">
      <c r="C494" s="127">
        <v>2019</v>
      </c>
      <c r="D494" s="127" t="s">
        <v>27</v>
      </c>
      <c r="E494" s="128">
        <v>21.141928</v>
      </c>
      <c r="F494" s="128">
        <v>13.993593312837158</v>
      </c>
      <c r="G494" s="181">
        <v>-0.33811176952087069</v>
      </c>
      <c r="H494" s="128">
        <v>7.1483346871628424</v>
      </c>
      <c r="I494" s="174">
        <v>0.33811176952087069</v>
      </c>
      <c r="J494" s="175">
        <v>0.33811176952087069</v>
      </c>
    </row>
    <row r="495" spans="3:10" x14ac:dyDescent="0.25">
      <c r="C495" s="127">
        <v>2019</v>
      </c>
      <c r="D495" s="127" t="s">
        <v>29</v>
      </c>
      <c r="E495" s="128">
        <v>21.141928</v>
      </c>
      <c r="F495" s="128">
        <v>13.330315552638961</v>
      </c>
      <c r="G495" s="181">
        <v>-0.36948439363529378</v>
      </c>
      <c r="H495" s="128">
        <v>7.8116124473610391</v>
      </c>
      <c r="I495" s="174">
        <v>0.36948439363529378</v>
      </c>
      <c r="J495" s="175">
        <v>0.36948439363529378</v>
      </c>
    </row>
    <row r="496" spans="3:10" x14ac:dyDescent="0.25">
      <c r="C496" s="127">
        <v>2019</v>
      </c>
      <c r="D496" s="127" t="s">
        <v>32</v>
      </c>
      <c r="E496" s="128">
        <v>21.141928</v>
      </c>
      <c r="F496" s="128">
        <v>13.280573358445075</v>
      </c>
      <c r="G496" s="181">
        <v>-0.37183716837721353</v>
      </c>
      <c r="H496" s="128">
        <v>7.8613546415549251</v>
      </c>
      <c r="I496" s="174">
        <v>0.37183716837721353</v>
      </c>
      <c r="J496" s="175">
        <v>0.37183716837721353</v>
      </c>
    </row>
    <row r="497" spans="3:10" x14ac:dyDescent="0.25">
      <c r="C497" s="127">
        <v>2020</v>
      </c>
      <c r="D497" s="127" t="s">
        <v>25</v>
      </c>
      <c r="E497" s="128">
        <v>8.062989</v>
      </c>
      <c r="F497" s="128">
        <v>10.014595571768339</v>
      </c>
      <c r="G497" s="181">
        <v>0.24204504951803102</v>
      </c>
      <c r="H497" s="128">
        <v>1.9516065717683393</v>
      </c>
      <c r="I497" s="174">
        <v>0.24204504951803102</v>
      </c>
      <c r="J497" s="175">
        <v>0.24204504951803102</v>
      </c>
    </row>
    <row r="498" spans="3:10" x14ac:dyDescent="0.25">
      <c r="C498" s="127">
        <v>2020</v>
      </c>
      <c r="D498" s="127" t="s">
        <v>12</v>
      </c>
      <c r="E498" s="128">
        <v>8.062989</v>
      </c>
      <c r="F498" s="128">
        <v>10.175091587579882</v>
      </c>
      <c r="G498" s="181">
        <v>0.26195032482121478</v>
      </c>
      <c r="H498" s="128">
        <v>2.1121025875798818</v>
      </c>
      <c r="I498" s="174">
        <v>0.26195032482121478</v>
      </c>
      <c r="J498" s="175">
        <v>0.26195032482121478</v>
      </c>
    </row>
    <row r="499" spans="3:10" x14ac:dyDescent="0.25">
      <c r="C499" s="127">
        <v>2020</v>
      </c>
      <c r="D499" s="127" t="s">
        <v>24</v>
      </c>
      <c r="E499" s="128">
        <v>8.062989</v>
      </c>
      <c r="F499" s="128">
        <v>10.204331623414877</v>
      </c>
      <c r="G499" s="181">
        <v>0.26557677598405216</v>
      </c>
      <c r="H499" s="128">
        <v>2.1413426234148769</v>
      </c>
      <c r="I499" s="174">
        <v>0.26557677598405216</v>
      </c>
      <c r="J499" s="175">
        <v>0.26557677598405216</v>
      </c>
    </row>
    <row r="500" spans="3:10" x14ac:dyDescent="0.25">
      <c r="C500" s="127">
        <v>2020</v>
      </c>
      <c r="D500" s="127" t="s">
        <v>32</v>
      </c>
      <c r="E500" s="128">
        <v>8.062989</v>
      </c>
      <c r="F500" s="128">
        <v>10.45384404947416</v>
      </c>
      <c r="G500" s="181">
        <v>0.29652217676027587</v>
      </c>
      <c r="H500" s="128">
        <v>2.3908550494741601</v>
      </c>
      <c r="I500" s="174">
        <v>0.29652217676027587</v>
      </c>
      <c r="J500" s="175">
        <v>0.29652217676027587</v>
      </c>
    </row>
    <row r="501" spans="3:10" x14ac:dyDescent="0.25">
      <c r="C501" s="127">
        <v>2020</v>
      </c>
      <c r="D501" s="127" t="s">
        <v>22</v>
      </c>
      <c r="E501" s="128">
        <v>8.062989</v>
      </c>
      <c r="F501" s="128">
        <v>10.479108411407804</v>
      </c>
      <c r="G501" s="181">
        <v>0.29965555098832503</v>
      </c>
      <c r="H501" s="128">
        <v>2.416119411407804</v>
      </c>
      <c r="I501" s="174">
        <v>0.29965555098832503</v>
      </c>
      <c r="J501" s="175">
        <v>0.29965555098832503</v>
      </c>
    </row>
    <row r="502" spans="3:10" x14ac:dyDescent="0.25">
      <c r="C502" s="127">
        <v>2020</v>
      </c>
      <c r="D502" s="127" t="s">
        <v>45</v>
      </c>
      <c r="E502" s="128">
        <v>8.062989</v>
      </c>
      <c r="F502" s="128">
        <v>10.510915939284109</v>
      </c>
      <c r="G502" s="181">
        <v>0.30360043146333315</v>
      </c>
      <c r="H502" s="128">
        <v>2.447926939284109</v>
      </c>
      <c r="I502" s="174">
        <v>0.30360043146333315</v>
      </c>
      <c r="J502" s="175">
        <v>0.30360043146333315</v>
      </c>
    </row>
    <row r="503" spans="3:10" x14ac:dyDescent="0.25">
      <c r="C503" s="127">
        <v>2020</v>
      </c>
      <c r="D503" s="127" t="s">
        <v>197</v>
      </c>
      <c r="E503" s="128">
        <v>8.062989</v>
      </c>
      <c r="F503" s="176">
        <v>10.734457166422905</v>
      </c>
      <c r="G503" s="181">
        <v>0.33132479362466011</v>
      </c>
      <c r="H503" s="128">
        <f>ABS(E503-F503)</f>
        <v>2.6714681664229047</v>
      </c>
      <c r="I503" s="174">
        <f>ABS(G503)</f>
        <v>0.33132479362466011</v>
      </c>
      <c r="J503" s="174">
        <f>ABS((E503-F503)/E503)</f>
        <v>0.33132479362466011</v>
      </c>
    </row>
    <row r="504" spans="3:10" x14ac:dyDescent="0.25">
      <c r="C504" s="127">
        <v>2020</v>
      </c>
      <c r="D504" s="127" t="s">
        <v>23</v>
      </c>
      <c r="E504" s="128">
        <v>8.062989</v>
      </c>
      <c r="F504" s="128">
        <v>10.751908540633393</v>
      </c>
      <c r="G504" s="181">
        <v>0.33348917388246374</v>
      </c>
      <c r="H504" s="128">
        <v>2.6889195406333926</v>
      </c>
      <c r="I504" s="174">
        <v>0.33348917388246374</v>
      </c>
      <c r="J504" s="175">
        <v>0.33348917388246374</v>
      </c>
    </row>
    <row r="505" spans="3:10" x14ac:dyDescent="0.25">
      <c r="C505" s="127">
        <v>2020</v>
      </c>
      <c r="D505" s="127" t="s">
        <v>198</v>
      </c>
      <c r="E505" s="128">
        <v>8.062989</v>
      </c>
      <c r="F505" s="128">
        <v>10.889500968104736</v>
      </c>
      <c r="G505" s="181">
        <v>0.35055386632733049</v>
      </c>
      <c r="H505" s="128">
        <f>ABS(E505-F505)</f>
        <v>2.8265119681047359</v>
      </c>
      <c r="I505" s="174">
        <f>ABS(G505)</f>
        <v>0.35055386632733049</v>
      </c>
      <c r="J505" s="174">
        <f>ABS((E505-F505)/E505)</f>
        <v>0.35055386632733049</v>
      </c>
    </row>
    <row r="506" spans="3:10" x14ac:dyDescent="0.25">
      <c r="C506" s="127">
        <v>2020</v>
      </c>
      <c r="D506" s="127" t="s">
        <v>27</v>
      </c>
      <c r="E506" s="128">
        <v>8.062989</v>
      </c>
      <c r="F506" s="128">
        <v>10.906438458665511</v>
      </c>
      <c r="G506" s="181">
        <v>0.35265451294371236</v>
      </c>
      <c r="H506" s="128">
        <v>2.8434494586655106</v>
      </c>
      <c r="I506" s="174">
        <v>0.35265451294371236</v>
      </c>
      <c r="J506" s="175">
        <v>0.35265451294371236</v>
      </c>
    </row>
    <row r="507" spans="3:10" x14ac:dyDescent="0.25">
      <c r="C507" s="127">
        <v>2020</v>
      </c>
      <c r="D507" s="127" t="s">
        <v>13</v>
      </c>
      <c r="E507" s="128">
        <v>8.062989</v>
      </c>
      <c r="F507" s="128">
        <v>11.145516451770511</v>
      </c>
      <c r="G507" s="181">
        <v>0.3823057989748605</v>
      </c>
      <c r="H507" s="128">
        <v>3.0825274517705115</v>
      </c>
      <c r="I507" s="174">
        <v>0.3823057989748605</v>
      </c>
      <c r="J507" s="175">
        <v>0.3823057989748605</v>
      </c>
    </row>
    <row r="508" spans="3:10" x14ac:dyDescent="0.25">
      <c r="C508" s="127">
        <v>2020</v>
      </c>
      <c r="D508" s="127" t="s">
        <v>16</v>
      </c>
      <c r="E508" s="128">
        <v>8.062989</v>
      </c>
      <c r="F508" s="128">
        <v>11.166945484959289</v>
      </c>
      <c r="G508" s="181">
        <v>0.38496350236361343</v>
      </c>
      <c r="H508" s="128">
        <v>3.1039564849592889</v>
      </c>
      <c r="I508" s="174">
        <v>0.38496350236361343</v>
      </c>
      <c r="J508" s="175">
        <v>0.38496350236361343</v>
      </c>
    </row>
    <row r="509" spans="3:10" x14ac:dyDescent="0.25">
      <c r="C509" s="127">
        <v>2020</v>
      </c>
      <c r="D509" s="127" t="s">
        <v>29</v>
      </c>
      <c r="E509" s="128">
        <v>8.062989</v>
      </c>
      <c r="F509" s="128">
        <v>11.168684572591086</v>
      </c>
      <c r="G509" s="181">
        <v>0.38517919007344381</v>
      </c>
      <c r="H509" s="128">
        <v>3.1056955725910864</v>
      </c>
      <c r="I509" s="174">
        <v>0.38517919007344381</v>
      </c>
      <c r="J509" s="175">
        <v>0.38517919007344381</v>
      </c>
    </row>
    <row r="510" spans="3:10" x14ac:dyDescent="0.25">
      <c r="C510" s="127">
        <v>2020</v>
      </c>
      <c r="D510" s="127" t="s">
        <v>15</v>
      </c>
      <c r="E510" s="128">
        <v>8.062989</v>
      </c>
      <c r="F510" s="128">
        <v>11.217748936509295</v>
      </c>
      <c r="G510" s="181">
        <v>0.39126432350450874</v>
      </c>
      <c r="H510" s="128">
        <v>3.1547599365092953</v>
      </c>
      <c r="I510" s="174">
        <v>0.39126432350450874</v>
      </c>
      <c r="J510" s="175">
        <v>0.39126432350450874</v>
      </c>
    </row>
    <row r="511" spans="3:10" x14ac:dyDescent="0.25">
      <c r="C511" s="127">
        <v>2020</v>
      </c>
      <c r="D511" s="127" t="s">
        <v>21</v>
      </c>
      <c r="E511" s="128">
        <v>8.062989</v>
      </c>
      <c r="F511" s="128">
        <v>11.315757440813721</v>
      </c>
      <c r="G511" s="181">
        <v>0.40341967982515181</v>
      </c>
      <c r="H511" s="128">
        <v>3.2527684408137212</v>
      </c>
      <c r="I511" s="174">
        <v>0.40341967982515181</v>
      </c>
      <c r="J511" s="175">
        <v>0.40341967982515181</v>
      </c>
    </row>
    <row r="512" spans="3:10" x14ac:dyDescent="0.25">
      <c r="C512" s="127">
        <v>2020</v>
      </c>
      <c r="D512" s="127" t="s">
        <v>20</v>
      </c>
      <c r="E512" s="128">
        <v>8.062989</v>
      </c>
      <c r="F512" s="128">
        <v>11.325245279602637</v>
      </c>
      <c r="G512" s="181">
        <v>0.40459639466240582</v>
      </c>
      <c r="H512" s="128">
        <v>3.2622562796026369</v>
      </c>
      <c r="I512" s="174">
        <v>0.40459639466240582</v>
      </c>
      <c r="J512" s="175">
        <v>0.40459639466240582</v>
      </c>
    </row>
    <row r="513" spans="3:10" x14ac:dyDescent="0.25">
      <c r="C513" s="127">
        <v>2020</v>
      </c>
      <c r="D513" s="127" t="s">
        <v>17</v>
      </c>
      <c r="E513" s="128">
        <v>8.062989</v>
      </c>
      <c r="F513" s="128">
        <v>11.586270730423687</v>
      </c>
      <c r="G513" s="181">
        <v>0.43696968089919097</v>
      </c>
      <c r="H513" s="128">
        <v>3.5232817304236868</v>
      </c>
      <c r="I513" s="174">
        <v>0.43696968089919097</v>
      </c>
      <c r="J513" s="175">
        <v>0.43696968089919097</v>
      </c>
    </row>
    <row r="514" spans="3:10" x14ac:dyDescent="0.25">
      <c r="C514" s="127">
        <v>2020</v>
      </c>
      <c r="D514" s="127" t="s">
        <v>14</v>
      </c>
      <c r="E514" s="128">
        <v>8.062989</v>
      </c>
      <c r="F514" s="128">
        <v>12.448891949148789</v>
      </c>
      <c r="G514" s="181">
        <v>0.54395497118361313</v>
      </c>
      <c r="H514" s="128">
        <v>4.3859029491487895</v>
      </c>
      <c r="I514" s="174">
        <v>0.54395497118361313</v>
      </c>
      <c r="J514" s="175">
        <v>0.54395497118361313</v>
      </c>
    </row>
    <row r="515" spans="3:10" x14ac:dyDescent="0.25">
      <c r="C515" s="127">
        <v>2020</v>
      </c>
      <c r="D515" s="127" t="s">
        <v>18</v>
      </c>
      <c r="E515" s="128">
        <v>8.062989</v>
      </c>
      <c r="F515" s="128">
        <v>12.592755740163248</v>
      </c>
      <c r="G515" s="181">
        <v>0.56179745999445718</v>
      </c>
      <c r="H515" s="128">
        <v>4.5297667401632484</v>
      </c>
      <c r="I515" s="174">
        <v>0.56179745999445718</v>
      </c>
      <c r="J515" s="175">
        <v>0.56179745999445718</v>
      </c>
    </row>
    <row r="516" spans="3:10" x14ac:dyDescent="0.25">
      <c r="C516" s="127">
        <v>2020</v>
      </c>
      <c r="D516" s="127" t="s">
        <v>11</v>
      </c>
      <c r="E516" s="128">
        <v>8.062989</v>
      </c>
      <c r="F516" s="128">
        <v>19.080080787331447</v>
      </c>
      <c r="G516" s="181">
        <v>1.3663781244562589</v>
      </c>
      <c r="H516" s="128">
        <v>11.017091787331447</v>
      </c>
      <c r="I516" s="174">
        <v>1.3663781244562589</v>
      </c>
      <c r="J516" s="175">
        <v>1.3663781244562589</v>
      </c>
    </row>
    <row r="517" spans="3:10" x14ac:dyDescent="0.25">
      <c r="C517" s="127">
        <v>2021</v>
      </c>
      <c r="D517" s="127" t="s">
        <v>12</v>
      </c>
      <c r="E517" s="128">
        <v>48.503718999999997</v>
      </c>
      <c r="F517" s="128">
        <v>28.131751694156318</v>
      </c>
      <c r="G517" s="181">
        <v>-0.42000835659310332</v>
      </c>
      <c r="H517" s="128">
        <v>20.371967305843679</v>
      </c>
      <c r="I517" s="174">
        <v>0.42000835659310332</v>
      </c>
      <c r="J517" s="175">
        <v>0.42000835659310332</v>
      </c>
    </row>
    <row r="518" spans="3:10" x14ac:dyDescent="0.25">
      <c r="C518" s="127">
        <v>2021</v>
      </c>
      <c r="D518" s="127" t="s">
        <v>11</v>
      </c>
      <c r="E518" s="128">
        <v>48.503718999999997</v>
      </c>
      <c r="F518" s="128">
        <v>27.542052481593913</v>
      </c>
      <c r="G518" s="181">
        <v>-0.43216617097765397</v>
      </c>
      <c r="H518" s="128">
        <v>20.961666518406084</v>
      </c>
      <c r="I518" s="174">
        <v>0.43216617097765397</v>
      </c>
      <c r="J518" s="175">
        <v>0.43216617097765397</v>
      </c>
    </row>
    <row r="519" spans="3:10" x14ac:dyDescent="0.25">
      <c r="C519" s="127">
        <v>2021</v>
      </c>
      <c r="D519" s="127" t="s">
        <v>16</v>
      </c>
      <c r="E519" s="128">
        <v>48.503718999999997</v>
      </c>
      <c r="F519" s="128">
        <v>23.945993918047893</v>
      </c>
      <c r="G519" s="181">
        <v>-0.50630602329590657</v>
      </c>
      <c r="H519" s="128">
        <v>24.557725081952103</v>
      </c>
      <c r="I519" s="174">
        <v>0.50630602329590657</v>
      </c>
      <c r="J519" s="175">
        <v>0.50630602329590657</v>
      </c>
    </row>
    <row r="520" spans="3:10" x14ac:dyDescent="0.25">
      <c r="C520" s="127">
        <v>2021</v>
      </c>
      <c r="D520" s="127" t="s">
        <v>14</v>
      </c>
      <c r="E520" s="128">
        <v>48.503718999999997</v>
      </c>
      <c r="F520" s="128">
        <v>23.556030952569483</v>
      </c>
      <c r="G520" s="181">
        <v>-0.51434588031137396</v>
      </c>
      <c r="H520" s="128">
        <v>24.947688047430514</v>
      </c>
      <c r="I520" s="174">
        <v>0.51434588031137396</v>
      </c>
      <c r="J520" s="175">
        <v>0.51434588031137396</v>
      </c>
    </row>
    <row r="521" spans="3:10" x14ac:dyDescent="0.25">
      <c r="C521" s="127">
        <v>2021</v>
      </c>
      <c r="D521" s="127" t="s">
        <v>15</v>
      </c>
      <c r="E521" s="128">
        <v>48.503718999999997</v>
      </c>
      <c r="F521" s="128">
        <v>22.854723216296591</v>
      </c>
      <c r="G521" s="181">
        <v>-0.52880472492642072</v>
      </c>
      <c r="H521" s="128">
        <v>25.648995783703405</v>
      </c>
      <c r="I521" s="174">
        <v>0.52880472492642072</v>
      </c>
      <c r="J521" s="175">
        <v>0.52880472492642072</v>
      </c>
    </row>
    <row r="522" spans="3:10" x14ac:dyDescent="0.25">
      <c r="C522" s="127">
        <v>2021</v>
      </c>
      <c r="D522" s="127" t="s">
        <v>29</v>
      </c>
      <c r="E522" s="128">
        <v>48.503718999999997</v>
      </c>
      <c r="F522" s="128">
        <v>22.532894731728732</v>
      </c>
      <c r="G522" s="181">
        <v>-0.53543985499897995</v>
      </c>
      <c r="H522" s="128">
        <v>25.970824268271265</v>
      </c>
      <c r="I522" s="174">
        <v>0.53543985499897995</v>
      </c>
      <c r="J522" s="175">
        <v>0.53543985499897995</v>
      </c>
    </row>
    <row r="523" spans="3:10" x14ac:dyDescent="0.25">
      <c r="C523" s="127">
        <v>2021</v>
      </c>
      <c r="D523" s="127" t="s">
        <v>32</v>
      </c>
      <c r="E523" s="128">
        <v>48.503718999999997</v>
      </c>
      <c r="F523" s="128">
        <v>22.263341908196857</v>
      </c>
      <c r="G523" s="181">
        <v>-0.54099721903392894</v>
      </c>
      <c r="H523" s="128">
        <v>26.24037709180314</v>
      </c>
      <c r="I523" s="174">
        <v>0.54099721903392894</v>
      </c>
      <c r="J523" s="175">
        <v>0.54099721903392894</v>
      </c>
    </row>
    <row r="524" spans="3:10" x14ac:dyDescent="0.25">
      <c r="C524" s="127">
        <v>2021</v>
      </c>
      <c r="D524" s="127" t="s">
        <v>18</v>
      </c>
      <c r="E524" s="128">
        <v>48.503718999999997</v>
      </c>
      <c r="F524" s="128">
        <v>22.042584946088212</v>
      </c>
      <c r="G524" s="181">
        <v>-0.54554855997561313</v>
      </c>
      <c r="H524" s="128">
        <v>26.461134053911785</v>
      </c>
      <c r="I524" s="174">
        <v>0.54554855997561313</v>
      </c>
      <c r="J524" s="175">
        <v>0.54554855997561313</v>
      </c>
    </row>
    <row r="525" spans="3:10" x14ac:dyDescent="0.25">
      <c r="C525" s="127">
        <v>2021</v>
      </c>
      <c r="D525" s="127" t="s">
        <v>21</v>
      </c>
      <c r="E525" s="128">
        <v>48.503718999999997</v>
      </c>
      <c r="F525" s="128">
        <v>21.957046475275718</v>
      </c>
      <c r="G525" s="181">
        <v>-0.54731210455685431</v>
      </c>
      <c r="H525" s="128">
        <v>26.546672524724279</v>
      </c>
      <c r="I525" s="174">
        <v>0.54731210455685431</v>
      </c>
      <c r="J525" s="175">
        <v>0.54731210455685431</v>
      </c>
    </row>
    <row r="526" spans="3:10" x14ac:dyDescent="0.25">
      <c r="C526" s="127">
        <v>2021</v>
      </c>
      <c r="D526" s="127" t="s">
        <v>25</v>
      </c>
      <c r="E526" s="128">
        <v>48.503718999999997</v>
      </c>
      <c r="F526" s="128">
        <v>21.857806698275738</v>
      </c>
      <c r="G526" s="181">
        <v>-0.5493581286359559</v>
      </c>
      <c r="H526" s="128">
        <v>26.645912301724259</v>
      </c>
      <c r="I526" s="174">
        <v>0.5493581286359559</v>
      </c>
      <c r="J526" s="175">
        <v>0.5493581286359559</v>
      </c>
    </row>
    <row r="527" spans="3:10" x14ac:dyDescent="0.25">
      <c r="C527" s="127">
        <v>2021</v>
      </c>
      <c r="D527" s="127" t="s">
        <v>23</v>
      </c>
      <c r="E527" s="128">
        <v>48.503718999999997</v>
      </c>
      <c r="F527" s="128">
        <v>21.700007613366179</v>
      </c>
      <c r="G527" s="181">
        <v>-0.5526114685480884</v>
      </c>
      <c r="H527" s="128">
        <v>26.803711386633818</v>
      </c>
      <c r="I527" s="174">
        <v>0.5526114685480884</v>
      </c>
      <c r="J527" s="175">
        <v>0.5526114685480884</v>
      </c>
    </row>
    <row r="528" spans="3:10" x14ac:dyDescent="0.25">
      <c r="C528" s="127">
        <v>2021</v>
      </c>
      <c r="D528" s="127" t="s">
        <v>45</v>
      </c>
      <c r="E528" s="128">
        <v>48.503718999999997</v>
      </c>
      <c r="F528" s="128">
        <v>20.902479433150837</v>
      </c>
      <c r="G528" s="181">
        <v>-0.56905408772570942</v>
      </c>
      <c r="H528" s="128">
        <v>27.601239566849159</v>
      </c>
      <c r="I528" s="174">
        <v>0.56905408772570942</v>
      </c>
      <c r="J528" s="175">
        <v>0.56905408772570942</v>
      </c>
    </row>
    <row r="529" spans="3:10" x14ac:dyDescent="0.25">
      <c r="C529" s="127">
        <v>2021</v>
      </c>
      <c r="D529" s="127" t="s">
        <v>198</v>
      </c>
      <c r="E529" s="128">
        <v>48.503718999999997</v>
      </c>
      <c r="F529" s="128">
        <v>20.766041982130819</v>
      </c>
      <c r="G529" s="181">
        <v>-0.57186701534925966</v>
      </c>
      <c r="H529" s="128">
        <f>ABS(E529-F529)</f>
        <v>27.737677017869178</v>
      </c>
      <c r="I529" s="174">
        <f>ABS(G529)</f>
        <v>0.57186701534925966</v>
      </c>
      <c r="J529" s="174">
        <f>ABS((E529-F529)/E529)</f>
        <v>0.57186701534925966</v>
      </c>
    </row>
    <row r="530" spans="3:10" x14ac:dyDescent="0.25">
      <c r="C530" s="127">
        <v>2021</v>
      </c>
      <c r="D530" s="127" t="s">
        <v>24</v>
      </c>
      <c r="E530" s="128">
        <v>48.503718999999997</v>
      </c>
      <c r="F530" s="128">
        <v>20.663868723408665</v>
      </c>
      <c r="G530" s="181">
        <v>-0.57397351894998672</v>
      </c>
      <c r="H530" s="128">
        <v>27.839850276591331</v>
      </c>
      <c r="I530" s="174">
        <v>0.57397351894998672</v>
      </c>
      <c r="J530" s="175">
        <v>0.57397351894998672</v>
      </c>
    </row>
    <row r="531" spans="3:10" x14ac:dyDescent="0.25">
      <c r="C531" s="127">
        <v>2021</v>
      </c>
      <c r="D531" s="127" t="s">
        <v>197</v>
      </c>
      <c r="E531" s="128">
        <v>48.503718999999997</v>
      </c>
      <c r="F531" s="176">
        <v>20.308782890998078</v>
      </c>
      <c r="G531" s="181">
        <v>-0.58129431495762052</v>
      </c>
      <c r="H531" s="128">
        <f>ABS(E531-F531)</f>
        <v>28.194936109001919</v>
      </c>
      <c r="I531" s="174">
        <f>ABS(G531)</f>
        <v>0.58129431495762052</v>
      </c>
      <c r="J531" s="174">
        <f>ABS((E531-F531)/E531)</f>
        <v>0.58129431495762052</v>
      </c>
    </row>
    <row r="532" spans="3:10" x14ac:dyDescent="0.25">
      <c r="C532" s="127">
        <v>2021</v>
      </c>
      <c r="D532" s="127" t="s">
        <v>20</v>
      </c>
      <c r="E532" s="128">
        <v>48.503718999999997</v>
      </c>
      <c r="F532" s="128">
        <v>20.298148188297414</v>
      </c>
      <c r="G532" s="181">
        <v>-0.58151357036565765</v>
      </c>
      <c r="H532" s="128">
        <v>28.205570811702582</v>
      </c>
      <c r="I532" s="174">
        <v>0.58151357036565765</v>
      </c>
      <c r="J532" s="175">
        <v>0.58151357036565765</v>
      </c>
    </row>
    <row r="533" spans="3:10" x14ac:dyDescent="0.25">
      <c r="C533" s="127">
        <v>2021</v>
      </c>
      <c r="D533" s="127" t="s">
        <v>13</v>
      </c>
      <c r="E533" s="128">
        <v>48.503718999999997</v>
      </c>
      <c r="F533" s="128">
        <v>18.998627539634008</v>
      </c>
      <c r="G533" s="181">
        <v>-0.60830575610843352</v>
      </c>
      <c r="H533" s="128">
        <v>29.505091460365989</v>
      </c>
      <c r="I533" s="174">
        <v>0.60830575610843352</v>
      </c>
      <c r="J533" s="175">
        <v>0.60830575610843352</v>
      </c>
    </row>
    <row r="534" spans="3:10" x14ac:dyDescent="0.25">
      <c r="C534" s="127">
        <v>2021</v>
      </c>
      <c r="D534" s="127" t="s">
        <v>17</v>
      </c>
      <c r="E534" s="128">
        <v>48.503718999999997</v>
      </c>
      <c r="F534" s="128">
        <v>18.218943765602997</v>
      </c>
      <c r="G534" s="181">
        <v>-0.62438047759589321</v>
      </c>
      <c r="H534" s="128">
        <v>30.284775234396999</v>
      </c>
      <c r="I534" s="174">
        <v>0.62438047759589321</v>
      </c>
      <c r="J534" s="175">
        <v>0.62438047759589321</v>
      </c>
    </row>
    <row r="535" spans="3:10" x14ac:dyDescent="0.25">
      <c r="C535" s="127">
        <v>2021</v>
      </c>
      <c r="D535" s="127" t="s">
        <v>27</v>
      </c>
      <c r="E535" s="128">
        <v>48.503718999999997</v>
      </c>
      <c r="F535" s="128">
        <v>17.679828905619729</v>
      </c>
      <c r="G535" s="181">
        <v>-0.6354953956083299</v>
      </c>
      <c r="H535" s="128">
        <v>30.823890094380268</v>
      </c>
      <c r="I535" s="174">
        <v>0.6354953956083299</v>
      </c>
      <c r="J535" s="175">
        <v>0.6354953956083299</v>
      </c>
    </row>
    <row r="536" spans="3:10" x14ac:dyDescent="0.25">
      <c r="C536" s="166">
        <v>2021</v>
      </c>
      <c r="D536" s="166" t="s">
        <v>22</v>
      </c>
      <c r="E536" s="177">
        <v>48.503718999999997</v>
      </c>
      <c r="F536" s="177">
        <v>17.560547775511097</v>
      </c>
      <c r="G536" s="182">
        <v>-0.63795461177912771</v>
      </c>
      <c r="H536" s="177">
        <v>30.9431712244889</v>
      </c>
      <c r="I536" s="178">
        <v>0.63795461177912771</v>
      </c>
      <c r="J536" s="179">
        <v>0.63795461177912771</v>
      </c>
    </row>
  </sheetData>
  <sortState xmlns:xlrd2="http://schemas.microsoft.com/office/spreadsheetml/2017/richdata2" ref="O117:Q136">
    <sortCondition ref="O117:O136"/>
  </sortState>
  <mergeCells count="20">
    <mergeCell ref="J97:M97"/>
    <mergeCell ref="F97:I97"/>
    <mergeCell ref="X1:Y1"/>
    <mergeCell ref="D1:E1"/>
    <mergeCell ref="H1:I1"/>
    <mergeCell ref="L1:M1"/>
    <mergeCell ref="P1:Q1"/>
    <mergeCell ref="T1:U1"/>
    <mergeCell ref="BT1:BU1"/>
    <mergeCell ref="AB1:AC1"/>
    <mergeCell ref="AF1:AG1"/>
    <mergeCell ref="AJ1:AK1"/>
    <mergeCell ref="AN1:AO1"/>
    <mergeCell ref="AR1:AS1"/>
    <mergeCell ref="AV1:AW1"/>
    <mergeCell ref="AZ1:BA1"/>
    <mergeCell ref="BD1:BE1"/>
    <mergeCell ref="BH1:BI1"/>
    <mergeCell ref="BL1:BM1"/>
    <mergeCell ref="BP1:BQ1"/>
  </mergeCells>
  <phoneticPr fontId="28" type="noConversion"/>
  <pageMargins left="0.7" right="0.7" top="0.75" bottom="0.75" header="0.3" footer="0.3"/>
  <pageSetup orientation="portrait" r:id="rId3"/>
  <drawing r:id="rId4"/>
  <legacy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98FF-6EE8-4464-ADA2-8B524B64B449}">
  <dimension ref="A1:W35"/>
  <sheetViews>
    <sheetView workbookViewId="0">
      <selection activeCell="C7" sqref="C7"/>
    </sheetView>
  </sheetViews>
  <sheetFormatPr defaultRowHeight="15" x14ac:dyDescent="0.25"/>
  <cols>
    <col min="1" max="1" width="13.85546875" bestFit="1" customWidth="1"/>
  </cols>
  <sheetData>
    <row r="1" spans="1:23" x14ac:dyDescent="0.25">
      <c r="B1">
        <v>2022</v>
      </c>
      <c r="C1">
        <v>2021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</row>
    <row r="2" spans="1:23" x14ac:dyDescent="0.25">
      <c r="A2" t="s">
        <v>177</v>
      </c>
      <c r="B2">
        <v>7.26633</v>
      </c>
      <c r="C2">
        <v>7.1181599999999996</v>
      </c>
      <c r="D2">
        <v>6.9067400000000001</v>
      </c>
      <c r="E2">
        <v>6.9111200000000004</v>
      </c>
      <c r="F2">
        <v>7.1526300000000003</v>
      </c>
    </row>
    <row r="3" spans="1:23" x14ac:dyDescent="0.25">
      <c r="A3" t="s">
        <v>10</v>
      </c>
      <c r="B3">
        <v>0.49325000000000002</v>
      </c>
      <c r="C3">
        <v>0.50068000000000001</v>
      </c>
      <c r="D3">
        <v>0.48904999999999998</v>
      </c>
      <c r="E3">
        <v>0.50329999999999997</v>
      </c>
      <c r="F3">
        <v>0.45195000000000002</v>
      </c>
      <c r="N3" s="33"/>
    </row>
    <row r="4" spans="1:23" x14ac:dyDescent="0.25">
      <c r="A4" t="s">
        <v>178</v>
      </c>
      <c r="B4">
        <v>-0.56220000000000003</v>
      </c>
      <c r="C4">
        <v>-0.55066000000000004</v>
      </c>
      <c r="D4">
        <v>-0.52302000000000004</v>
      </c>
      <c r="E4">
        <v>-0.52917000000000003</v>
      </c>
      <c r="F4">
        <v>-0.53669</v>
      </c>
      <c r="N4" s="33"/>
    </row>
    <row r="5" spans="1:23" x14ac:dyDescent="0.25">
      <c r="A5" t="s">
        <v>6</v>
      </c>
      <c r="B5">
        <v>0.29420000000000002</v>
      </c>
      <c r="C5">
        <v>0.27429999999999999</v>
      </c>
      <c r="D5">
        <v>0.27879999999999999</v>
      </c>
      <c r="E5">
        <v>0.28010000000000002</v>
      </c>
      <c r="F5">
        <v>0.25629999999999997</v>
      </c>
      <c r="N5" s="33"/>
    </row>
    <row r="6" spans="1:23" x14ac:dyDescent="0.25">
      <c r="A6" t="s">
        <v>179</v>
      </c>
      <c r="B6" s="69">
        <f>B2+(B3*U35)+(B4*D35)</f>
        <v>2.7024319999999991</v>
      </c>
      <c r="C6" s="69">
        <f>C2+(C3*U34)+(C4*D34)</f>
        <v>3.2992545999999985</v>
      </c>
      <c r="D6" s="69">
        <f>D2+(D3*U33)+(D4*D33)</f>
        <v>2.2811287999999994</v>
      </c>
      <c r="E6" s="69">
        <f>E2+(E3*U32)+(E4*D32)</f>
        <v>2.7797846000000002</v>
      </c>
      <c r="F6" s="69">
        <f>F2+(F3*U31)+(F4*D31)</f>
        <v>2.7167460999999999</v>
      </c>
    </row>
    <row r="7" spans="1:23" x14ac:dyDescent="0.25">
      <c r="A7" t="s">
        <v>181</v>
      </c>
      <c r="B7" s="69">
        <f>EXP(B6)*EXP(0.5*B5*B5)</f>
        <v>15.575650352787713</v>
      </c>
      <c r="C7" s="69">
        <f>EXP(C6)*EXP(0.5*C5*C5)</f>
        <v>28.131075219423948</v>
      </c>
      <c r="D7" s="69">
        <f>EXP(D6)*EXP(0.5*D5*D5)</f>
        <v>10.175608367917464</v>
      </c>
      <c r="E7" s="69">
        <f>EXP(E6)*EXP(0.5*E5*E5)</f>
        <v>16.760293469265328</v>
      </c>
      <c r="F7" s="69">
        <f>EXP(F6)*EXP(0.5*F5*F5)</f>
        <v>15.636234495933815</v>
      </c>
      <c r="G7" s="33"/>
    </row>
    <row r="10" spans="1:23" x14ac:dyDescent="0.25">
      <c r="A10" t="s">
        <v>180</v>
      </c>
      <c r="B10" t="s">
        <v>71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 t="s">
        <v>96</v>
      </c>
      <c r="O10" t="s">
        <v>97</v>
      </c>
      <c r="P10" t="s">
        <v>98</v>
      </c>
      <c r="Q10" t="s">
        <v>99</v>
      </c>
      <c r="R10" t="s">
        <v>100</v>
      </c>
      <c r="S10" t="s">
        <v>101</v>
      </c>
      <c r="T10" t="s">
        <v>102</v>
      </c>
      <c r="U10" t="s">
        <v>103</v>
      </c>
      <c r="V10" t="s">
        <v>104</v>
      </c>
      <c r="W10" t="s">
        <v>105</v>
      </c>
    </row>
    <row r="11" spans="1:23" x14ac:dyDescent="0.25">
      <c r="A11">
        <v>1997</v>
      </c>
      <c r="B11">
        <v>1998</v>
      </c>
      <c r="C11">
        <v>42.448748999999999</v>
      </c>
      <c r="D11">
        <v>9.2799999999999994</v>
      </c>
      <c r="E11">
        <v>10.08</v>
      </c>
      <c r="F11">
        <v>7.48</v>
      </c>
      <c r="G11">
        <v>8.83</v>
      </c>
      <c r="H11">
        <v>7.59</v>
      </c>
      <c r="I11">
        <v>10.3</v>
      </c>
      <c r="J11">
        <v>7.01</v>
      </c>
      <c r="K11">
        <v>8.83</v>
      </c>
      <c r="L11">
        <v>7.3</v>
      </c>
      <c r="M11">
        <v>10.02</v>
      </c>
      <c r="N11">
        <v>7.35</v>
      </c>
      <c r="O11">
        <v>8.7100000000000009</v>
      </c>
      <c r="P11">
        <v>7.4</v>
      </c>
      <c r="Q11">
        <v>10.47</v>
      </c>
      <c r="R11">
        <v>8</v>
      </c>
      <c r="S11">
        <v>9.1999999999999993</v>
      </c>
      <c r="T11">
        <v>7.99</v>
      </c>
      <c r="U11">
        <v>2.48</v>
      </c>
      <c r="V11" t="s">
        <v>106</v>
      </c>
      <c r="W11">
        <v>1E-3</v>
      </c>
    </row>
    <row r="12" spans="1:23" x14ac:dyDescent="0.25">
      <c r="A12">
        <v>1998</v>
      </c>
      <c r="B12">
        <v>1999</v>
      </c>
      <c r="C12">
        <v>77.818105000000003</v>
      </c>
      <c r="D12">
        <v>9.4</v>
      </c>
      <c r="E12">
        <v>9.85</v>
      </c>
      <c r="F12">
        <v>7.83</v>
      </c>
      <c r="G12">
        <v>8.91</v>
      </c>
      <c r="H12">
        <v>7.88</v>
      </c>
      <c r="I12">
        <v>9.9700000000000006</v>
      </c>
      <c r="J12">
        <v>7.34</v>
      </c>
      <c r="K12">
        <v>8.85</v>
      </c>
      <c r="L12">
        <v>7.56</v>
      </c>
      <c r="M12">
        <v>9.89</v>
      </c>
      <c r="N12">
        <v>7.65</v>
      </c>
      <c r="O12">
        <v>8.85</v>
      </c>
      <c r="P12">
        <v>7.71</v>
      </c>
      <c r="Q12">
        <v>10.36</v>
      </c>
      <c r="R12">
        <v>8.3699999999999992</v>
      </c>
      <c r="S12">
        <v>9.3800000000000008</v>
      </c>
      <c r="T12">
        <v>8.3699999999999992</v>
      </c>
      <c r="U12">
        <v>5.62</v>
      </c>
      <c r="V12" t="s">
        <v>106</v>
      </c>
      <c r="W12">
        <v>1E-3</v>
      </c>
    </row>
    <row r="13" spans="1:23" x14ac:dyDescent="0.25">
      <c r="A13">
        <v>1999</v>
      </c>
      <c r="B13">
        <v>2000</v>
      </c>
      <c r="C13">
        <v>20.248977</v>
      </c>
      <c r="D13">
        <v>8.56</v>
      </c>
      <c r="E13">
        <v>8.9</v>
      </c>
      <c r="F13">
        <v>6.84</v>
      </c>
      <c r="G13">
        <v>8.0500000000000007</v>
      </c>
      <c r="H13">
        <v>7.12</v>
      </c>
      <c r="I13">
        <v>9.08</v>
      </c>
      <c r="J13">
        <v>6.17</v>
      </c>
      <c r="K13">
        <v>8.02</v>
      </c>
      <c r="L13">
        <v>6.78</v>
      </c>
      <c r="M13">
        <v>8.93</v>
      </c>
      <c r="N13">
        <v>6.7</v>
      </c>
      <c r="O13">
        <v>7.98</v>
      </c>
      <c r="P13">
        <v>6.95</v>
      </c>
      <c r="Q13">
        <v>9.3000000000000007</v>
      </c>
      <c r="R13">
        <v>7.23</v>
      </c>
      <c r="S13">
        <v>8.4</v>
      </c>
      <c r="T13">
        <v>7.43</v>
      </c>
      <c r="U13">
        <v>1.6</v>
      </c>
      <c r="V13" t="s">
        <v>106</v>
      </c>
      <c r="W13">
        <v>1E-3</v>
      </c>
    </row>
    <row r="14" spans="1:23" x14ac:dyDescent="0.25">
      <c r="A14">
        <v>2000</v>
      </c>
      <c r="B14">
        <v>2001</v>
      </c>
      <c r="C14">
        <v>67.023652999999996</v>
      </c>
      <c r="D14">
        <v>8.77</v>
      </c>
      <c r="E14">
        <v>9.6999999999999993</v>
      </c>
      <c r="F14">
        <v>7.34</v>
      </c>
      <c r="G14">
        <v>8.6199999999999992</v>
      </c>
      <c r="H14">
        <v>7.52</v>
      </c>
      <c r="I14">
        <v>9.94</v>
      </c>
      <c r="J14">
        <v>7.02</v>
      </c>
      <c r="K14">
        <v>8.67</v>
      </c>
      <c r="L14">
        <v>7.35</v>
      </c>
      <c r="M14">
        <v>9.6999999999999993</v>
      </c>
      <c r="N14">
        <v>7.23</v>
      </c>
      <c r="O14">
        <v>8.57</v>
      </c>
      <c r="P14">
        <v>7.39</v>
      </c>
      <c r="Q14">
        <v>10.02</v>
      </c>
      <c r="R14">
        <v>7.71</v>
      </c>
      <c r="S14">
        <v>8.9499999999999993</v>
      </c>
      <c r="T14">
        <v>7.86</v>
      </c>
      <c r="U14">
        <v>3.73</v>
      </c>
      <c r="V14" t="s">
        <v>106</v>
      </c>
      <c r="W14">
        <v>1E-3</v>
      </c>
    </row>
    <row r="15" spans="1:23" x14ac:dyDescent="0.25">
      <c r="A15">
        <v>2001</v>
      </c>
      <c r="B15">
        <v>2002</v>
      </c>
      <c r="C15">
        <v>45.315401000000001</v>
      </c>
      <c r="D15">
        <v>9.0299999999999994</v>
      </c>
      <c r="E15">
        <v>9.15</v>
      </c>
      <c r="F15">
        <v>6.74</v>
      </c>
      <c r="G15">
        <v>8.18</v>
      </c>
      <c r="H15">
        <v>7.12</v>
      </c>
      <c r="I15">
        <v>9.57</v>
      </c>
      <c r="J15">
        <v>6.48</v>
      </c>
      <c r="K15">
        <v>8.4</v>
      </c>
      <c r="L15">
        <v>7.08</v>
      </c>
      <c r="M15">
        <v>9.2200000000000006</v>
      </c>
      <c r="N15">
        <v>6.66</v>
      </c>
      <c r="O15">
        <v>8.17</v>
      </c>
      <c r="P15">
        <v>7.01</v>
      </c>
      <c r="Q15">
        <v>9.51</v>
      </c>
      <c r="R15">
        <v>7.1</v>
      </c>
      <c r="S15">
        <v>8.52</v>
      </c>
      <c r="T15">
        <v>7.45</v>
      </c>
      <c r="U15">
        <v>2.87</v>
      </c>
      <c r="V15" t="s">
        <v>106</v>
      </c>
      <c r="W15">
        <v>1E-3</v>
      </c>
    </row>
    <row r="16" spans="1:23" x14ac:dyDescent="0.25">
      <c r="A16">
        <v>2002</v>
      </c>
      <c r="B16">
        <v>2003</v>
      </c>
      <c r="C16">
        <v>52.466735</v>
      </c>
      <c r="D16">
        <v>8.1999999999999993</v>
      </c>
      <c r="E16">
        <v>8.9700000000000006</v>
      </c>
      <c r="F16">
        <v>6.39</v>
      </c>
      <c r="G16">
        <v>7.85</v>
      </c>
      <c r="H16">
        <v>6.64</v>
      </c>
      <c r="I16">
        <v>9.34</v>
      </c>
      <c r="J16">
        <v>6.26</v>
      </c>
      <c r="K16">
        <v>8.02</v>
      </c>
      <c r="L16">
        <v>6.6</v>
      </c>
      <c r="M16">
        <v>9.0500000000000007</v>
      </c>
      <c r="N16">
        <v>6.39</v>
      </c>
      <c r="O16">
        <v>7.88</v>
      </c>
      <c r="P16">
        <v>6.61</v>
      </c>
      <c r="Q16">
        <v>9.44</v>
      </c>
      <c r="R16">
        <v>6.92</v>
      </c>
      <c r="S16">
        <v>8.33</v>
      </c>
      <c r="T16">
        <v>7.14</v>
      </c>
      <c r="U16">
        <v>2.78</v>
      </c>
      <c r="V16" t="s">
        <v>106</v>
      </c>
      <c r="W16">
        <v>1E-3</v>
      </c>
    </row>
    <row r="17" spans="1:23" x14ac:dyDescent="0.25">
      <c r="A17">
        <v>2003</v>
      </c>
      <c r="B17">
        <v>2004</v>
      </c>
      <c r="C17">
        <v>45.309744000000002</v>
      </c>
      <c r="D17">
        <v>9.31</v>
      </c>
      <c r="E17">
        <v>9.92</v>
      </c>
      <c r="F17">
        <v>7.71</v>
      </c>
      <c r="G17">
        <v>8.9</v>
      </c>
      <c r="H17">
        <v>7.85</v>
      </c>
      <c r="I17">
        <v>10.08</v>
      </c>
      <c r="J17">
        <v>7.29</v>
      </c>
      <c r="K17">
        <v>8.8800000000000008</v>
      </c>
      <c r="L17">
        <v>7.53</v>
      </c>
      <c r="M17">
        <v>9.86</v>
      </c>
      <c r="N17">
        <v>7.57</v>
      </c>
      <c r="O17">
        <v>8.76</v>
      </c>
      <c r="P17">
        <v>7.6</v>
      </c>
      <c r="Q17">
        <v>10.32</v>
      </c>
      <c r="R17">
        <v>8.17</v>
      </c>
      <c r="S17">
        <v>9.25</v>
      </c>
      <c r="T17">
        <v>8.16</v>
      </c>
      <c r="U17">
        <v>3.08</v>
      </c>
      <c r="V17" t="s">
        <v>106</v>
      </c>
      <c r="W17">
        <v>1E-3</v>
      </c>
    </row>
    <row r="18" spans="1:23" x14ac:dyDescent="0.25">
      <c r="A18">
        <v>2004</v>
      </c>
      <c r="B18">
        <v>2005</v>
      </c>
      <c r="C18">
        <v>59.121487000000002</v>
      </c>
      <c r="D18">
        <v>9.33</v>
      </c>
      <c r="E18">
        <v>10.43</v>
      </c>
      <c r="F18">
        <v>7.94</v>
      </c>
      <c r="G18">
        <v>9.2200000000000006</v>
      </c>
      <c r="H18">
        <v>7.96</v>
      </c>
      <c r="I18">
        <v>10.68</v>
      </c>
      <c r="J18">
        <v>7.53</v>
      </c>
      <c r="K18">
        <v>9.25</v>
      </c>
      <c r="L18">
        <v>7.69</v>
      </c>
      <c r="M18">
        <v>10.38</v>
      </c>
      <c r="N18">
        <v>7.89</v>
      </c>
      <c r="O18">
        <v>9.09</v>
      </c>
      <c r="P18">
        <v>7.79</v>
      </c>
      <c r="Q18">
        <v>10.98</v>
      </c>
      <c r="R18">
        <v>8.58</v>
      </c>
      <c r="S18">
        <v>9.74</v>
      </c>
      <c r="T18">
        <v>8.51</v>
      </c>
      <c r="U18">
        <v>3.9</v>
      </c>
      <c r="V18" t="s">
        <v>106</v>
      </c>
      <c r="W18">
        <v>1E-3</v>
      </c>
    </row>
    <row r="19" spans="1:23" x14ac:dyDescent="0.25">
      <c r="A19">
        <v>2005</v>
      </c>
      <c r="B19">
        <v>2006</v>
      </c>
      <c r="C19">
        <v>11.6065</v>
      </c>
      <c r="D19">
        <v>10.210000000000001</v>
      </c>
      <c r="E19">
        <v>10.67</v>
      </c>
      <c r="F19">
        <v>8.51</v>
      </c>
      <c r="G19">
        <v>9.48</v>
      </c>
      <c r="H19">
        <v>8.44</v>
      </c>
      <c r="I19">
        <v>11.16</v>
      </c>
      <c r="J19">
        <v>8.4</v>
      </c>
      <c r="K19">
        <v>9.64</v>
      </c>
      <c r="L19">
        <v>8.26</v>
      </c>
      <c r="M19">
        <v>10.63</v>
      </c>
      <c r="N19">
        <v>8.42</v>
      </c>
      <c r="O19">
        <v>9.35</v>
      </c>
      <c r="P19">
        <v>8.26</v>
      </c>
      <c r="Q19">
        <v>11.06</v>
      </c>
      <c r="R19">
        <v>8.92</v>
      </c>
      <c r="S19">
        <v>9.83</v>
      </c>
      <c r="T19">
        <v>8.82</v>
      </c>
      <c r="U19">
        <v>2.04</v>
      </c>
      <c r="V19" t="s">
        <v>106</v>
      </c>
      <c r="W19">
        <v>1E-3</v>
      </c>
    </row>
    <row r="20" spans="1:23" x14ac:dyDescent="0.25">
      <c r="A20">
        <v>2006</v>
      </c>
      <c r="B20">
        <v>2007</v>
      </c>
      <c r="C20">
        <v>44.796396999999999</v>
      </c>
      <c r="D20">
        <v>8.75</v>
      </c>
      <c r="E20">
        <v>9.7799999999999994</v>
      </c>
      <c r="F20">
        <v>7.16</v>
      </c>
      <c r="G20">
        <v>8.68</v>
      </c>
      <c r="H20">
        <v>7.58</v>
      </c>
      <c r="I20">
        <v>10.19</v>
      </c>
      <c r="J20">
        <v>6.84</v>
      </c>
      <c r="K20">
        <v>8.86</v>
      </c>
      <c r="L20">
        <v>7.49</v>
      </c>
      <c r="M20">
        <v>9.7200000000000006</v>
      </c>
      <c r="N20">
        <v>6.98</v>
      </c>
      <c r="O20">
        <v>8.5500000000000007</v>
      </c>
      <c r="P20">
        <v>7.36</v>
      </c>
      <c r="Q20">
        <v>10.19</v>
      </c>
      <c r="R20">
        <v>7.63</v>
      </c>
      <c r="S20">
        <v>9.07</v>
      </c>
      <c r="T20">
        <v>7.96</v>
      </c>
      <c r="U20">
        <v>2.58</v>
      </c>
      <c r="V20" t="s">
        <v>106</v>
      </c>
      <c r="W20">
        <v>1E-3</v>
      </c>
    </row>
    <row r="21" spans="1:23" x14ac:dyDescent="0.25">
      <c r="A21">
        <v>2007</v>
      </c>
      <c r="B21">
        <v>2008</v>
      </c>
      <c r="C21">
        <v>15.908924000000001</v>
      </c>
      <c r="D21">
        <v>8.94</v>
      </c>
      <c r="E21">
        <v>9.52</v>
      </c>
      <c r="F21">
        <v>7.04</v>
      </c>
      <c r="G21">
        <v>8.41</v>
      </c>
      <c r="H21">
        <v>7.27</v>
      </c>
      <c r="I21">
        <v>9.49</v>
      </c>
      <c r="J21">
        <v>6.55</v>
      </c>
      <c r="K21">
        <v>8.16</v>
      </c>
      <c r="L21">
        <v>6.87</v>
      </c>
      <c r="M21">
        <v>9.44</v>
      </c>
      <c r="N21">
        <v>6.9</v>
      </c>
      <c r="O21">
        <v>8.24</v>
      </c>
      <c r="P21">
        <v>7.03</v>
      </c>
      <c r="Q21">
        <v>9.99</v>
      </c>
      <c r="R21">
        <v>7.51</v>
      </c>
      <c r="S21">
        <v>8.82</v>
      </c>
      <c r="T21">
        <v>7.64</v>
      </c>
      <c r="U21">
        <v>1.17</v>
      </c>
      <c r="V21" t="s">
        <v>106</v>
      </c>
      <c r="W21">
        <v>1E-3</v>
      </c>
    </row>
    <row r="22" spans="1:23" x14ac:dyDescent="0.25">
      <c r="A22">
        <v>2008</v>
      </c>
      <c r="B22">
        <v>2009</v>
      </c>
      <c r="C22">
        <v>38.024357000000002</v>
      </c>
      <c r="D22">
        <v>7.91</v>
      </c>
      <c r="E22">
        <v>8.65</v>
      </c>
      <c r="F22">
        <v>6.77</v>
      </c>
      <c r="G22">
        <v>7.69</v>
      </c>
      <c r="H22">
        <v>6.83</v>
      </c>
      <c r="I22">
        <v>8.85</v>
      </c>
      <c r="J22">
        <v>6.43</v>
      </c>
      <c r="K22">
        <v>7.72</v>
      </c>
      <c r="L22">
        <v>6.68</v>
      </c>
      <c r="M22">
        <v>8.65</v>
      </c>
      <c r="N22">
        <v>6.64</v>
      </c>
      <c r="O22">
        <v>7.63</v>
      </c>
      <c r="P22">
        <v>6.74</v>
      </c>
      <c r="Q22">
        <v>9.18</v>
      </c>
      <c r="R22">
        <v>7.22</v>
      </c>
      <c r="S22">
        <v>8.17</v>
      </c>
      <c r="T22">
        <v>7.28</v>
      </c>
      <c r="U22">
        <v>2.3199999999999998</v>
      </c>
      <c r="V22" t="s">
        <v>106</v>
      </c>
      <c r="W22">
        <v>1E-3</v>
      </c>
    </row>
    <row r="23" spans="1:23" x14ac:dyDescent="0.25">
      <c r="A23">
        <v>2009</v>
      </c>
      <c r="B23">
        <v>2010</v>
      </c>
      <c r="C23">
        <v>24.141670999999999</v>
      </c>
      <c r="D23">
        <v>9.36</v>
      </c>
      <c r="E23">
        <v>9.75</v>
      </c>
      <c r="F23">
        <v>7.3</v>
      </c>
      <c r="G23">
        <v>8.4600000000000009</v>
      </c>
      <c r="H23">
        <v>7.35</v>
      </c>
      <c r="I23">
        <v>9.94</v>
      </c>
      <c r="J23">
        <v>7.19</v>
      </c>
      <c r="K23">
        <v>8.4700000000000006</v>
      </c>
      <c r="L23">
        <v>7.22</v>
      </c>
      <c r="M23">
        <v>9.77</v>
      </c>
      <c r="N23">
        <v>7.32</v>
      </c>
      <c r="O23">
        <v>8.4</v>
      </c>
      <c r="P23">
        <v>7.24</v>
      </c>
      <c r="Q23">
        <v>10.199999999999999</v>
      </c>
      <c r="R23">
        <v>7.76</v>
      </c>
      <c r="S23">
        <v>8.85</v>
      </c>
      <c r="T23">
        <v>7.73</v>
      </c>
      <c r="U23">
        <v>2.33</v>
      </c>
      <c r="V23" t="s">
        <v>106</v>
      </c>
      <c r="W23">
        <v>1E-3</v>
      </c>
    </row>
    <row r="24" spans="1:23" x14ac:dyDescent="0.25">
      <c r="A24">
        <v>2010</v>
      </c>
      <c r="B24">
        <v>2011</v>
      </c>
      <c r="C24">
        <v>58.882053999999997</v>
      </c>
      <c r="D24">
        <v>9.35</v>
      </c>
      <c r="E24">
        <v>9.65</v>
      </c>
      <c r="F24">
        <v>7.97</v>
      </c>
      <c r="G24">
        <v>8.66</v>
      </c>
      <c r="H24">
        <v>7.93</v>
      </c>
      <c r="I24">
        <v>9.8699999999999992</v>
      </c>
      <c r="J24">
        <v>7.71</v>
      </c>
      <c r="K24">
        <v>8.68</v>
      </c>
      <c r="L24">
        <v>7.81</v>
      </c>
      <c r="M24">
        <v>9.6199999999999992</v>
      </c>
      <c r="N24">
        <v>7.76</v>
      </c>
      <c r="O24">
        <v>8.5399999999999991</v>
      </c>
      <c r="P24">
        <v>7.72</v>
      </c>
      <c r="Q24">
        <v>10.09</v>
      </c>
      <c r="R24">
        <v>8.2799999999999994</v>
      </c>
      <c r="S24">
        <v>9.0500000000000007</v>
      </c>
      <c r="T24">
        <v>8.23</v>
      </c>
      <c r="U24">
        <v>4.1100000000000003</v>
      </c>
      <c r="V24" t="s">
        <v>106</v>
      </c>
      <c r="W24">
        <v>1E-3</v>
      </c>
    </row>
    <row r="25" spans="1:23" x14ac:dyDescent="0.25">
      <c r="A25">
        <v>2011</v>
      </c>
      <c r="B25">
        <v>2012</v>
      </c>
      <c r="C25">
        <v>21.277018000000002</v>
      </c>
      <c r="D25">
        <v>8.65</v>
      </c>
      <c r="E25">
        <v>9.59</v>
      </c>
      <c r="F25">
        <v>7.31</v>
      </c>
      <c r="G25">
        <v>8.49</v>
      </c>
      <c r="H25">
        <v>7.55</v>
      </c>
      <c r="I25">
        <v>9.84</v>
      </c>
      <c r="J25">
        <v>6.81</v>
      </c>
      <c r="K25">
        <v>8.4700000000000006</v>
      </c>
      <c r="L25">
        <v>7.18</v>
      </c>
      <c r="M25">
        <v>9.67</v>
      </c>
      <c r="N25">
        <v>7.25</v>
      </c>
      <c r="O25">
        <v>8.44</v>
      </c>
      <c r="P25">
        <v>7.44</v>
      </c>
      <c r="Q25">
        <v>10.050000000000001</v>
      </c>
      <c r="R25">
        <v>7.74</v>
      </c>
      <c r="S25">
        <v>8.8800000000000008</v>
      </c>
      <c r="T25">
        <v>7.92</v>
      </c>
      <c r="U25">
        <v>1.51</v>
      </c>
      <c r="V25" t="s">
        <v>106</v>
      </c>
      <c r="W25">
        <v>1E-3</v>
      </c>
    </row>
    <row r="26" spans="1:23" x14ac:dyDescent="0.25">
      <c r="A26">
        <v>2012</v>
      </c>
      <c r="B26">
        <v>2013</v>
      </c>
      <c r="C26">
        <v>94.719412000000005</v>
      </c>
      <c r="D26">
        <v>8.48</v>
      </c>
      <c r="E26">
        <v>9.17</v>
      </c>
      <c r="F26">
        <v>7.07</v>
      </c>
      <c r="G26">
        <v>8.18</v>
      </c>
      <c r="H26">
        <v>7.22</v>
      </c>
      <c r="I26">
        <v>9.23</v>
      </c>
      <c r="J26">
        <v>6.92</v>
      </c>
      <c r="K26">
        <v>8.1</v>
      </c>
      <c r="L26">
        <v>7.07</v>
      </c>
      <c r="M26">
        <v>9.14</v>
      </c>
      <c r="N26">
        <v>6.95</v>
      </c>
      <c r="O26">
        <v>8.09</v>
      </c>
      <c r="P26">
        <v>7.1</v>
      </c>
      <c r="Q26">
        <v>9.68</v>
      </c>
      <c r="R26">
        <v>7.47</v>
      </c>
      <c r="S26">
        <v>8.6300000000000008</v>
      </c>
      <c r="T26">
        <v>7.61</v>
      </c>
      <c r="U26">
        <v>3.52</v>
      </c>
      <c r="V26" t="s">
        <v>106</v>
      </c>
      <c r="W26">
        <v>1E-3</v>
      </c>
    </row>
    <row r="27" spans="1:23" x14ac:dyDescent="0.25">
      <c r="A27">
        <v>2013</v>
      </c>
      <c r="B27">
        <v>2014</v>
      </c>
      <c r="C27">
        <v>37.173864700000003</v>
      </c>
      <c r="D27">
        <v>8.83</v>
      </c>
      <c r="E27">
        <v>9.66</v>
      </c>
      <c r="F27">
        <v>6.74</v>
      </c>
      <c r="G27">
        <v>8.44</v>
      </c>
      <c r="H27">
        <v>7.21</v>
      </c>
      <c r="I27">
        <v>9.8800000000000008</v>
      </c>
      <c r="J27">
        <v>6.37</v>
      </c>
      <c r="K27">
        <v>8.4499999999999993</v>
      </c>
      <c r="L27">
        <v>6.97</v>
      </c>
      <c r="M27">
        <v>9.67</v>
      </c>
      <c r="N27">
        <v>6.59</v>
      </c>
      <c r="O27">
        <v>8.36</v>
      </c>
      <c r="P27">
        <v>7.04</v>
      </c>
      <c r="Q27">
        <v>10.39</v>
      </c>
      <c r="R27">
        <v>7.51</v>
      </c>
      <c r="S27">
        <v>9.1</v>
      </c>
      <c r="T27">
        <v>7.85</v>
      </c>
      <c r="U27">
        <v>2.14</v>
      </c>
      <c r="V27" t="s">
        <v>106</v>
      </c>
      <c r="W27">
        <v>1E-3</v>
      </c>
    </row>
    <row r="28" spans="1:23" x14ac:dyDescent="0.25">
      <c r="A28">
        <v>2014</v>
      </c>
      <c r="B28">
        <v>2015</v>
      </c>
      <c r="C28">
        <v>35.092568</v>
      </c>
      <c r="D28">
        <v>9.1199999999999992</v>
      </c>
      <c r="E28">
        <v>9.98</v>
      </c>
      <c r="F28">
        <v>8.17</v>
      </c>
      <c r="G28">
        <v>8.76</v>
      </c>
      <c r="H28">
        <v>7.77</v>
      </c>
      <c r="I28">
        <v>10.23</v>
      </c>
      <c r="J28">
        <v>7.9</v>
      </c>
      <c r="K28">
        <v>8.81</v>
      </c>
      <c r="L28">
        <v>7.62</v>
      </c>
      <c r="M28">
        <v>10.029999999999999</v>
      </c>
      <c r="N28">
        <v>8.15</v>
      </c>
      <c r="O28">
        <v>8.6999999999999993</v>
      </c>
      <c r="P28">
        <v>7.64</v>
      </c>
      <c r="Q28">
        <v>10.57</v>
      </c>
      <c r="R28">
        <v>8.6199999999999992</v>
      </c>
      <c r="S28">
        <v>9.26</v>
      </c>
      <c r="T28">
        <v>8.17</v>
      </c>
      <c r="U28">
        <v>3.8</v>
      </c>
      <c r="V28" t="s">
        <v>106</v>
      </c>
      <c r="W28">
        <v>1E-3</v>
      </c>
    </row>
    <row r="29" spans="1:23" x14ac:dyDescent="0.25">
      <c r="A29">
        <v>2015</v>
      </c>
      <c r="B29">
        <v>2016</v>
      </c>
      <c r="C29">
        <v>18.374199999999998</v>
      </c>
      <c r="D29">
        <v>9.61</v>
      </c>
      <c r="E29">
        <v>10.62</v>
      </c>
      <c r="F29">
        <v>8.8699999999999992</v>
      </c>
      <c r="G29">
        <v>9.5500000000000007</v>
      </c>
      <c r="H29">
        <v>8.73</v>
      </c>
      <c r="I29">
        <v>10.73</v>
      </c>
      <c r="J29">
        <v>8.34</v>
      </c>
      <c r="K29">
        <v>9.43</v>
      </c>
      <c r="L29">
        <v>8.2899999999999991</v>
      </c>
      <c r="M29">
        <v>10.81</v>
      </c>
      <c r="N29">
        <v>8.92</v>
      </c>
      <c r="O29">
        <v>9.56</v>
      </c>
      <c r="P29">
        <v>8.65</v>
      </c>
      <c r="Q29">
        <v>11.43</v>
      </c>
      <c r="R29">
        <v>9.64</v>
      </c>
      <c r="S29">
        <v>10.210000000000001</v>
      </c>
      <c r="T29">
        <v>9.32</v>
      </c>
      <c r="U29">
        <v>2.4500000000000002</v>
      </c>
      <c r="V29" t="s">
        <v>106</v>
      </c>
      <c r="W29">
        <v>1E-3</v>
      </c>
    </row>
    <row r="30" spans="1:23" x14ac:dyDescent="0.25">
      <c r="A30">
        <v>2016</v>
      </c>
      <c r="B30">
        <v>2017</v>
      </c>
      <c r="C30">
        <v>34.734366000000001</v>
      </c>
      <c r="D30">
        <v>10.199999999999999</v>
      </c>
      <c r="E30">
        <v>11.04</v>
      </c>
      <c r="F30">
        <v>8.92</v>
      </c>
      <c r="G30">
        <v>10.029999999999999</v>
      </c>
      <c r="H30">
        <v>9.07</v>
      </c>
      <c r="I30">
        <v>11.65</v>
      </c>
      <c r="J30">
        <v>8.81</v>
      </c>
      <c r="K30">
        <v>10.37</v>
      </c>
      <c r="L30">
        <v>9.14</v>
      </c>
      <c r="M30">
        <v>11.18</v>
      </c>
      <c r="N30">
        <v>8.92</v>
      </c>
      <c r="O30">
        <v>10.050000000000001</v>
      </c>
      <c r="P30">
        <v>9</v>
      </c>
      <c r="Q30">
        <v>11.67</v>
      </c>
      <c r="R30">
        <v>9.61</v>
      </c>
      <c r="S30">
        <v>10.59</v>
      </c>
      <c r="T30">
        <v>9.59</v>
      </c>
      <c r="U30">
        <v>4.3499999999999996</v>
      </c>
      <c r="V30" t="s">
        <v>106</v>
      </c>
      <c r="W30">
        <v>1</v>
      </c>
    </row>
    <row r="31" spans="1:23" x14ac:dyDescent="0.25">
      <c r="A31">
        <v>2017</v>
      </c>
      <c r="B31">
        <v>2018</v>
      </c>
      <c r="C31">
        <v>8.0677000000000003</v>
      </c>
      <c r="D31">
        <v>8.56</v>
      </c>
      <c r="E31">
        <v>9.65</v>
      </c>
      <c r="F31">
        <v>7.65</v>
      </c>
      <c r="G31">
        <v>8.6999999999999993</v>
      </c>
      <c r="H31">
        <v>7.76</v>
      </c>
      <c r="I31">
        <v>9.82</v>
      </c>
      <c r="J31">
        <v>7.22</v>
      </c>
      <c r="K31">
        <v>8.66</v>
      </c>
      <c r="L31">
        <v>7.51</v>
      </c>
      <c r="M31">
        <v>9.82</v>
      </c>
      <c r="N31">
        <v>7.75</v>
      </c>
      <c r="O31">
        <v>8.77</v>
      </c>
      <c r="P31">
        <v>7.78</v>
      </c>
      <c r="Q31">
        <v>10.31</v>
      </c>
      <c r="R31">
        <v>8.25</v>
      </c>
      <c r="S31">
        <v>9.2799999999999994</v>
      </c>
      <c r="T31">
        <v>8.2899999999999991</v>
      </c>
      <c r="U31">
        <v>0.35</v>
      </c>
      <c r="V31" t="s">
        <v>106</v>
      </c>
      <c r="W31">
        <v>1</v>
      </c>
    </row>
    <row r="32" spans="1:23" x14ac:dyDescent="0.25">
      <c r="A32">
        <v>2018</v>
      </c>
      <c r="B32">
        <v>2019</v>
      </c>
      <c r="C32">
        <v>21.141928</v>
      </c>
      <c r="D32">
        <v>8.92</v>
      </c>
      <c r="E32">
        <v>9.8699999999999992</v>
      </c>
      <c r="F32">
        <v>7.4</v>
      </c>
      <c r="G32">
        <v>8.75</v>
      </c>
      <c r="H32">
        <v>7.61</v>
      </c>
      <c r="I32">
        <v>9.99</v>
      </c>
      <c r="J32">
        <v>6.92</v>
      </c>
      <c r="K32">
        <v>8.74</v>
      </c>
      <c r="L32">
        <v>7.43</v>
      </c>
      <c r="M32">
        <v>10.11</v>
      </c>
      <c r="N32">
        <v>7.53</v>
      </c>
      <c r="O32">
        <v>8.86</v>
      </c>
      <c r="P32">
        <v>7.63</v>
      </c>
      <c r="Q32">
        <v>10.79</v>
      </c>
      <c r="R32">
        <v>8.2799999999999994</v>
      </c>
      <c r="S32">
        <v>9.5399999999999991</v>
      </c>
      <c r="T32">
        <v>8.3000000000000007</v>
      </c>
      <c r="U32">
        <v>1.17</v>
      </c>
      <c r="V32" t="s">
        <v>106</v>
      </c>
      <c r="W32">
        <v>1</v>
      </c>
    </row>
    <row r="33" spans="1:23" x14ac:dyDescent="0.25">
      <c r="A33">
        <v>2019</v>
      </c>
      <c r="B33">
        <v>2020</v>
      </c>
      <c r="C33">
        <v>8.062989</v>
      </c>
      <c r="D33">
        <v>9.91</v>
      </c>
      <c r="E33">
        <v>10.47</v>
      </c>
      <c r="F33">
        <v>8.24</v>
      </c>
      <c r="G33">
        <v>9.4600000000000009</v>
      </c>
      <c r="H33">
        <v>8.35</v>
      </c>
      <c r="I33">
        <v>10.74</v>
      </c>
      <c r="J33">
        <v>7.79</v>
      </c>
      <c r="K33">
        <v>9.51</v>
      </c>
      <c r="L33">
        <v>8.1</v>
      </c>
      <c r="M33">
        <v>10.87</v>
      </c>
      <c r="N33">
        <v>8.42</v>
      </c>
      <c r="O33">
        <v>9.65</v>
      </c>
      <c r="P33">
        <v>8.44</v>
      </c>
      <c r="Q33">
        <v>11.46</v>
      </c>
      <c r="R33">
        <v>9.01</v>
      </c>
      <c r="S33">
        <v>10.25</v>
      </c>
      <c r="T33">
        <v>9.0500000000000007</v>
      </c>
      <c r="U33">
        <v>1.1399999999999999</v>
      </c>
      <c r="V33" t="s">
        <v>106</v>
      </c>
      <c r="W33">
        <v>1</v>
      </c>
    </row>
    <row r="34" spans="1:23" x14ac:dyDescent="0.25">
      <c r="A34">
        <v>2020</v>
      </c>
      <c r="B34">
        <v>2021</v>
      </c>
      <c r="C34">
        <v>48.503718999999997</v>
      </c>
      <c r="D34">
        <v>8.89</v>
      </c>
      <c r="E34">
        <v>9.99</v>
      </c>
      <c r="F34">
        <v>8.09</v>
      </c>
      <c r="G34">
        <v>8.84</v>
      </c>
      <c r="H34">
        <v>7.86</v>
      </c>
      <c r="I34">
        <v>10.4</v>
      </c>
      <c r="J34">
        <v>7.83</v>
      </c>
      <c r="K34">
        <v>9.0500000000000007</v>
      </c>
      <c r="L34">
        <v>7.86</v>
      </c>
      <c r="M34">
        <v>10.23</v>
      </c>
      <c r="N34">
        <v>8.26</v>
      </c>
      <c r="O34">
        <v>8.98</v>
      </c>
      <c r="P34">
        <v>7.94</v>
      </c>
      <c r="Q34">
        <v>10.7</v>
      </c>
      <c r="R34">
        <v>8.9</v>
      </c>
      <c r="S34">
        <v>9.52</v>
      </c>
      <c r="T34">
        <v>8.5299999999999994</v>
      </c>
      <c r="U34">
        <v>2.15</v>
      </c>
      <c r="V34" t="s">
        <v>106</v>
      </c>
      <c r="W34">
        <v>1</v>
      </c>
    </row>
    <row r="35" spans="1:23" x14ac:dyDescent="0.25">
      <c r="A35">
        <v>2021</v>
      </c>
      <c r="B35">
        <v>2022</v>
      </c>
      <c r="D35">
        <v>8.89</v>
      </c>
      <c r="E35">
        <v>10.06</v>
      </c>
      <c r="F35">
        <v>7.25</v>
      </c>
      <c r="G35">
        <v>8.9</v>
      </c>
      <c r="H35">
        <v>7.63</v>
      </c>
      <c r="I35">
        <v>10.26</v>
      </c>
      <c r="J35">
        <v>6.91</v>
      </c>
      <c r="K35">
        <v>8.91</v>
      </c>
      <c r="L35">
        <v>7.47</v>
      </c>
      <c r="M35">
        <v>10.23</v>
      </c>
      <c r="N35">
        <v>7.29</v>
      </c>
      <c r="O35">
        <v>8.9600000000000009</v>
      </c>
      <c r="P35">
        <v>7.65</v>
      </c>
      <c r="Q35">
        <v>10.82</v>
      </c>
      <c r="R35">
        <v>7.97</v>
      </c>
      <c r="S35">
        <v>9.58</v>
      </c>
      <c r="T35">
        <v>8.31</v>
      </c>
      <c r="U35">
        <v>0.88</v>
      </c>
      <c r="V35" t="s">
        <v>106</v>
      </c>
      <c r="W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equal-weighting--2008 CI (hind)</vt:lpstr>
      <vt:lpstr>equal-weighting--2008 CI (Buck)</vt:lpstr>
      <vt:lpstr>inverse variance-Buckland CI</vt:lpstr>
      <vt:lpstr>hindcasts</vt:lpstr>
      <vt:lpstr>inverse variance</vt:lpstr>
      <vt:lpstr>ISTI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Sara E (DFG)</dc:creator>
  <cp:lastModifiedBy>NA</cp:lastModifiedBy>
  <dcterms:created xsi:type="dcterms:W3CDTF">2021-06-02T18:53:13Z</dcterms:created>
  <dcterms:modified xsi:type="dcterms:W3CDTF">2022-06-10T20:19:05Z</dcterms:modified>
</cp:coreProperties>
</file>