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13_ncr:1_{889F873F-3B76-438F-BD3B-1C34E0BFE8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al-weighting--2008 CI (hind)" sheetId="5" r:id="rId1"/>
    <sheet name="equal-weighting--2008 CI (Buck)" sheetId="7" r:id="rId2"/>
    <sheet name="inverse variance-Buckland CI" sheetId="2" r:id="rId3"/>
    <sheet name="Sheet3" sheetId="10" r:id="rId4"/>
    <sheet name="hindcasts" sheetId="6" r:id="rId5"/>
    <sheet name="inverse variance" sheetId="4" r:id="rId6"/>
    <sheet name="ISTI model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4" i="6" l="1"/>
  <c r="U24" i="6"/>
  <c r="U23" i="6" a="1"/>
  <c r="U23" i="6" s="1"/>
  <c r="L17" i="10" l="1"/>
  <c r="K17" i="10"/>
  <c r="E23" i="4" l="1"/>
  <c r="AB49" i="6"/>
  <c r="O44" i="2"/>
  <c r="O43" i="2"/>
  <c r="O23" i="2"/>
  <c r="E86" i="4"/>
  <c r="H86" i="4" s="1"/>
  <c r="E85" i="4"/>
  <c r="E84" i="4"/>
  <c r="H84" i="4" s="1"/>
  <c r="E83" i="4"/>
  <c r="F6" i="8"/>
  <c r="F7" i="8" s="1"/>
  <c r="E6" i="8"/>
  <c r="E7" i="8" s="1"/>
  <c r="D6" i="8"/>
  <c r="D7" i="8" s="1"/>
  <c r="C7" i="8"/>
  <c r="C6" i="8"/>
  <c r="B7" i="8"/>
  <c r="B6" i="8"/>
  <c r="E28" i="4"/>
  <c r="J4" i="5"/>
  <c r="Q4" i="5" a="1"/>
  <c r="Q4" i="5" s="1"/>
  <c r="S4" i="2"/>
  <c r="Y4" i="2"/>
  <c r="S4" i="7"/>
  <c r="R4" i="7" a="1"/>
  <c r="R4" i="7" s="1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X4" i="2"/>
  <c r="W4" i="2"/>
  <c r="V4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4" i="2"/>
  <c r="R5" i="7" a="1"/>
  <c r="R5" i="7" s="1"/>
  <c r="R6" i="7" a="1"/>
  <c r="R6" i="7"/>
  <c r="R7" i="7" a="1"/>
  <c r="R7" i="7" s="1"/>
  <c r="R8" i="7" a="1"/>
  <c r="R8" i="7"/>
  <c r="R9" i="7" a="1"/>
  <c r="R9" i="7" s="1"/>
  <c r="R10" i="7" a="1"/>
  <c r="R10" i="7"/>
  <c r="R11" i="7" a="1"/>
  <c r="R11" i="7" s="1"/>
  <c r="R12" i="7" a="1"/>
  <c r="R12" i="7"/>
  <c r="R13" i="7" a="1"/>
  <c r="R13" i="7" s="1"/>
  <c r="R14" i="7" a="1"/>
  <c r="R14" i="7"/>
  <c r="R15" i="7" a="1"/>
  <c r="R15" i="7" s="1"/>
  <c r="R16" i="7" a="1"/>
  <c r="R16" i="7"/>
  <c r="R17" i="7" a="1"/>
  <c r="R17" i="7" s="1"/>
  <c r="R18" i="7" a="1"/>
  <c r="R18" i="7"/>
  <c r="R19" i="7" a="1"/>
  <c r="R19" i="7" s="1"/>
  <c r="R20" i="7" a="1"/>
  <c r="R20" i="7"/>
  <c r="R21" i="7" a="1"/>
  <c r="R21" i="7" s="1"/>
  <c r="Q5" i="5" a="1"/>
  <c r="Q5" i="5" s="1"/>
  <c r="Q6" i="5" a="1"/>
  <c r="Q6" i="5"/>
  <c r="Q7" i="5" a="1"/>
  <c r="Q7" i="5" s="1"/>
  <c r="Q8" i="5" a="1"/>
  <c r="Q8" i="5"/>
  <c r="Q9" i="5" a="1"/>
  <c r="Q9" i="5" s="1"/>
  <c r="Q10" i="5" a="1"/>
  <c r="Q10" i="5"/>
  <c r="Q11" i="5" a="1"/>
  <c r="Q11" i="5" s="1"/>
  <c r="Q12" i="5" a="1"/>
  <c r="Q12" i="5"/>
  <c r="Q13" i="5" a="1"/>
  <c r="Q13" i="5" s="1"/>
  <c r="Q14" i="5" a="1"/>
  <c r="Q14" i="5"/>
  <c r="Q15" i="5" a="1"/>
  <c r="Q15" i="5" s="1"/>
  <c r="Q16" i="5" a="1"/>
  <c r="Q16" i="5"/>
  <c r="Q17" i="5" a="1"/>
  <c r="Q17" i="5" s="1"/>
  <c r="Q18" i="5" a="1"/>
  <c r="Q18" i="5"/>
  <c r="Q19" i="5" a="1"/>
  <c r="Q19" i="5" s="1"/>
  <c r="Q20" i="5" a="1"/>
  <c r="Q20" i="5"/>
  <c r="Q21" i="5" a="1"/>
  <c r="Q21" i="5" s="1"/>
  <c r="R4" i="2" a="1"/>
  <c r="R4" i="2" s="1"/>
  <c r="R5" i="2" a="1"/>
  <c r="R5" i="2" s="1"/>
  <c r="Y5" i="2" s="1"/>
  <c r="R6" i="2" a="1"/>
  <c r="R6" i="2"/>
  <c r="Y6" i="2" s="1"/>
  <c r="R7" i="2" a="1"/>
  <c r="R7" i="2" s="1"/>
  <c r="Y7" i="2" s="1"/>
  <c r="R8" i="2" a="1"/>
  <c r="R8" i="2"/>
  <c r="R9" i="2" a="1"/>
  <c r="R9" i="2" s="1"/>
  <c r="Y9" i="2" s="1"/>
  <c r="R10" i="2" a="1"/>
  <c r="R10" i="2"/>
  <c r="Y10" i="2" s="1"/>
  <c r="R11" i="2" a="1"/>
  <c r="R11" i="2" s="1"/>
  <c r="Y11" i="2" s="1"/>
  <c r="R12" i="2" a="1"/>
  <c r="R12" i="2"/>
  <c r="R13" i="2" a="1"/>
  <c r="R13" i="2" s="1"/>
  <c r="Y13" i="2" s="1"/>
  <c r="R14" i="2" a="1"/>
  <c r="R14" i="2"/>
  <c r="Y14" i="2" s="1"/>
  <c r="R15" i="2" a="1"/>
  <c r="R15" i="2" s="1"/>
  <c r="Y15" i="2" s="1"/>
  <c r="R16" i="2" a="1"/>
  <c r="R16" i="2"/>
  <c r="R17" i="2" a="1"/>
  <c r="R17" i="2" s="1"/>
  <c r="Y17" i="2" s="1"/>
  <c r="R18" i="2" a="1"/>
  <c r="R18" i="2"/>
  <c r="Y18" i="2" s="1"/>
  <c r="R19" i="2" a="1"/>
  <c r="R19" i="2" s="1"/>
  <c r="Y19" i="2" s="1"/>
  <c r="R20" i="2" a="1"/>
  <c r="R20" i="2"/>
  <c r="R21" i="2" a="1"/>
  <c r="R21" i="2" s="1"/>
  <c r="R24" i="2"/>
  <c r="R22" i="2" a="1"/>
  <c r="R22" i="2" s="1"/>
  <c r="Y8" i="2"/>
  <c r="Y12" i="2"/>
  <c r="Y16" i="2"/>
  <c r="Y20" i="2"/>
  <c r="E29" i="4"/>
  <c r="E17" i="4"/>
  <c r="O4" i="2"/>
  <c r="N4" i="2"/>
  <c r="P39" i="2"/>
  <c r="P40" i="2"/>
  <c r="O40" i="2"/>
  <c r="O39" i="2"/>
  <c r="O38" i="2"/>
  <c r="P38" i="2" s="1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H83" i="4"/>
  <c r="F86" i="4"/>
  <c r="G85" i="4"/>
  <c r="I85" i="4" s="1"/>
  <c r="F85" i="4"/>
  <c r="H85" i="4"/>
  <c r="F84" i="4"/>
  <c r="F83" i="4"/>
  <c r="E77" i="4"/>
  <c r="E78" i="4"/>
  <c r="E79" i="4"/>
  <c r="H79" i="4" s="1"/>
  <c r="E76" i="4"/>
  <c r="H76" i="4" s="1"/>
  <c r="F77" i="4"/>
  <c r="F78" i="4"/>
  <c r="F79" i="4"/>
  <c r="F76" i="4"/>
  <c r="G76" i="4" s="1"/>
  <c r="I76" i="4" s="1"/>
  <c r="H78" i="4"/>
  <c r="H77" i="4"/>
  <c r="F70" i="4"/>
  <c r="F71" i="4"/>
  <c r="F72" i="4"/>
  <c r="F69" i="4"/>
  <c r="G63" i="4"/>
  <c r="H63" i="4"/>
  <c r="I63" i="4"/>
  <c r="J63" i="4"/>
  <c r="K63" i="4"/>
  <c r="G64" i="4"/>
  <c r="H64" i="4"/>
  <c r="I64" i="4"/>
  <c r="J64" i="4"/>
  <c r="K64" i="4"/>
  <c r="G65" i="4"/>
  <c r="H65" i="4"/>
  <c r="I65" i="4"/>
  <c r="J65" i="4"/>
  <c r="K65" i="4"/>
  <c r="G66" i="4"/>
  <c r="H66" i="4"/>
  <c r="I66" i="4"/>
  <c r="J66" i="4"/>
  <c r="K66" i="4"/>
  <c r="O5" i="2"/>
  <c r="I61" i="4"/>
  <c r="I60" i="4"/>
  <c r="I59" i="4"/>
  <c r="J59" i="4" s="1"/>
  <c r="I58" i="4"/>
  <c r="I57" i="4"/>
  <c r="G57" i="4" a="1"/>
  <c r="G57" i="4" s="1"/>
  <c r="H57" i="4" s="1"/>
  <c r="G58" i="4" a="1"/>
  <c r="G58" i="4" s="1"/>
  <c r="G44" i="4"/>
  <c r="E47" i="4"/>
  <c r="AC51" i="6"/>
  <c r="AC49" i="6"/>
  <c r="AB52" i="6"/>
  <c r="AB53" i="6"/>
  <c r="E44" i="4"/>
  <c r="G30" i="2"/>
  <c r="G27" i="4"/>
  <c r="D66" i="4"/>
  <c r="D65" i="4"/>
  <c r="D64" i="4"/>
  <c r="D63" i="4"/>
  <c r="X57" i="6"/>
  <c r="AB48" i="6"/>
  <c r="H61" i="4"/>
  <c r="H60" i="4"/>
  <c r="H59" i="4"/>
  <c r="Q22" i="5" a="1"/>
  <c r="Q22" i="5" s="1"/>
  <c r="G59" i="4" a="1"/>
  <c r="G59" i="4"/>
  <c r="G60" i="4" a="1"/>
  <c r="G60" i="4" s="1"/>
  <c r="G61" i="4" a="1"/>
  <c r="G61" i="4"/>
  <c r="AM49" i="4"/>
  <c r="AK49" i="4"/>
  <c r="AI49" i="4"/>
  <c r="AG49" i="4"/>
  <c r="AN49" i="4" s="1"/>
  <c r="AE49" i="4"/>
  <c r="AC49" i="4"/>
  <c r="AA49" i="4"/>
  <c r="Y49" i="4"/>
  <c r="W49" i="4"/>
  <c r="U49" i="4"/>
  <c r="S49" i="4"/>
  <c r="Q49" i="4"/>
  <c r="O49" i="4"/>
  <c r="M49" i="4"/>
  <c r="K49" i="4"/>
  <c r="I49" i="4"/>
  <c r="G49" i="4"/>
  <c r="E49" i="4"/>
  <c r="P23" i="7"/>
  <c r="K61" i="4"/>
  <c r="K60" i="4"/>
  <c r="K59" i="4"/>
  <c r="K58" i="4"/>
  <c r="J61" i="4"/>
  <c r="J57" i="4"/>
  <c r="J60" i="4"/>
  <c r="J58" i="4"/>
  <c r="AC50" i="6"/>
  <c r="AM44" i="4"/>
  <c r="AM47" i="4"/>
  <c r="AM46" i="4"/>
  <c r="AM45" i="4"/>
  <c r="AK47" i="4"/>
  <c r="AK46" i="4"/>
  <c r="AK45" i="4"/>
  <c r="AK44" i="4"/>
  <c r="AI47" i="4"/>
  <c r="AI46" i="4"/>
  <c r="AI45" i="4"/>
  <c r="AI44" i="4"/>
  <c r="AG47" i="4"/>
  <c r="AG46" i="4"/>
  <c r="AG45" i="4"/>
  <c r="AG44" i="4"/>
  <c r="AE47" i="4"/>
  <c r="AE46" i="4"/>
  <c r="AE45" i="4"/>
  <c r="AE44" i="4"/>
  <c r="AC47" i="4"/>
  <c r="AC46" i="4"/>
  <c r="AC45" i="4"/>
  <c r="AC44" i="4"/>
  <c r="AA47" i="4"/>
  <c r="AA46" i="4"/>
  <c r="AA45" i="4"/>
  <c r="AA44" i="4"/>
  <c r="Y47" i="4"/>
  <c r="Y46" i="4"/>
  <c r="Y45" i="4"/>
  <c r="Y44" i="4"/>
  <c r="W47" i="4"/>
  <c r="W46" i="4"/>
  <c r="W45" i="4"/>
  <c r="W44" i="4"/>
  <c r="U47" i="4"/>
  <c r="U46" i="4"/>
  <c r="U45" i="4"/>
  <c r="U44" i="4"/>
  <c r="S47" i="4"/>
  <c r="S46" i="4"/>
  <c r="S45" i="4"/>
  <c r="S44" i="4"/>
  <c r="Q47" i="4"/>
  <c r="Q46" i="4"/>
  <c r="Q45" i="4"/>
  <c r="Q44" i="4"/>
  <c r="O44" i="4"/>
  <c r="O47" i="4"/>
  <c r="O46" i="4"/>
  <c r="O45" i="4"/>
  <c r="M47" i="4"/>
  <c r="M46" i="4"/>
  <c r="M45" i="4"/>
  <c r="M44" i="4"/>
  <c r="K47" i="4"/>
  <c r="K46" i="4"/>
  <c r="K45" i="4"/>
  <c r="K44" i="4"/>
  <c r="I47" i="4"/>
  <c r="I46" i="4"/>
  <c r="I45" i="4"/>
  <c r="I44" i="4"/>
  <c r="G45" i="4"/>
  <c r="G47" i="4"/>
  <c r="G46" i="4"/>
  <c r="E46" i="4"/>
  <c r="E45" i="4"/>
  <c r="AB51" i="6"/>
  <c r="AA52" i="6"/>
  <c r="G84" i="4" l="1"/>
  <c r="I84" i="4" s="1"/>
  <c r="U4" i="5"/>
  <c r="Y4" i="7"/>
  <c r="T4" i="7"/>
  <c r="U4" i="7" s="1"/>
  <c r="V4" i="7" s="1"/>
  <c r="W4" i="7" s="1"/>
  <c r="Z4" i="7" s="1"/>
  <c r="Y21" i="2"/>
  <c r="R23" i="2"/>
  <c r="P23" i="2"/>
  <c r="G86" i="4"/>
  <c r="I86" i="4" s="1"/>
  <c r="G83" i="4"/>
  <c r="I83" i="4" s="1"/>
  <c r="G79" i="4"/>
  <c r="I79" i="4" s="1"/>
  <c r="G77" i="4"/>
  <c r="I77" i="4" s="1"/>
  <c r="G78" i="4"/>
  <c r="I78" i="4" s="1"/>
  <c r="H58" i="4"/>
  <c r="X4" i="7" l="1"/>
  <c r="U26" i="6" l="1"/>
  <c r="Q21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4" i="7"/>
  <c r="G30" i="7"/>
  <c r="V28" i="7"/>
  <c r="P21" i="7"/>
  <c r="I21" i="7"/>
  <c r="H21" i="7"/>
  <c r="G21" i="7"/>
  <c r="F21" i="7"/>
  <c r="E21" i="7"/>
  <c r="D21" i="7"/>
  <c r="C21" i="7"/>
  <c r="P20" i="7"/>
  <c r="I20" i="7"/>
  <c r="H20" i="7"/>
  <c r="G20" i="7"/>
  <c r="F20" i="7"/>
  <c r="E20" i="7"/>
  <c r="D20" i="7"/>
  <c r="C20" i="7"/>
  <c r="P19" i="7"/>
  <c r="I19" i="7"/>
  <c r="H19" i="7"/>
  <c r="G19" i="7"/>
  <c r="F19" i="7"/>
  <c r="E19" i="7"/>
  <c r="D19" i="7"/>
  <c r="C19" i="7"/>
  <c r="P18" i="7"/>
  <c r="I18" i="7"/>
  <c r="H18" i="7"/>
  <c r="G18" i="7"/>
  <c r="F18" i="7"/>
  <c r="E18" i="7"/>
  <c r="D18" i="7"/>
  <c r="C18" i="7"/>
  <c r="P17" i="7"/>
  <c r="I17" i="7"/>
  <c r="H17" i="7"/>
  <c r="G17" i="7"/>
  <c r="F17" i="7"/>
  <c r="E17" i="7"/>
  <c r="D17" i="7"/>
  <c r="C17" i="7"/>
  <c r="P16" i="7"/>
  <c r="I16" i="7"/>
  <c r="H16" i="7"/>
  <c r="G16" i="7"/>
  <c r="F16" i="7"/>
  <c r="E16" i="7"/>
  <c r="D16" i="7"/>
  <c r="C16" i="7"/>
  <c r="P15" i="7"/>
  <c r="I15" i="7"/>
  <c r="H15" i="7"/>
  <c r="G15" i="7"/>
  <c r="F15" i="7"/>
  <c r="E15" i="7"/>
  <c r="D15" i="7"/>
  <c r="C15" i="7"/>
  <c r="P14" i="7"/>
  <c r="I14" i="7"/>
  <c r="H14" i="7"/>
  <c r="G14" i="7"/>
  <c r="F14" i="7"/>
  <c r="E14" i="7"/>
  <c r="D14" i="7"/>
  <c r="C14" i="7"/>
  <c r="P13" i="7"/>
  <c r="I13" i="7"/>
  <c r="H13" i="7"/>
  <c r="G13" i="7"/>
  <c r="F13" i="7"/>
  <c r="E13" i="7"/>
  <c r="D13" i="7"/>
  <c r="C13" i="7"/>
  <c r="P12" i="7"/>
  <c r="I12" i="7"/>
  <c r="H12" i="7"/>
  <c r="G12" i="7"/>
  <c r="F12" i="7"/>
  <c r="E12" i="7"/>
  <c r="D12" i="7"/>
  <c r="C12" i="7"/>
  <c r="P11" i="7"/>
  <c r="I11" i="7"/>
  <c r="H11" i="7"/>
  <c r="G11" i="7"/>
  <c r="F11" i="7"/>
  <c r="E11" i="7"/>
  <c r="D11" i="7"/>
  <c r="C11" i="7"/>
  <c r="P10" i="7"/>
  <c r="I10" i="7"/>
  <c r="H10" i="7"/>
  <c r="G10" i="7"/>
  <c r="F10" i="7"/>
  <c r="E10" i="7"/>
  <c r="D10" i="7"/>
  <c r="C10" i="7"/>
  <c r="P9" i="7"/>
  <c r="I9" i="7"/>
  <c r="H9" i="7"/>
  <c r="G9" i="7"/>
  <c r="F9" i="7"/>
  <c r="E9" i="7"/>
  <c r="D9" i="7"/>
  <c r="C9" i="7"/>
  <c r="P8" i="7"/>
  <c r="I8" i="7"/>
  <c r="H8" i="7"/>
  <c r="G8" i="7"/>
  <c r="F8" i="7"/>
  <c r="E8" i="7"/>
  <c r="D8" i="7"/>
  <c r="C8" i="7"/>
  <c r="P7" i="7"/>
  <c r="I7" i="7"/>
  <c r="H7" i="7"/>
  <c r="G7" i="7"/>
  <c r="F7" i="7"/>
  <c r="E7" i="7"/>
  <c r="D7" i="7"/>
  <c r="C7" i="7"/>
  <c r="P6" i="7"/>
  <c r="I6" i="7"/>
  <c r="H6" i="7"/>
  <c r="G6" i="7"/>
  <c r="F6" i="7"/>
  <c r="E6" i="7"/>
  <c r="D6" i="7"/>
  <c r="C6" i="7"/>
  <c r="P5" i="7"/>
  <c r="I5" i="7"/>
  <c r="H5" i="7"/>
  <c r="G5" i="7"/>
  <c r="F5" i="7"/>
  <c r="E5" i="7"/>
  <c r="D5" i="7"/>
  <c r="C5" i="7"/>
  <c r="P4" i="7"/>
  <c r="I4" i="7"/>
  <c r="H4" i="7"/>
  <c r="M30" i="7" s="1"/>
  <c r="G4" i="7"/>
  <c r="F4" i="7"/>
  <c r="E4" i="7"/>
  <c r="D4" i="7"/>
  <c r="J4" i="7" s="1"/>
  <c r="C4" i="7"/>
  <c r="Y19" i="5"/>
  <c r="Y18" i="5"/>
  <c r="AB50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29" i="6"/>
  <c r="Z24" i="6" l="1"/>
  <c r="R4" i="5" s="1"/>
  <c r="N5" i="7"/>
  <c r="N9" i="7"/>
  <c r="M9" i="7" s="1"/>
  <c r="N13" i="7"/>
  <c r="N17" i="7"/>
  <c r="L17" i="7" s="1"/>
  <c r="N19" i="7"/>
  <c r="M19" i="7" s="1"/>
  <c r="N20" i="7"/>
  <c r="N21" i="7"/>
  <c r="O21" i="7" s="1"/>
  <c r="J6" i="7"/>
  <c r="S6" i="7" s="1"/>
  <c r="J8" i="7"/>
  <c r="S8" i="7" s="1"/>
  <c r="J9" i="7"/>
  <c r="S9" i="7" s="1"/>
  <c r="J11" i="7"/>
  <c r="S11" i="7" s="1"/>
  <c r="J12" i="7"/>
  <c r="S12" i="7" s="1"/>
  <c r="J15" i="7"/>
  <c r="S15" i="7" s="1"/>
  <c r="J16" i="7"/>
  <c r="S16" i="7" s="1"/>
  <c r="J21" i="7"/>
  <c r="S21" i="7" s="1"/>
  <c r="J5" i="7"/>
  <c r="S5" i="7" s="1"/>
  <c r="J10" i="7"/>
  <c r="S10" i="7" s="1"/>
  <c r="J14" i="7"/>
  <c r="S14" i="7" s="1"/>
  <c r="N6" i="7"/>
  <c r="N11" i="7"/>
  <c r="J19" i="7"/>
  <c r="S19" i="7" s="1"/>
  <c r="M13" i="7"/>
  <c r="O13" i="7"/>
  <c r="J13" i="7"/>
  <c r="S13" i="7" s="1"/>
  <c r="N7" i="7"/>
  <c r="M7" i="7" s="1"/>
  <c r="N10" i="7"/>
  <c r="L10" i="7" s="1"/>
  <c r="N12" i="7"/>
  <c r="O12" i="7" s="1"/>
  <c r="N14" i="7"/>
  <c r="N16" i="7"/>
  <c r="J17" i="7"/>
  <c r="S17" i="7" s="1"/>
  <c r="J18" i="7"/>
  <c r="S18" i="7" s="1"/>
  <c r="N18" i="7"/>
  <c r="O18" i="7" s="1"/>
  <c r="M5" i="7"/>
  <c r="O5" i="7"/>
  <c r="L5" i="7"/>
  <c r="O6" i="7"/>
  <c r="O11" i="7"/>
  <c r="M11" i="7"/>
  <c r="L11" i="7"/>
  <c r="O7" i="7"/>
  <c r="L19" i="7"/>
  <c r="O20" i="7"/>
  <c r="J7" i="7"/>
  <c r="S7" i="7" s="1"/>
  <c r="N8" i="7"/>
  <c r="O9" i="7"/>
  <c r="M12" i="7"/>
  <c r="N15" i="7"/>
  <c r="O19" i="7"/>
  <c r="J20" i="7"/>
  <c r="S20" i="7" s="1"/>
  <c r="L21" i="7"/>
  <c r="H30" i="7"/>
  <c r="J30" i="7" s="1"/>
  <c r="N4" i="7"/>
  <c r="L13" i="7"/>
  <c r="M17" i="7"/>
  <c r="M21" i="7"/>
  <c r="I30" i="7"/>
  <c r="L30" i="7" s="1"/>
  <c r="L9" i="7"/>
  <c r="L16" i="7"/>
  <c r="M20" i="7"/>
  <c r="T4" i="5" l="1"/>
  <c r="S4" i="5"/>
  <c r="O17" i="7"/>
  <c r="O4" i="7"/>
  <c r="L4" i="7"/>
  <c r="M4" i="7"/>
  <c r="M10" i="7"/>
  <c r="U21" i="7"/>
  <c r="U12" i="7"/>
  <c r="U16" i="7"/>
  <c r="L6" i="7"/>
  <c r="O10" i="7"/>
  <c r="M6" i="7"/>
  <c r="L14" i="7"/>
  <c r="L18" i="7"/>
  <c r="M14" i="7"/>
  <c r="M18" i="7"/>
  <c r="O14" i="7"/>
  <c r="L20" i="7"/>
  <c r="L12" i="7"/>
  <c r="L7" i="7"/>
  <c r="M16" i="7"/>
  <c r="O16" i="7"/>
  <c r="Y17" i="7"/>
  <c r="Y13" i="7"/>
  <c r="Y9" i="7"/>
  <c r="Y5" i="7"/>
  <c r="Y19" i="7"/>
  <c r="Y16" i="7"/>
  <c r="Y18" i="7"/>
  <c r="Y15" i="7"/>
  <c r="Y7" i="7"/>
  <c r="Y20" i="7"/>
  <c r="Y11" i="7"/>
  <c r="Y6" i="7"/>
  <c r="Y10" i="7"/>
  <c r="Y8" i="7"/>
  <c r="Y21" i="7"/>
  <c r="Y14" i="7"/>
  <c r="Y12" i="7"/>
  <c r="O8" i="7"/>
  <c r="M8" i="7"/>
  <c r="L8" i="7"/>
  <c r="O15" i="7"/>
  <c r="M15" i="7"/>
  <c r="L15" i="7"/>
  <c r="U15" i="7" l="1"/>
  <c r="U5" i="7"/>
  <c r="U14" i="7"/>
  <c r="U18" i="7"/>
  <c r="U13" i="7"/>
  <c r="U17" i="7"/>
  <c r="U10" i="7"/>
  <c r="U6" i="7"/>
  <c r="U8" i="7"/>
  <c r="U9" i="7"/>
  <c r="U7" i="7"/>
  <c r="U11" i="7"/>
  <c r="U19" i="7"/>
  <c r="U20" i="7"/>
  <c r="V12" i="7" l="1"/>
  <c r="V13" i="7"/>
  <c r="V17" i="7"/>
  <c r="V8" i="7"/>
  <c r="V16" i="7"/>
  <c r="V20" i="7"/>
  <c r="V15" i="7"/>
  <c r="V5" i="7"/>
  <c r="V9" i="7"/>
  <c r="V14" i="7"/>
  <c r="V19" i="7"/>
  <c r="V6" i="7"/>
  <c r="V7" i="7"/>
  <c r="V10" i="7"/>
  <c r="V21" i="7"/>
  <c r="V11" i="7"/>
  <c r="V18" i="7"/>
  <c r="J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C5" i="5"/>
  <c r="D5" i="5"/>
  <c r="E5" i="5"/>
  <c r="F5" i="5"/>
  <c r="G5" i="5"/>
  <c r="H5" i="5"/>
  <c r="I5" i="5"/>
  <c r="C6" i="5"/>
  <c r="D6" i="5"/>
  <c r="E6" i="5"/>
  <c r="F6" i="5"/>
  <c r="G6" i="5"/>
  <c r="H6" i="5"/>
  <c r="I6" i="5"/>
  <c r="C7" i="5"/>
  <c r="N7" i="5" s="1"/>
  <c r="D7" i="5"/>
  <c r="E7" i="5"/>
  <c r="F7" i="5"/>
  <c r="G7" i="5"/>
  <c r="H7" i="5"/>
  <c r="I7" i="5"/>
  <c r="C8" i="5"/>
  <c r="D8" i="5"/>
  <c r="E8" i="5"/>
  <c r="F8" i="5"/>
  <c r="G8" i="5"/>
  <c r="H8" i="5"/>
  <c r="I8" i="5"/>
  <c r="C9" i="5"/>
  <c r="D9" i="5"/>
  <c r="E9" i="5"/>
  <c r="F9" i="5"/>
  <c r="G9" i="5"/>
  <c r="H9" i="5"/>
  <c r="I9" i="5"/>
  <c r="C10" i="5"/>
  <c r="D10" i="5"/>
  <c r="E10" i="5"/>
  <c r="F10" i="5"/>
  <c r="G10" i="5"/>
  <c r="H10" i="5"/>
  <c r="N10" i="5" s="1"/>
  <c r="O10" i="5" s="1"/>
  <c r="I10" i="5"/>
  <c r="C11" i="5"/>
  <c r="N11" i="5" s="1"/>
  <c r="O11" i="5" s="1"/>
  <c r="D11" i="5"/>
  <c r="E11" i="5"/>
  <c r="F11" i="5"/>
  <c r="G11" i="5"/>
  <c r="H11" i="5"/>
  <c r="I11" i="5"/>
  <c r="C12" i="5"/>
  <c r="D12" i="5"/>
  <c r="E12" i="5"/>
  <c r="F12" i="5"/>
  <c r="G12" i="5"/>
  <c r="H12" i="5"/>
  <c r="N12" i="5" s="1"/>
  <c r="I12" i="5"/>
  <c r="C13" i="5"/>
  <c r="D13" i="5"/>
  <c r="E13" i="5"/>
  <c r="F13" i="5"/>
  <c r="G13" i="5"/>
  <c r="H13" i="5"/>
  <c r="I13" i="5"/>
  <c r="C14" i="5"/>
  <c r="D14" i="5"/>
  <c r="E14" i="5"/>
  <c r="F14" i="5"/>
  <c r="G14" i="5"/>
  <c r="H14" i="5"/>
  <c r="I14" i="5"/>
  <c r="C15" i="5"/>
  <c r="N15" i="5" s="1"/>
  <c r="O15" i="5" s="1"/>
  <c r="D15" i="5"/>
  <c r="E15" i="5"/>
  <c r="F15" i="5"/>
  <c r="G15" i="5"/>
  <c r="H15" i="5"/>
  <c r="I15" i="5"/>
  <c r="C16" i="5"/>
  <c r="D16" i="5"/>
  <c r="E16" i="5"/>
  <c r="F16" i="5"/>
  <c r="G16" i="5"/>
  <c r="H16" i="5"/>
  <c r="I16" i="5"/>
  <c r="C17" i="5"/>
  <c r="D17" i="5"/>
  <c r="E17" i="5"/>
  <c r="F17" i="5"/>
  <c r="G17" i="5"/>
  <c r="H17" i="5"/>
  <c r="I17" i="5"/>
  <c r="C18" i="5"/>
  <c r="D18" i="5"/>
  <c r="E18" i="5"/>
  <c r="F18" i="5"/>
  <c r="G18" i="5"/>
  <c r="H18" i="5"/>
  <c r="I18" i="5"/>
  <c r="C19" i="5"/>
  <c r="N19" i="5" s="1"/>
  <c r="O19" i="5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C21" i="5"/>
  <c r="D21" i="5"/>
  <c r="E21" i="5"/>
  <c r="F21" i="5"/>
  <c r="G21" i="5"/>
  <c r="H21" i="5"/>
  <c r="I21" i="5"/>
  <c r="D4" i="5"/>
  <c r="E4" i="5"/>
  <c r="F4" i="5"/>
  <c r="G4" i="5"/>
  <c r="H4" i="5"/>
  <c r="I4" i="5"/>
  <c r="C4" i="5"/>
  <c r="N4" i="5" s="1"/>
  <c r="M4" i="5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H34" i="2"/>
  <c r="H30" i="2"/>
  <c r="J30" i="2" s="1"/>
  <c r="Q4" i="2"/>
  <c r="L4" i="2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4" i="5"/>
  <c r="M12" i="5" l="1"/>
  <c r="O12" i="5"/>
  <c r="M7" i="5"/>
  <c r="O7" i="5"/>
  <c r="W15" i="7"/>
  <c r="Z15" i="7" s="1"/>
  <c r="X15" i="7"/>
  <c r="AA15" i="7" s="1"/>
  <c r="J21" i="5"/>
  <c r="J17" i="5"/>
  <c r="L17" i="5" s="1"/>
  <c r="N16" i="5"/>
  <c r="J13" i="5"/>
  <c r="J9" i="5"/>
  <c r="N8" i="5"/>
  <c r="J5" i="5"/>
  <c r="O4" i="5"/>
  <c r="X10" i="7"/>
  <c r="AA10" i="7" s="1"/>
  <c r="W10" i="7"/>
  <c r="Z10" i="7" s="1"/>
  <c r="W14" i="7"/>
  <c r="Z14" i="7" s="1"/>
  <c r="X14" i="7"/>
  <c r="AA14" i="7" s="1"/>
  <c r="W20" i="7"/>
  <c r="Z20" i="7" s="1"/>
  <c r="X20" i="7"/>
  <c r="AA20" i="7" s="1"/>
  <c r="X13" i="7"/>
  <c r="AA13" i="7" s="1"/>
  <c r="W13" i="7"/>
  <c r="Z13" i="7" s="1"/>
  <c r="X21" i="7"/>
  <c r="AA21" i="7" s="1"/>
  <c r="W21" i="7"/>
  <c r="Z21" i="7" s="1"/>
  <c r="X17" i="7"/>
  <c r="AA17" i="7" s="1"/>
  <c r="W17" i="7"/>
  <c r="Z17" i="7" s="1"/>
  <c r="N20" i="5"/>
  <c r="N21" i="5"/>
  <c r="J18" i="5"/>
  <c r="N17" i="5"/>
  <c r="J14" i="5"/>
  <c r="L14" i="5" s="1"/>
  <c r="N13" i="5"/>
  <c r="J10" i="5"/>
  <c r="N9" i="5"/>
  <c r="J6" i="5"/>
  <c r="N5" i="5"/>
  <c r="W18" i="7"/>
  <c r="Z18" i="7" s="1"/>
  <c r="X18" i="7"/>
  <c r="AA18" i="7" s="1"/>
  <c r="X7" i="7"/>
  <c r="AA7" i="7" s="1"/>
  <c r="W7" i="7"/>
  <c r="Z7" i="7" s="1"/>
  <c r="X9" i="7"/>
  <c r="AA9" i="7" s="1"/>
  <c r="W9" i="7"/>
  <c r="Z9" i="7" s="1"/>
  <c r="W16" i="7"/>
  <c r="Z16" i="7" s="1"/>
  <c r="X16" i="7"/>
  <c r="AA16" i="7" s="1"/>
  <c r="W12" i="7"/>
  <c r="Z12" i="7" s="1"/>
  <c r="X12" i="7"/>
  <c r="AA12" i="7" s="1"/>
  <c r="W19" i="7"/>
  <c r="Z19" i="7" s="1"/>
  <c r="X19" i="7"/>
  <c r="AA19" i="7" s="1"/>
  <c r="N18" i="5"/>
  <c r="O18" i="5" s="1"/>
  <c r="N14" i="5"/>
  <c r="O14" i="5" s="1"/>
  <c r="N6" i="5"/>
  <c r="O6" i="5" s="1"/>
  <c r="W11" i="7"/>
  <c r="Z11" i="7" s="1"/>
  <c r="X11" i="7"/>
  <c r="AA11" i="7" s="1"/>
  <c r="W6" i="7"/>
  <c r="Z6" i="7" s="1"/>
  <c r="X6" i="7"/>
  <c r="AA6" i="7" s="1"/>
  <c r="X5" i="7"/>
  <c r="AA5" i="7" s="1"/>
  <c r="W5" i="7"/>
  <c r="Z5" i="7" s="1"/>
  <c r="X8" i="7"/>
  <c r="AA8" i="7" s="1"/>
  <c r="W8" i="7"/>
  <c r="Z8" i="7" s="1"/>
  <c r="AA4" i="7"/>
  <c r="M10" i="5"/>
  <c r="L10" i="5"/>
  <c r="M18" i="5"/>
  <c r="L18" i="5"/>
  <c r="L6" i="5"/>
  <c r="M19" i="5"/>
  <c r="M15" i="5"/>
  <c r="M11" i="5"/>
  <c r="L11" i="5"/>
  <c r="M14" i="5"/>
  <c r="J19" i="5"/>
  <c r="L19" i="5" s="1"/>
  <c r="J15" i="5"/>
  <c r="L15" i="5" s="1"/>
  <c r="J11" i="5"/>
  <c r="J7" i="5"/>
  <c r="J20" i="5"/>
  <c r="L20" i="5" s="1"/>
  <c r="J16" i="5"/>
  <c r="J12" i="5"/>
  <c r="J8" i="5"/>
  <c r="L7" i="5"/>
  <c r="L5" i="5"/>
  <c r="L9" i="5"/>
  <c r="L21" i="5"/>
  <c r="L4" i="5"/>
  <c r="L12" i="5"/>
  <c r="L16" i="5"/>
  <c r="M4" i="2"/>
  <c r="V26" i="6"/>
  <c r="W26" i="6"/>
  <c r="X26" i="6"/>
  <c r="Y26" i="6"/>
  <c r="X23" i="6" a="1"/>
  <c r="X23" i="6" s="1"/>
  <c r="W23" i="6" a="1"/>
  <c r="W23" i="6" s="1"/>
  <c r="V23" i="6" a="1"/>
  <c r="V23" i="6" s="1"/>
  <c r="AF2" i="6"/>
  <c r="M13" i="5" l="1"/>
  <c r="O13" i="5"/>
  <c r="M8" i="5"/>
  <c r="O8" i="5"/>
  <c r="M20" i="5"/>
  <c r="O20" i="5"/>
  <c r="M5" i="5"/>
  <c r="O5" i="5"/>
  <c r="L8" i="5"/>
  <c r="L13" i="5"/>
  <c r="M6" i="5"/>
  <c r="M9" i="5"/>
  <c r="O9" i="5"/>
  <c r="M17" i="5"/>
  <c r="O17" i="5"/>
  <c r="M21" i="5"/>
  <c r="O21" i="5"/>
  <c r="M16" i="5"/>
  <c r="O16" i="5"/>
  <c r="I34" i="2"/>
  <c r="I30" i="2"/>
  <c r="Y23" i="6" a="1"/>
  <c r="Y23" i="6" s="1"/>
  <c r="Y24" i="6" s="1"/>
  <c r="V24" i="6"/>
  <c r="W24" i="6"/>
  <c r="X24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M30" i="5"/>
  <c r="G30" i="5"/>
  <c r="I30" i="5" s="1"/>
  <c r="L30" i="5" s="1"/>
  <c r="V28" i="5"/>
  <c r="Z28" i="2"/>
  <c r="U5" i="5" l="1"/>
  <c r="U13" i="5"/>
  <c r="U9" i="5"/>
  <c r="H30" i="5"/>
  <c r="J30" i="5" s="1"/>
  <c r="R5" i="5" l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W4" i="5"/>
  <c r="V4" i="5"/>
  <c r="U11" i="5"/>
  <c r="U8" i="5"/>
  <c r="U21" i="5"/>
  <c r="U6" i="5"/>
  <c r="U15" i="5"/>
  <c r="U10" i="5"/>
  <c r="U12" i="5"/>
  <c r="U14" i="5"/>
  <c r="U19" i="5"/>
  <c r="U16" i="5"/>
  <c r="U18" i="5"/>
  <c r="U7" i="5"/>
  <c r="U17" i="5"/>
  <c r="U20" i="5"/>
  <c r="S17" i="5" l="1"/>
  <c r="V17" i="5" s="1"/>
  <c r="T21" i="5"/>
  <c r="W21" i="5" s="1"/>
  <c r="S21" i="5"/>
  <c r="V21" i="5" s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O22" i="4" s="1"/>
  <c r="C23" i="4"/>
  <c r="C24" i="4"/>
  <c r="C25" i="4"/>
  <c r="C26" i="4"/>
  <c r="C27" i="4"/>
  <c r="E27" i="4" s="1"/>
  <c r="C4" i="4"/>
  <c r="AI25" i="4" l="1"/>
  <c r="AA25" i="4"/>
  <c r="S25" i="4"/>
  <c r="K25" i="4"/>
  <c r="G25" i="4"/>
  <c r="E25" i="4"/>
  <c r="AC25" i="4"/>
  <c r="U25" i="4"/>
  <c r="M25" i="4"/>
  <c r="AK25" i="4"/>
  <c r="AE25" i="4"/>
  <c r="W25" i="4"/>
  <c r="O25" i="4"/>
  <c r="AM25" i="4"/>
  <c r="I25" i="4"/>
  <c r="AG25" i="4"/>
  <c r="Q25" i="4"/>
  <c r="Y25" i="4"/>
  <c r="AI17" i="4"/>
  <c r="AA17" i="4"/>
  <c r="S17" i="4"/>
  <c r="K17" i="4"/>
  <c r="G17" i="4"/>
  <c r="AM17" i="4"/>
  <c r="AK17" i="4"/>
  <c r="AC17" i="4"/>
  <c r="U17" i="4"/>
  <c r="M17" i="4"/>
  <c r="AE17" i="4"/>
  <c r="W17" i="4"/>
  <c r="O17" i="4"/>
  <c r="Y17" i="4"/>
  <c r="AG17" i="4"/>
  <c r="I17" i="4"/>
  <c r="Q17" i="4"/>
  <c r="AM20" i="4"/>
  <c r="AG20" i="4"/>
  <c r="Y20" i="4"/>
  <c r="Q20" i="4"/>
  <c r="I20" i="4"/>
  <c r="E20" i="4"/>
  <c r="AI20" i="4"/>
  <c r="AA20" i="4"/>
  <c r="S20" i="4"/>
  <c r="K20" i="4"/>
  <c r="AK20" i="4"/>
  <c r="AC20" i="4"/>
  <c r="U20" i="4"/>
  <c r="M20" i="4"/>
  <c r="W20" i="4"/>
  <c r="G20" i="4"/>
  <c r="O20" i="4"/>
  <c r="AE20" i="4"/>
  <c r="AK27" i="4"/>
  <c r="AE27" i="4"/>
  <c r="W27" i="4"/>
  <c r="O27" i="4"/>
  <c r="AM27" i="4"/>
  <c r="AG27" i="4"/>
  <c r="Y27" i="4"/>
  <c r="Q27" i="4"/>
  <c r="I27" i="4"/>
  <c r="AI27" i="4"/>
  <c r="AA27" i="4"/>
  <c r="S27" i="4"/>
  <c r="K27" i="4"/>
  <c r="AC27" i="4"/>
  <c r="U27" i="4"/>
  <c r="M27" i="4"/>
  <c r="AE23" i="4"/>
  <c r="W23" i="4"/>
  <c r="O23" i="4"/>
  <c r="AM23" i="4"/>
  <c r="AM29" i="4" s="1"/>
  <c r="AG23" i="4"/>
  <c r="Y23" i="4"/>
  <c r="Q23" i="4"/>
  <c r="I23" i="4"/>
  <c r="I29" i="4" s="1"/>
  <c r="AK23" i="4"/>
  <c r="AI23" i="4"/>
  <c r="AA23" i="4"/>
  <c r="S23" i="4"/>
  <c r="S29" i="4" s="1"/>
  <c r="K23" i="4"/>
  <c r="G23" i="4"/>
  <c r="U23" i="4"/>
  <c r="M23" i="4"/>
  <c r="AC23" i="4"/>
  <c r="AE19" i="4"/>
  <c r="W19" i="4"/>
  <c r="O19" i="4"/>
  <c r="AM19" i="4"/>
  <c r="AG19" i="4"/>
  <c r="Y19" i="4"/>
  <c r="Q19" i="4"/>
  <c r="I19" i="4"/>
  <c r="AI19" i="4"/>
  <c r="AA19" i="4"/>
  <c r="S19" i="4"/>
  <c r="K19" i="4"/>
  <c r="G19" i="4"/>
  <c r="M19" i="4"/>
  <c r="AC19" i="4"/>
  <c r="U19" i="4"/>
  <c r="E19" i="4"/>
  <c r="AK19" i="4"/>
  <c r="AI21" i="4"/>
  <c r="AA21" i="4"/>
  <c r="S21" i="4"/>
  <c r="K21" i="4"/>
  <c r="G21" i="4"/>
  <c r="AK21" i="4"/>
  <c r="AC21" i="4"/>
  <c r="U21" i="4"/>
  <c r="M21" i="4"/>
  <c r="E21" i="4"/>
  <c r="AE21" i="4"/>
  <c r="W21" i="4"/>
  <c r="O21" i="4"/>
  <c r="AM21" i="4"/>
  <c r="AG21" i="4"/>
  <c r="Q21" i="4"/>
  <c r="I21" i="4"/>
  <c r="Y21" i="4"/>
  <c r="AM24" i="4"/>
  <c r="AG24" i="4"/>
  <c r="Y24" i="4"/>
  <c r="Q24" i="4"/>
  <c r="I24" i="4"/>
  <c r="AI24" i="4"/>
  <c r="AA24" i="4"/>
  <c r="S24" i="4"/>
  <c r="K24" i="4"/>
  <c r="AK24" i="4"/>
  <c r="AC24" i="4"/>
  <c r="U24" i="4"/>
  <c r="M24" i="4"/>
  <c r="E24" i="4"/>
  <c r="O24" i="4"/>
  <c r="G24" i="4"/>
  <c r="W24" i="4"/>
  <c r="AE24" i="4"/>
  <c r="AC26" i="4"/>
  <c r="U26" i="4"/>
  <c r="M26" i="4"/>
  <c r="AK26" i="4"/>
  <c r="AE26" i="4"/>
  <c r="W26" i="4"/>
  <c r="O26" i="4"/>
  <c r="G26" i="4"/>
  <c r="E26" i="4"/>
  <c r="AM26" i="4"/>
  <c r="AG26" i="4"/>
  <c r="Y26" i="4"/>
  <c r="Q26" i="4"/>
  <c r="I26" i="4"/>
  <c r="AI26" i="4"/>
  <c r="AA26" i="4"/>
  <c r="K26" i="4"/>
  <c r="S26" i="4"/>
  <c r="AK22" i="4"/>
  <c r="AC22" i="4"/>
  <c r="U22" i="4"/>
  <c r="U30" i="4" s="1"/>
  <c r="M22" i="4"/>
  <c r="AE22" i="4"/>
  <c r="W22" i="4"/>
  <c r="G22" i="4"/>
  <c r="AM22" i="4"/>
  <c r="AG22" i="4"/>
  <c r="Y22" i="4"/>
  <c r="Q22" i="4"/>
  <c r="Q30" i="4" s="1"/>
  <c r="I22" i="4"/>
  <c r="E22" i="4"/>
  <c r="AA22" i="4"/>
  <c r="K22" i="4"/>
  <c r="K30" i="4" s="1"/>
  <c r="S22" i="4"/>
  <c r="AI22" i="4"/>
  <c r="AK18" i="4"/>
  <c r="AC18" i="4"/>
  <c r="U18" i="4"/>
  <c r="M18" i="4"/>
  <c r="AE18" i="4"/>
  <c r="W18" i="4"/>
  <c r="O18" i="4"/>
  <c r="G18" i="4"/>
  <c r="E18" i="4"/>
  <c r="AM18" i="4"/>
  <c r="AG18" i="4"/>
  <c r="Y18" i="4"/>
  <c r="Q18" i="4"/>
  <c r="I18" i="4"/>
  <c r="S18" i="4"/>
  <c r="AA18" i="4"/>
  <c r="AI18" i="4"/>
  <c r="K18" i="4"/>
  <c r="T17" i="5"/>
  <c r="W17" i="5" s="1"/>
  <c r="S18" i="5"/>
  <c r="V18" i="5" s="1"/>
  <c r="T18" i="5"/>
  <c r="W18" i="5" s="1"/>
  <c r="S14" i="5"/>
  <c r="V14" i="5" s="1"/>
  <c r="T14" i="5"/>
  <c r="W14" i="5" s="1"/>
  <c r="S10" i="5"/>
  <c r="V10" i="5" s="1"/>
  <c r="T10" i="5"/>
  <c r="W10" i="5" s="1"/>
  <c r="S6" i="5"/>
  <c r="V6" i="5" s="1"/>
  <c r="T6" i="5"/>
  <c r="W6" i="5" s="1"/>
  <c r="T9" i="5"/>
  <c r="W9" i="5" s="1"/>
  <c r="S9" i="5"/>
  <c r="V9" i="5" s="1"/>
  <c r="S20" i="5"/>
  <c r="V20" i="5" s="1"/>
  <c r="T20" i="5"/>
  <c r="W20" i="5" s="1"/>
  <c r="S16" i="5"/>
  <c r="V16" i="5" s="1"/>
  <c r="T16" i="5"/>
  <c r="W16" i="5" s="1"/>
  <c r="S12" i="5"/>
  <c r="V12" i="5" s="1"/>
  <c r="T12" i="5"/>
  <c r="W12" i="5" s="1"/>
  <c r="T13" i="5"/>
  <c r="W13" i="5" s="1"/>
  <c r="S13" i="5"/>
  <c r="V13" i="5" s="1"/>
  <c r="T19" i="5"/>
  <c r="W19" i="5" s="1"/>
  <c r="S19" i="5"/>
  <c r="V19" i="5" s="1"/>
  <c r="T8" i="5"/>
  <c r="W8" i="5" s="1"/>
  <c r="S8" i="5"/>
  <c r="V8" i="5" s="1"/>
  <c r="T15" i="5"/>
  <c r="W15" i="5" s="1"/>
  <c r="S15" i="5"/>
  <c r="V15" i="5" s="1"/>
  <c r="S11" i="5"/>
  <c r="V11" i="5" s="1"/>
  <c r="T11" i="5"/>
  <c r="W11" i="5" s="1"/>
  <c r="T7" i="5"/>
  <c r="W7" i="5" s="1"/>
  <c r="S7" i="5"/>
  <c r="V7" i="5" s="1"/>
  <c r="T5" i="5"/>
  <c r="W5" i="5" s="1"/>
  <c r="S5" i="5"/>
  <c r="V5" i="5" s="1"/>
  <c r="AA30" i="4" l="1"/>
  <c r="Y30" i="4"/>
  <c r="W30" i="4"/>
  <c r="AC30" i="4"/>
  <c r="Q31" i="4"/>
  <c r="U31" i="4"/>
  <c r="K31" i="4"/>
  <c r="AK33" i="4"/>
  <c r="M33" i="4"/>
  <c r="U29" i="4"/>
  <c r="W31" i="4"/>
  <c r="Y33" i="4"/>
  <c r="W33" i="4"/>
  <c r="W32" i="4"/>
  <c r="AK32" i="4"/>
  <c r="AI32" i="4"/>
  <c r="Y32" i="4"/>
  <c r="AI30" i="4"/>
  <c r="E30" i="4"/>
  <c r="AG30" i="4"/>
  <c r="AE30" i="4"/>
  <c r="AK30" i="4"/>
  <c r="AG31" i="4"/>
  <c r="AE31" i="4"/>
  <c r="AC31" i="4"/>
  <c r="S31" i="4"/>
  <c r="G33" i="4"/>
  <c r="AI33" i="4"/>
  <c r="AG33" i="4"/>
  <c r="AE33" i="4"/>
  <c r="AA29" i="4"/>
  <c r="Q29" i="4"/>
  <c r="O29" i="4"/>
  <c r="AE32" i="4"/>
  <c r="M32" i="4"/>
  <c r="K32" i="4"/>
  <c r="AG32" i="4"/>
  <c r="S30" i="4"/>
  <c r="I30" i="4"/>
  <c r="AM30" i="4"/>
  <c r="M30" i="4"/>
  <c r="Y31" i="4"/>
  <c r="AM31" i="4"/>
  <c r="E31" i="4"/>
  <c r="AK31" i="4"/>
  <c r="AA31" i="4"/>
  <c r="U33" i="4"/>
  <c r="K33" i="4"/>
  <c r="I33" i="4"/>
  <c r="AM33" i="4"/>
  <c r="AC29" i="4"/>
  <c r="G29" i="4"/>
  <c r="AI29" i="4"/>
  <c r="Y29" i="4"/>
  <c r="W29" i="4"/>
  <c r="O32" i="4"/>
  <c r="U32" i="4"/>
  <c r="S32" i="4"/>
  <c r="I32" i="4"/>
  <c r="AM32" i="4"/>
  <c r="AA33" i="4"/>
  <c r="G30" i="4"/>
  <c r="I31" i="4"/>
  <c r="O31" i="4"/>
  <c r="M31" i="4"/>
  <c r="G31" i="4"/>
  <c r="AI31" i="4"/>
  <c r="AC33" i="4"/>
  <c r="S33" i="4"/>
  <c r="Q33" i="4"/>
  <c r="O33" i="4"/>
  <c r="M29" i="4"/>
  <c r="K29" i="4"/>
  <c r="AK29" i="4"/>
  <c r="AG29" i="4"/>
  <c r="AE29" i="4"/>
  <c r="G32" i="4"/>
  <c r="AC32" i="4"/>
  <c r="AA32" i="4"/>
  <c r="Q32" i="4"/>
  <c r="O30" i="4"/>
  <c r="S28" i="4"/>
  <c r="AM28" i="4"/>
  <c r="E33" i="4"/>
  <c r="U28" i="4"/>
  <c r="AA28" i="4"/>
  <c r="Q28" i="4"/>
  <c r="O28" i="4"/>
  <c r="AC28" i="4"/>
  <c r="G28" i="4"/>
  <c r="AI28" i="4"/>
  <c r="Y28" i="4"/>
  <c r="W28" i="4"/>
  <c r="E32" i="4"/>
  <c r="I28" i="4"/>
  <c r="M28" i="4"/>
  <c r="K28" i="4"/>
  <c r="AK28" i="4"/>
  <c r="AG28" i="4"/>
  <c r="AE28" i="4"/>
  <c r="L30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AN29" i="4" l="1"/>
  <c r="G36" i="4" s="1"/>
  <c r="AN33" i="4"/>
  <c r="O40" i="4" s="1"/>
  <c r="AI38" i="4"/>
  <c r="AN31" i="4"/>
  <c r="M38" i="4" s="1"/>
  <c r="AM37" i="4"/>
  <c r="AC38" i="4"/>
  <c r="AA38" i="4"/>
  <c r="AN30" i="4"/>
  <c r="M37" i="4" s="1"/>
  <c r="E37" i="4"/>
  <c r="S38" i="4"/>
  <c r="AN32" i="4"/>
  <c r="G39" i="4" s="1"/>
  <c r="AC39" i="4"/>
  <c r="I39" i="4"/>
  <c r="U40" i="4"/>
  <c r="M39" i="4"/>
  <c r="AE38" i="4"/>
  <c r="K30" i="2"/>
  <c r="N21" i="2"/>
  <c r="M21" i="2" s="1"/>
  <c r="N20" i="2"/>
  <c r="M20" i="2" s="1"/>
  <c r="N19" i="2"/>
  <c r="M19" i="2" s="1"/>
  <c r="N18" i="2"/>
  <c r="M18" i="2" s="1"/>
  <c r="N17" i="2"/>
  <c r="M17" i="2" s="1"/>
  <c r="N16" i="2"/>
  <c r="M16" i="2" s="1"/>
  <c r="N15" i="2"/>
  <c r="M15" i="2" s="1"/>
  <c r="N14" i="2"/>
  <c r="M14" i="2" s="1"/>
  <c r="N13" i="2"/>
  <c r="M13" i="2" s="1"/>
  <c r="N12" i="2"/>
  <c r="M12" i="2" s="1"/>
  <c r="N11" i="2"/>
  <c r="M11" i="2" s="1"/>
  <c r="N10" i="2"/>
  <c r="M10" i="2" s="1"/>
  <c r="N9" i="2"/>
  <c r="M9" i="2" s="1"/>
  <c r="N8" i="2"/>
  <c r="M8" i="2" s="1"/>
  <c r="N7" i="2"/>
  <c r="M7" i="2" s="1"/>
  <c r="N6" i="2"/>
  <c r="M6" i="2" s="1"/>
  <c r="N5" i="2"/>
  <c r="M5" i="2" s="1"/>
  <c r="AI40" i="4" l="1"/>
  <c r="G38" i="4"/>
  <c r="W40" i="4"/>
  <c r="S40" i="4"/>
  <c r="E38" i="4"/>
  <c r="Y40" i="4"/>
  <c r="W38" i="4"/>
  <c r="AK37" i="4"/>
  <c r="Y38" i="4"/>
  <c r="AG40" i="4"/>
  <c r="O39" i="4"/>
  <c r="I40" i="4"/>
  <c r="W36" i="4"/>
  <c r="AK36" i="4"/>
  <c r="AI36" i="4"/>
  <c r="AM40" i="4"/>
  <c r="AA40" i="4"/>
  <c r="O37" i="4"/>
  <c r="AE40" i="4"/>
  <c r="AG37" i="4"/>
  <c r="I37" i="4"/>
  <c r="W39" i="4"/>
  <c r="AC40" i="4"/>
  <c r="S37" i="4"/>
  <c r="AK39" i="4"/>
  <c r="S36" i="4"/>
  <c r="I36" i="4"/>
  <c r="AM36" i="4"/>
  <c r="U36" i="4"/>
  <c r="AG39" i="4"/>
  <c r="S39" i="4"/>
  <c r="AM38" i="4"/>
  <c r="K38" i="4"/>
  <c r="U38" i="4"/>
  <c r="Q38" i="4"/>
  <c r="AM39" i="4"/>
  <c r="AG36" i="4"/>
  <c r="U39" i="4"/>
  <c r="M40" i="4"/>
  <c r="AK40" i="4"/>
  <c r="AG38" i="4"/>
  <c r="Y36" i="4"/>
  <c r="K36" i="4"/>
  <c r="M36" i="4"/>
  <c r="AE36" i="4"/>
  <c r="AI37" i="4"/>
  <c r="Y37" i="4"/>
  <c r="U37" i="4"/>
  <c r="AA37" i="4"/>
  <c r="W37" i="4"/>
  <c r="K37" i="4"/>
  <c r="Q37" i="4"/>
  <c r="AC37" i="4"/>
  <c r="Y39" i="4"/>
  <c r="Q36" i="4"/>
  <c r="AI39" i="4"/>
  <c r="AA36" i="4"/>
  <c r="AC36" i="4"/>
  <c r="Q40" i="4"/>
  <c r="E39" i="4"/>
  <c r="AK38" i="4"/>
  <c r="Q39" i="4"/>
  <c r="G40" i="4"/>
  <c r="G37" i="4"/>
  <c r="AE37" i="4"/>
  <c r="K39" i="4"/>
  <c r="K40" i="4"/>
  <c r="I38" i="4"/>
  <c r="AA39" i="4"/>
  <c r="O36" i="4"/>
  <c r="O38" i="4"/>
  <c r="E40" i="4"/>
  <c r="E61" i="4" s="1" a="1"/>
  <c r="E61" i="4" s="1"/>
  <c r="AE39" i="4"/>
  <c r="E36" i="4"/>
  <c r="O6" i="2"/>
  <c r="L6" i="2"/>
  <c r="O10" i="2"/>
  <c r="L10" i="2"/>
  <c r="O12" i="2"/>
  <c r="L12" i="2"/>
  <c r="O14" i="2"/>
  <c r="L14" i="2"/>
  <c r="O16" i="2"/>
  <c r="L16" i="2"/>
  <c r="O18" i="2"/>
  <c r="L18" i="2"/>
  <c r="O20" i="2"/>
  <c r="L20" i="2"/>
  <c r="L5" i="2"/>
  <c r="O7" i="2"/>
  <c r="L7" i="2"/>
  <c r="O8" i="2"/>
  <c r="L8" i="2"/>
  <c r="O9" i="2"/>
  <c r="L9" i="2"/>
  <c r="O11" i="2"/>
  <c r="L11" i="2"/>
  <c r="O13" i="2"/>
  <c r="L13" i="2"/>
  <c r="O15" i="2"/>
  <c r="L15" i="2"/>
  <c r="O17" i="2"/>
  <c r="L17" i="2"/>
  <c r="O19" i="2"/>
  <c r="L19" i="2"/>
  <c r="O21" i="2"/>
  <c r="L21" i="2"/>
  <c r="F61" i="4" l="1"/>
  <c r="F63" i="4" s="1"/>
  <c r="E69" i="4" s="1"/>
  <c r="E63" i="4"/>
  <c r="E57" i="4" a="1"/>
  <c r="E57" i="4" s="1"/>
  <c r="AN38" i="4"/>
  <c r="AN37" i="4"/>
  <c r="E60" i="4" a="1"/>
  <c r="E60" i="4" s="1"/>
  <c r="F57" i="4"/>
  <c r="E59" i="4" a="1"/>
  <c r="E59" i="4" s="1"/>
  <c r="E58" i="4" a="1"/>
  <c r="E58" i="4" s="1"/>
  <c r="E66" i="4" s="1"/>
  <c r="AN36" i="4"/>
  <c r="AN40" i="4"/>
  <c r="AN39" i="4"/>
  <c r="U8" i="2"/>
  <c r="U16" i="2"/>
  <c r="U14" i="2"/>
  <c r="U18" i="2"/>
  <c r="U9" i="2"/>
  <c r="U21" i="2"/>
  <c r="F59" i="4" l="1"/>
  <c r="F65" i="4" s="1"/>
  <c r="E71" i="4" s="1"/>
  <c r="E65" i="4"/>
  <c r="F60" i="4"/>
  <c r="F64" i="4" s="1"/>
  <c r="E70" i="4" s="1"/>
  <c r="E64" i="4"/>
  <c r="H69" i="4"/>
  <c r="G69" i="4"/>
  <c r="I69" i="4" s="1"/>
  <c r="F58" i="4"/>
  <c r="F66" i="4" s="1"/>
  <c r="E72" i="4" s="1"/>
  <c r="U6" i="2"/>
  <c r="U15" i="2"/>
  <c r="U12" i="2"/>
  <c r="U5" i="2"/>
  <c r="U11" i="2"/>
  <c r="U7" i="2"/>
  <c r="U13" i="2"/>
  <c r="U20" i="2"/>
  <c r="U19" i="2"/>
  <c r="U10" i="2"/>
  <c r="U17" i="2"/>
  <c r="H70" i="4" l="1"/>
  <c r="G70" i="4"/>
  <c r="I70" i="4" s="1"/>
  <c r="H72" i="4"/>
  <c r="G72" i="4"/>
  <c r="I72" i="4" s="1"/>
  <c r="H71" i="4"/>
  <c r="G71" i="4"/>
  <c r="I71" i="4" s="1"/>
  <c r="Z4" i="2"/>
  <c r="V9" i="2"/>
  <c r="V13" i="2"/>
  <c r="V6" i="2"/>
  <c r="V21" i="2"/>
  <c r="V7" i="2"/>
  <c r="V5" i="2"/>
  <c r="V11" i="2"/>
  <c r="V20" i="2"/>
  <c r="V8" i="2"/>
  <c r="V10" i="2"/>
  <c r="V18" i="2"/>
  <c r="V14" i="2"/>
  <c r="V16" i="2"/>
  <c r="V19" i="2"/>
  <c r="V12" i="2"/>
  <c r="V17" i="2"/>
  <c r="V15" i="2"/>
  <c r="AA4" i="2" l="1"/>
  <c r="W19" i="2"/>
  <c r="Z19" i="2" s="1"/>
  <c r="X19" i="2"/>
  <c r="AA19" i="2" s="1"/>
  <c r="X15" i="2"/>
  <c r="AA15" i="2" s="1"/>
  <c r="W15" i="2"/>
  <c r="Z15" i="2" s="1"/>
  <c r="W8" i="2"/>
  <c r="Z8" i="2" s="1"/>
  <c r="X8" i="2"/>
  <c r="AA8" i="2" s="1"/>
  <c r="X7" i="2"/>
  <c r="AA7" i="2" s="1"/>
  <c r="W7" i="2"/>
  <c r="Z7" i="2" s="1"/>
  <c r="X9" i="2"/>
  <c r="AA9" i="2" s="1"/>
  <c r="W9" i="2"/>
  <c r="Z9" i="2" s="1"/>
  <c r="X5" i="2"/>
  <c r="AA5" i="2" s="1"/>
  <c r="W5" i="2"/>
  <c r="Z5" i="2" s="1"/>
  <c r="X16" i="2"/>
  <c r="AA16" i="2" s="1"/>
  <c r="W16" i="2"/>
  <c r="Z16" i="2" s="1"/>
  <c r="W14" i="2"/>
  <c r="Z14" i="2" s="1"/>
  <c r="X14" i="2"/>
  <c r="AA14" i="2" s="1"/>
  <c r="W20" i="2"/>
  <c r="Z20" i="2" s="1"/>
  <c r="X20" i="2"/>
  <c r="AA20" i="2" s="1"/>
  <c r="W21" i="2"/>
  <c r="Z21" i="2" s="1"/>
  <c r="X21" i="2"/>
  <c r="AA21" i="2" s="1"/>
  <c r="X10" i="2"/>
  <c r="AA10" i="2" s="1"/>
  <c r="W10" i="2"/>
  <c r="Z10" i="2" s="1"/>
  <c r="X13" i="2"/>
  <c r="AA13" i="2" s="1"/>
  <c r="W13" i="2"/>
  <c r="Z13" i="2" s="1"/>
  <c r="X17" i="2"/>
  <c r="AA17" i="2" s="1"/>
  <c r="W17" i="2"/>
  <c r="Z17" i="2" s="1"/>
  <c r="X12" i="2"/>
  <c r="AA12" i="2" s="1"/>
  <c r="W12" i="2"/>
  <c r="Z12" i="2" s="1"/>
  <c r="W18" i="2"/>
  <c r="Z18" i="2" s="1"/>
  <c r="X18" i="2"/>
  <c r="AA18" i="2" s="1"/>
  <c r="X11" i="2"/>
  <c r="AA11" i="2" s="1"/>
  <c r="W11" i="2"/>
  <c r="Z11" i="2" s="1"/>
  <c r="X6" i="2"/>
  <c r="AA6" i="2" s="1"/>
  <c r="W6" i="2"/>
  <c r="Z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2C9AA5F8-AA10-4D97-9BFA-093B8944B152}">
      <text>
        <r>
          <rPr>
            <b/>
            <sz val="9"/>
            <color indexed="81"/>
            <rFont val="Tahoma"/>
            <family val="2"/>
          </rPr>
          <t>produce hindcast predictions for the last ten years (2012-2021) based on the chosen model-averaging approach, and estimate the sample standard deviation from the sum of the squared errors of the log of the observed values minus the log of the predicted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9AE43819-BB67-4E93-A168-BA1643CC46E9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91DB9121-768A-4D89-A9C0-8717D86F86CB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F2EECF21-4B34-4B7C-8D7E-06C171BE3CCD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6BC3F3B-0CCD-4057-8F76-57B48DC34545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6D9376A-8CB0-4540-A1C1-D70A3BB332FE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Q3" authorId="0" shapeId="0" xr:uid="{58288318-0EBA-471E-9D15-157472BA81BC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88EF830A-197B-44B3-BFF4-D08EA2A789D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7E4F7ABF-055C-4015-8370-AD4DFA50EDC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E3" authorId="0" shapeId="0" xr:uid="{BA6BB39E-57B9-4094-9C5D-2879EE2994F3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E5B66E07-C55A-44B8-8C66-C51298870FE5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37F1FA0D-C501-415C-86CB-06145E6D104B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261D529-8794-481A-B5AE-EDC82443AC0F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F0E8F94-987C-404A-BBD4-D10F60C2D558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R3" authorId="0" shapeId="0" xr:uid="{E30C85DC-5E0B-4ECD-B73B-A64168517036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63377A3F-9C51-447D-BCFE-655786651B8B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W3" authorId="0" shapeId="0" xr:uid="{D41927DE-9D3C-461D-9EAF-0134C939B18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15568082-1FE7-4EF4-8378-131DAA3FA76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1" authorId="0" shapeId="0" xr:uid="{279CD23A-5EFF-41A2-974D-67C2DE8E2BDC}">
      <text>
        <r>
          <rPr>
            <b/>
            <sz val="9"/>
            <color indexed="81"/>
            <rFont val="Tahoma"/>
            <family val="2"/>
          </rPr>
          <t>References: Buckland et al. 1997; Dormann et al. 2008; derivation in Burnham and Anderson 2002:159-162; Norman et al. 2008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6805914-BE90-4BE6-956C-25195E2477D9}">
      <text>
        <r>
          <rPr>
            <b/>
            <sz val="9"/>
            <color indexed="81"/>
            <rFont val="Tahoma"/>
            <family val="2"/>
          </rPr>
          <t>https://stackoverflow.com/questions/14423325/confidence-intervals-for-predictions-from-logistic-regression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EFE04B09-C154-45B6-876A-2EEE5155D8BA}">
      <text>
        <r>
          <rPr>
            <b/>
            <sz val="9"/>
            <color indexed="81"/>
            <rFont val="Tahoma"/>
            <family val="2"/>
          </rPr>
          <t>https://stackoverflow.com/questions/38109501/how-does-predict-lm-compute-confidence-interval-and-prediction-interval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" authorId="0" shapeId="0" xr:uid="{F232629D-D7EB-47A2-9407-ED9BA53EC61A}">
      <text/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R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BAAA36DE-C07B-4CB5-AB0B-9E7F6C150C04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W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Z21" authorId="0" shapeId="0" xr:uid="{E4A61226-35C0-41CC-A651-838816E643BE}">
      <text>
        <r>
          <rPr>
            <b/>
            <sz val="9"/>
            <color indexed="81"/>
            <rFont val="Tahoma"/>
            <family val="2"/>
          </rPr>
          <t>(observed-expected)^2 and then summed for the last 5 years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2" authorId="0" shapeId="0" xr:uid="{7A204691-7C28-4099-AB2E-1CC987BFBBBF}">
      <text>
        <r>
          <rPr>
            <b/>
            <sz val="9"/>
            <color indexed="81"/>
            <rFont val="Tahoma"/>
            <family val="2"/>
          </rPr>
          <t>Example of the inverse variance function in R for one model (CPUE-only; f_model_one_step_ahead)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0" shapeId="0" xr:uid="{74933DBA-31B6-4DE2-B6DA-549C857FFD45}">
      <text>
        <r>
          <rPr>
            <b/>
            <sz val="9"/>
            <color indexed="81"/>
            <rFont val="Tahoma"/>
            <charset val="1"/>
          </rPr>
          <t xml:space="preserve">from other sheet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<sst xmlns="http://schemas.openxmlformats.org/spreadsheetml/2006/main" count="758" uniqueCount="192">
  <si>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</si>
  <si>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</si>
  <si>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</si>
  <si>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</si>
  <si>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</si>
  <si>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</si>
  <si>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</si>
  <si>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</si>
  <si>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</si>
  <si>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</si>
  <si>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</si>
  <si>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</si>
  <si>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</si>
  <si>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</si>
  <si>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</si>
  <si>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</si>
  <si>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</si>
  <si>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</si>
  <si>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</si>
  <si>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</si>
  <si>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</si>
  <si>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</si>
  <si>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</si>
  <si>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</si>
  <si>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</si>
  <si>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</si>
  <si>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</si>
  <si>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</si>
  <si>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</si>
  <si>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</si>
  <si>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</si>
  <si>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</si>
  <si>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</si>
  <si>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</si>
  <si>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</si>
  <si>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</si>
  <si>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</si>
  <si>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</si>
  <si>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</si>
  <si>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</si>
  <si>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</si>
  <si>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fit_LPI_80</t>
  </si>
  <si>
    <t>fit_UPI_80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</si>
  <si>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</si>
  <si>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</si>
  <si>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</si>
  <si>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</si>
  <si>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</si>
  <si>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</si>
  <si>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</si>
  <si>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</si>
  <si>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</si>
  <si>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</si>
  <si>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</si>
  <si>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</si>
  <si>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</si>
  <si>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</si>
  <si>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</si>
  <si>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</si>
  <si>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</si>
  <si>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</si>
  <si>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</si>
  <si>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</si>
  <si>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</si>
  <si>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</si>
  <si>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</si>
  <si>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</si>
  <si>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inv_var</t>
  </si>
  <si>
    <t>inv_var weighting</t>
  </si>
  <si>
    <t>Forecasts</t>
  </si>
  <si>
    <t>Difference squared (observed - expected)^2</t>
  </si>
  <si>
    <t>Year</t>
  </si>
  <si>
    <t>Observed (True) Run Size</t>
  </si>
  <si>
    <t>millions</t>
  </si>
  <si>
    <t>log(millions)</t>
  </si>
  <si>
    <t>CPUE-only</t>
  </si>
  <si>
    <t>equal weighting</t>
  </si>
  <si>
    <t>SE</t>
  </si>
  <si>
    <t>Based on…</t>
  </si>
  <si>
    <t>R2</t>
  </si>
  <si>
    <t>AdjR2</t>
  </si>
  <si>
    <t>se_y_pred</t>
  </si>
  <si>
    <t>lwr</t>
  </si>
  <si>
    <t>upper</t>
  </si>
  <si>
    <t>z value</t>
  </si>
  <si>
    <t>SEAKCatch</t>
  </si>
  <si>
    <t>ISTI20_MJJ</t>
  </si>
  <si>
    <t>Chatham_SST_MJJ</t>
  </si>
  <si>
    <t>Chatham_SST_May</t>
  </si>
  <si>
    <t>Chatham_SST_AMJJ</t>
  </si>
  <si>
    <t>Chatham_SST_AMJ</t>
  </si>
  <si>
    <t>Icy_Strait_SST_MJJ</t>
  </si>
  <si>
    <t>Icy_Strait_SST_May</t>
  </si>
  <si>
    <t>Icy_Strait_SST_AMJJ</t>
  </si>
  <si>
    <t>Icy_Strait_SST_AMJ</t>
  </si>
  <si>
    <t>NSEAK_SST_MJJ</t>
  </si>
  <si>
    <t>NSEAK_SST_May</t>
  </si>
  <si>
    <t>NSEAK_SST_AMJJ</t>
  </si>
  <si>
    <t>NSEAK_SST_AMJ</t>
  </si>
  <si>
    <t>SEAK_SST_MJJ</t>
  </si>
  <si>
    <t>SEAK_SST_May</t>
  </si>
  <si>
    <t>SEAK_SST_AMJJ</t>
  </si>
  <si>
    <t>SEAK_SST_AMJ</t>
  </si>
  <si>
    <t>CPUEcal</t>
  </si>
  <si>
    <t>index</t>
  </si>
  <si>
    <t>weight_values</t>
  </si>
  <si>
    <t>pink_cal_pool</t>
  </si>
  <si>
    <t>SEAKcatch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</si>
  <si>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</si>
  <si>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</si>
  <si>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</si>
  <si>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</si>
  <si>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</si>
  <si>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</si>
  <si>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</si>
  <si>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</si>
  <si>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</si>
  <si>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</si>
  <si>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</si>
  <si>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</si>
  <si>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</si>
  <si>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</si>
  <si>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</si>
  <si>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</si>
  <si>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</si>
  <si>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</si>
  <si>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</si>
  <si>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</si>
  <si>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</si>
  <si>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</si>
  <si>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</si>
  <si>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</si>
  <si>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weighted equally based on Buckland et al. 1997</t>
  </si>
  <si>
    <t>weighted equally based on one step ahead inverse-variance (Buckland et al. 1997)</t>
  </si>
  <si>
    <t>weighted equally based hindcasts</t>
  </si>
  <si>
    <t>Example with CPUE only model</t>
  </si>
  <si>
    <t xml:space="preserve">step3 </t>
  </si>
  <si>
    <t>step3</t>
  </si>
  <si>
    <t>Model m1</t>
  </si>
  <si>
    <t>Model m2</t>
  </si>
  <si>
    <t>Model m3</t>
  </si>
  <si>
    <t>Model m4</t>
  </si>
  <si>
    <t>Model m5</t>
  </si>
  <si>
    <t>Model m6</t>
  </si>
  <si>
    <t>Model m7</t>
  </si>
  <si>
    <t>Model m8</t>
  </si>
  <si>
    <t>Model m9</t>
  </si>
  <si>
    <t>Model m10</t>
  </si>
  <si>
    <t>Model m11</t>
  </si>
  <si>
    <t>Model m12</t>
  </si>
  <si>
    <t>Model m13</t>
  </si>
  <si>
    <t>Model m14</t>
  </si>
  <si>
    <t>Model m15</t>
  </si>
  <si>
    <t>Model m16</t>
  </si>
  <si>
    <t>Model m17</t>
  </si>
  <si>
    <t>Model m18</t>
  </si>
  <si>
    <t>inverse-variance (2020 - 2016) =</t>
  </si>
  <si>
    <t>inverse-variance (2021-2017) =</t>
  </si>
  <si>
    <t>inverse-variance (2019 - 2015) =</t>
  </si>
  <si>
    <t>inverse-variance (2018 - 2014) =</t>
  </si>
  <si>
    <t>inverse-variance (2017 - 2013) =</t>
  </si>
  <si>
    <t>2021 -2017</t>
  </si>
  <si>
    <t>2020 - 2016</t>
  </si>
  <si>
    <t>2019 - 2015</t>
  </si>
  <si>
    <t>2018 -2014</t>
  </si>
  <si>
    <t>2017 -2013</t>
  </si>
  <si>
    <t>sum</t>
  </si>
  <si>
    <t>hincasts</t>
  </si>
  <si>
    <t>MAPE</t>
  </si>
  <si>
    <t>model forecasts</t>
  </si>
  <si>
    <t>weighted to sum to one (inverse-variance weighting)</t>
  </si>
  <si>
    <t>inverse variance MAPE weighted</t>
  </si>
  <si>
    <t>CPUE +ISTI model</t>
  </si>
  <si>
    <t>Forecasts:</t>
  </si>
  <si>
    <t>non-bias corrected forecast:</t>
  </si>
  <si>
    <t>equally-weighted</t>
  </si>
  <si>
    <t>millions of fish</t>
  </si>
  <si>
    <t>natural log</t>
  </si>
  <si>
    <t>Harvest</t>
  </si>
  <si>
    <t>FYear</t>
  </si>
  <si>
    <t>forecast year</t>
  </si>
  <si>
    <t>---</t>
  </si>
  <si>
    <t>Forecast</t>
  </si>
  <si>
    <t>Harvest (observed)</t>
  </si>
  <si>
    <t>Forecast performance</t>
  </si>
  <si>
    <t>Absolute deviation</t>
  </si>
  <si>
    <t>Absolute % deviation</t>
  </si>
  <si>
    <t>intercept</t>
  </si>
  <si>
    <t>ISTI</t>
  </si>
  <si>
    <t>forecast</t>
  </si>
  <si>
    <t>JYear</t>
  </si>
  <si>
    <t>bias-corrected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</si>
</sst>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_(* #,##0_);_(* \(#,##0\);_(* &quot;-&quot;??_);_(@_)"/>
    <numFmt numFmtId="167" formatCode="0.00000"/>
    <numFmt numFmtId="168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9C0006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rgb="FF00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theme="9" tint="0.79998168889431442"/>
        <bgColor rgb="FFFFC7CE"/>
      </patternFill>
    </fill>
    <fill>
      <patternFill patternType="solid">
        <fgColor theme="9" tint="0.79998168889431442"/>
        <bgColor rgb="FFE6B8B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rgb="FFFFC7CE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5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35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39" borderId="0" xfId="0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7" fontId="0" fillId="34" borderId="10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8" fontId="0" fillId="34" borderId="10" xfId="0" applyNumberFormat="1" applyFill="1" applyBorder="1" applyAlignment="1">
      <alignment horizontal="center" vertical="center"/>
    </xf>
    <xf numFmtId="168" fontId="0" fillId="34" borderId="0" xfId="0" applyNumberFormat="1" applyFill="1" applyBorder="1" applyAlignment="1">
      <alignment horizontal="center" vertical="center"/>
    </xf>
    <xf numFmtId="168" fontId="0" fillId="34" borderId="11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28" fillId="0" borderId="13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Continuous"/>
    </xf>
    <xf numFmtId="168" fontId="0" fillId="0" borderId="0" xfId="0" applyNumberFormat="1" applyAlignment="1">
      <alignment horizontal="center" vertical="center"/>
    </xf>
    <xf numFmtId="0" fontId="0" fillId="40" borderId="0" xfId="0" applyFill="1"/>
    <xf numFmtId="2" fontId="0" fillId="0" borderId="1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0" fontId="22" fillId="37" borderId="14" xfId="0" applyFont="1" applyFill="1" applyBorder="1" applyAlignment="1">
      <alignment horizontal="center"/>
    </xf>
    <xf numFmtId="166" fontId="22" fillId="37" borderId="16" xfId="0" applyNumberFormat="1" applyFont="1" applyFill="1" applyBorder="1" applyAlignment="1">
      <alignment horizontal="center"/>
    </xf>
    <xf numFmtId="3" fontId="0" fillId="38" borderId="16" xfId="0" applyNumberFormat="1" applyFill="1" applyBorder="1" applyAlignment="1">
      <alignment horizontal="center" wrapText="1"/>
    </xf>
    <xf numFmtId="166" fontId="0" fillId="38" borderId="16" xfId="0" applyNumberFormat="1" applyFill="1" applyBorder="1" applyAlignment="1">
      <alignment horizontal="center"/>
    </xf>
    <xf numFmtId="0" fontId="22" fillId="41" borderId="15" xfId="0" applyFont="1" applyFill="1" applyBorder="1" applyAlignment="1">
      <alignment horizontal="center"/>
    </xf>
    <xf numFmtId="166" fontId="22" fillId="41" borderId="17" xfId="0" applyNumberFormat="1" applyFont="1" applyFill="1" applyBorder="1" applyAlignment="1">
      <alignment horizontal="center"/>
    </xf>
    <xf numFmtId="2" fontId="21" fillId="0" borderId="0" xfId="0" applyNumberFormat="1" applyFont="1" applyAlignment="1">
      <alignment horizontal="center" vertical="center"/>
    </xf>
    <xf numFmtId="2" fontId="22" fillId="36" borderId="0" xfId="0" applyNumberFormat="1" applyFont="1" applyFill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38" borderId="10" xfId="0" applyNumberFormat="1" applyFill="1" applyBorder="1" applyAlignment="1">
      <alignment horizontal="center"/>
    </xf>
    <xf numFmtId="2" fontId="0" fillId="38" borderId="0" xfId="0" applyNumberFormat="1" applyFill="1" applyBorder="1" applyAlignment="1">
      <alignment horizontal="center"/>
    </xf>
    <xf numFmtId="2" fontId="22" fillId="41" borderId="0" xfId="0" applyNumberFormat="1" applyFont="1" applyFill="1" applyBorder="1" applyAlignment="1">
      <alignment horizontal="center" vertical="center"/>
    </xf>
    <xf numFmtId="2" fontId="22" fillId="41" borderId="11" xfId="0" applyNumberFormat="1" applyFont="1" applyFill="1" applyBorder="1" applyAlignment="1">
      <alignment horizontal="center" vertical="center"/>
    </xf>
    <xf numFmtId="2" fontId="22" fillId="41" borderId="1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30" fillId="0" borderId="0" xfId="0" applyFont="1" applyAlignment="1">
      <alignment horizontal="left"/>
    </xf>
    <xf numFmtId="0" fontId="0" fillId="33" borderId="0" xfId="0" applyFill="1"/>
    <xf numFmtId="0" fontId="3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9" fontId="0" fillId="0" borderId="0" xfId="42" applyFont="1" applyAlignment="1">
      <alignment horizontal="center"/>
    </xf>
    <xf numFmtId="9" fontId="0" fillId="0" borderId="0" xfId="42" applyFont="1" applyAlignment="1">
      <alignment horizontal="center" vertical="center"/>
    </xf>
    <xf numFmtId="167" fontId="0" fillId="34" borderId="0" xfId="0" applyNumberFormat="1" applyFill="1" applyBorder="1" applyAlignment="1">
      <alignment horizontal="center" vertical="center"/>
    </xf>
    <xf numFmtId="167" fontId="0" fillId="34" borderId="11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46981627296591"/>
          <c:y val="7.9120370370370396E-2"/>
          <c:w val="0.78897462817147868"/>
          <c:h val="0.707576917468649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'inverse variance'!$K$56</c:f>
              <c:strCache>
                <c:ptCount val="1"/>
                <c:pt idx="0">
                  <c:v>Harvest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'inverse variance'!$D$63:$D$66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'inverse variance'!$K$63:$K$66</c:f>
              <c:numCache>
                <c:formatCode>0.00</c:formatCode>
                <c:ptCount val="4"/>
                <c:pt idx="0">
                  <c:v>8.0677000000000003</c:v>
                </c:pt>
                <c:pt idx="1">
                  <c:v>21.141928</c:v>
                </c:pt>
                <c:pt idx="2">
                  <c:v>8.062989</c:v>
                </c:pt>
                <c:pt idx="3">
                  <c:v>48.503718999999997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E7-4CAB-BA96-54195B47E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2329272"/>
        <c:axId val="852333208"/>
      </c:barChart>
      <c:lineChart>
        <c:grouping val="stacked"/>
        <c:varyColors val="0"/>
        <c:ser>
          <c:idx val="0"/>
          <c:order val="1"/>
          <c:tx>
            <c:v>CPUE mode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'inverse variance'!$D$63:$D$66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'inverse variance'!$J$63:$J$66</c:f>
              <c:numCache>
                <c:formatCode>0.00</c:formatCode>
                <c:ptCount val="4"/>
                <c:pt idx="0">
                  <c:v>15.131550483821382</c:v>
                </c:pt>
                <c:pt idx="1">
                  <c:v>16.115749118876987</c:v>
                </c:pt>
                <c:pt idx="2">
                  <c:v>9.7873428011230441</c:v>
                </c:pt>
                <c:pt idx="3">
                  <c:v>27.093341592410464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E7-4CAB-BA96-54195B47E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329272"/>
        <c:axId val="852333208"/>
      </c:lineChart>
      <c:catAx>
        <c:axId val="852329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145013123359582"/>
              <c:y val="0.87557815689705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2333208"/>
        <c:crosses val="autoZero"/>
        <c:auto val="1"/>
        <c:lblAlgn val="ctr"/>
        <c:lblOffset val="100"/>
        <c:noMultiLvlLbl val="0"/>
      </c:catAx>
      <c:valAx>
        <c:axId val="852333208"/>
        <c:scaling>
          <c:orientation val="minMax"/>
          <c:max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SEAK pink salmon harvest (millions)</a:t>
                </a:r>
              </a:p>
            </c:rich>
          </c:tx>
          <c:layout>
            <c:manualLayout>
              <c:xMode val="edge"/>
              <c:yMode val="edge"/>
              <c:x val="3.2763779527559052E-2"/>
              <c:y val="8.37499999999999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329272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14724562554680665"/>
          <c:y val="0.12297426363371246"/>
          <c:w val="0.20222265966754155"/>
          <c:h val="0.15517349986424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33</xdr:row>
      <xdr:rowOff>0</xdr:rowOff>
    </xdr:from>
    <xdr:ext cx="314325" cy="304800"/>
    <xdr:sp macro="" textlink="">
      <xdr:nvSpPr>
        <xdr:cNvPr id="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A926D1-5938-4599-BA8B-A0E459F13C7B}"/>
            </a:ext>
          </a:extLst>
        </xdr:cNvPr>
        <xdr:cNvSpPr/>
      </xdr:nvSpPr>
      <xdr:spPr>
        <a:xfrm>
          <a:off x="5886450" y="6858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190500</xdr:colOff>
      <xdr:row>30</xdr:row>
      <xdr:rowOff>0</xdr:rowOff>
    </xdr:from>
    <xdr:ext cx="2105025" cy="3905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FFBED93-DD02-4751-84DF-E2536D7ED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4900" y="5991225"/>
          <a:ext cx="210502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314325" cy="304800"/>
    <xdr:sp macro="" textlink="">
      <xdr:nvSpPr>
        <xdr:cNvPr id="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1E9E00-D5D1-4454-9552-745E093168B6}"/>
            </a:ext>
          </a:extLst>
        </xdr:cNvPr>
        <xdr:cNvSpPr/>
      </xdr:nvSpPr>
      <xdr:spPr>
        <a:xfrm>
          <a:off x="5648325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0</xdr:rowOff>
    </xdr:from>
    <xdr:ext cx="314325" cy="304800"/>
    <xdr:sp macro="" textlink="">
      <xdr:nvSpPr>
        <xdr:cNvPr id="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DB44B6-BC7B-4445-8712-D637A80C503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33</xdr:row>
      <xdr:rowOff>0</xdr:rowOff>
    </xdr:from>
    <xdr:ext cx="314325" cy="304800"/>
    <xdr:sp macro="" textlink="">
      <xdr:nvSpPr>
        <xdr:cNvPr id="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A2AC23-AB5D-45FC-8818-255C9FF761D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33</xdr:row>
      <xdr:rowOff>0</xdr:rowOff>
    </xdr:from>
    <xdr:ext cx="314325" cy="304800"/>
    <xdr:sp macro="" textlink="">
      <xdr:nvSpPr>
        <xdr:cNvPr id="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D1F85-6449-4180-BE65-FDC2E26D182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314325" cy="304800"/>
    <xdr:sp macro="" textlink="">
      <xdr:nvSpPr>
        <xdr:cNvPr id="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6A0D8B-EB1E-4A20-BA70-20F22C12677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33</xdr:row>
      <xdr:rowOff>0</xdr:rowOff>
    </xdr:from>
    <xdr:ext cx="314325" cy="304800"/>
    <xdr:sp macro="" textlink="">
      <xdr:nvSpPr>
        <xdr:cNvPr id="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6EB5E2-A5FA-4CA1-8CE4-5B0185A52E9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33</xdr:row>
      <xdr:rowOff>0</xdr:rowOff>
    </xdr:from>
    <xdr:ext cx="314325" cy="304800"/>
    <xdr:sp macro="" textlink="">
      <xdr:nvSpPr>
        <xdr:cNvPr id="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7FDA98-B223-43D1-88DF-931702D2D48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314325" cy="304800"/>
    <xdr:sp macro="" textlink="">
      <xdr:nvSpPr>
        <xdr:cNvPr id="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57511D-6D53-441B-A653-72DACDEE27C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33</xdr:row>
      <xdr:rowOff>0</xdr:rowOff>
    </xdr:from>
    <xdr:ext cx="314325" cy="304800"/>
    <xdr:sp macro="" textlink="">
      <xdr:nvSpPr>
        <xdr:cNvPr id="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A35782-99EB-4B87-9003-0580E854DAF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33</xdr:row>
      <xdr:rowOff>0</xdr:rowOff>
    </xdr:from>
    <xdr:ext cx="314325" cy="304800"/>
    <xdr:sp macro="" textlink="">
      <xdr:nvSpPr>
        <xdr:cNvPr id="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EDDCA8-77A4-40E0-9865-4D3C329ABBA1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33</xdr:row>
      <xdr:rowOff>0</xdr:rowOff>
    </xdr:from>
    <xdr:ext cx="314325" cy="304800"/>
    <xdr:sp macro="" textlink="">
      <xdr:nvSpPr>
        <xdr:cNvPr id="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BB8777-BD29-4780-AEC0-A8EEA6238D1E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33</xdr:row>
      <xdr:rowOff>0</xdr:rowOff>
    </xdr:from>
    <xdr:ext cx="314325" cy="304800"/>
    <xdr:sp macro="" textlink="">
      <xdr:nvSpPr>
        <xdr:cNvPr id="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4B3771-CA78-45A8-A2D8-55AD7CC4B14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33</xdr:row>
      <xdr:rowOff>0</xdr:rowOff>
    </xdr:from>
    <xdr:ext cx="314325" cy="304800"/>
    <xdr:sp macro="" textlink="">
      <xdr:nvSpPr>
        <xdr:cNvPr id="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B09466-9BCC-4D83-A2A8-C3136F0578B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33</xdr:row>
      <xdr:rowOff>0</xdr:rowOff>
    </xdr:from>
    <xdr:ext cx="314325" cy="304800"/>
    <xdr:sp macro="" textlink="">
      <xdr:nvSpPr>
        <xdr:cNvPr id="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EC9AB7-94D7-4DD4-A95A-4911DE8D39D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33</xdr:row>
      <xdr:rowOff>0</xdr:rowOff>
    </xdr:from>
    <xdr:ext cx="314325" cy="304800"/>
    <xdr:sp macro="" textlink="">
      <xdr:nvSpPr>
        <xdr:cNvPr id="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385F7F-10FD-4EE4-9579-2FED5C9BEB10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33</xdr:row>
      <xdr:rowOff>0</xdr:rowOff>
    </xdr:from>
    <xdr:ext cx="314325" cy="304800"/>
    <xdr:sp macro="" textlink="">
      <xdr:nvSpPr>
        <xdr:cNvPr id="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308364-5304-4146-A9F8-8C2A1CBCCD46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33</xdr:row>
      <xdr:rowOff>0</xdr:rowOff>
    </xdr:from>
    <xdr:ext cx="314325" cy="304800"/>
    <xdr:sp macro="" textlink="">
      <xdr:nvSpPr>
        <xdr:cNvPr id="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19530C-73A5-4C85-80D7-AEB70B23A5A7}"/>
            </a:ext>
          </a:extLst>
        </xdr:cNvPr>
        <xdr:cNvSpPr/>
      </xdr:nvSpPr>
      <xdr:spPr>
        <a:xfrm>
          <a:off x="651700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35</xdr:row>
      <xdr:rowOff>0</xdr:rowOff>
    </xdr:from>
    <xdr:ext cx="314325" cy="304800"/>
    <xdr:sp macro="" textlink="">
      <xdr:nvSpPr>
        <xdr:cNvPr id="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5D6D1B-E460-47B9-86BB-31DE39DA136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36</xdr:row>
      <xdr:rowOff>0</xdr:rowOff>
    </xdr:from>
    <xdr:ext cx="314325" cy="304800"/>
    <xdr:sp macro="" textlink="">
      <xdr:nvSpPr>
        <xdr:cNvPr id="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9C133B-466B-4160-BBE0-E00EDDA71EB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37</xdr:row>
      <xdr:rowOff>0</xdr:rowOff>
    </xdr:from>
    <xdr:ext cx="314325" cy="304800"/>
    <xdr:sp macro="" textlink="">
      <xdr:nvSpPr>
        <xdr:cNvPr id="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274494-B3BA-44BC-A8FE-EEBFFEED584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37</xdr:row>
      <xdr:rowOff>0</xdr:rowOff>
    </xdr:from>
    <xdr:ext cx="314325" cy="304800"/>
    <xdr:sp macro="" textlink="">
      <xdr:nvSpPr>
        <xdr:cNvPr id="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FA5879-231A-4FA2-A06D-D970B9D720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38</xdr:row>
      <xdr:rowOff>0</xdr:rowOff>
    </xdr:from>
    <xdr:ext cx="314325" cy="304800"/>
    <xdr:sp macro="" textlink="">
      <xdr:nvSpPr>
        <xdr:cNvPr id="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8E28F7-A1F8-40F3-B888-36F3FFD6F14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38</xdr:row>
      <xdr:rowOff>0</xdr:rowOff>
    </xdr:from>
    <xdr:ext cx="314325" cy="304800"/>
    <xdr:sp macro="" textlink="">
      <xdr:nvSpPr>
        <xdr:cNvPr id="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1FD9D2-99E5-434A-AE0A-1CAED1FBB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39</xdr:row>
      <xdr:rowOff>0</xdr:rowOff>
    </xdr:from>
    <xdr:ext cx="314325" cy="304800"/>
    <xdr:sp macro="" textlink="">
      <xdr:nvSpPr>
        <xdr:cNvPr id="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33A5D9-BAC9-42D0-B49E-FDD9F241ACE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33</xdr:row>
      <xdr:rowOff>0</xdr:rowOff>
    </xdr:from>
    <xdr:ext cx="314325" cy="304800"/>
    <xdr:sp macro="" textlink="">
      <xdr:nvSpPr>
        <xdr:cNvPr id="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D7812B-9A97-4B60-8F62-482752E401E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35</xdr:row>
      <xdr:rowOff>0</xdr:rowOff>
    </xdr:from>
    <xdr:ext cx="314325" cy="304800"/>
    <xdr:sp macro="" textlink="">
      <xdr:nvSpPr>
        <xdr:cNvPr id="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AD9001-29A0-4F64-A607-A074D1F87F9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36</xdr:row>
      <xdr:rowOff>0</xdr:rowOff>
    </xdr:from>
    <xdr:ext cx="314325" cy="304800"/>
    <xdr:sp macro="" textlink="">
      <xdr:nvSpPr>
        <xdr:cNvPr id="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9F6512-3EE9-4E4F-98EE-3B85CCBABDF5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37</xdr:row>
      <xdr:rowOff>0</xdr:rowOff>
    </xdr:from>
    <xdr:ext cx="314325" cy="304800"/>
    <xdr:sp macro="" textlink="">
      <xdr:nvSpPr>
        <xdr:cNvPr id="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E45A17-EB3F-4560-8188-E075F9C0B9B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37</xdr:row>
      <xdr:rowOff>0</xdr:rowOff>
    </xdr:from>
    <xdr:ext cx="314325" cy="304800"/>
    <xdr:sp macro="" textlink="">
      <xdr:nvSpPr>
        <xdr:cNvPr id="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18694E-EE4E-41D7-8417-26157C8E9D6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38</xdr:row>
      <xdr:rowOff>0</xdr:rowOff>
    </xdr:from>
    <xdr:ext cx="314325" cy="304800"/>
    <xdr:sp macro="" textlink="">
      <xdr:nvSpPr>
        <xdr:cNvPr id="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DD5A427-F40D-4901-8890-FBA2EDE63F9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38</xdr:row>
      <xdr:rowOff>0</xdr:rowOff>
    </xdr:from>
    <xdr:ext cx="314325" cy="304800"/>
    <xdr:sp macro="" textlink="">
      <xdr:nvSpPr>
        <xdr:cNvPr id="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7FE50A-B63F-4BDD-974A-A89D5410179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39</xdr:row>
      <xdr:rowOff>0</xdr:rowOff>
    </xdr:from>
    <xdr:ext cx="314325" cy="304800"/>
    <xdr:sp macro="" textlink="">
      <xdr:nvSpPr>
        <xdr:cNvPr id="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36C8FB-4522-4C01-BF7F-81915530C1A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0</xdr:rowOff>
    </xdr:from>
    <xdr:ext cx="314325" cy="304800"/>
    <xdr:sp macro="" textlink="">
      <xdr:nvSpPr>
        <xdr:cNvPr id="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6E86B3-24B7-4EFA-B535-18F3BCE7131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35</xdr:row>
      <xdr:rowOff>0</xdr:rowOff>
    </xdr:from>
    <xdr:ext cx="314325" cy="304800"/>
    <xdr:sp macro="" textlink="">
      <xdr:nvSpPr>
        <xdr:cNvPr id="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8029EF-5B74-404B-9C4A-10396051FC84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36</xdr:row>
      <xdr:rowOff>0</xdr:rowOff>
    </xdr:from>
    <xdr:ext cx="314325" cy="304800"/>
    <xdr:sp macro="" textlink="">
      <xdr:nvSpPr>
        <xdr:cNvPr id="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688698-E5E8-478A-A00B-6806CF3F028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0</xdr:rowOff>
    </xdr:from>
    <xdr:ext cx="314325" cy="304800"/>
    <xdr:sp macro="" textlink="">
      <xdr:nvSpPr>
        <xdr:cNvPr id="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EEA484-56A3-4B11-810F-9E7951AC8D5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0</xdr:rowOff>
    </xdr:from>
    <xdr:ext cx="314325" cy="304800"/>
    <xdr:sp macro="" textlink="">
      <xdr:nvSpPr>
        <xdr:cNvPr id="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73A52B-C60E-4595-A00C-7E094B16EE6F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314325" cy="304800"/>
    <xdr:sp macro="" textlink="">
      <xdr:nvSpPr>
        <xdr:cNvPr id="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54BA21-74F0-46AB-BD7A-3F0590415D7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314325" cy="304800"/>
    <xdr:sp macro="" textlink="">
      <xdr:nvSpPr>
        <xdr:cNvPr id="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725111-C91A-4421-91CB-11F2841350C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0</xdr:rowOff>
    </xdr:from>
    <xdr:ext cx="314325" cy="304800"/>
    <xdr:sp macro="" textlink="">
      <xdr:nvSpPr>
        <xdr:cNvPr id="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EAB245-136A-430C-A830-2ED3FD42606C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33</xdr:row>
      <xdr:rowOff>0</xdr:rowOff>
    </xdr:from>
    <xdr:ext cx="314325" cy="304800"/>
    <xdr:sp macro="" textlink="">
      <xdr:nvSpPr>
        <xdr:cNvPr id="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9C1AC7-74B1-4C3B-8135-298099C155B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35</xdr:row>
      <xdr:rowOff>0</xdr:rowOff>
    </xdr:from>
    <xdr:ext cx="314325" cy="304800"/>
    <xdr:sp macro="" textlink="">
      <xdr:nvSpPr>
        <xdr:cNvPr id="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B5CA38-96B2-42FA-A08F-113BDCC6E23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36</xdr:row>
      <xdr:rowOff>0</xdr:rowOff>
    </xdr:from>
    <xdr:ext cx="314325" cy="304800"/>
    <xdr:sp macro="" textlink="">
      <xdr:nvSpPr>
        <xdr:cNvPr id="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11988B-3F43-4AD7-B113-8923B3A48DC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37</xdr:row>
      <xdr:rowOff>0</xdr:rowOff>
    </xdr:from>
    <xdr:ext cx="314325" cy="304800"/>
    <xdr:sp macro="" textlink="">
      <xdr:nvSpPr>
        <xdr:cNvPr id="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26EB90-0F67-403B-9E07-F07F241A5FB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37</xdr:row>
      <xdr:rowOff>0</xdr:rowOff>
    </xdr:from>
    <xdr:ext cx="314325" cy="304800"/>
    <xdr:sp macro="" textlink="">
      <xdr:nvSpPr>
        <xdr:cNvPr id="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E8BFC7-B36D-41EC-8F3D-7F6AD0C18BC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</xdr:row>
      <xdr:rowOff>0</xdr:rowOff>
    </xdr:from>
    <xdr:ext cx="314325" cy="304800"/>
    <xdr:sp macro="" textlink="">
      <xdr:nvSpPr>
        <xdr:cNvPr id="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BDB26-4466-4D7E-86AC-67B9D7BF95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38</xdr:row>
      <xdr:rowOff>0</xdr:rowOff>
    </xdr:from>
    <xdr:ext cx="314325" cy="304800"/>
    <xdr:sp macro="" textlink="">
      <xdr:nvSpPr>
        <xdr:cNvPr id="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F6E7F9-0DDF-4A66-988E-6C9056F4656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39</xdr:row>
      <xdr:rowOff>0</xdr:rowOff>
    </xdr:from>
    <xdr:ext cx="314325" cy="304800"/>
    <xdr:sp macro="" textlink="">
      <xdr:nvSpPr>
        <xdr:cNvPr id="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87F096-1A2F-447B-A710-1DAD4E899CE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33</xdr:row>
      <xdr:rowOff>0</xdr:rowOff>
    </xdr:from>
    <xdr:ext cx="314325" cy="304800"/>
    <xdr:sp macro="" textlink="">
      <xdr:nvSpPr>
        <xdr:cNvPr id="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8AAFB2-A938-4705-AFA6-A44BF391351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35</xdr:row>
      <xdr:rowOff>0</xdr:rowOff>
    </xdr:from>
    <xdr:ext cx="314325" cy="304800"/>
    <xdr:sp macro="" textlink="">
      <xdr:nvSpPr>
        <xdr:cNvPr id="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51A26E-AD74-42F1-9535-7F4D7047904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36</xdr:row>
      <xdr:rowOff>0</xdr:rowOff>
    </xdr:from>
    <xdr:ext cx="314325" cy="304800"/>
    <xdr:sp macro="" textlink="">
      <xdr:nvSpPr>
        <xdr:cNvPr id="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65FB186-5071-45C5-9673-0D202F44F99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37</xdr:row>
      <xdr:rowOff>0</xdr:rowOff>
    </xdr:from>
    <xdr:ext cx="314325" cy="304800"/>
    <xdr:sp macro="" textlink="">
      <xdr:nvSpPr>
        <xdr:cNvPr id="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51A07-B361-4579-B9DE-AEAC8E1710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37</xdr:row>
      <xdr:rowOff>0</xdr:rowOff>
    </xdr:from>
    <xdr:ext cx="314325" cy="304800"/>
    <xdr:sp macro="" textlink="">
      <xdr:nvSpPr>
        <xdr:cNvPr id="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49BB6C-08BD-45CB-BEEB-0E5340F70A0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6655D4-39E3-4965-A88C-078966A342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6E49C6-CA36-4AE1-AA61-A9E17DA5DC4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39</xdr:row>
      <xdr:rowOff>0</xdr:rowOff>
    </xdr:from>
    <xdr:ext cx="314325" cy="304800"/>
    <xdr:sp macro="" textlink="">
      <xdr:nvSpPr>
        <xdr:cNvPr id="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198B8-E762-460B-8507-B1006CDD4DC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314325" cy="304800"/>
    <xdr:sp macro="" textlink="">
      <xdr:nvSpPr>
        <xdr:cNvPr id="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601AA5-5BC8-43FB-9A04-7AB1AB8064E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314325" cy="304800"/>
    <xdr:sp macro="" textlink="">
      <xdr:nvSpPr>
        <xdr:cNvPr id="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1E186F-1D10-40ED-B422-8A8A0EAD184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36</xdr:row>
      <xdr:rowOff>0</xdr:rowOff>
    </xdr:from>
    <xdr:ext cx="314325" cy="304800"/>
    <xdr:sp macro="" textlink="">
      <xdr:nvSpPr>
        <xdr:cNvPr id="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BCAC1F-A71B-45FD-965D-AAA9FC8699A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37</xdr:row>
      <xdr:rowOff>0</xdr:rowOff>
    </xdr:from>
    <xdr:ext cx="314325" cy="304800"/>
    <xdr:sp macro="" textlink="">
      <xdr:nvSpPr>
        <xdr:cNvPr id="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3B3D94-117D-46A7-B388-9076EB3FC05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37</xdr:row>
      <xdr:rowOff>0</xdr:rowOff>
    </xdr:from>
    <xdr:ext cx="314325" cy="304800"/>
    <xdr:sp macro="" textlink="">
      <xdr:nvSpPr>
        <xdr:cNvPr id="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40E5DD-C6E1-4B5E-A28A-B8C52656CDD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38</xdr:row>
      <xdr:rowOff>0</xdr:rowOff>
    </xdr:from>
    <xdr:ext cx="314325" cy="304800"/>
    <xdr:sp macro="" textlink="">
      <xdr:nvSpPr>
        <xdr:cNvPr id="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E0F96A-6765-46C5-B66D-0EE2F620DC8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38</xdr:row>
      <xdr:rowOff>0</xdr:rowOff>
    </xdr:from>
    <xdr:ext cx="314325" cy="304800"/>
    <xdr:sp macro="" textlink="">
      <xdr:nvSpPr>
        <xdr:cNvPr id="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30D069-EB38-4E4B-810B-B9C737F5AD9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0</xdr:rowOff>
    </xdr:from>
    <xdr:ext cx="314325" cy="304800"/>
    <xdr:sp macro="" textlink="">
      <xdr:nvSpPr>
        <xdr:cNvPr id="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CBA58B-2EE0-49FA-83A8-C0DB9A5E5A87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33</xdr:row>
      <xdr:rowOff>0</xdr:rowOff>
    </xdr:from>
    <xdr:ext cx="314325" cy="304800"/>
    <xdr:sp macro="" textlink="">
      <xdr:nvSpPr>
        <xdr:cNvPr id="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86E6BF-1F7E-4252-9E73-BF31CB01805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35</xdr:row>
      <xdr:rowOff>0</xdr:rowOff>
    </xdr:from>
    <xdr:ext cx="314325" cy="304800"/>
    <xdr:sp macro="" textlink="">
      <xdr:nvSpPr>
        <xdr:cNvPr id="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188AFF-7FA7-495A-83D5-D417CADDBD6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36</xdr:row>
      <xdr:rowOff>0</xdr:rowOff>
    </xdr:from>
    <xdr:ext cx="314325" cy="304800"/>
    <xdr:sp macro="" textlink="">
      <xdr:nvSpPr>
        <xdr:cNvPr id="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E12F00-C956-46F6-9C93-8F652730B821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37</xdr:row>
      <xdr:rowOff>0</xdr:rowOff>
    </xdr:from>
    <xdr:ext cx="314325" cy="304800"/>
    <xdr:sp macro="" textlink="">
      <xdr:nvSpPr>
        <xdr:cNvPr id="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36C9BF-9CFC-47EF-AE06-2378ECAA68D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37</xdr:row>
      <xdr:rowOff>0</xdr:rowOff>
    </xdr:from>
    <xdr:ext cx="314325" cy="304800"/>
    <xdr:sp macro="" textlink="">
      <xdr:nvSpPr>
        <xdr:cNvPr id="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E9AE49-1D8F-486C-9068-66B060C55732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C0DDE1-AC56-4921-A41C-4C181203A0C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942913-4BED-4115-972F-E85946A5357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39</xdr:row>
      <xdr:rowOff>0</xdr:rowOff>
    </xdr:from>
    <xdr:ext cx="314325" cy="304800"/>
    <xdr:sp macro="" textlink="">
      <xdr:nvSpPr>
        <xdr:cNvPr id="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25CAFB-DFCE-4127-8C94-736A344387FF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33</xdr:row>
      <xdr:rowOff>0</xdr:rowOff>
    </xdr:from>
    <xdr:ext cx="314325" cy="304800"/>
    <xdr:sp macro="" textlink="">
      <xdr:nvSpPr>
        <xdr:cNvPr id="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B4EFEA-489E-4335-A826-CB89927FDEC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0</xdr:rowOff>
    </xdr:from>
    <xdr:ext cx="314325" cy="304800"/>
    <xdr:sp macro="" textlink="">
      <xdr:nvSpPr>
        <xdr:cNvPr id="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060777D-2732-42FA-A712-B9DE21F4108F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36</xdr:row>
      <xdr:rowOff>0</xdr:rowOff>
    </xdr:from>
    <xdr:ext cx="314325" cy="304800"/>
    <xdr:sp macro="" textlink="">
      <xdr:nvSpPr>
        <xdr:cNvPr id="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FDD50F-FFAF-4B2C-8DCC-038CC5F7125A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0</xdr:rowOff>
    </xdr:from>
    <xdr:ext cx="314325" cy="304800"/>
    <xdr:sp macro="" textlink="">
      <xdr:nvSpPr>
        <xdr:cNvPr id="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366CE6-A1C9-4108-9321-3D066AC68D4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0</xdr:rowOff>
    </xdr:from>
    <xdr:ext cx="314325" cy="304800"/>
    <xdr:sp macro="" textlink="">
      <xdr:nvSpPr>
        <xdr:cNvPr id="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9973A1-5905-41D4-8D7A-E8A731A2158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38</xdr:row>
      <xdr:rowOff>0</xdr:rowOff>
    </xdr:from>
    <xdr:ext cx="314325" cy="304800"/>
    <xdr:sp macro="" textlink="">
      <xdr:nvSpPr>
        <xdr:cNvPr id="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0B76EF-0859-43CE-987D-B7C68020534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38</xdr:row>
      <xdr:rowOff>0</xdr:rowOff>
    </xdr:from>
    <xdr:ext cx="314325" cy="304800"/>
    <xdr:sp macro="" textlink="">
      <xdr:nvSpPr>
        <xdr:cNvPr id="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6B57A67-7291-4A1F-8763-B1FE36D87DBE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39</xdr:row>
      <xdr:rowOff>0</xdr:rowOff>
    </xdr:from>
    <xdr:ext cx="314325" cy="304800"/>
    <xdr:sp macro="" textlink="">
      <xdr:nvSpPr>
        <xdr:cNvPr id="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B7A5D6-36CB-4790-9E07-BA4F0017958A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314325" cy="304800"/>
    <xdr:sp macro="" textlink="">
      <xdr:nvSpPr>
        <xdr:cNvPr id="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BF488E-296E-4214-9812-39429F869AB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0</xdr:rowOff>
    </xdr:from>
    <xdr:ext cx="314325" cy="304800"/>
    <xdr:sp macro="" textlink="">
      <xdr:nvSpPr>
        <xdr:cNvPr id="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DCD9D4-140A-4B83-A27C-6F4553F4E4A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36</xdr:row>
      <xdr:rowOff>0</xdr:rowOff>
    </xdr:from>
    <xdr:ext cx="314325" cy="304800"/>
    <xdr:sp macro="" textlink="">
      <xdr:nvSpPr>
        <xdr:cNvPr id="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217763-5CE2-40CA-8CFA-39CD3753FB18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0</xdr:rowOff>
    </xdr:from>
    <xdr:ext cx="314325" cy="304800"/>
    <xdr:sp macro="" textlink="">
      <xdr:nvSpPr>
        <xdr:cNvPr id="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BF0471-D611-4CA1-BCD9-FF305B636DD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0</xdr:rowOff>
    </xdr:from>
    <xdr:ext cx="314325" cy="304800"/>
    <xdr:sp macro="" textlink="">
      <xdr:nvSpPr>
        <xdr:cNvPr id="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69B84C-83AC-47D1-BAF3-5F72ECEFF91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E2D8B0-4595-4661-8403-EC4302E9350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B19F63-1477-4DC5-84EB-0C5A89B63A0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314325" cy="304800"/>
    <xdr:sp macro="" textlink="">
      <xdr:nvSpPr>
        <xdr:cNvPr id="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54885F-CCB0-4331-9E40-A6AF192EB8F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33</xdr:row>
      <xdr:rowOff>0</xdr:rowOff>
    </xdr:from>
    <xdr:ext cx="314325" cy="304800"/>
    <xdr:sp macro="" textlink="">
      <xdr:nvSpPr>
        <xdr:cNvPr id="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97F901-F420-4BA5-9CF2-557EC9E61D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35</xdr:row>
      <xdr:rowOff>0</xdr:rowOff>
    </xdr:from>
    <xdr:ext cx="314325" cy="304800"/>
    <xdr:sp macro="" textlink="">
      <xdr:nvSpPr>
        <xdr:cNvPr id="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944745-035E-4A80-A158-866D391CB7D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36</xdr:row>
      <xdr:rowOff>0</xdr:rowOff>
    </xdr:from>
    <xdr:ext cx="314325" cy="304800"/>
    <xdr:sp macro="" textlink="">
      <xdr:nvSpPr>
        <xdr:cNvPr id="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469D6F-BEA1-4307-B234-91A6212F381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37</xdr:row>
      <xdr:rowOff>0</xdr:rowOff>
    </xdr:from>
    <xdr:ext cx="314325" cy="304800"/>
    <xdr:sp macro="" textlink="">
      <xdr:nvSpPr>
        <xdr:cNvPr id="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33F3E4-BF75-4224-B1FE-F35CC7289AD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37</xdr:row>
      <xdr:rowOff>0</xdr:rowOff>
    </xdr:from>
    <xdr:ext cx="314325" cy="304800"/>
    <xdr:sp macro="" textlink="">
      <xdr:nvSpPr>
        <xdr:cNvPr id="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DB9DFD-65E3-4E7A-A4C1-84C71DDCDE9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38</xdr:row>
      <xdr:rowOff>0</xdr:rowOff>
    </xdr:from>
    <xdr:ext cx="314325" cy="304800"/>
    <xdr:sp macro="" textlink="">
      <xdr:nvSpPr>
        <xdr:cNvPr id="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A9F202-550B-4F0A-BE05-AFB550C65B0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38</xdr:row>
      <xdr:rowOff>0</xdr:rowOff>
    </xdr:from>
    <xdr:ext cx="314325" cy="304800"/>
    <xdr:sp macro="" textlink="">
      <xdr:nvSpPr>
        <xdr:cNvPr id="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A559B-39C5-4BCC-A1BB-8E41B70330F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22</xdr:col>
      <xdr:colOff>0</xdr:colOff>
      <xdr:row>39</xdr:row>
      <xdr:rowOff>0</xdr:rowOff>
    </xdr:from>
    <xdr:ext cx="314325" cy="304800"/>
    <xdr:sp macro="" textlink="">
      <xdr:nvSpPr>
        <xdr:cNvPr id="1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988C1D-491E-402F-B649-D662A906D82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33</xdr:row>
      <xdr:rowOff>0</xdr:rowOff>
    </xdr:from>
    <xdr:ext cx="314325" cy="304800"/>
    <xdr:sp macro="" textlink="">
      <xdr:nvSpPr>
        <xdr:cNvPr id="1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C8245-9D8B-492F-B1EF-84DCDDDC4CF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35</xdr:row>
      <xdr:rowOff>0</xdr:rowOff>
    </xdr:from>
    <xdr:ext cx="314325" cy="304800"/>
    <xdr:sp macro="" textlink="">
      <xdr:nvSpPr>
        <xdr:cNvPr id="1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BBB22F-8231-4AD1-8D08-F779B035A37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36</xdr:row>
      <xdr:rowOff>0</xdr:rowOff>
    </xdr:from>
    <xdr:ext cx="314325" cy="304800"/>
    <xdr:sp macro="" textlink="">
      <xdr:nvSpPr>
        <xdr:cNvPr id="1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0F31B1-6B6D-40D5-B7FE-1FB0600EEA67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37</xdr:row>
      <xdr:rowOff>0</xdr:rowOff>
    </xdr:from>
    <xdr:ext cx="314325" cy="304800"/>
    <xdr:sp macro="" textlink="">
      <xdr:nvSpPr>
        <xdr:cNvPr id="1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B4689E-BD2B-4F5F-8E2F-A898AAB507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37</xdr:row>
      <xdr:rowOff>0</xdr:rowOff>
    </xdr:from>
    <xdr:ext cx="314325" cy="304800"/>
    <xdr:sp macro="" textlink="">
      <xdr:nvSpPr>
        <xdr:cNvPr id="1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3B20F2-5FA3-4AC8-9FF5-A4668298430E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CC3450-2180-49FF-BE31-3FB6B7B6EE2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F05F2E-200D-45A0-A65E-D7B8C2F825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0</xdr:rowOff>
    </xdr:from>
    <xdr:ext cx="314325" cy="304800"/>
    <xdr:sp macro="" textlink="">
      <xdr:nvSpPr>
        <xdr:cNvPr id="1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D144F1-40A6-4AC3-9941-5AD3B76D653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33</xdr:row>
      <xdr:rowOff>0</xdr:rowOff>
    </xdr:from>
    <xdr:ext cx="314325" cy="304800"/>
    <xdr:sp macro="" textlink="">
      <xdr:nvSpPr>
        <xdr:cNvPr id="1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87148AF-454B-474B-B107-ED7DE28E71C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35</xdr:row>
      <xdr:rowOff>0</xdr:rowOff>
    </xdr:from>
    <xdr:ext cx="314325" cy="304800"/>
    <xdr:sp macro="" textlink="">
      <xdr:nvSpPr>
        <xdr:cNvPr id="1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9F35E9C-5727-476C-A2F4-3EDEAB46F748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36</xdr:row>
      <xdr:rowOff>0</xdr:rowOff>
    </xdr:from>
    <xdr:ext cx="314325" cy="304800"/>
    <xdr:sp macro="" textlink="">
      <xdr:nvSpPr>
        <xdr:cNvPr id="1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A3E316-1ADB-4081-9F64-C8063E5C4D6F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37</xdr:row>
      <xdr:rowOff>0</xdr:rowOff>
    </xdr:from>
    <xdr:ext cx="314325" cy="304800"/>
    <xdr:sp macro="" textlink="">
      <xdr:nvSpPr>
        <xdr:cNvPr id="1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BFBC1D-B208-4A9F-8A5C-C824C5E3363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37</xdr:row>
      <xdr:rowOff>0</xdr:rowOff>
    </xdr:from>
    <xdr:ext cx="314325" cy="304800"/>
    <xdr:sp macro="" textlink="">
      <xdr:nvSpPr>
        <xdr:cNvPr id="1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1E0E41D-95B1-4BCB-825F-283CFA124DF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38</xdr:row>
      <xdr:rowOff>0</xdr:rowOff>
    </xdr:from>
    <xdr:ext cx="314325" cy="304800"/>
    <xdr:sp macro="" textlink="">
      <xdr:nvSpPr>
        <xdr:cNvPr id="1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45D46C-512F-4863-A972-A53DA7D6699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38</xdr:row>
      <xdr:rowOff>0</xdr:rowOff>
    </xdr:from>
    <xdr:ext cx="314325" cy="304800"/>
    <xdr:sp macro="" textlink="">
      <xdr:nvSpPr>
        <xdr:cNvPr id="1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3C9364-1DB5-4033-89F9-C0DBA9117CF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39</xdr:row>
      <xdr:rowOff>0</xdr:rowOff>
    </xdr:from>
    <xdr:ext cx="314325" cy="304800"/>
    <xdr:sp macro="" textlink="">
      <xdr:nvSpPr>
        <xdr:cNvPr id="1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5D3287-BA00-4438-BF51-2D17E551854E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33</xdr:row>
      <xdr:rowOff>0</xdr:rowOff>
    </xdr:from>
    <xdr:ext cx="314325" cy="304800"/>
    <xdr:sp macro="" textlink="">
      <xdr:nvSpPr>
        <xdr:cNvPr id="1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ABB395-B476-43C9-8D67-39DC392F96D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35</xdr:row>
      <xdr:rowOff>0</xdr:rowOff>
    </xdr:from>
    <xdr:ext cx="314325" cy="304800"/>
    <xdr:sp macro="" textlink="">
      <xdr:nvSpPr>
        <xdr:cNvPr id="1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C34260-5FEB-4D22-9FA7-AC9688CC459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36</xdr:row>
      <xdr:rowOff>0</xdr:rowOff>
    </xdr:from>
    <xdr:ext cx="314325" cy="304800"/>
    <xdr:sp macro="" textlink="">
      <xdr:nvSpPr>
        <xdr:cNvPr id="1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AA52B19-422F-4CA5-AC57-5F183CE2C16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37</xdr:row>
      <xdr:rowOff>0</xdr:rowOff>
    </xdr:from>
    <xdr:ext cx="314325" cy="304800"/>
    <xdr:sp macro="" textlink="">
      <xdr:nvSpPr>
        <xdr:cNvPr id="1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1D586B-A053-4E91-836F-8A62903594D8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37</xdr:row>
      <xdr:rowOff>0</xdr:rowOff>
    </xdr:from>
    <xdr:ext cx="314325" cy="304800"/>
    <xdr:sp macro="" textlink="">
      <xdr:nvSpPr>
        <xdr:cNvPr id="1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CB000F-4C42-4770-926E-DC12C0CC5F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05DDC9-42FC-4CF0-BDB9-9D5C04012A1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09B473-6039-42C9-ACFE-EBB20F2711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39</xdr:row>
      <xdr:rowOff>0</xdr:rowOff>
    </xdr:from>
    <xdr:ext cx="314325" cy="304800"/>
    <xdr:sp macro="" textlink="">
      <xdr:nvSpPr>
        <xdr:cNvPr id="1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01D8A5-1E14-434E-9A7E-601403AE4AD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33</xdr:row>
      <xdr:rowOff>0</xdr:rowOff>
    </xdr:from>
    <xdr:ext cx="314325" cy="304800"/>
    <xdr:sp macro="" textlink="">
      <xdr:nvSpPr>
        <xdr:cNvPr id="1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92CCB5-143C-4616-8A16-A903AF53876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35</xdr:row>
      <xdr:rowOff>0</xdr:rowOff>
    </xdr:from>
    <xdr:ext cx="314325" cy="304800"/>
    <xdr:sp macro="" textlink="">
      <xdr:nvSpPr>
        <xdr:cNvPr id="1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A820A8-E305-41F1-85A9-A68BE84B60BE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36</xdr:row>
      <xdr:rowOff>0</xdr:rowOff>
    </xdr:from>
    <xdr:ext cx="314325" cy="304800"/>
    <xdr:sp macro="" textlink="">
      <xdr:nvSpPr>
        <xdr:cNvPr id="1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462300-7BDE-49E1-9AF3-22B63DF9063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37</xdr:row>
      <xdr:rowOff>0</xdr:rowOff>
    </xdr:from>
    <xdr:ext cx="314325" cy="304800"/>
    <xdr:sp macro="" textlink="">
      <xdr:nvSpPr>
        <xdr:cNvPr id="1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0BD61E-D128-4B3B-9635-AA8E9392550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37</xdr:row>
      <xdr:rowOff>0</xdr:rowOff>
    </xdr:from>
    <xdr:ext cx="314325" cy="304800"/>
    <xdr:sp macro="" textlink="">
      <xdr:nvSpPr>
        <xdr:cNvPr id="1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BE5608-FAEC-4FC8-A0AC-439598183F1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38</xdr:row>
      <xdr:rowOff>0</xdr:rowOff>
    </xdr:from>
    <xdr:ext cx="314325" cy="304800"/>
    <xdr:sp macro="" textlink="">
      <xdr:nvSpPr>
        <xdr:cNvPr id="1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B1134D6-795B-4EBE-96A0-345C614E45D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38</xdr:row>
      <xdr:rowOff>0</xdr:rowOff>
    </xdr:from>
    <xdr:ext cx="314325" cy="304800"/>
    <xdr:sp macro="" textlink="">
      <xdr:nvSpPr>
        <xdr:cNvPr id="1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CD1B60-D041-462B-A426-FF894DDFAFE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30</xdr:col>
      <xdr:colOff>0</xdr:colOff>
      <xdr:row>39</xdr:row>
      <xdr:rowOff>0</xdr:rowOff>
    </xdr:from>
    <xdr:ext cx="314325" cy="304800"/>
    <xdr:sp macro="" textlink="">
      <xdr:nvSpPr>
        <xdr:cNvPr id="1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F5C2256-0228-46CA-886B-7A423EF446D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33</xdr:row>
      <xdr:rowOff>0</xdr:rowOff>
    </xdr:from>
    <xdr:ext cx="314325" cy="304800"/>
    <xdr:sp macro="" textlink="">
      <xdr:nvSpPr>
        <xdr:cNvPr id="1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FDD73C-D74A-4632-B421-24508CA98EA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35</xdr:row>
      <xdr:rowOff>0</xdr:rowOff>
    </xdr:from>
    <xdr:ext cx="314325" cy="304800"/>
    <xdr:sp macro="" textlink="">
      <xdr:nvSpPr>
        <xdr:cNvPr id="1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281FB9-DD05-4352-8C62-F4111D19561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36</xdr:row>
      <xdr:rowOff>0</xdr:rowOff>
    </xdr:from>
    <xdr:ext cx="314325" cy="304800"/>
    <xdr:sp macro="" textlink="">
      <xdr:nvSpPr>
        <xdr:cNvPr id="1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D1B0E3-73A1-4D35-8D41-80D4B886AF89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37</xdr:row>
      <xdr:rowOff>0</xdr:rowOff>
    </xdr:from>
    <xdr:ext cx="314325" cy="304800"/>
    <xdr:sp macro="" textlink="">
      <xdr:nvSpPr>
        <xdr:cNvPr id="1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253F2F-E498-459C-995B-97F53A954BDC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37</xdr:row>
      <xdr:rowOff>0</xdr:rowOff>
    </xdr:from>
    <xdr:ext cx="314325" cy="304800"/>
    <xdr:sp macro="" textlink="">
      <xdr:nvSpPr>
        <xdr:cNvPr id="1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4B54AC-1C9E-43DB-9658-588C1F0F954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CEBD21-C314-43A4-B364-22BE592BF0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3F2E9-4B35-4CA7-958A-B8D609DD23B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39</xdr:row>
      <xdr:rowOff>0</xdr:rowOff>
    </xdr:from>
    <xdr:ext cx="314325" cy="304800"/>
    <xdr:sp macro="" textlink="">
      <xdr:nvSpPr>
        <xdr:cNvPr id="1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596879F-81DA-4ED6-8390-35248A8FD8B0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33</xdr:row>
      <xdr:rowOff>0</xdr:rowOff>
    </xdr:from>
    <xdr:ext cx="314325" cy="304800"/>
    <xdr:sp macro="" textlink="">
      <xdr:nvSpPr>
        <xdr:cNvPr id="1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2B6554-AC3D-45A2-AC76-14A384C2026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35</xdr:row>
      <xdr:rowOff>0</xdr:rowOff>
    </xdr:from>
    <xdr:ext cx="314325" cy="304800"/>
    <xdr:sp macro="" textlink="">
      <xdr:nvSpPr>
        <xdr:cNvPr id="1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31462F-5EE7-42F4-BCCC-859F08E5ED4D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36</xdr:row>
      <xdr:rowOff>0</xdr:rowOff>
    </xdr:from>
    <xdr:ext cx="314325" cy="304800"/>
    <xdr:sp macro="" textlink="">
      <xdr:nvSpPr>
        <xdr:cNvPr id="1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FEE99A-4DF8-4F61-8669-CC84454164C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37</xdr:row>
      <xdr:rowOff>0</xdr:rowOff>
    </xdr:from>
    <xdr:ext cx="314325" cy="304800"/>
    <xdr:sp macro="" textlink="">
      <xdr:nvSpPr>
        <xdr:cNvPr id="1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2EE908F-21F0-418F-A385-8A9DEA08225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37</xdr:row>
      <xdr:rowOff>0</xdr:rowOff>
    </xdr:from>
    <xdr:ext cx="314325" cy="304800"/>
    <xdr:sp macro="" textlink="">
      <xdr:nvSpPr>
        <xdr:cNvPr id="1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076F62-E4A0-451C-B501-B4DE838CF11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38</xdr:row>
      <xdr:rowOff>0</xdr:rowOff>
    </xdr:from>
    <xdr:ext cx="314325" cy="304800"/>
    <xdr:sp macro="" textlink="">
      <xdr:nvSpPr>
        <xdr:cNvPr id="1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8018B3-437A-494B-9FD8-4577F2949E3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38</xdr:row>
      <xdr:rowOff>0</xdr:rowOff>
    </xdr:from>
    <xdr:ext cx="314325" cy="304800"/>
    <xdr:sp macro="" textlink="">
      <xdr:nvSpPr>
        <xdr:cNvPr id="1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246331-9A42-455D-BC44-72EDD4B8A95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34</xdr:col>
      <xdr:colOff>0</xdr:colOff>
      <xdr:row>39</xdr:row>
      <xdr:rowOff>0</xdr:rowOff>
    </xdr:from>
    <xdr:ext cx="314325" cy="304800"/>
    <xdr:sp macro="" textlink="">
      <xdr:nvSpPr>
        <xdr:cNvPr id="1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DF6B65-C799-4FF5-BEDA-FAF53FD7F02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33</xdr:row>
      <xdr:rowOff>0</xdr:rowOff>
    </xdr:from>
    <xdr:ext cx="314325" cy="304800"/>
    <xdr:sp macro="" textlink="">
      <xdr:nvSpPr>
        <xdr:cNvPr id="1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16E8B-33DF-4072-AFD5-DD60D71C0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35</xdr:row>
      <xdr:rowOff>0</xdr:rowOff>
    </xdr:from>
    <xdr:ext cx="314325" cy="304800"/>
    <xdr:sp macro="" textlink="">
      <xdr:nvSpPr>
        <xdr:cNvPr id="1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E076B19-B431-41A6-96C3-A5BF582DD35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36</xdr:row>
      <xdr:rowOff>0</xdr:rowOff>
    </xdr:from>
    <xdr:ext cx="314325" cy="304800"/>
    <xdr:sp macro="" textlink="">
      <xdr:nvSpPr>
        <xdr:cNvPr id="1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40CAD0-8A98-4CBD-ADB5-761FF1BBA67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37</xdr:row>
      <xdr:rowOff>0</xdr:rowOff>
    </xdr:from>
    <xdr:ext cx="314325" cy="304800"/>
    <xdr:sp macro="" textlink="">
      <xdr:nvSpPr>
        <xdr:cNvPr id="1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1963C1-E260-4BC2-B4B4-815C672E746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37</xdr:row>
      <xdr:rowOff>0</xdr:rowOff>
    </xdr:from>
    <xdr:ext cx="314325" cy="304800"/>
    <xdr:sp macro="" textlink="">
      <xdr:nvSpPr>
        <xdr:cNvPr id="1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D3216B-E2D7-4C8C-A83B-A46D6AF078E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DA6F00-DCB2-4D3B-8488-74378D189E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62198F-185B-4942-93B3-80F578B3BBF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39</xdr:row>
      <xdr:rowOff>0</xdr:rowOff>
    </xdr:from>
    <xdr:ext cx="314325" cy="304800"/>
    <xdr:sp macro="" textlink="">
      <xdr:nvSpPr>
        <xdr:cNvPr id="1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502B6A-A852-480C-BA55-1A7937CF0649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33</xdr:row>
      <xdr:rowOff>0</xdr:rowOff>
    </xdr:from>
    <xdr:ext cx="314325" cy="304800"/>
    <xdr:sp macro="" textlink="">
      <xdr:nvSpPr>
        <xdr:cNvPr id="1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4F78165-551A-447F-96C9-0F345DC4236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35</xdr:row>
      <xdr:rowOff>0</xdr:rowOff>
    </xdr:from>
    <xdr:ext cx="314325" cy="304800"/>
    <xdr:sp macro="" textlink="">
      <xdr:nvSpPr>
        <xdr:cNvPr id="1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B27478-9B23-41C4-85FE-0735B62C10F6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36</xdr:row>
      <xdr:rowOff>0</xdr:rowOff>
    </xdr:from>
    <xdr:ext cx="314325" cy="304800"/>
    <xdr:sp macro="" textlink="">
      <xdr:nvSpPr>
        <xdr:cNvPr id="1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1BE2E2-DD27-492B-935E-25E9947B67A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37</xdr:row>
      <xdr:rowOff>0</xdr:rowOff>
    </xdr:from>
    <xdr:ext cx="314325" cy="304800"/>
    <xdr:sp macro="" textlink="">
      <xdr:nvSpPr>
        <xdr:cNvPr id="1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ABBC4E-41FC-4214-BF74-7822D000BC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37</xdr:row>
      <xdr:rowOff>0</xdr:rowOff>
    </xdr:from>
    <xdr:ext cx="314325" cy="304800"/>
    <xdr:sp macro="" textlink="">
      <xdr:nvSpPr>
        <xdr:cNvPr id="1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6CE071-448F-45DF-AEF4-9C35B8D4D1A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38</xdr:row>
      <xdr:rowOff>0</xdr:rowOff>
    </xdr:from>
    <xdr:ext cx="314325" cy="304800"/>
    <xdr:sp macro="" textlink="">
      <xdr:nvSpPr>
        <xdr:cNvPr id="1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AE9C08-C10A-46D4-B82E-A073D49B247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38</xdr:row>
      <xdr:rowOff>0</xdr:rowOff>
    </xdr:from>
    <xdr:ext cx="314325" cy="304800"/>
    <xdr:sp macro="" textlink="">
      <xdr:nvSpPr>
        <xdr:cNvPr id="1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9D8904-0DF3-4252-9712-B8F6877BEE3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38</xdr:col>
      <xdr:colOff>0</xdr:colOff>
      <xdr:row>39</xdr:row>
      <xdr:rowOff>0</xdr:rowOff>
    </xdr:from>
    <xdr:ext cx="314325" cy="304800"/>
    <xdr:sp macro="" textlink="">
      <xdr:nvSpPr>
        <xdr:cNvPr id="1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B2FA42-AF13-46A3-9E72-37A25947635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twoCellAnchor>
    <xdr:from>
      <xdr:col>11</xdr:col>
      <xdr:colOff>1300162</xdr:colOff>
      <xdr:row>55</xdr:row>
      <xdr:rowOff>185737</xdr:rowOff>
    </xdr:from>
    <xdr:to>
      <xdr:col>13</xdr:col>
      <xdr:colOff>1900237</xdr:colOff>
      <xdr:row>70</xdr:row>
      <xdr:rowOff>61912</xdr:rowOff>
    </xdr:to>
    <xdr:graphicFrame macro="">
      <xdr:nvGraphicFramePr>
        <xdr:cNvPr id="175" name="Chart 174">
          <a:extLst>
            <a:ext uri="{FF2B5EF4-FFF2-40B4-BE49-F238E27FC236}">
              <a16:creationId xmlns:a16="http://schemas.microsoft.com/office/drawing/2014/main" id="{D7A05179-34D7-4E5D-97B2-0BE01130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88D-9972-4FE4-B74E-E96782EFC1C7}">
  <dimension ref="A1:Y32"/>
  <sheetViews>
    <sheetView tabSelected="1" topLeftCell="N1" workbookViewId="0">
      <selection activeCell="O13" sqref="O13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21.7109375" style="1" bestFit="1" customWidth="1"/>
    <col min="18" max="18" width="11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5" ht="30" x14ac:dyDescent="0.25">
      <c r="A1" s="23" t="s">
        <v>134</v>
      </c>
      <c r="B1" s="2" t="s">
        <v>57</v>
      </c>
      <c r="R1" s="1" t="s">
        <v>78</v>
      </c>
    </row>
    <row r="2" spans="1:25" x14ac:dyDescent="0.25">
      <c r="C2" s="84" t="s">
        <v>56</v>
      </c>
      <c r="D2" s="84"/>
      <c r="E2" s="84"/>
      <c r="F2" s="84"/>
      <c r="G2" s="84"/>
      <c r="H2" s="84"/>
      <c r="I2" s="84"/>
      <c r="L2" s="84" t="s">
        <v>46</v>
      </c>
      <c r="M2" s="84"/>
      <c r="P2" s="22"/>
      <c r="R2" s="24" t="s">
        <v>77</v>
      </c>
      <c r="S2" s="84" t="s">
        <v>47</v>
      </c>
      <c r="T2" s="84"/>
      <c r="V2" s="84" t="s">
        <v>47</v>
      </c>
      <c r="W2" s="84"/>
    </row>
    <row r="3" spans="1:25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38</v>
      </c>
      <c r="R3" s="3" t="s">
        <v>81</v>
      </c>
      <c r="S3" s="3" t="s">
        <v>41</v>
      </c>
      <c r="T3" s="3" t="s">
        <v>42</v>
      </c>
      <c r="U3" s="3" t="s">
        <v>1</v>
      </c>
      <c r="V3" s="3" t="s">
        <v>41</v>
      </c>
      <c r="W3" s="3" t="s">
        <v>42</v>
      </c>
    </row>
    <row r="4" spans="1:25" s="13" customFormat="1" x14ac:dyDescent="0.25">
      <c r="A4" s="38" t="s">
        <v>11</v>
      </c>
      <c r="B4" s="38" t="s">
        <v>10</v>
      </c>
      <c r="C4" s="38">
        <f>'inverse variance-Buckland CI'!C4</f>
        <v>2.7134987753970501</v>
      </c>
      <c r="D4" s="38">
        <f>'inverse variance-Buckland CI'!D4</f>
        <v>0.15515670035065199</v>
      </c>
      <c r="E4" s="38">
        <f>'inverse variance-Buckland CI'!E4</f>
        <v>2.5085000421862702</v>
      </c>
      <c r="F4" s="38">
        <f>'inverse variance-Buckland CI'!F4</f>
        <v>2.9184975086078202</v>
      </c>
      <c r="G4" s="38">
        <f>'inverse variance-Buckland CI'!G4</f>
        <v>32.571484305050198</v>
      </c>
      <c r="H4" s="38">
        <f>'inverse variance-Buckland CI'!H4</f>
        <v>0.42899999999999999</v>
      </c>
      <c r="I4" s="38">
        <f>'inverse variance-Buckland CI'!I4</f>
        <v>22</v>
      </c>
      <c r="J4" s="39">
        <f>D4*SQRT(I4)</f>
        <v>0.7277494325668995</v>
      </c>
      <c r="K4" s="39">
        <v>1.321237</v>
      </c>
      <c r="L4" s="39">
        <f>N4-(K4*D4)</f>
        <v>2.6005205020958555</v>
      </c>
      <c r="M4" s="39">
        <f>N4+(K4*D4)</f>
        <v>3.0105180486982444</v>
      </c>
      <c r="N4" s="40">
        <f>C4+((H4*H4)/2)</f>
        <v>2.8055192753970499</v>
      </c>
      <c r="O4" s="43">
        <f>EXP(N4)</f>
        <v>16.535660238589298</v>
      </c>
      <c r="P4" s="41">
        <f>1/18</f>
        <v>5.5555555555555552E-2</v>
      </c>
      <c r="Q4" s="39" cm="1">
        <f t="array" ref="Q4">SUM($C$4:$C$21*$P$4:$P$21)</f>
        <v>2.6127724050864236</v>
      </c>
      <c r="R4" s="42">
        <f>hindcasts!Z24</f>
        <v>0.9222916103273241</v>
      </c>
      <c r="S4" s="39">
        <f>Q4-1.28*R4</f>
        <v>1.4322391438674487</v>
      </c>
      <c r="T4" s="39">
        <f>Q4+1.28*R4</f>
        <v>3.7933056663053986</v>
      </c>
      <c r="U4" s="43">
        <f>EXP(Q4)</f>
        <v>13.636805240630441</v>
      </c>
      <c r="V4" s="43">
        <f>EXP(S4)</f>
        <v>4.1880663839242747</v>
      </c>
      <c r="W4" s="83">
        <f>EXP(T4)</f>
        <v>44.402939238187649</v>
      </c>
    </row>
    <row r="5" spans="1:25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4">
        <f t="shared" ref="O5:O21" si="4">EXP(N5)</f>
        <v>15.569482666710917</v>
      </c>
      <c r="P5" s="11">
        <f t="shared" ref="P5:P21" si="5">1/18</f>
        <v>5.5555555555555552E-2</v>
      </c>
      <c r="Q5" s="5" cm="1">
        <f t="array" ref="Q5">SUM($C$4:$C$21*$P$4:$P$21)</f>
        <v>2.6127724050864236</v>
      </c>
      <c r="R5" s="20">
        <f>R4</f>
        <v>0.9222916103273241</v>
      </c>
      <c r="S5" s="5">
        <f t="shared" ref="S5:S21" si="6">Q5-1.28*R5</f>
        <v>1.4322391438674487</v>
      </c>
      <c r="T5" s="5">
        <f t="shared" ref="T5:T21" si="7">Q5+1.28*R5</f>
        <v>3.7933056663053986</v>
      </c>
      <c r="U5" s="44">
        <f t="shared" ref="U5:U21" si="8">EXP(Q5)</f>
        <v>13.636805240630441</v>
      </c>
      <c r="V5" s="44">
        <f t="shared" ref="V5:W21" si="9">EXP(S5)</f>
        <v>4.1880663839242747</v>
      </c>
      <c r="W5" s="44">
        <f t="shared" si="9"/>
        <v>44.402939238187649</v>
      </c>
    </row>
    <row r="6" spans="1:25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4">
        <f t="shared" si="4"/>
        <v>16.426955370314055</v>
      </c>
      <c r="P6" s="11">
        <f t="shared" si="5"/>
        <v>5.5555555555555552E-2</v>
      </c>
      <c r="Q6" s="5" cm="1">
        <f t="array" ref="Q6">SUM($C$4:$C$21*$P$4:$P$21)</f>
        <v>2.6127724050864236</v>
      </c>
      <c r="R6" s="20">
        <f t="shared" ref="R6:R21" si="10">R5</f>
        <v>0.9222916103273241</v>
      </c>
      <c r="S6" s="5">
        <f t="shared" si="6"/>
        <v>1.4322391438674487</v>
      </c>
      <c r="T6" s="5">
        <f t="shared" si="7"/>
        <v>3.7933056663053986</v>
      </c>
      <c r="U6" s="44">
        <f t="shared" si="8"/>
        <v>13.636805240630441</v>
      </c>
      <c r="V6" s="44">
        <f t="shared" si="9"/>
        <v>4.1880663839242747</v>
      </c>
      <c r="W6" s="44">
        <f t="shared" si="9"/>
        <v>44.402939238187649</v>
      </c>
    </row>
    <row r="7" spans="1:25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4">
        <f t="shared" si="4"/>
        <v>13.325795917044662</v>
      </c>
      <c r="P7" s="11">
        <f t="shared" si="5"/>
        <v>5.5555555555555552E-2</v>
      </c>
      <c r="Q7" s="5" cm="1">
        <f t="array" ref="Q7">SUM($C$4:$C$21*$P$4:$P$21)</f>
        <v>2.6127724050864236</v>
      </c>
      <c r="R7" s="20">
        <f t="shared" si="10"/>
        <v>0.9222916103273241</v>
      </c>
      <c r="S7" s="5">
        <f t="shared" si="6"/>
        <v>1.4322391438674487</v>
      </c>
      <c r="T7" s="5">
        <f t="shared" si="7"/>
        <v>3.7933056663053986</v>
      </c>
      <c r="U7" s="44">
        <f t="shared" si="8"/>
        <v>13.636805240630441</v>
      </c>
      <c r="V7" s="44">
        <f t="shared" si="9"/>
        <v>4.1880663839242747</v>
      </c>
      <c r="W7" s="44">
        <f t="shared" si="9"/>
        <v>44.402939238187649</v>
      </c>
    </row>
    <row r="8" spans="1:25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4">
        <f t="shared" si="4"/>
        <v>14.865801918074126</v>
      </c>
      <c r="P8" s="11">
        <f t="shared" si="5"/>
        <v>5.5555555555555552E-2</v>
      </c>
      <c r="Q8" s="5" cm="1">
        <f t="array" ref="Q8">SUM($C$4:$C$21*$P$4:$P$21)</f>
        <v>2.6127724050864236</v>
      </c>
      <c r="R8" s="20">
        <f t="shared" si="10"/>
        <v>0.9222916103273241</v>
      </c>
      <c r="S8" s="5">
        <f t="shared" si="6"/>
        <v>1.4322391438674487</v>
      </c>
      <c r="T8" s="5">
        <f t="shared" si="7"/>
        <v>3.7933056663053986</v>
      </c>
      <c r="U8" s="44">
        <f t="shared" si="8"/>
        <v>13.636805240630441</v>
      </c>
      <c r="V8" s="44">
        <f t="shared" si="9"/>
        <v>4.1880663839242747</v>
      </c>
      <c r="W8" s="44">
        <f t="shared" si="9"/>
        <v>44.402939238187649</v>
      </c>
    </row>
    <row r="9" spans="1:25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4">
        <f t="shared" si="4"/>
        <v>13.361870349047656</v>
      </c>
      <c r="P9" s="11">
        <f t="shared" si="5"/>
        <v>5.5555555555555552E-2</v>
      </c>
      <c r="Q9" s="5" cm="1">
        <f t="array" ref="Q9">SUM($C$4:$C$21*$P$4:$P$21)</f>
        <v>2.6127724050864236</v>
      </c>
      <c r="R9" s="20">
        <f t="shared" si="10"/>
        <v>0.9222916103273241</v>
      </c>
      <c r="S9" s="5">
        <f t="shared" si="6"/>
        <v>1.4322391438674487</v>
      </c>
      <c r="T9" s="5">
        <f t="shared" si="7"/>
        <v>3.7933056663053986</v>
      </c>
      <c r="U9" s="44">
        <f t="shared" si="8"/>
        <v>13.636805240630441</v>
      </c>
      <c r="V9" s="44">
        <f t="shared" si="9"/>
        <v>4.1880663839242747</v>
      </c>
      <c r="W9" s="44">
        <f t="shared" si="9"/>
        <v>44.402939238187649</v>
      </c>
    </row>
    <row r="10" spans="1:25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4">
        <f t="shared" si="4"/>
        <v>15.911382668129054</v>
      </c>
      <c r="P10" s="11">
        <f t="shared" si="5"/>
        <v>5.5555555555555552E-2</v>
      </c>
      <c r="Q10" s="5" cm="1">
        <f t="array" ref="Q10">SUM($C$4:$C$21*$P$4:$P$21)</f>
        <v>2.6127724050864236</v>
      </c>
      <c r="R10" s="20">
        <f t="shared" si="10"/>
        <v>0.9222916103273241</v>
      </c>
      <c r="S10" s="5">
        <f t="shared" si="6"/>
        <v>1.4322391438674487</v>
      </c>
      <c r="T10" s="5">
        <f t="shared" si="7"/>
        <v>3.7933056663053986</v>
      </c>
      <c r="U10" s="44">
        <f t="shared" si="8"/>
        <v>13.636805240630441</v>
      </c>
      <c r="V10" s="44">
        <f t="shared" si="9"/>
        <v>4.1880663839242747</v>
      </c>
      <c r="W10" s="44">
        <f t="shared" si="9"/>
        <v>44.402939238187649</v>
      </c>
    </row>
    <row r="11" spans="1:25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4">
        <f t="shared" si="4"/>
        <v>13.751928992117096</v>
      </c>
      <c r="P11" s="11">
        <f t="shared" si="5"/>
        <v>5.5555555555555552E-2</v>
      </c>
      <c r="Q11" s="5" cm="1">
        <f t="array" ref="Q11">SUM($C$4:$C$21*$P$4:$P$21)</f>
        <v>2.6127724050864236</v>
      </c>
      <c r="R11" s="20">
        <f t="shared" si="10"/>
        <v>0.9222916103273241</v>
      </c>
      <c r="S11" s="5">
        <f t="shared" si="6"/>
        <v>1.4322391438674487</v>
      </c>
      <c r="T11" s="5">
        <f t="shared" si="7"/>
        <v>3.7933056663053986</v>
      </c>
      <c r="U11" s="44">
        <f t="shared" si="8"/>
        <v>13.636805240630441</v>
      </c>
      <c r="V11" s="44">
        <f t="shared" si="9"/>
        <v>4.1880663839242747</v>
      </c>
      <c r="W11" s="44">
        <f t="shared" si="9"/>
        <v>44.402939238187649</v>
      </c>
    </row>
    <row r="12" spans="1:25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4">
        <f t="shared" si="4"/>
        <v>14.372427467241701</v>
      </c>
      <c r="P12" s="11">
        <f t="shared" si="5"/>
        <v>5.5555555555555552E-2</v>
      </c>
      <c r="Q12" s="5" cm="1">
        <f t="array" ref="Q12">SUM($C$4:$C$21*$P$4:$P$21)</f>
        <v>2.6127724050864236</v>
      </c>
      <c r="R12" s="20">
        <f t="shared" si="10"/>
        <v>0.9222916103273241</v>
      </c>
      <c r="S12" s="5">
        <f t="shared" si="6"/>
        <v>1.4322391438674487</v>
      </c>
      <c r="T12" s="5">
        <f t="shared" si="7"/>
        <v>3.7933056663053986</v>
      </c>
      <c r="U12" s="44">
        <f t="shared" si="8"/>
        <v>13.636805240630441</v>
      </c>
      <c r="V12" s="44">
        <f t="shared" si="9"/>
        <v>4.1880663839242747</v>
      </c>
      <c r="W12" s="44">
        <f t="shared" si="9"/>
        <v>44.402939238187649</v>
      </c>
    </row>
    <row r="13" spans="1:25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4">
        <f t="shared" si="4"/>
        <v>13.624260811445337</v>
      </c>
      <c r="P13" s="11">
        <f t="shared" si="5"/>
        <v>5.5555555555555552E-2</v>
      </c>
      <c r="Q13" s="5" cm="1">
        <f t="array" ref="Q13">SUM($C$4:$C$21*$P$4:$P$21)</f>
        <v>2.6127724050864236</v>
      </c>
      <c r="R13" s="20">
        <f t="shared" si="10"/>
        <v>0.9222916103273241</v>
      </c>
      <c r="S13" s="5">
        <f t="shared" si="6"/>
        <v>1.4322391438674487</v>
      </c>
      <c r="T13" s="5">
        <f t="shared" si="7"/>
        <v>3.7933056663053986</v>
      </c>
      <c r="U13" s="44">
        <f t="shared" si="8"/>
        <v>13.636805240630441</v>
      </c>
      <c r="V13" s="44">
        <f t="shared" si="9"/>
        <v>4.1880663839242747</v>
      </c>
      <c r="W13" s="44">
        <f t="shared" si="9"/>
        <v>44.402939238187649</v>
      </c>
    </row>
    <row r="14" spans="1:25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4">
        <f t="shared" si="4"/>
        <v>16.262310370149034</v>
      </c>
      <c r="P14" s="11">
        <f t="shared" si="5"/>
        <v>5.5555555555555552E-2</v>
      </c>
      <c r="Q14" s="5" cm="1">
        <f t="array" ref="Q14">SUM($C$4:$C$21*$P$4:$P$21)</f>
        <v>2.6127724050864236</v>
      </c>
      <c r="R14" s="20">
        <f t="shared" si="10"/>
        <v>0.9222916103273241</v>
      </c>
      <c r="S14" s="5">
        <f t="shared" si="6"/>
        <v>1.4322391438674487</v>
      </c>
      <c r="T14" s="5">
        <f t="shared" si="7"/>
        <v>3.7933056663053986</v>
      </c>
      <c r="U14" s="44">
        <f t="shared" si="8"/>
        <v>13.636805240630441</v>
      </c>
      <c r="V14" s="44">
        <f t="shared" si="9"/>
        <v>4.1880663839242747</v>
      </c>
      <c r="W14" s="44">
        <f t="shared" si="9"/>
        <v>44.402939238187649</v>
      </c>
    </row>
    <row r="15" spans="1:25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4">
        <f t="shared" si="4"/>
        <v>13.163446990038443</v>
      </c>
      <c r="P15" s="11">
        <f t="shared" si="5"/>
        <v>5.5555555555555552E-2</v>
      </c>
      <c r="Q15" s="5" cm="1">
        <f t="array" ref="Q15">SUM($C$4:$C$21*$P$4:$P$21)</f>
        <v>2.6127724050864236</v>
      </c>
      <c r="R15" s="20">
        <f t="shared" si="10"/>
        <v>0.9222916103273241</v>
      </c>
      <c r="S15" s="5">
        <f t="shared" si="6"/>
        <v>1.4322391438674487</v>
      </c>
      <c r="T15" s="5">
        <f t="shared" si="7"/>
        <v>3.7933056663053986</v>
      </c>
      <c r="U15" s="44">
        <f t="shared" si="8"/>
        <v>13.636805240630441</v>
      </c>
      <c r="V15" s="44">
        <f t="shared" si="9"/>
        <v>4.1880663839242747</v>
      </c>
      <c r="W15" s="44">
        <f t="shared" si="9"/>
        <v>44.402939238187649</v>
      </c>
      <c r="Y15" s="12">
        <v>15.6</v>
      </c>
    </row>
    <row r="16" spans="1:25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4">
        <f t="shared" si="4"/>
        <v>14.346815579232713</v>
      </c>
      <c r="P16" s="11">
        <f t="shared" si="5"/>
        <v>5.5555555555555552E-2</v>
      </c>
      <c r="Q16" s="5" cm="1">
        <f t="array" ref="Q16">SUM($C$4:$C$21*$P$4:$P$21)</f>
        <v>2.6127724050864236</v>
      </c>
      <c r="R16" s="20">
        <f t="shared" si="10"/>
        <v>0.9222916103273241</v>
      </c>
      <c r="S16" s="5">
        <f t="shared" si="6"/>
        <v>1.4322391438674487</v>
      </c>
      <c r="T16" s="5">
        <f t="shared" si="7"/>
        <v>3.7933056663053986</v>
      </c>
      <c r="U16" s="44">
        <f t="shared" si="8"/>
        <v>13.636805240630441</v>
      </c>
      <c r="V16" s="44">
        <f t="shared" si="9"/>
        <v>4.1880663839242747</v>
      </c>
      <c r="W16" s="44">
        <f t="shared" si="9"/>
        <v>44.402939238187649</v>
      </c>
      <c r="Y16" s="12">
        <v>14.3</v>
      </c>
    </row>
    <row r="17" spans="1:25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4">
        <f t="shared" si="4"/>
        <v>13.179471118228346</v>
      </c>
      <c r="P17" s="11">
        <f t="shared" si="5"/>
        <v>5.5555555555555552E-2</v>
      </c>
      <c r="Q17" s="5" cm="1">
        <f t="array" ref="Q17">SUM($C$4:$C$21*$P$4:$P$21)</f>
        <v>2.6127724050864236</v>
      </c>
      <c r="R17" s="20">
        <f t="shared" si="10"/>
        <v>0.9222916103273241</v>
      </c>
      <c r="S17" s="5">
        <f t="shared" si="6"/>
        <v>1.4322391438674487</v>
      </c>
      <c r="T17" s="5">
        <f t="shared" si="7"/>
        <v>3.7933056663053986</v>
      </c>
      <c r="U17" s="44">
        <f t="shared" si="8"/>
        <v>13.636805240630441</v>
      </c>
      <c r="V17" s="44">
        <f t="shared" si="9"/>
        <v>4.1880663839242747</v>
      </c>
      <c r="W17" s="44">
        <f t="shared" si="9"/>
        <v>44.402939238187649</v>
      </c>
      <c r="Y17" s="12">
        <v>14.4</v>
      </c>
    </row>
    <row r="18" spans="1:25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4">
        <f t="shared" si="4"/>
        <v>15.718853973057074</v>
      </c>
      <c r="P18" s="11">
        <f t="shared" si="5"/>
        <v>5.5555555555555552E-2</v>
      </c>
      <c r="Q18" s="5" cm="1">
        <f t="array" ref="Q18">SUM($C$4:$C$21*$P$4:$P$21)</f>
        <v>2.6127724050864236</v>
      </c>
      <c r="R18" s="20">
        <f t="shared" si="10"/>
        <v>0.9222916103273241</v>
      </c>
      <c r="S18" s="5">
        <f t="shared" si="6"/>
        <v>1.4322391438674487</v>
      </c>
      <c r="T18" s="5">
        <f t="shared" si="7"/>
        <v>3.7933056663053986</v>
      </c>
      <c r="U18" s="44">
        <f t="shared" si="8"/>
        <v>13.636805240630441</v>
      </c>
      <c r="V18" s="44">
        <f t="shared" si="9"/>
        <v>4.1880663839242747</v>
      </c>
      <c r="W18" s="44">
        <f t="shared" si="9"/>
        <v>44.402939238187649</v>
      </c>
      <c r="Y18" s="12">
        <f>Y15-Y16</f>
        <v>1.2999999999999989</v>
      </c>
    </row>
    <row r="19" spans="1:25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4">
        <f t="shared" si="4"/>
        <v>13.078780557886368</v>
      </c>
      <c r="P19" s="11">
        <f t="shared" si="5"/>
        <v>5.5555555555555552E-2</v>
      </c>
      <c r="Q19" s="5" cm="1">
        <f t="array" ref="Q19">SUM($C$4:$C$21*$P$4:$P$21)</f>
        <v>2.6127724050864236</v>
      </c>
      <c r="R19" s="20">
        <f t="shared" si="10"/>
        <v>0.9222916103273241</v>
      </c>
      <c r="S19" s="5">
        <f t="shared" si="6"/>
        <v>1.4322391438674487</v>
      </c>
      <c r="T19" s="5">
        <f t="shared" si="7"/>
        <v>3.7933056663053986</v>
      </c>
      <c r="U19" s="44">
        <f t="shared" si="8"/>
        <v>13.636805240630441</v>
      </c>
      <c r="V19" s="44">
        <f t="shared" si="9"/>
        <v>4.1880663839242747</v>
      </c>
      <c r="W19" s="44">
        <f t="shared" si="9"/>
        <v>44.402939238187649</v>
      </c>
      <c r="Y19" s="12">
        <f>Y15-Y17</f>
        <v>1.1999999999999993</v>
      </c>
    </row>
    <row r="20" spans="1:25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4">
        <f t="shared" si="4"/>
        <v>13.896752854515217</v>
      </c>
      <c r="P20" s="11">
        <f t="shared" si="5"/>
        <v>5.5555555555555552E-2</v>
      </c>
      <c r="Q20" s="5" cm="1">
        <f t="array" ref="Q20">SUM($C$4:$C$21*$P$4:$P$21)</f>
        <v>2.6127724050864236</v>
      </c>
      <c r="R20" s="20">
        <f t="shared" si="10"/>
        <v>0.9222916103273241</v>
      </c>
      <c r="S20" s="5">
        <f t="shared" si="6"/>
        <v>1.4322391438674487</v>
      </c>
      <c r="T20" s="5">
        <f t="shared" si="7"/>
        <v>3.7933056663053986</v>
      </c>
      <c r="U20" s="44">
        <f t="shared" si="8"/>
        <v>13.636805240630441</v>
      </c>
      <c r="V20" s="44">
        <f t="shared" si="9"/>
        <v>4.1880663839242747</v>
      </c>
      <c r="W20" s="44">
        <f t="shared" si="9"/>
        <v>44.402939238187649</v>
      </c>
    </row>
    <row r="21" spans="1:25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5">
        <f t="shared" si="4"/>
        <v>13.019669307732997</v>
      </c>
      <c r="P21" s="16">
        <f t="shared" si="5"/>
        <v>5.5555555555555552E-2</v>
      </c>
      <c r="Q21" s="15" cm="1">
        <f t="array" ref="Q21">SUM($C$4:$C$21*$P$4:$P$21)</f>
        <v>2.6127724050864236</v>
      </c>
      <c r="R21" s="21">
        <f t="shared" si="10"/>
        <v>0.9222916103273241</v>
      </c>
      <c r="S21" s="15">
        <f t="shared" si="6"/>
        <v>1.4322391438674487</v>
      </c>
      <c r="T21" s="15">
        <f t="shared" si="7"/>
        <v>3.7933056663053986</v>
      </c>
      <c r="U21" s="45">
        <f t="shared" si="8"/>
        <v>13.636805240630441</v>
      </c>
      <c r="V21" s="45">
        <f t="shared" si="9"/>
        <v>4.1880663839242747</v>
      </c>
      <c r="W21" s="45">
        <f t="shared" si="9"/>
        <v>44.402939238187649</v>
      </c>
    </row>
    <row r="22" spans="1:25" x14ac:dyDescent="0.25">
      <c r="Q22" s="15" cm="1">
        <f t="array" ref="Q22">SUM($C$4:$C$21*$P$4:$P$21)</f>
        <v>2.6127724050864236</v>
      </c>
    </row>
    <row r="26" spans="1:25" x14ac:dyDescent="0.25">
      <c r="A26" s="6" t="s">
        <v>66</v>
      </c>
    </row>
    <row r="27" spans="1:25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5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5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85" t="s">
        <v>37</v>
      </c>
      <c r="I29" s="85"/>
      <c r="J29" s="85"/>
      <c r="K29" s="85"/>
      <c r="L29" s="85"/>
      <c r="M29" s="85"/>
    </row>
    <row r="30" spans="1:25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5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5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723F-44A1-4211-B943-6C66678064B3}">
  <dimension ref="A1:AA32"/>
  <sheetViews>
    <sheetView topLeftCell="O1" workbookViewId="0">
      <selection activeCell="AA4" sqref="AA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32.7109375" style="1" customWidth="1"/>
    <col min="18" max="18" width="21.7109375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7" ht="45" x14ac:dyDescent="0.25">
      <c r="A1" s="23" t="s">
        <v>132</v>
      </c>
      <c r="B1" s="2" t="s">
        <v>57</v>
      </c>
    </row>
    <row r="2" spans="1:27" x14ac:dyDescent="0.25">
      <c r="C2" s="84" t="s">
        <v>56</v>
      </c>
      <c r="D2" s="84"/>
      <c r="E2" s="84"/>
      <c r="F2" s="84"/>
      <c r="G2" s="84"/>
      <c r="H2" s="84"/>
      <c r="I2" s="84"/>
      <c r="L2" s="84" t="s">
        <v>46</v>
      </c>
      <c r="M2" s="84"/>
      <c r="P2" s="22"/>
      <c r="Q2" s="22"/>
      <c r="S2" s="84" t="s">
        <v>47</v>
      </c>
      <c r="T2" s="84"/>
      <c r="V2" s="84" t="s">
        <v>47</v>
      </c>
      <c r="W2" s="84"/>
    </row>
    <row r="3" spans="1:27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76</v>
      </c>
      <c r="R3" s="3" t="s">
        <v>38</v>
      </c>
      <c r="S3" s="3" t="s">
        <v>9</v>
      </c>
      <c r="T3" s="3" t="s">
        <v>39</v>
      </c>
      <c r="U3" s="3" t="s">
        <v>40</v>
      </c>
      <c r="V3" s="3" t="s">
        <v>136</v>
      </c>
      <c r="W3" s="3" t="s">
        <v>41</v>
      </c>
      <c r="X3" s="3" t="s">
        <v>42</v>
      </c>
      <c r="Y3" s="3" t="s">
        <v>1</v>
      </c>
      <c r="Z3" s="3" t="s">
        <v>41</v>
      </c>
      <c r="AA3" s="3" t="s">
        <v>42</v>
      </c>
    </row>
    <row r="4" spans="1:27" s="13" customFormat="1" x14ac:dyDescent="0.25">
      <c r="A4" s="38" t="s">
        <v>11</v>
      </c>
      <c r="B4" s="38" t="s">
        <v>10</v>
      </c>
      <c r="C4" s="38">
        <f>'inverse variance-Buckland CI'!C4</f>
        <v>2.7134987753970501</v>
      </c>
      <c r="D4" s="38">
        <f>'inverse variance-Buckland CI'!D4</f>
        <v>0.15515670035065199</v>
      </c>
      <c r="E4" s="38">
        <f>'inverse variance-Buckland CI'!E4</f>
        <v>2.5085000421862702</v>
      </c>
      <c r="F4" s="38">
        <f>'inverse variance-Buckland CI'!F4</f>
        <v>2.9184975086078202</v>
      </c>
      <c r="G4" s="38">
        <f>'inverse variance-Buckland CI'!G4</f>
        <v>32.571484305050198</v>
      </c>
      <c r="H4" s="38">
        <f>'inverse variance-Buckland CI'!H4</f>
        <v>0.42899999999999999</v>
      </c>
      <c r="I4" s="38">
        <f>'inverse variance-Buckland CI'!I4</f>
        <v>22</v>
      </c>
      <c r="J4" s="39">
        <f>D4*SQRT(I4)</f>
        <v>0.7277494325668995</v>
      </c>
      <c r="K4" s="39">
        <v>1.321237</v>
      </c>
      <c r="L4" s="39">
        <f>N4-(K4*D4)</f>
        <v>2.6005205020958555</v>
      </c>
      <c r="M4" s="39">
        <f>N4+(K4*D4)</f>
        <v>3.0105180486982444</v>
      </c>
      <c r="N4" s="40">
        <f>C4+((H4*H4)/2)</f>
        <v>2.8055192753970499</v>
      </c>
      <c r="O4" s="43">
        <f>EXP(N4)</f>
        <v>16.535660238589298</v>
      </c>
      <c r="P4" s="41">
        <f>1/18</f>
        <v>5.5555555555555552E-2</v>
      </c>
      <c r="Q4" s="41">
        <f>P4</f>
        <v>5.5555555555555552E-2</v>
      </c>
      <c r="R4" s="39" cm="1">
        <f t="array" ref="R4">SUM($C$4:$C$21*$P$4:$P$21)</f>
        <v>2.6127724050864236</v>
      </c>
      <c r="S4" s="39">
        <f>J4*J4</f>
        <v>0.52961923660144417</v>
      </c>
      <c r="T4" s="40">
        <f>S4+((C4-R4)^2)</f>
        <v>0.53976503827739764</v>
      </c>
      <c r="U4" s="39">
        <f>SQRT(T4)*Q4</f>
        <v>4.0815946346554395E-2</v>
      </c>
      <c r="V4" s="42">
        <f>SUM($U$4:$U$21)</f>
        <v>0.57900211133572577</v>
      </c>
      <c r="W4" s="39">
        <f>R4-1.28*V4</f>
        <v>1.8716497025766947</v>
      </c>
      <c r="X4" s="39">
        <f>R4+1.28*V4</f>
        <v>3.3538951075961525</v>
      </c>
      <c r="Y4" s="41">
        <f>EXP(R4)</f>
        <v>13.636805240630441</v>
      </c>
      <c r="Z4" s="43">
        <f>EXP(W4)</f>
        <v>6.4990089924416958</v>
      </c>
      <c r="AA4" s="43">
        <f>EXP(X4)</f>
        <v>28.613971358888556</v>
      </c>
    </row>
    <row r="5" spans="1:27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4">
        <f t="shared" ref="O5:O21" si="4">EXP(N5)</f>
        <v>15.569482666710917</v>
      </c>
      <c r="P5" s="11">
        <f t="shared" ref="P5:P21" si="5">1/18</f>
        <v>5.5555555555555552E-2</v>
      </c>
      <c r="Q5" s="11">
        <f t="shared" ref="Q5:Q20" si="6">P5</f>
        <v>5.5555555555555552E-2</v>
      </c>
      <c r="R5" s="5" cm="1">
        <f t="array" ref="R5">SUM($C$4:$C$21*$P$4:$P$21)</f>
        <v>2.6127724050864236</v>
      </c>
      <c r="S5" s="5">
        <f t="shared" ref="S5:S21" si="7">J5*J5</f>
        <v>0.23928926230163691</v>
      </c>
      <c r="T5" s="81">
        <f t="shared" ref="T5:T21" si="8">S5+((C5-R5)^2)</f>
        <v>0.24721522107531729</v>
      </c>
      <c r="U5" s="5">
        <f t="shared" ref="U5:U21" si="9">SQRT(T5)*Q5</f>
        <v>2.7622634588150449E-2</v>
      </c>
      <c r="V5" s="20">
        <f t="shared" ref="V5:V21" si="10">SUM($U$4:$U$21)</f>
        <v>0.57900211133572577</v>
      </c>
      <c r="W5" s="5">
        <f t="shared" ref="W5:W21" si="11">R5-1.28*V5</f>
        <v>1.8716497025766947</v>
      </c>
      <c r="X5" s="5">
        <f t="shared" ref="X5:X21" si="12">R5+1.28*V5</f>
        <v>3.3538951075961525</v>
      </c>
      <c r="Y5" s="11">
        <f t="shared" ref="Y5:Y21" si="13">EXP(R5)</f>
        <v>13.636805240630441</v>
      </c>
      <c r="Z5" s="44">
        <f t="shared" ref="Z5:AA21" si="14">EXP(W5)</f>
        <v>6.4990089924416958</v>
      </c>
      <c r="AA5" s="44">
        <f t="shared" si="14"/>
        <v>28.613971358888556</v>
      </c>
    </row>
    <row r="6" spans="1:27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4">
        <f t="shared" si="4"/>
        <v>16.426955370314055</v>
      </c>
      <c r="P6" s="11">
        <f t="shared" si="5"/>
        <v>5.5555555555555552E-2</v>
      </c>
      <c r="Q6" s="11">
        <f t="shared" si="6"/>
        <v>5.5555555555555552E-2</v>
      </c>
      <c r="R6" s="5" cm="1">
        <f t="array" ref="R6">SUM($C$4:$C$21*$P$4:$P$21)</f>
        <v>2.6127724050864236</v>
      </c>
      <c r="S6" s="5">
        <f t="shared" si="7"/>
        <v>0.26368679784352977</v>
      </c>
      <c r="T6" s="81">
        <f t="shared" si="8"/>
        <v>0.2828443198895097</v>
      </c>
      <c r="U6" s="5">
        <f t="shared" si="9"/>
        <v>2.9546172272483566E-2</v>
      </c>
      <c r="V6" s="20">
        <f t="shared" si="10"/>
        <v>0.57900211133572577</v>
      </c>
      <c r="W6" s="5">
        <f t="shared" si="11"/>
        <v>1.8716497025766947</v>
      </c>
      <c r="X6" s="5">
        <f t="shared" si="12"/>
        <v>3.3538951075961525</v>
      </c>
      <c r="Y6" s="11">
        <f t="shared" si="13"/>
        <v>13.636805240630441</v>
      </c>
      <c r="Z6" s="44">
        <f t="shared" si="14"/>
        <v>6.4990089924416958</v>
      </c>
      <c r="AA6" s="44">
        <f t="shared" si="14"/>
        <v>28.613971358888556</v>
      </c>
    </row>
    <row r="7" spans="1:27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4">
        <f t="shared" si="4"/>
        <v>13.325795917044662</v>
      </c>
      <c r="P7" s="11">
        <f t="shared" si="5"/>
        <v>5.5555555555555552E-2</v>
      </c>
      <c r="Q7" s="11">
        <f t="shared" si="6"/>
        <v>5.5555555555555552E-2</v>
      </c>
      <c r="R7" s="5" cm="1">
        <f t="array" ref="R7">SUM($C$4:$C$21*$P$4:$P$21)</f>
        <v>2.6127724050864236</v>
      </c>
      <c r="S7" s="5">
        <f t="shared" si="7"/>
        <v>0.37408046919502075</v>
      </c>
      <c r="T7" s="81">
        <f t="shared" si="8"/>
        <v>0.38073131300332513</v>
      </c>
      <c r="U7" s="5">
        <f t="shared" si="9"/>
        <v>3.4279682686279213E-2</v>
      </c>
      <c r="V7" s="20">
        <f t="shared" si="10"/>
        <v>0.57900211133572577</v>
      </c>
      <c r="W7" s="5">
        <f t="shared" si="11"/>
        <v>1.8716497025766947</v>
      </c>
      <c r="X7" s="5">
        <f t="shared" si="12"/>
        <v>3.3538951075961525</v>
      </c>
      <c r="Y7" s="11">
        <f t="shared" si="13"/>
        <v>13.636805240630441</v>
      </c>
      <c r="Z7" s="44">
        <f t="shared" si="14"/>
        <v>6.4990089924416958</v>
      </c>
      <c r="AA7" s="44">
        <f t="shared" si="14"/>
        <v>28.613971358888556</v>
      </c>
    </row>
    <row r="8" spans="1:27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4">
        <f t="shared" si="4"/>
        <v>14.865801918074126</v>
      </c>
      <c r="P8" s="11">
        <f t="shared" si="5"/>
        <v>5.5555555555555552E-2</v>
      </c>
      <c r="Q8" s="11">
        <f t="shared" si="6"/>
        <v>5.5555555555555552E-2</v>
      </c>
      <c r="R8" s="5" cm="1">
        <f t="array" ref="R8">SUM($C$4:$C$21*$P$4:$P$21)</f>
        <v>2.6127724050864236</v>
      </c>
      <c r="S8" s="5">
        <f t="shared" si="7"/>
        <v>0.26205496424691394</v>
      </c>
      <c r="T8" s="81">
        <f t="shared" si="8"/>
        <v>0.26358897870549791</v>
      </c>
      <c r="U8" s="5">
        <f t="shared" si="9"/>
        <v>2.8522731821698361E-2</v>
      </c>
      <c r="V8" s="20">
        <f t="shared" si="10"/>
        <v>0.57900211133572577</v>
      </c>
      <c r="W8" s="5">
        <f t="shared" si="11"/>
        <v>1.8716497025766947</v>
      </c>
      <c r="X8" s="5">
        <f t="shared" si="12"/>
        <v>3.3538951075961525</v>
      </c>
      <c r="Y8" s="11">
        <f t="shared" si="13"/>
        <v>13.636805240630441</v>
      </c>
      <c r="Z8" s="44">
        <f t="shared" si="14"/>
        <v>6.4990089924416958</v>
      </c>
      <c r="AA8" s="44">
        <f t="shared" si="14"/>
        <v>28.613971358888556</v>
      </c>
    </row>
    <row r="9" spans="1:27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4">
        <f t="shared" si="4"/>
        <v>13.361870349047656</v>
      </c>
      <c r="P9" s="11">
        <f t="shared" si="5"/>
        <v>5.5555555555555552E-2</v>
      </c>
      <c r="Q9" s="11">
        <f t="shared" si="6"/>
        <v>5.5555555555555552E-2</v>
      </c>
      <c r="R9" s="5" cm="1">
        <f t="array" ref="R9">SUM($C$4:$C$21*$P$4:$P$21)</f>
        <v>2.6127724050864236</v>
      </c>
      <c r="S9" s="5">
        <f t="shared" si="7"/>
        <v>0.31855389627404135</v>
      </c>
      <c r="T9" s="81">
        <f t="shared" si="8"/>
        <v>0.32372174495897077</v>
      </c>
      <c r="U9" s="5">
        <f t="shared" si="9"/>
        <v>3.1609194677260782E-2</v>
      </c>
      <c r="V9" s="20">
        <f t="shared" si="10"/>
        <v>0.57900211133572577</v>
      </c>
      <c r="W9" s="5">
        <f t="shared" si="11"/>
        <v>1.8716497025766947</v>
      </c>
      <c r="X9" s="5">
        <f t="shared" si="12"/>
        <v>3.3538951075961525</v>
      </c>
      <c r="Y9" s="11">
        <f t="shared" si="13"/>
        <v>13.636805240630441</v>
      </c>
      <c r="Z9" s="44">
        <f t="shared" si="14"/>
        <v>6.4990089924416958</v>
      </c>
      <c r="AA9" s="44">
        <f t="shared" si="14"/>
        <v>28.613971358888556</v>
      </c>
    </row>
    <row r="10" spans="1:27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4">
        <f t="shared" si="4"/>
        <v>15.911382668129054</v>
      </c>
      <c r="P10" s="11">
        <f t="shared" si="5"/>
        <v>5.5555555555555552E-2</v>
      </c>
      <c r="Q10" s="11">
        <f t="shared" si="6"/>
        <v>5.5555555555555552E-2</v>
      </c>
      <c r="R10" s="5" cm="1">
        <f t="array" ref="R10">SUM($C$4:$C$21*$P$4:$P$21)</f>
        <v>2.6127724050864236</v>
      </c>
      <c r="S10" s="5">
        <f t="shared" si="7"/>
        <v>0.28322938965056788</v>
      </c>
      <c r="T10" s="81">
        <f t="shared" si="8"/>
        <v>0.29378527515001462</v>
      </c>
      <c r="U10" s="5">
        <f t="shared" si="9"/>
        <v>3.0112201453711979E-2</v>
      </c>
      <c r="V10" s="20">
        <f t="shared" si="10"/>
        <v>0.57900211133572577</v>
      </c>
      <c r="W10" s="5">
        <f t="shared" si="11"/>
        <v>1.8716497025766947</v>
      </c>
      <c r="X10" s="5">
        <f t="shared" si="12"/>
        <v>3.3538951075961525</v>
      </c>
      <c r="Y10" s="11">
        <f t="shared" si="13"/>
        <v>13.636805240630441</v>
      </c>
      <c r="Z10" s="44">
        <f t="shared" si="14"/>
        <v>6.4990089924416958</v>
      </c>
      <c r="AA10" s="44">
        <f t="shared" si="14"/>
        <v>28.613971358888556</v>
      </c>
    </row>
    <row r="11" spans="1:27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4">
        <f t="shared" si="4"/>
        <v>13.751928992117096</v>
      </c>
      <c r="P11" s="11">
        <f t="shared" si="5"/>
        <v>5.5555555555555552E-2</v>
      </c>
      <c r="Q11" s="11">
        <f t="shared" si="6"/>
        <v>5.5555555555555552E-2</v>
      </c>
      <c r="R11" s="5" cm="1">
        <f t="array" ref="R11">SUM($C$4:$C$21*$P$4:$P$21)</f>
        <v>2.6127724050864236</v>
      </c>
      <c r="S11" s="5">
        <f t="shared" si="7"/>
        <v>0.38058557715103836</v>
      </c>
      <c r="T11" s="81">
        <f t="shared" si="8"/>
        <v>0.38341515756031286</v>
      </c>
      <c r="U11" s="5">
        <f t="shared" si="9"/>
        <v>3.4400292381415759E-2</v>
      </c>
      <c r="V11" s="20">
        <f t="shared" si="10"/>
        <v>0.57900211133572577</v>
      </c>
      <c r="W11" s="5">
        <f t="shared" si="11"/>
        <v>1.8716497025766947</v>
      </c>
      <c r="X11" s="5">
        <f t="shared" si="12"/>
        <v>3.3538951075961525</v>
      </c>
      <c r="Y11" s="11">
        <f t="shared" si="13"/>
        <v>13.636805240630441</v>
      </c>
      <c r="Z11" s="44">
        <f t="shared" si="14"/>
        <v>6.4990089924416958</v>
      </c>
      <c r="AA11" s="44">
        <f t="shared" si="14"/>
        <v>28.613971358888556</v>
      </c>
    </row>
    <row r="12" spans="1:27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4">
        <f t="shared" si="4"/>
        <v>14.372427467241701</v>
      </c>
      <c r="P12" s="11">
        <f t="shared" si="5"/>
        <v>5.5555555555555552E-2</v>
      </c>
      <c r="Q12" s="11">
        <f t="shared" si="6"/>
        <v>5.5555555555555552E-2</v>
      </c>
      <c r="R12" s="5" cm="1">
        <f t="array" ref="R12">SUM($C$4:$C$21*$P$4:$P$21)</f>
        <v>2.6127724050864236</v>
      </c>
      <c r="S12" s="5">
        <f t="shared" si="7"/>
        <v>0.30930555163076973</v>
      </c>
      <c r="T12" s="81">
        <f t="shared" si="8"/>
        <v>0.30930712112161834</v>
      </c>
      <c r="U12" s="5">
        <f t="shared" si="9"/>
        <v>3.0897436922826729E-2</v>
      </c>
      <c r="V12" s="20">
        <f t="shared" si="10"/>
        <v>0.57900211133572577</v>
      </c>
      <c r="W12" s="5">
        <f t="shared" si="11"/>
        <v>1.8716497025766947</v>
      </c>
      <c r="X12" s="5">
        <f t="shared" si="12"/>
        <v>3.3538951075961525</v>
      </c>
      <c r="Y12" s="11">
        <f t="shared" si="13"/>
        <v>13.636805240630441</v>
      </c>
      <c r="Z12" s="44">
        <f t="shared" si="14"/>
        <v>6.4990089924416958</v>
      </c>
      <c r="AA12" s="44">
        <f t="shared" si="14"/>
        <v>28.613971358888556</v>
      </c>
    </row>
    <row r="13" spans="1:27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4">
        <f t="shared" si="4"/>
        <v>13.624260811445337</v>
      </c>
      <c r="P13" s="11">
        <f t="shared" si="5"/>
        <v>5.5555555555555552E-2</v>
      </c>
      <c r="Q13" s="11">
        <f t="shared" si="6"/>
        <v>5.5555555555555552E-2</v>
      </c>
      <c r="R13" s="5" cm="1">
        <f t="array" ref="R13">SUM($C$4:$C$21*$P$4:$P$21)</f>
        <v>2.6127724050864236</v>
      </c>
      <c r="S13" s="5">
        <f t="shared" si="7"/>
        <v>0.34977036470160561</v>
      </c>
      <c r="T13" s="81">
        <f t="shared" si="8"/>
        <v>0.35313927542450924</v>
      </c>
      <c r="U13" s="5">
        <f t="shared" si="9"/>
        <v>3.3014179306183444E-2</v>
      </c>
      <c r="V13" s="20">
        <f t="shared" si="10"/>
        <v>0.57900211133572577</v>
      </c>
      <c r="W13" s="5">
        <f t="shared" si="11"/>
        <v>1.8716497025766947</v>
      </c>
      <c r="X13" s="5">
        <f t="shared" si="12"/>
        <v>3.3538951075961525</v>
      </c>
      <c r="Y13" s="11">
        <f t="shared" si="13"/>
        <v>13.636805240630441</v>
      </c>
      <c r="Z13" s="44">
        <f t="shared" si="14"/>
        <v>6.4990089924416958</v>
      </c>
      <c r="AA13" s="44">
        <f t="shared" si="14"/>
        <v>28.613971358888556</v>
      </c>
    </row>
    <row r="14" spans="1:27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4">
        <f t="shared" si="4"/>
        <v>16.262310370149034</v>
      </c>
      <c r="P14" s="11">
        <f t="shared" si="5"/>
        <v>5.5555555555555552E-2</v>
      </c>
      <c r="Q14" s="11">
        <f t="shared" si="6"/>
        <v>5.5555555555555552E-2</v>
      </c>
      <c r="R14" s="5" cm="1">
        <f t="array" ref="R14">SUM($C$4:$C$21*$P$4:$P$21)</f>
        <v>2.6127724050864236</v>
      </c>
      <c r="S14" s="5">
        <f t="shared" si="7"/>
        <v>0.27786412788077514</v>
      </c>
      <c r="T14" s="81">
        <f t="shared" si="8"/>
        <v>0.29369814176435471</v>
      </c>
      <c r="U14" s="5">
        <f t="shared" si="9"/>
        <v>3.0107735653587101E-2</v>
      </c>
      <c r="V14" s="20">
        <f t="shared" si="10"/>
        <v>0.57900211133572577</v>
      </c>
      <c r="W14" s="5">
        <f t="shared" si="11"/>
        <v>1.8716497025766947</v>
      </c>
      <c r="X14" s="5">
        <f t="shared" si="12"/>
        <v>3.3538951075961525</v>
      </c>
      <c r="Y14" s="11">
        <f t="shared" si="13"/>
        <v>13.636805240630441</v>
      </c>
      <c r="Z14" s="44">
        <f t="shared" si="14"/>
        <v>6.4990089924416958</v>
      </c>
      <c r="AA14" s="44">
        <f t="shared" si="14"/>
        <v>28.613971358888556</v>
      </c>
    </row>
    <row r="15" spans="1:27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4">
        <f t="shared" si="4"/>
        <v>13.163446990038443</v>
      </c>
      <c r="P15" s="11">
        <f t="shared" si="5"/>
        <v>5.5555555555555552E-2</v>
      </c>
      <c r="Q15" s="11">
        <f t="shared" si="6"/>
        <v>5.5555555555555552E-2</v>
      </c>
      <c r="R15" s="5" cm="1">
        <f t="array" ref="R15">SUM($C$4:$C$21*$P$4:$P$21)</f>
        <v>2.6127724050864236</v>
      </c>
      <c r="S15" s="5">
        <f t="shared" si="7"/>
        <v>0.3703608593126812</v>
      </c>
      <c r="T15" s="81">
        <f t="shared" si="8"/>
        <v>0.37897067345054525</v>
      </c>
      <c r="U15" s="5">
        <f t="shared" si="9"/>
        <v>3.4200330003937476E-2</v>
      </c>
      <c r="V15" s="20">
        <f t="shared" si="10"/>
        <v>0.57900211133572577</v>
      </c>
      <c r="W15" s="5">
        <f t="shared" si="11"/>
        <v>1.8716497025766947</v>
      </c>
      <c r="X15" s="5">
        <f t="shared" si="12"/>
        <v>3.3538951075961525</v>
      </c>
      <c r="Y15" s="11">
        <f t="shared" si="13"/>
        <v>13.636805240630441</v>
      </c>
      <c r="Z15" s="44">
        <f t="shared" si="14"/>
        <v>6.4990089924416958</v>
      </c>
      <c r="AA15" s="44">
        <f t="shared" si="14"/>
        <v>28.613971358888556</v>
      </c>
    </row>
    <row r="16" spans="1:27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4">
        <f t="shared" si="4"/>
        <v>14.346815579232713</v>
      </c>
      <c r="P16" s="11">
        <f t="shared" si="5"/>
        <v>5.5555555555555552E-2</v>
      </c>
      <c r="Q16" s="11">
        <f t="shared" si="6"/>
        <v>5.5555555555555552E-2</v>
      </c>
      <c r="R16" s="5" cm="1">
        <f t="array" ref="R16">SUM($C$4:$C$21*$P$4:$P$21)</f>
        <v>2.6127724050864236</v>
      </c>
      <c r="S16" s="5">
        <f t="shared" si="7"/>
        <v>0.28177839242741937</v>
      </c>
      <c r="T16" s="81">
        <f t="shared" si="8"/>
        <v>0.28178051702995588</v>
      </c>
      <c r="U16" s="5">
        <f t="shared" si="9"/>
        <v>2.9490557027566637E-2</v>
      </c>
      <c r="V16" s="20">
        <f t="shared" si="10"/>
        <v>0.57900211133572577</v>
      </c>
      <c r="W16" s="5">
        <f t="shared" si="11"/>
        <v>1.8716497025766947</v>
      </c>
      <c r="X16" s="5">
        <f t="shared" si="12"/>
        <v>3.3538951075961525</v>
      </c>
      <c r="Y16" s="11">
        <f t="shared" si="13"/>
        <v>13.636805240630441</v>
      </c>
      <c r="Z16" s="44">
        <f t="shared" si="14"/>
        <v>6.4990089924416958</v>
      </c>
      <c r="AA16" s="44">
        <f t="shared" si="14"/>
        <v>28.613971358888556</v>
      </c>
    </row>
    <row r="17" spans="1:27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4">
        <f t="shared" si="4"/>
        <v>13.179471118228346</v>
      </c>
      <c r="P17" s="11">
        <f t="shared" si="5"/>
        <v>5.5555555555555552E-2</v>
      </c>
      <c r="Q17" s="11">
        <f t="shared" si="6"/>
        <v>5.5555555555555552E-2</v>
      </c>
      <c r="R17" s="5" cm="1">
        <f t="array" ref="R17">SUM($C$4:$C$21*$P$4:$P$21)</f>
        <v>2.6127724050864236</v>
      </c>
      <c r="S17" s="5">
        <f t="shared" si="7"/>
        <v>0.33576712472033093</v>
      </c>
      <c r="T17" s="81">
        <f t="shared" si="8"/>
        <v>0.34337968799118007</v>
      </c>
      <c r="U17" s="5">
        <f t="shared" si="9"/>
        <v>3.2554782318802718E-2</v>
      </c>
      <c r="V17" s="20">
        <f t="shared" si="10"/>
        <v>0.57900211133572577</v>
      </c>
      <c r="W17" s="5">
        <f t="shared" si="11"/>
        <v>1.8716497025766947</v>
      </c>
      <c r="X17" s="5">
        <f t="shared" si="12"/>
        <v>3.3538951075961525</v>
      </c>
      <c r="Y17" s="11">
        <f t="shared" si="13"/>
        <v>13.636805240630441</v>
      </c>
      <c r="Z17" s="44">
        <f t="shared" si="14"/>
        <v>6.4990089924416958</v>
      </c>
      <c r="AA17" s="44">
        <f t="shared" si="14"/>
        <v>28.613971358888556</v>
      </c>
    </row>
    <row r="18" spans="1:27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4">
        <f t="shared" si="4"/>
        <v>15.718853973057074</v>
      </c>
      <c r="P18" s="11">
        <f t="shared" si="5"/>
        <v>5.5555555555555552E-2</v>
      </c>
      <c r="Q18" s="11">
        <f t="shared" si="6"/>
        <v>5.5555555555555552E-2</v>
      </c>
      <c r="R18" s="5" cm="1">
        <f t="array" ref="R18">SUM($C$4:$C$21*$P$4:$P$21)</f>
        <v>2.6127724050864236</v>
      </c>
      <c r="S18" s="5">
        <f t="shared" si="7"/>
        <v>0.30036573055132959</v>
      </c>
      <c r="T18" s="81">
        <f t="shared" si="8"/>
        <v>0.30804623316361956</v>
      </c>
      <c r="U18" s="5">
        <f t="shared" si="9"/>
        <v>3.0834396035921644E-2</v>
      </c>
      <c r="V18" s="20">
        <f t="shared" si="10"/>
        <v>0.57900211133572577</v>
      </c>
      <c r="W18" s="5">
        <f t="shared" si="11"/>
        <v>1.8716497025766947</v>
      </c>
      <c r="X18" s="5">
        <f t="shared" si="12"/>
        <v>3.3538951075961525</v>
      </c>
      <c r="Y18" s="11">
        <f t="shared" si="13"/>
        <v>13.636805240630441</v>
      </c>
      <c r="Z18" s="44">
        <f t="shared" si="14"/>
        <v>6.4990089924416958</v>
      </c>
      <c r="AA18" s="44">
        <f t="shared" si="14"/>
        <v>28.613971358888556</v>
      </c>
    </row>
    <row r="19" spans="1:27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4">
        <f t="shared" si="4"/>
        <v>13.078780557886368</v>
      </c>
      <c r="P19" s="11">
        <f t="shared" si="5"/>
        <v>5.5555555555555552E-2</v>
      </c>
      <c r="Q19" s="11">
        <f t="shared" si="6"/>
        <v>5.5555555555555552E-2</v>
      </c>
      <c r="R19" s="5" cm="1">
        <f t="array" ref="R19">SUM($C$4:$C$21*$P$4:$P$21)</f>
        <v>2.6127724050864236</v>
      </c>
      <c r="S19" s="5">
        <f t="shared" si="7"/>
        <v>0.40187921108325431</v>
      </c>
      <c r="T19" s="81">
        <f t="shared" si="8"/>
        <v>0.41235131392369906</v>
      </c>
      <c r="U19" s="5">
        <f t="shared" si="9"/>
        <v>3.5674770363735266E-2</v>
      </c>
      <c r="V19" s="20">
        <f t="shared" si="10"/>
        <v>0.57900211133572577</v>
      </c>
      <c r="W19" s="5">
        <f t="shared" si="11"/>
        <v>1.8716497025766947</v>
      </c>
      <c r="X19" s="5">
        <f t="shared" si="12"/>
        <v>3.3538951075961525</v>
      </c>
      <c r="Y19" s="11">
        <f t="shared" si="13"/>
        <v>13.636805240630441</v>
      </c>
      <c r="Z19" s="44">
        <f t="shared" si="14"/>
        <v>6.4990089924416958</v>
      </c>
      <c r="AA19" s="44">
        <f t="shared" si="14"/>
        <v>28.613971358888556</v>
      </c>
    </row>
    <row r="20" spans="1:27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4">
        <f t="shared" si="4"/>
        <v>13.896752854515217</v>
      </c>
      <c r="P20" s="11">
        <f t="shared" si="5"/>
        <v>5.5555555555555552E-2</v>
      </c>
      <c r="Q20" s="11">
        <f t="shared" si="6"/>
        <v>5.5555555555555552E-2</v>
      </c>
      <c r="R20" s="5" cm="1">
        <f t="array" ref="R20">SUM($C$4:$C$21*$P$4:$P$21)</f>
        <v>2.6127724050864236</v>
      </c>
      <c r="S20" s="5">
        <f t="shared" si="7"/>
        <v>0.31032705235229924</v>
      </c>
      <c r="T20" s="81">
        <f t="shared" si="8"/>
        <v>0.31145636180785391</v>
      </c>
      <c r="U20" s="5">
        <f t="shared" si="9"/>
        <v>3.1004597518887275E-2</v>
      </c>
      <c r="V20" s="20">
        <f t="shared" si="10"/>
        <v>0.57900211133572577</v>
      </c>
      <c r="W20" s="5">
        <f t="shared" si="11"/>
        <v>1.8716497025766947</v>
      </c>
      <c r="X20" s="5">
        <f t="shared" si="12"/>
        <v>3.3538951075961525</v>
      </c>
      <c r="Y20" s="11">
        <f t="shared" si="13"/>
        <v>13.636805240630441</v>
      </c>
      <c r="Z20" s="44">
        <f t="shared" si="14"/>
        <v>6.4990089924416958</v>
      </c>
      <c r="AA20" s="44">
        <f t="shared" si="14"/>
        <v>28.613971358888556</v>
      </c>
    </row>
    <row r="21" spans="1:27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5">
        <f t="shared" si="4"/>
        <v>13.019669307732997</v>
      </c>
      <c r="P21" s="16">
        <f t="shared" si="5"/>
        <v>5.5555555555555552E-2</v>
      </c>
      <c r="Q21" s="16">
        <f>P21</f>
        <v>5.5555555555555552E-2</v>
      </c>
      <c r="R21" s="15" cm="1">
        <f t="array" ref="R21">SUM($C$4:$C$21*$P$4:$P$21)</f>
        <v>2.6127724050864236</v>
      </c>
      <c r="S21" s="15">
        <f t="shared" si="7"/>
        <v>0.37087572624429926</v>
      </c>
      <c r="T21" s="82">
        <f t="shared" si="8"/>
        <v>0.38150444288511237</v>
      </c>
      <c r="U21" s="15">
        <f t="shared" si="9"/>
        <v>3.431446995672293E-2</v>
      </c>
      <c r="V21" s="21">
        <f t="shared" si="10"/>
        <v>0.57900211133572577</v>
      </c>
      <c r="W21" s="15">
        <f t="shared" si="11"/>
        <v>1.8716497025766947</v>
      </c>
      <c r="X21" s="15">
        <f t="shared" si="12"/>
        <v>3.3538951075961525</v>
      </c>
      <c r="Y21" s="16">
        <f t="shared" si="13"/>
        <v>13.636805240630441</v>
      </c>
      <c r="Z21" s="45">
        <f t="shared" si="14"/>
        <v>6.4990089924416958</v>
      </c>
      <c r="AA21" s="45">
        <f t="shared" si="14"/>
        <v>28.613971358888556</v>
      </c>
    </row>
    <row r="23" spans="1:27" x14ac:dyDescent="0.25">
      <c r="P23" s="1">
        <f>1/18</f>
        <v>5.5555555555555552E-2</v>
      </c>
    </row>
    <row r="26" spans="1:27" x14ac:dyDescent="0.25">
      <c r="A26" s="6" t="s">
        <v>66</v>
      </c>
    </row>
    <row r="27" spans="1:27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7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7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85" t="s">
        <v>37</v>
      </c>
      <c r="I29" s="85"/>
      <c r="J29" s="85"/>
      <c r="K29" s="85"/>
      <c r="L29" s="85"/>
      <c r="M29" s="85"/>
    </row>
    <row r="30" spans="1:27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7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7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AA44"/>
  <sheetViews>
    <sheetView topLeftCell="P1" workbookViewId="0">
      <selection activeCell="AA4" sqref="AA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1" width="9.140625" style="1"/>
    <col min="12" max="12" width="13.42578125" style="1" customWidth="1"/>
    <col min="13" max="13" width="17.42578125" style="1" customWidth="1"/>
    <col min="14" max="14" width="19" style="1" bestFit="1" customWidth="1"/>
    <col min="15" max="16" width="19" style="1" customWidth="1"/>
    <col min="17" max="17" width="32.7109375" style="1" bestFit="1" customWidth="1"/>
    <col min="18" max="18" width="21.7109375" style="1" bestFit="1" customWidth="1"/>
    <col min="19" max="20" width="9.140625" style="1"/>
    <col min="21" max="21" width="12" style="1" bestFit="1" customWidth="1"/>
    <col min="22" max="22" width="9.5703125" style="1" bestFit="1" customWidth="1"/>
    <col min="23" max="23" width="22.28515625" style="1" customWidth="1"/>
    <col min="24" max="24" width="35.140625" style="1" customWidth="1"/>
    <col min="25" max="25" width="8.5703125" style="1" bestFit="1" customWidth="1"/>
    <col min="26" max="26" width="19.140625" style="1" customWidth="1"/>
    <col min="27" max="27" width="24.7109375" style="1" customWidth="1"/>
  </cols>
  <sheetData>
    <row r="1" spans="1:27" ht="60" x14ac:dyDescent="0.25">
      <c r="A1" s="23" t="s">
        <v>133</v>
      </c>
      <c r="B1" s="2" t="s">
        <v>57</v>
      </c>
      <c r="M1" s="36"/>
    </row>
    <row r="2" spans="1:27" x14ac:dyDescent="0.25">
      <c r="C2" s="84" t="s">
        <v>56</v>
      </c>
      <c r="D2" s="84"/>
      <c r="E2" s="84"/>
      <c r="F2" s="84"/>
      <c r="G2" s="84"/>
      <c r="H2" s="84"/>
      <c r="I2" s="84"/>
      <c r="L2" s="84" t="s">
        <v>46</v>
      </c>
      <c r="M2" s="84"/>
      <c r="Q2" s="22"/>
      <c r="S2" s="84" t="s">
        <v>43</v>
      </c>
      <c r="T2" s="84"/>
      <c r="U2" s="84"/>
      <c r="V2" s="84"/>
      <c r="W2" s="84" t="s">
        <v>47</v>
      </c>
      <c r="X2" s="84"/>
      <c r="Z2" s="84" t="s">
        <v>47</v>
      </c>
      <c r="AA2" s="84"/>
    </row>
    <row r="3" spans="1:27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67</v>
      </c>
      <c r="Q3" s="3" t="s">
        <v>68</v>
      </c>
      <c r="R3" s="3" t="s">
        <v>38</v>
      </c>
      <c r="S3" s="3" t="s">
        <v>9</v>
      </c>
      <c r="T3" s="3" t="s">
        <v>39</v>
      </c>
      <c r="U3" s="3" t="s">
        <v>40</v>
      </c>
      <c r="V3" s="3" t="s">
        <v>137</v>
      </c>
      <c r="W3" s="3" t="s">
        <v>41</v>
      </c>
      <c r="X3" s="3" t="s">
        <v>42</v>
      </c>
      <c r="Y3" s="3" t="s">
        <v>1</v>
      </c>
      <c r="Z3" s="3" t="s">
        <v>41</v>
      </c>
      <c r="AA3" s="3" t="s">
        <v>42</v>
      </c>
    </row>
    <row r="4" spans="1:27" s="13" customFormat="1" x14ac:dyDescent="0.25">
      <c r="A4" s="38" t="s">
        <v>11</v>
      </c>
      <c r="B4" s="38" t="s">
        <v>10</v>
      </c>
      <c r="C4" s="38">
        <v>2.7134987753970501</v>
      </c>
      <c r="D4" s="38">
        <v>0.15515670035065199</v>
      </c>
      <c r="E4" s="38">
        <v>2.5085000421862702</v>
      </c>
      <c r="F4" s="38">
        <v>2.9184975086078202</v>
      </c>
      <c r="G4" s="38">
        <v>32.571484305050198</v>
      </c>
      <c r="H4" s="38">
        <v>0.42899999999999999</v>
      </c>
      <c r="I4" s="38">
        <v>22</v>
      </c>
      <c r="J4" s="39">
        <f>D4*SQRT(I4)</f>
        <v>0.7277494325668995</v>
      </c>
      <c r="K4" s="39">
        <v>1.321237</v>
      </c>
      <c r="L4" s="39">
        <f>N4-(K4*D4)</f>
        <v>2.6005205020958555</v>
      </c>
      <c r="M4" s="39">
        <f>N4+(K4*D4)</f>
        <v>3.0105180486982444</v>
      </c>
      <c r="N4" s="40">
        <f>C4+((H4*H4)/2)</f>
        <v>2.8055192753970499</v>
      </c>
      <c r="O4" s="43">
        <f>EXP(N4)</f>
        <v>16.535660238589298</v>
      </c>
      <c r="P4" s="53">
        <v>2.1379623298223098</v>
      </c>
      <c r="Q4" s="41">
        <f>P4/SUM($P$4:$P$21)</f>
        <v>3.2467582370824304E-2</v>
      </c>
      <c r="R4" s="39" cm="1">
        <f t="array" ref="R4">SUM($C$4:$C$21*$Q$4:$Q$21)</f>
        <v>2.6075882255237608</v>
      </c>
      <c r="S4" s="39">
        <f>J4*J4</f>
        <v>0.52961923660144417</v>
      </c>
      <c r="T4" s="40">
        <f>S4+((C4-R4)^2)</f>
        <v>0.54083628117590665</v>
      </c>
      <c r="U4" s="39">
        <f>SQRT(T4)*Q4</f>
        <v>2.3877170464856896E-2</v>
      </c>
      <c r="V4" s="42">
        <f>SUM($U$4:$U$21)</f>
        <v>0.57365008082015445</v>
      </c>
      <c r="W4" s="39">
        <f>R4-1.28*V4</f>
        <v>1.8733161220739629</v>
      </c>
      <c r="X4" s="39">
        <f>R4+1.28*V4</f>
        <v>3.3418603289735587</v>
      </c>
      <c r="Y4" s="41">
        <f>EXP(R4)</f>
        <v>13.566292526810143</v>
      </c>
      <c r="Z4" s="43">
        <f>EXP(W4)</f>
        <v>6.5098480964784642</v>
      </c>
      <c r="AA4" s="83">
        <f>EXP(X4)</f>
        <v>28.271672425435618</v>
      </c>
    </row>
    <row r="5" spans="1:27" s="12" customFormat="1" x14ac:dyDescent="0.25">
      <c r="A5" s="10" t="s">
        <v>12</v>
      </c>
      <c r="B5" s="10" t="s">
        <v>19</v>
      </c>
      <c r="C5" s="10">
        <v>2.7018002590068702</v>
      </c>
      <c r="D5" s="10">
        <v>0.10674608553136</v>
      </c>
      <c r="E5" s="10">
        <v>2.5605551330492</v>
      </c>
      <c r="F5" s="10">
        <v>2.8430453849645398</v>
      </c>
      <c r="G5" s="10">
        <v>16.397796532519799</v>
      </c>
      <c r="H5" s="10">
        <v>0.29499999999999998</v>
      </c>
      <c r="I5" s="10"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4">
        <f>EXP(N5)</f>
        <v>15.569482666710917</v>
      </c>
      <c r="P5" s="54">
        <v>4.6301110332988804</v>
      </c>
      <c r="Q5" s="11">
        <f t="shared" ref="Q5:Q21" si="4">P5/SUM($P$4:$P$21)</f>
        <v>7.0313919596603894E-2</v>
      </c>
      <c r="R5" s="5" cm="1">
        <f t="array" ref="R5">SUM($C$4:$C$21*$Q$4:$Q$21)</f>
        <v>2.6075882255237608</v>
      </c>
      <c r="S5" s="5">
        <f t="shared" ref="S5:S21" si="5">J5*J5</f>
        <v>0.23928926230163691</v>
      </c>
      <c r="T5" s="81">
        <f t="shared" ref="T5:T21" si="6">S5+((C5-R5)^2)</f>
        <v>0.24816516955465942</v>
      </c>
      <c r="U5" s="5">
        <f t="shared" ref="U5:U21" si="7">SQRT(T5)*Q5</f>
        <v>3.5027708086175002E-2</v>
      </c>
      <c r="V5" s="20">
        <f t="shared" ref="V5:V21" si="8">SUM($U$4:$U$21)</f>
        <v>0.57365008082015445</v>
      </c>
      <c r="W5" s="5">
        <f t="shared" ref="W5:W21" si="9">R5-1.28*V5</f>
        <v>1.8733161220739629</v>
      </c>
      <c r="X5" s="5">
        <f t="shared" ref="X5:X21" si="10">R5+1.28*V5</f>
        <v>3.3418603289735587</v>
      </c>
      <c r="Y5" s="44">
        <f t="shared" ref="Y5:Y11" si="11">EXP(R5)</f>
        <v>13.566292526810143</v>
      </c>
      <c r="Z5" s="44">
        <f t="shared" ref="Z5:AA21" si="12">EXP(W5)</f>
        <v>6.5098480964784642</v>
      </c>
      <c r="AA5" s="44">
        <f t="shared" si="12"/>
        <v>28.271672425435618</v>
      </c>
    </row>
    <row r="6" spans="1:27" s="12" customFormat="1" x14ac:dyDescent="0.25">
      <c r="A6" s="10" t="s">
        <v>13</v>
      </c>
      <c r="B6" s="10" t="s">
        <v>48</v>
      </c>
      <c r="C6" s="10">
        <v>2.7511831057059202</v>
      </c>
      <c r="D6" s="10">
        <v>0.11205585296192801</v>
      </c>
      <c r="E6" s="10">
        <v>2.6029121598710798</v>
      </c>
      <c r="F6" s="10">
        <v>2.8994540515407601</v>
      </c>
      <c r="G6" s="10">
        <v>18.612079070521901</v>
      </c>
      <c r="H6" s="10">
        <v>0.309</v>
      </c>
      <c r="I6" s="10"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4">
        <f t="shared" ref="O6:O21" si="13">EXP(N6)</f>
        <v>16.426955370314055</v>
      </c>
      <c r="P6" s="54">
        <v>3.4523836060642301</v>
      </c>
      <c r="Q6" s="11">
        <f t="shared" si="4"/>
        <v>5.2428682929549046E-2</v>
      </c>
      <c r="R6" s="5" cm="1">
        <f t="array" ref="R6">SUM($C$4:$C$21*$Q$4:$Q$21)</f>
        <v>2.6075882255237608</v>
      </c>
      <c r="S6" s="5">
        <f t="shared" si="5"/>
        <v>0.26368679784352977</v>
      </c>
      <c r="T6" s="81">
        <f t="shared" si="6"/>
        <v>0.28430628745805847</v>
      </c>
      <c r="U6" s="5">
        <f t="shared" si="7"/>
        <v>2.7955172727289087E-2</v>
      </c>
      <c r="V6" s="20">
        <f t="shared" si="8"/>
        <v>0.57365008082015445</v>
      </c>
      <c r="W6" s="5">
        <f t="shared" si="9"/>
        <v>1.8733161220739629</v>
      </c>
      <c r="X6" s="5">
        <f t="shared" si="10"/>
        <v>3.3418603289735587</v>
      </c>
      <c r="Y6" s="44">
        <f t="shared" si="11"/>
        <v>13.566292526810143</v>
      </c>
      <c r="Z6" s="44">
        <f t="shared" si="12"/>
        <v>6.5098480964784642</v>
      </c>
      <c r="AA6" s="44">
        <f t="shared" si="12"/>
        <v>28.271672425435618</v>
      </c>
    </row>
    <row r="7" spans="1:27" s="12" customFormat="1" x14ac:dyDescent="0.25">
      <c r="A7" s="10" t="s">
        <v>14</v>
      </c>
      <c r="B7" s="10" t="s">
        <v>49</v>
      </c>
      <c r="C7" s="10">
        <v>2.53121969937837</v>
      </c>
      <c r="D7" s="10">
        <v>0.133466683767723</v>
      </c>
      <c r="E7" s="10">
        <v>2.3546182018519199</v>
      </c>
      <c r="F7" s="10">
        <v>2.7078211969048098</v>
      </c>
      <c r="G7" s="10">
        <v>23.563275054890301</v>
      </c>
      <c r="H7" s="10">
        <v>0.34200000000000003</v>
      </c>
      <c r="I7" s="10"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4">
        <f t="shared" si="13"/>
        <v>13.325795917044662</v>
      </c>
      <c r="P7" s="54">
        <v>3.6765344602851902</v>
      </c>
      <c r="Q7" s="11">
        <f t="shared" si="4"/>
        <v>5.5832688800650856E-2</v>
      </c>
      <c r="R7" s="5" cm="1">
        <f t="array" ref="R7">SUM($C$4:$C$21*$Q$4:$Q$21)</f>
        <v>2.6075882255237608</v>
      </c>
      <c r="S7" s="5">
        <f t="shared" si="5"/>
        <v>0.37408046919502075</v>
      </c>
      <c r="T7" s="81">
        <f t="shared" si="6"/>
        <v>0.37991262098063999</v>
      </c>
      <c r="U7" s="5">
        <f t="shared" si="7"/>
        <v>3.441362356744667E-2</v>
      </c>
      <c r="V7" s="20">
        <f t="shared" si="8"/>
        <v>0.57365008082015445</v>
      </c>
      <c r="W7" s="5">
        <f t="shared" si="9"/>
        <v>1.8733161220739629</v>
      </c>
      <c r="X7" s="5">
        <f t="shared" si="10"/>
        <v>3.3418603289735587</v>
      </c>
      <c r="Y7" s="44">
        <f t="shared" si="11"/>
        <v>13.566292526810143</v>
      </c>
      <c r="Z7" s="44">
        <f t="shared" si="12"/>
        <v>6.5098480964784642</v>
      </c>
      <c r="AA7" s="44">
        <f t="shared" si="12"/>
        <v>28.271672425435618</v>
      </c>
    </row>
    <row r="8" spans="1:27" s="12" customFormat="1" x14ac:dyDescent="0.25">
      <c r="A8" s="10" t="s">
        <v>15</v>
      </c>
      <c r="B8" s="10" t="s">
        <v>50</v>
      </c>
      <c r="C8" s="10">
        <v>2.65193890172046</v>
      </c>
      <c r="D8" s="10">
        <v>0.111708584367011</v>
      </c>
      <c r="E8" s="10">
        <v>2.5041274574793899</v>
      </c>
      <c r="F8" s="10">
        <v>2.7997503459615301</v>
      </c>
      <c r="G8" s="10">
        <v>18.257177826155701</v>
      </c>
      <c r="H8" s="10">
        <v>0.307</v>
      </c>
      <c r="I8" s="10"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4">
        <f t="shared" si="13"/>
        <v>14.865801918074126</v>
      </c>
      <c r="P8" s="54">
        <v>4.6496036758389403</v>
      </c>
      <c r="Q8" s="11">
        <f t="shared" si="4"/>
        <v>7.0609939301191971E-2</v>
      </c>
      <c r="R8" s="5" cm="1">
        <f t="array" ref="R8">SUM($C$4:$C$21*$Q$4:$Q$21)</f>
        <v>2.6075882255237608</v>
      </c>
      <c r="S8" s="5">
        <f t="shared" si="5"/>
        <v>0.26205496424691394</v>
      </c>
      <c r="T8" s="81">
        <f t="shared" si="6"/>
        <v>0.26402194672601842</v>
      </c>
      <c r="U8" s="5">
        <f t="shared" si="7"/>
        <v>3.6281551684145208E-2</v>
      </c>
      <c r="V8" s="20">
        <f t="shared" si="8"/>
        <v>0.57365008082015445</v>
      </c>
      <c r="W8" s="5">
        <f t="shared" si="9"/>
        <v>1.8733161220739629</v>
      </c>
      <c r="X8" s="5">
        <f t="shared" si="10"/>
        <v>3.3418603289735587</v>
      </c>
      <c r="Y8" s="44">
        <f t="shared" si="11"/>
        <v>13.566292526810143</v>
      </c>
      <c r="Z8" s="44">
        <f t="shared" si="12"/>
        <v>6.5098480964784642</v>
      </c>
      <c r="AA8" s="44">
        <f t="shared" si="12"/>
        <v>28.271672425435618</v>
      </c>
    </row>
    <row r="9" spans="1:27" s="12" customFormat="1" x14ac:dyDescent="0.25">
      <c r="A9" s="10" t="s">
        <v>16</v>
      </c>
      <c r="B9" s="10" t="s">
        <v>51</v>
      </c>
      <c r="C9" s="10">
        <v>2.5408846544961499</v>
      </c>
      <c r="D9" s="10">
        <v>0.123163440825217</v>
      </c>
      <c r="E9" s="10">
        <v>2.3779162830927101</v>
      </c>
      <c r="F9" s="10">
        <v>2.7038530258995901</v>
      </c>
      <c r="G9" s="10">
        <v>20.527184459579601</v>
      </c>
      <c r="H9" s="10">
        <v>0.32100000000000001</v>
      </c>
      <c r="I9" s="10"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4">
        <f t="shared" si="13"/>
        <v>13.361870349047656</v>
      </c>
      <c r="P9" s="54">
        <v>4.5889999804526704</v>
      </c>
      <c r="Q9" s="11">
        <f t="shared" si="4"/>
        <v>6.9689597794476268E-2</v>
      </c>
      <c r="R9" s="5" cm="1">
        <f t="array" ref="R9">SUM($C$4:$C$21*$Q$4:$Q$21)</f>
        <v>2.6075882255237608</v>
      </c>
      <c r="S9" s="5">
        <f t="shared" si="5"/>
        <v>0.31855389627404135</v>
      </c>
      <c r="T9" s="81">
        <f t="shared" si="6"/>
        <v>0.3230032626618769</v>
      </c>
      <c r="U9" s="5">
        <f t="shared" si="7"/>
        <v>3.9606951141667762E-2</v>
      </c>
      <c r="V9" s="20">
        <f t="shared" si="8"/>
        <v>0.57365008082015445</v>
      </c>
      <c r="W9" s="5">
        <f t="shared" si="9"/>
        <v>1.8733161220739629</v>
      </c>
      <c r="X9" s="5">
        <f t="shared" si="10"/>
        <v>3.3418603289735587</v>
      </c>
      <c r="Y9" s="44">
        <f t="shared" si="11"/>
        <v>13.566292526810143</v>
      </c>
      <c r="Z9" s="44">
        <f t="shared" si="12"/>
        <v>6.5098480964784642</v>
      </c>
      <c r="AA9" s="44">
        <f t="shared" si="12"/>
        <v>28.271672425435618</v>
      </c>
    </row>
    <row r="10" spans="1:27" s="12" customFormat="1" x14ac:dyDescent="0.25">
      <c r="A10" s="10" t="s">
        <v>17</v>
      </c>
      <c r="B10" s="10" t="s">
        <v>28</v>
      </c>
      <c r="C10" s="10">
        <v>2.7155142441756999</v>
      </c>
      <c r="D10" s="10">
        <v>0.11613403374069201</v>
      </c>
      <c r="E10" s="10">
        <v>2.5618470989869699</v>
      </c>
      <c r="F10" s="10">
        <v>2.8691813893644298</v>
      </c>
      <c r="G10" s="10">
        <v>20.4547231552773</v>
      </c>
      <c r="H10" s="10">
        <v>0.32100000000000001</v>
      </c>
      <c r="I10" s="10"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4">
        <f t="shared" si="13"/>
        <v>15.911382668129054</v>
      </c>
      <c r="P10" s="54">
        <v>3.22392548419581</v>
      </c>
      <c r="Q10" s="11">
        <f t="shared" si="4"/>
        <v>4.8959265911961446E-2</v>
      </c>
      <c r="R10" s="5" cm="1">
        <f t="array" ref="R10">SUM($C$4:$C$21*$Q$4:$Q$21)</f>
        <v>2.6075882255237608</v>
      </c>
      <c r="S10" s="5">
        <f t="shared" si="5"/>
        <v>0.28322938965056788</v>
      </c>
      <c r="T10" s="81">
        <f t="shared" si="6"/>
        <v>0.29487741515262655</v>
      </c>
      <c r="U10" s="5">
        <f t="shared" si="7"/>
        <v>2.6586162376840743E-2</v>
      </c>
      <c r="V10" s="20">
        <f t="shared" si="8"/>
        <v>0.57365008082015445</v>
      </c>
      <c r="W10" s="5">
        <f t="shared" si="9"/>
        <v>1.8733161220739629</v>
      </c>
      <c r="X10" s="5">
        <f t="shared" si="10"/>
        <v>3.3418603289735587</v>
      </c>
      <c r="Y10" s="44">
        <f t="shared" si="11"/>
        <v>13.566292526810143</v>
      </c>
      <c r="Z10" s="44">
        <f t="shared" si="12"/>
        <v>6.5098480964784642</v>
      </c>
      <c r="AA10" s="44">
        <f t="shared" si="12"/>
        <v>28.271672425435618</v>
      </c>
    </row>
    <row r="11" spans="1:27" s="12" customFormat="1" x14ac:dyDescent="0.25">
      <c r="A11" s="10" t="s">
        <v>18</v>
      </c>
      <c r="B11" s="10" t="s">
        <v>26</v>
      </c>
      <c r="C11" s="10">
        <v>2.5595786046086002</v>
      </c>
      <c r="D11" s="10">
        <v>0.13462214796042299</v>
      </c>
      <c r="E11" s="10">
        <v>2.3814482108736801</v>
      </c>
      <c r="F11" s="10">
        <v>2.7377089983435101</v>
      </c>
      <c r="G11" s="10">
        <v>24.740100875554401</v>
      </c>
      <c r="H11" s="10">
        <v>0.35099999999999998</v>
      </c>
      <c r="I11" s="10"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4">
        <f t="shared" si="13"/>
        <v>13.751928992117096</v>
      </c>
      <c r="P11" s="54">
        <v>3.4270230727498299</v>
      </c>
      <c r="Q11" s="11">
        <f t="shared" si="4"/>
        <v>5.2043552100596711E-2</v>
      </c>
      <c r="R11" s="5" cm="1">
        <f t="array" ref="R11">SUM($C$4:$C$21*$Q$4:$Q$21)</f>
        <v>2.6075882255237608</v>
      </c>
      <c r="S11" s="5">
        <f t="shared" si="5"/>
        <v>0.38058557715103836</v>
      </c>
      <c r="T11" s="81">
        <f t="shared" si="6"/>
        <v>0.38289050085145576</v>
      </c>
      <c r="U11" s="5">
        <f t="shared" si="7"/>
        <v>3.2203585388384581E-2</v>
      </c>
      <c r="V11" s="20">
        <f t="shared" si="8"/>
        <v>0.57365008082015445</v>
      </c>
      <c r="W11" s="5">
        <f t="shared" si="9"/>
        <v>1.8733161220739629</v>
      </c>
      <c r="X11" s="5">
        <f t="shared" si="10"/>
        <v>3.3418603289735587</v>
      </c>
      <c r="Y11" s="44">
        <f t="shared" si="11"/>
        <v>13.566292526810143</v>
      </c>
      <c r="Z11" s="44">
        <f t="shared" si="12"/>
        <v>6.5098480964784642</v>
      </c>
      <c r="AA11" s="44">
        <f t="shared" si="12"/>
        <v>28.271672425435618</v>
      </c>
    </row>
    <row r="12" spans="1:27" s="12" customFormat="1" x14ac:dyDescent="0.25">
      <c r="A12" s="10" t="s">
        <v>20</v>
      </c>
      <c r="B12" s="10" t="s">
        <v>52</v>
      </c>
      <c r="C12" s="10">
        <v>2.6115196118677999</v>
      </c>
      <c r="D12" s="10">
        <v>0.121362415071312</v>
      </c>
      <c r="E12" s="10">
        <v>2.45093433590245</v>
      </c>
      <c r="F12" s="10">
        <v>2.7721048878331498</v>
      </c>
      <c r="G12" s="10">
        <v>21.523063419841701</v>
      </c>
      <c r="H12" s="10">
        <v>0.32800000000000001</v>
      </c>
      <c r="I12" s="10"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4">
        <f t="shared" si="13"/>
        <v>14.372427467241701</v>
      </c>
      <c r="P12" s="54">
        <v>3.5382878351427101</v>
      </c>
      <c r="Q12" s="11">
        <f t="shared" si="4"/>
        <v>5.3733244097303352E-2</v>
      </c>
      <c r="R12" s="5" cm="1">
        <f t="array" ref="R12">SUM($C$4:$C$21*$Q$4:$Q$21)</f>
        <v>2.6075882255237608</v>
      </c>
      <c r="S12" s="5">
        <f t="shared" si="5"/>
        <v>0.30930555163076973</v>
      </c>
      <c r="T12" s="81">
        <f t="shared" si="6"/>
        <v>0.30932100742935581</v>
      </c>
      <c r="U12" s="5">
        <f t="shared" si="7"/>
        <v>2.9884622173551131E-2</v>
      </c>
      <c r="V12" s="20">
        <f t="shared" si="8"/>
        <v>0.57365008082015445</v>
      </c>
      <c r="W12" s="5">
        <f t="shared" si="9"/>
        <v>1.8733161220739629</v>
      </c>
      <c r="X12" s="5">
        <f t="shared" si="10"/>
        <v>3.3418603289735587</v>
      </c>
      <c r="Y12" s="44">
        <f t="shared" ref="Y12:Y21" si="14">EXP(R12)</f>
        <v>13.566292526810143</v>
      </c>
      <c r="Z12" s="44">
        <f t="shared" si="12"/>
        <v>6.5098480964784642</v>
      </c>
      <c r="AA12" s="44">
        <f t="shared" si="12"/>
        <v>28.271672425435618</v>
      </c>
    </row>
    <row r="13" spans="1:27" s="12" customFormat="1" x14ac:dyDescent="0.25">
      <c r="A13" s="10" t="s">
        <v>21</v>
      </c>
      <c r="B13" s="10" t="s">
        <v>30</v>
      </c>
      <c r="C13" s="10">
        <v>2.5547300867066101</v>
      </c>
      <c r="D13" s="10">
        <v>0.12905708679672501</v>
      </c>
      <c r="E13" s="10">
        <v>2.3839633144208201</v>
      </c>
      <c r="F13" s="10">
        <v>2.7254968589924</v>
      </c>
      <c r="G13" s="10">
        <v>22.8745384232992</v>
      </c>
      <c r="H13" s="10">
        <v>0.33800000000000002</v>
      </c>
      <c r="I13" s="10"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4">
        <f t="shared" si="13"/>
        <v>13.624260811445337</v>
      </c>
      <c r="P13" s="54">
        <v>3.8945201757623802</v>
      </c>
      <c r="Q13" s="11">
        <f t="shared" si="4"/>
        <v>5.9143069472094661E-2</v>
      </c>
      <c r="R13" s="5" cm="1">
        <f t="array" ref="R13">SUM($C$4:$C$21*$Q$4:$Q$21)</f>
        <v>2.6075882255237608</v>
      </c>
      <c r="S13" s="5">
        <f t="shared" si="5"/>
        <v>0.34977036470160561</v>
      </c>
      <c r="T13" s="81">
        <f t="shared" si="6"/>
        <v>0.35256434754081878</v>
      </c>
      <c r="U13" s="5">
        <f t="shared" si="7"/>
        <v>3.5117456790098367E-2</v>
      </c>
      <c r="V13" s="20">
        <f t="shared" si="8"/>
        <v>0.57365008082015445</v>
      </c>
      <c r="W13" s="5">
        <f t="shared" si="9"/>
        <v>1.8733161220739629</v>
      </c>
      <c r="X13" s="5">
        <f t="shared" si="10"/>
        <v>3.3418603289735587</v>
      </c>
      <c r="Y13" s="44">
        <f t="shared" si="14"/>
        <v>13.566292526810143</v>
      </c>
      <c r="Z13" s="44">
        <f t="shared" si="12"/>
        <v>6.5098480964784642</v>
      </c>
      <c r="AA13" s="44">
        <f t="shared" si="12"/>
        <v>28.271672425435618</v>
      </c>
    </row>
    <row r="14" spans="1:27" s="12" customFormat="1" x14ac:dyDescent="0.25">
      <c r="A14" s="10" t="s">
        <v>22</v>
      </c>
      <c r="B14" s="10" t="s">
        <v>33</v>
      </c>
      <c r="C14" s="10">
        <v>2.7386056832110102</v>
      </c>
      <c r="D14" s="10">
        <v>0.11502880133766399</v>
      </c>
      <c r="E14" s="10">
        <v>2.58640096813577</v>
      </c>
      <c r="F14" s="10">
        <v>2.8908103982862499</v>
      </c>
      <c r="G14" s="10">
        <v>19.936268573053699</v>
      </c>
      <c r="H14" s="10">
        <v>0.317</v>
      </c>
      <c r="I14" s="10"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4">
        <f t="shared" si="13"/>
        <v>16.262310370149034</v>
      </c>
      <c r="P14" s="54">
        <v>3.0607469710632502</v>
      </c>
      <c r="Q14" s="11">
        <f t="shared" si="4"/>
        <v>4.6481199885082314E-2</v>
      </c>
      <c r="R14" s="5" cm="1">
        <f t="array" ref="R14">SUM($C$4:$C$21*$Q$4:$Q$21)</f>
        <v>2.6075882255237608</v>
      </c>
      <c r="S14" s="5">
        <f t="shared" si="5"/>
        <v>0.27786412788077514</v>
      </c>
      <c r="T14" s="81">
        <f t="shared" si="6"/>
        <v>0.29502970209960533</v>
      </c>
      <c r="U14" s="5">
        <f t="shared" si="7"/>
        <v>2.5247024469374785E-2</v>
      </c>
      <c r="V14" s="20">
        <f t="shared" si="8"/>
        <v>0.57365008082015445</v>
      </c>
      <c r="W14" s="5">
        <f t="shared" si="9"/>
        <v>1.8733161220739629</v>
      </c>
      <c r="X14" s="5">
        <f t="shared" si="10"/>
        <v>3.3418603289735587</v>
      </c>
      <c r="Y14" s="44">
        <f t="shared" si="14"/>
        <v>13.566292526810143</v>
      </c>
      <c r="Z14" s="44">
        <f t="shared" si="12"/>
        <v>6.5098480964784642</v>
      </c>
      <c r="AA14" s="44">
        <f t="shared" si="12"/>
        <v>28.271672425435618</v>
      </c>
    </row>
    <row r="15" spans="1:27" s="12" customFormat="1" x14ac:dyDescent="0.25">
      <c r="A15" s="10" t="s">
        <v>23</v>
      </c>
      <c r="B15" s="10" t="s">
        <v>31</v>
      </c>
      <c r="C15" s="10">
        <v>2.5199833209339002</v>
      </c>
      <c r="D15" s="10">
        <v>0.13280147362074701</v>
      </c>
      <c r="E15" s="10">
        <v>2.3442620214074998</v>
      </c>
      <c r="F15" s="10">
        <v>2.6957046204602899</v>
      </c>
      <c r="G15" s="10">
        <v>23.027843900216102</v>
      </c>
      <c r="H15" s="10">
        <v>0.33900000000000002</v>
      </c>
      <c r="I15" s="10"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4">
        <f t="shared" si="13"/>
        <v>13.163446990038443</v>
      </c>
      <c r="P15" s="54">
        <v>3.5848212629665301</v>
      </c>
      <c r="Q15" s="11">
        <f t="shared" si="4"/>
        <v>5.4439911319542129E-2</v>
      </c>
      <c r="R15" s="5" cm="1">
        <f t="array" ref="R15">SUM($C$4:$C$21*$Q$4:$Q$21)</f>
        <v>2.6075882255237608</v>
      </c>
      <c r="S15" s="5">
        <f t="shared" si="5"/>
        <v>0.3703608593126812</v>
      </c>
      <c r="T15" s="81">
        <f t="shared" si="6"/>
        <v>0.37803547862087977</v>
      </c>
      <c r="U15" s="5">
        <f t="shared" si="7"/>
        <v>3.3472156177066621E-2</v>
      </c>
      <c r="V15" s="20">
        <f t="shared" si="8"/>
        <v>0.57365008082015445</v>
      </c>
      <c r="W15" s="5">
        <f t="shared" si="9"/>
        <v>1.8733161220739629</v>
      </c>
      <c r="X15" s="5">
        <f t="shared" si="10"/>
        <v>3.3418603289735587</v>
      </c>
      <c r="Y15" s="44">
        <f t="shared" si="14"/>
        <v>13.566292526810143</v>
      </c>
      <c r="Z15" s="44">
        <f t="shared" si="12"/>
        <v>6.5098480964784642</v>
      </c>
      <c r="AA15" s="44">
        <f t="shared" si="12"/>
        <v>28.271672425435618</v>
      </c>
    </row>
    <row r="16" spans="1:27" s="12" customFormat="1" x14ac:dyDescent="0.25">
      <c r="A16" s="10" t="s">
        <v>24</v>
      </c>
      <c r="B16" s="10" t="s">
        <v>53</v>
      </c>
      <c r="C16" s="10">
        <v>2.61423000672491</v>
      </c>
      <c r="D16" s="10">
        <v>0.115836171755717</v>
      </c>
      <c r="E16" s="10">
        <v>2.46095698890278</v>
      </c>
      <c r="F16" s="10">
        <v>2.76750302454704</v>
      </c>
      <c r="G16" s="10">
        <v>19.432927366971601</v>
      </c>
      <c r="H16" s="10">
        <v>0.314</v>
      </c>
      <c r="I16" s="10"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4">
        <f t="shared" si="13"/>
        <v>14.346815579232713</v>
      </c>
      <c r="P16" s="54">
        <v>3.99217833699542</v>
      </c>
      <c r="Q16" s="11">
        <f t="shared" si="4"/>
        <v>6.0626128527808E-2</v>
      </c>
      <c r="R16" s="5" cm="1">
        <f t="array" ref="R16">SUM($C$4:$C$21*$Q$4:$Q$21)</f>
        <v>2.6075882255237608</v>
      </c>
      <c r="S16" s="5">
        <f t="shared" si="5"/>
        <v>0.28177839242741937</v>
      </c>
      <c r="T16" s="81">
        <f t="shared" si="6"/>
        <v>0.28182250568494333</v>
      </c>
      <c r="U16" s="5">
        <f t="shared" si="7"/>
        <v>3.2184567086838228E-2</v>
      </c>
      <c r="V16" s="20">
        <f t="shared" si="8"/>
        <v>0.57365008082015445</v>
      </c>
      <c r="W16" s="5">
        <f t="shared" si="9"/>
        <v>1.8733161220739629</v>
      </c>
      <c r="X16" s="5">
        <f t="shared" si="10"/>
        <v>3.3418603289735587</v>
      </c>
      <c r="Y16" s="44">
        <f t="shared" si="14"/>
        <v>13.566292526810143</v>
      </c>
      <c r="Z16" s="44">
        <f t="shared" si="12"/>
        <v>6.5098480964784642</v>
      </c>
      <c r="AA16" s="44">
        <f t="shared" si="12"/>
        <v>28.271672425435618</v>
      </c>
    </row>
    <row r="17" spans="1:27" s="12" customFormat="1" x14ac:dyDescent="0.25">
      <c r="A17" s="10" t="s">
        <v>25</v>
      </c>
      <c r="B17" s="10" t="s">
        <v>34</v>
      </c>
      <c r="C17" s="10">
        <v>2.5255224006689501</v>
      </c>
      <c r="D17" s="10">
        <v>0.12644726450567501</v>
      </c>
      <c r="E17" s="10">
        <v>2.3582089135916098</v>
      </c>
      <c r="F17" s="10">
        <v>2.6928358877462801</v>
      </c>
      <c r="G17" s="10">
        <v>21.2083411794416</v>
      </c>
      <c r="H17" s="10">
        <v>0.32600000000000001</v>
      </c>
      <c r="I17" s="10"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4">
        <f t="shared" si="13"/>
        <v>13.179471118228346</v>
      </c>
      <c r="P17" s="54">
        <v>4.0606570173372498</v>
      </c>
      <c r="Q17" s="11">
        <f t="shared" si="4"/>
        <v>6.1666061347778911E-2</v>
      </c>
      <c r="R17" s="5" cm="1">
        <f t="array" ref="R17">SUM($C$4:$C$21*$Q$4:$Q$21)</f>
        <v>2.6075882255237608</v>
      </c>
      <c r="S17" s="5">
        <f t="shared" si="5"/>
        <v>0.33576712472033093</v>
      </c>
      <c r="T17" s="81">
        <f t="shared" si="6"/>
        <v>0.34250192432943138</v>
      </c>
      <c r="U17" s="5">
        <f t="shared" si="7"/>
        <v>3.6089238520495802E-2</v>
      </c>
      <c r="V17" s="20">
        <f t="shared" si="8"/>
        <v>0.57365008082015445</v>
      </c>
      <c r="W17" s="5">
        <f t="shared" si="9"/>
        <v>1.8733161220739629</v>
      </c>
      <c r="X17" s="5">
        <f t="shared" si="10"/>
        <v>3.3418603289735587</v>
      </c>
      <c r="Y17" s="44">
        <f t="shared" si="14"/>
        <v>13.566292526810143</v>
      </c>
      <c r="Z17" s="44">
        <f t="shared" si="12"/>
        <v>6.5098480964784642</v>
      </c>
      <c r="AA17" s="44">
        <f t="shared" si="12"/>
        <v>28.271672425435618</v>
      </c>
    </row>
    <row r="18" spans="1:27" s="12" customFormat="1" x14ac:dyDescent="0.25">
      <c r="A18" s="10" t="s">
        <v>27</v>
      </c>
      <c r="B18" s="10" t="s">
        <v>36</v>
      </c>
      <c r="C18" s="10">
        <v>2.7004108818662602</v>
      </c>
      <c r="D18" s="10">
        <v>0.119595694012175</v>
      </c>
      <c r="E18" s="10">
        <v>2.5421633097828602</v>
      </c>
      <c r="F18" s="10">
        <v>2.8586584539496598</v>
      </c>
      <c r="G18" s="10">
        <v>21.847059575502001</v>
      </c>
      <c r="H18" s="10">
        <v>0.33</v>
      </c>
      <c r="I18" s="10"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4">
        <f t="shared" si="13"/>
        <v>15.718853973057074</v>
      </c>
      <c r="P18" s="54">
        <v>2.86668315807737</v>
      </c>
      <c r="Q18" s="11">
        <f t="shared" si="4"/>
        <v>4.3534102667593465E-2</v>
      </c>
      <c r="R18" s="5" cm="1">
        <f t="array" ref="R18">SUM($C$4:$C$21*$Q$4:$Q$21)</f>
        <v>2.6075882255237608</v>
      </c>
      <c r="S18" s="5">
        <f t="shared" si="5"/>
        <v>0.30036573055132959</v>
      </c>
      <c r="T18" s="81">
        <f t="shared" si="6"/>
        <v>0.30898177608180732</v>
      </c>
      <c r="U18" s="5">
        <f t="shared" si="7"/>
        <v>2.419892256026912E-2</v>
      </c>
      <c r="V18" s="20">
        <f t="shared" si="8"/>
        <v>0.57365008082015445</v>
      </c>
      <c r="W18" s="5">
        <f t="shared" si="9"/>
        <v>1.8733161220739629</v>
      </c>
      <c r="X18" s="5">
        <f t="shared" si="10"/>
        <v>3.3418603289735587</v>
      </c>
      <c r="Y18" s="44">
        <f t="shared" si="14"/>
        <v>13.566292526810143</v>
      </c>
      <c r="Z18" s="44">
        <f t="shared" si="12"/>
        <v>6.5098480964784642</v>
      </c>
      <c r="AA18" s="44">
        <f t="shared" si="12"/>
        <v>28.271672425435618</v>
      </c>
    </row>
    <row r="19" spans="1:27" s="12" customFormat="1" x14ac:dyDescent="0.25">
      <c r="A19" s="10" t="s">
        <v>29</v>
      </c>
      <c r="B19" s="10" t="s">
        <v>35</v>
      </c>
      <c r="C19" s="10">
        <v>2.5104391121635201</v>
      </c>
      <c r="D19" s="10">
        <v>0.13833692670317199</v>
      </c>
      <c r="E19" s="10">
        <v>2.32739336824211</v>
      </c>
      <c r="F19" s="10">
        <v>2.6934848560849298</v>
      </c>
      <c r="G19" s="10">
        <v>24.296314278671701</v>
      </c>
      <c r="H19" s="10">
        <v>0.34799999999999998</v>
      </c>
      <c r="I19" s="10"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4">
        <f t="shared" si="13"/>
        <v>13.078780557886368</v>
      </c>
      <c r="P19" s="54">
        <v>3.4387872891201798</v>
      </c>
      <c r="Q19" s="11">
        <f t="shared" si="4"/>
        <v>5.2222206166996604E-2</v>
      </c>
      <c r="R19" s="5" cm="1">
        <f t="array" ref="R19">SUM($C$4:$C$21*$Q$4:$Q$21)</f>
        <v>2.6075882255237608</v>
      </c>
      <c r="S19" s="5">
        <f t="shared" si="5"/>
        <v>0.40187921108325431</v>
      </c>
      <c r="T19" s="81">
        <f t="shared" si="6"/>
        <v>0.41131716130993518</v>
      </c>
      <c r="U19" s="5">
        <f t="shared" si="7"/>
        <v>3.3492196449748338E-2</v>
      </c>
      <c r="V19" s="20">
        <f t="shared" si="8"/>
        <v>0.57365008082015445</v>
      </c>
      <c r="W19" s="5">
        <f t="shared" si="9"/>
        <v>1.8733161220739629</v>
      </c>
      <c r="X19" s="5">
        <f t="shared" si="10"/>
        <v>3.3418603289735587</v>
      </c>
      <c r="Y19" s="44">
        <f t="shared" si="14"/>
        <v>13.566292526810143</v>
      </c>
      <c r="Z19" s="44">
        <f t="shared" si="12"/>
        <v>6.5098480964784642</v>
      </c>
      <c r="AA19" s="44">
        <f t="shared" si="12"/>
        <v>28.271672425435618</v>
      </c>
    </row>
    <row r="20" spans="1:27" s="12" customFormat="1" x14ac:dyDescent="0.25">
      <c r="A20" s="10" t="s">
        <v>45</v>
      </c>
      <c r="B20" s="10" t="s">
        <v>54</v>
      </c>
      <c r="C20" s="10">
        <v>2.5791672052573098</v>
      </c>
      <c r="D20" s="10">
        <v>0.12156265332511799</v>
      </c>
      <c r="E20" s="10">
        <v>2.4183169764626302</v>
      </c>
      <c r="F20" s="10">
        <v>2.7400174340519801</v>
      </c>
      <c r="G20" s="10">
        <v>20.914495722242801</v>
      </c>
      <c r="H20" s="10">
        <v>0.32400000000000001</v>
      </c>
      <c r="I20" s="10"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4">
        <f t="shared" si="13"/>
        <v>13.896752854515217</v>
      </c>
      <c r="P20" s="54">
        <v>3.8165238755081798</v>
      </c>
      <c r="Q20" s="11">
        <f t="shared" si="4"/>
        <v>5.7958599910681356E-2</v>
      </c>
      <c r="R20" s="5" cm="1">
        <f t="array" ref="R20">SUM($C$4:$C$21*$Q$4:$Q$21)</f>
        <v>2.6075882255237608</v>
      </c>
      <c r="S20" s="5">
        <f t="shared" si="5"/>
        <v>0.31032705235229924</v>
      </c>
      <c r="T20" s="81">
        <f t="shared" si="6"/>
        <v>0.31113480674528526</v>
      </c>
      <c r="U20" s="5">
        <f t="shared" si="7"/>
        <v>3.2328993583878918E-2</v>
      </c>
      <c r="V20" s="20">
        <f t="shared" si="8"/>
        <v>0.57365008082015445</v>
      </c>
      <c r="W20" s="5">
        <f t="shared" si="9"/>
        <v>1.8733161220739629</v>
      </c>
      <c r="X20" s="5">
        <f t="shared" si="10"/>
        <v>3.3418603289735587</v>
      </c>
      <c r="Y20" s="44">
        <f t="shared" si="14"/>
        <v>13.566292526810143</v>
      </c>
      <c r="Z20" s="44">
        <f t="shared" si="12"/>
        <v>6.5098480964784642</v>
      </c>
      <c r="AA20" s="44">
        <f t="shared" si="12"/>
        <v>28.271672425435618</v>
      </c>
    </row>
    <row r="21" spans="1:27" s="17" customFormat="1" x14ac:dyDescent="0.25">
      <c r="A21" s="14" t="s">
        <v>32</v>
      </c>
      <c r="B21" s="14" t="s">
        <v>55</v>
      </c>
      <c r="C21" s="14">
        <v>2.5096767376662399</v>
      </c>
      <c r="D21" s="14">
        <v>0.13289375029991499</v>
      </c>
      <c r="E21" s="14">
        <v>2.3338333387569299</v>
      </c>
      <c r="F21" s="14">
        <v>2.6855201365755601</v>
      </c>
      <c r="G21" s="14">
        <v>22.7409979664674</v>
      </c>
      <c r="H21" s="14">
        <v>0.33700000000000002</v>
      </c>
      <c r="I21" s="14"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5">
        <f t="shared" si="13"/>
        <v>13.019669307732997</v>
      </c>
      <c r="P21" s="55">
        <v>3.80938898231165</v>
      </c>
      <c r="Q21" s="16">
        <f t="shared" si="4"/>
        <v>5.7850247799264773E-2</v>
      </c>
      <c r="R21" s="15" cm="1">
        <f t="array" ref="R21">SUM($C$4:$C$21*$Q$4:$Q$21)</f>
        <v>2.6075882255237608</v>
      </c>
      <c r="S21" s="15">
        <f t="shared" si="5"/>
        <v>0.37087572624429926</v>
      </c>
      <c r="T21" s="82">
        <f t="shared" si="6"/>
        <v>0.38046238569877272</v>
      </c>
      <c r="U21" s="15">
        <f t="shared" si="7"/>
        <v>3.568297757202725E-2</v>
      </c>
      <c r="V21" s="21">
        <f t="shared" si="8"/>
        <v>0.57365008082015445</v>
      </c>
      <c r="W21" s="15">
        <f t="shared" si="9"/>
        <v>1.8733161220739629</v>
      </c>
      <c r="X21" s="15">
        <f t="shared" si="10"/>
        <v>3.3418603289735587</v>
      </c>
      <c r="Y21" s="45">
        <f t="shared" si="14"/>
        <v>13.566292526810143</v>
      </c>
      <c r="Z21" s="45">
        <f t="shared" si="12"/>
        <v>6.5098480964784642</v>
      </c>
      <c r="AA21" s="45">
        <f t="shared" si="12"/>
        <v>28.271672425435618</v>
      </c>
    </row>
    <row r="22" spans="1:27" x14ac:dyDescent="0.25">
      <c r="Q22" s="1" t="s">
        <v>174</v>
      </c>
      <c r="R22" s="15" cm="1">
        <f t="array" ref="R22">SUM($C$4:$C$21*$Q$4:$Q$21)</f>
        <v>2.6075882255237608</v>
      </c>
    </row>
    <row r="23" spans="1:27" x14ac:dyDescent="0.25">
      <c r="O23" s="51">
        <f>EXP(C4)</f>
        <v>15.081951671566914</v>
      </c>
      <c r="P23" s="51">
        <f>O4-O23</f>
        <v>1.4537085670223835</v>
      </c>
      <c r="R23" s="1">
        <f>EXP(R21)</f>
        <v>13.566292526810143</v>
      </c>
    </row>
    <row r="24" spans="1:27" x14ac:dyDescent="0.25">
      <c r="O24" s="51">
        <f t="shared" ref="O24:O37" si="15">EXP(C5)</f>
        <v>14.906543222509214</v>
      </c>
      <c r="P24" s="51">
        <f t="shared" ref="P24:P40" si="16">O5-O24</f>
        <v>0.6629394442017027</v>
      </c>
      <c r="R24" s="1">
        <f>EXP(R22)</f>
        <v>13.566292526810143</v>
      </c>
    </row>
    <row r="25" spans="1:27" x14ac:dyDescent="0.25">
      <c r="O25" s="51">
        <f t="shared" si="15"/>
        <v>15.661149723346536</v>
      </c>
      <c r="P25" s="51">
        <f t="shared" si="16"/>
        <v>0.76580564696751807</v>
      </c>
    </row>
    <row r="26" spans="1:27" x14ac:dyDescent="0.25">
      <c r="A26" s="6" t="s">
        <v>66</v>
      </c>
      <c r="O26" s="51">
        <f t="shared" si="15"/>
        <v>12.56882698181278</v>
      </c>
      <c r="P26" s="51">
        <f t="shared" si="16"/>
        <v>0.7569689352318818</v>
      </c>
    </row>
    <row r="27" spans="1:27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O27" s="51">
        <f t="shared" si="15"/>
        <v>14.181508557380875</v>
      </c>
      <c r="P27" s="51">
        <f t="shared" si="16"/>
        <v>0.68429336069325153</v>
      </c>
    </row>
    <row r="28" spans="1:27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O28" s="51">
        <f t="shared" si="15"/>
        <v>12.690893061872693</v>
      </c>
      <c r="P28" s="51">
        <f t="shared" si="16"/>
        <v>0.67097728717496352</v>
      </c>
      <c r="Z28" s="1">
        <f>15.6-14.3</f>
        <v>1.2999999999999989</v>
      </c>
    </row>
    <row r="29" spans="1:27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85" t="s">
        <v>37</v>
      </c>
      <c r="I29" s="85"/>
      <c r="J29" s="85"/>
      <c r="K29" s="85"/>
      <c r="L29" s="85"/>
      <c r="M29" s="37"/>
      <c r="O29" s="51">
        <f t="shared" si="15"/>
        <v>15.112379527178437</v>
      </c>
      <c r="P29" s="51">
        <f t="shared" si="16"/>
        <v>0.79900314095061731</v>
      </c>
    </row>
    <row r="30" spans="1:27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5">
        <f>LN(I30)</f>
        <v>2.8041692625978518</v>
      </c>
      <c r="L30" s="5">
        <f>EXP(C30+C31*B28+0.5*H4*H4)</f>
        <v>16.513351947251564</v>
      </c>
      <c r="O30" s="51">
        <f t="shared" si="15"/>
        <v>12.930367370113908</v>
      </c>
      <c r="P30" s="51">
        <f t="shared" si="16"/>
        <v>0.82156162200318761</v>
      </c>
    </row>
    <row r="31" spans="1:27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  <c r="O31" s="51">
        <f t="shared" si="15"/>
        <v>13.61973184045431</v>
      </c>
      <c r="P31" s="51">
        <f t="shared" si="16"/>
        <v>0.75269562678739099</v>
      </c>
    </row>
    <row r="32" spans="1:27" x14ac:dyDescent="0.25">
      <c r="A32" s="7"/>
      <c r="B32" s="7"/>
      <c r="C32" s="7"/>
      <c r="D32" s="7"/>
      <c r="E32" s="7"/>
      <c r="F32" s="7"/>
      <c r="G32" s="7" t="s">
        <v>1</v>
      </c>
      <c r="H32" s="7" t="s">
        <v>82</v>
      </c>
      <c r="I32" s="7" t="s">
        <v>83</v>
      </c>
      <c r="J32" s="19"/>
      <c r="K32" s="19"/>
      <c r="L32" s="7"/>
      <c r="M32" s="7"/>
      <c r="O32" s="51">
        <f t="shared" si="15"/>
        <v>12.867825991456787</v>
      </c>
      <c r="P32" s="51">
        <f t="shared" si="16"/>
        <v>0.75643481998855044</v>
      </c>
    </row>
    <row r="33" spans="5:16" x14ac:dyDescent="0.25">
      <c r="G33" s="1">
        <v>2.7121490000000001</v>
      </c>
      <c r="H33" s="1">
        <v>2.5068670000000002</v>
      </c>
      <c r="I33" s="1">
        <v>2.9174310000000001</v>
      </c>
      <c r="O33" s="51">
        <f t="shared" si="15"/>
        <v>15.465406380288277</v>
      </c>
      <c r="P33" s="51">
        <f t="shared" si="16"/>
        <v>0.79690398986075728</v>
      </c>
    </row>
    <row r="34" spans="5:16" x14ac:dyDescent="0.25">
      <c r="F34" s="1">
        <v>-1.321237</v>
      </c>
      <c r="H34" s="1">
        <f>G33+(F34*F35)</f>
        <v>2.5068668218256001</v>
      </c>
      <c r="I34" s="1">
        <f>G33-(F34*F35)</f>
        <v>2.9174311781744002</v>
      </c>
      <c r="O34" s="51">
        <f t="shared" si="15"/>
        <v>12.428389367921017</v>
      </c>
      <c r="P34" s="51">
        <f t="shared" si="16"/>
        <v>0.73505762211742542</v>
      </c>
    </row>
    <row r="35" spans="5:16" x14ac:dyDescent="0.25">
      <c r="E35" s="1" t="s">
        <v>2</v>
      </c>
      <c r="F35" s="1">
        <v>0.15537119999999999</v>
      </c>
      <c r="O35" s="51">
        <f t="shared" si="15"/>
        <v>13.656696763729435</v>
      </c>
      <c r="P35" s="51">
        <f t="shared" si="16"/>
        <v>0.69011881550327736</v>
      </c>
    </row>
    <row r="36" spans="5:16" x14ac:dyDescent="0.25">
      <c r="O36" s="51">
        <f t="shared" si="15"/>
        <v>12.497422220343148</v>
      </c>
      <c r="P36" s="51">
        <f t="shared" si="16"/>
        <v>0.68204889788519729</v>
      </c>
    </row>
    <row r="37" spans="5:16" x14ac:dyDescent="0.25">
      <c r="O37" s="51">
        <f t="shared" si="15"/>
        <v>14.885846793012675</v>
      </c>
      <c r="P37" s="51">
        <f t="shared" si="16"/>
        <v>0.83300718004439922</v>
      </c>
    </row>
    <row r="38" spans="5:16" x14ac:dyDescent="0.25">
      <c r="O38" s="51">
        <f>EXP(C19)</f>
        <v>12.31033449146009</v>
      </c>
      <c r="P38" s="51">
        <f t="shared" si="16"/>
        <v>0.76844606642627866</v>
      </c>
    </row>
    <row r="39" spans="5:16" x14ac:dyDescent="0.25">
      <c r="O39" s="51">
        <f t="shared" ref="O39" si="17">EXP(C20)</f>
        <v>13.186152227528638</v>
      </c>
      <c r="P39" s="51">
        <f t="shared" si="16"/>
        <v>0.71060062698657944</v>
      </c>
    </row>
    <row r="40" spans="5:16" x14ac:dyDescent="0.25">
      <c r="O40" s="51">
        <f>EXP(C21)</f>
        <v>12.300952982956614</v>
      </c>
      <c r="P40" s="51">
        <f t="shared" si="16"/>
        <v>0.71871632477638236</v>
      </c>
    </row>
    <row r="43" spans="5:16" x14ac:dyDescent="0.25">
      <c r="O43" s="51">
        <f>MAX(O23:O40)</f>
        <v>15.661149723346536</v>
      </c>
    </row>
    <row r="44" spans="5:16" x14ac:dyDescent="0.25">
      <c r="O44" s="51">
        <f>MIN(O23:O40)</f>
        <v>12.300952982956614</v>
      </c>
    </row>
  </sheetData>
  <mergeCells count="6">
    <mergeCell ref="H29:L29"/>
    <mergeCell ref="Z2:AA2"/>
    <mergeCell ref="C2:I2"/>
    <mergeCell ref="L2:M2"/>
    <mergeCell ref="S2:V2"/>
    <mergeCell ref="W2:X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5B8A-7350-4231-8C4C-1129E72DEAB9}">
  <dimension ref="A1:L18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t="s">
        <v>108</v>
      </c>
    </row>
    <row r="2" spans="1:9" ht="15.75" thickBot="1" x14ac:dyDescent="0.3"/>
    <row r="3" spans="1:9" x14ac:dyDescent="0.25">
      <c r="A3" s="50" t="s">
        <v>109</v>
      </c>
      <c r="B3" s="50"/>
    </row>
    <row r="4" spans="1:9" x14ac:dyDescent="0.25">
      <c r="A4" s="47" t="s">
        <v>110</v>
      </c>
      <c r="B4" s="47">
        <v>0.76796041460936293</v>
      </c>
    </row>
    <row r="5" spans="1:9" x14ac:dyDescent="0.25">
      <c r="A5" s="47" t="s">
        <v>111</v>
      </c>
      <c r="B5" s="47">
        <v>0.58976319840698455</v>
      </c>
    </row>
    <row r="6" spans="1:9" x14ac:dyDescent="0.25">
      <c r="A6" s="47" t="s">
        <v>112</v>
      </c>
      <c r="B6" s="47">
        <v>0.56563162184268956</v>
      </c>
    </row>
    <row r="7" spans="1:9" x14ac:dyDescent="0.25">
      <c r="A7" s="47" t="s">
        <v>113</v>
      </c>
      <c r="B7" s="47">
        <v>0.37688796598014107</v>
      </c>
    </row>
    <row r="8" spans="1:9" ht="15.75" thickBot="1" x14ac:dyDescent="0.3">
      <c r="A8" s="48" t="s">
        <v>114</v>
      </c>
      <c r="B8" s="48">
        <v>19</v>
      </c>
    </row>
    <row r="10" spans="1:9" ht="15.75" thickBot="1" x14ac:dyDescent="0.3">
      <c r="A10" t="s">
        <v>115</v>
      </c>
    </row>
    <row r="11" spans="1:9" x14ac:dyDescent="0.25">
      <c r="A11" s="49"/>
      <c r="B11" s="49" t="s">
        <v>7</v>
      </c>
      <c r="C11" s="49" t="s">
        <v>120</v>
      </c>
      <c r="D11" s="49" t="s">
        <v>121</v>
      </c>
      <c r="E11" s="49" t="s">
        <v>122</v>
      </c>
      <c r="F11" s="49" t="s">
        <v>123</v>
      </c>
    </row>
    <row r="12" spans="1:9" x14ac:dyDescent="0.25">
      <c r="A12" s="47" t="s">
        <v>116</v>
      </c>
      <c r="B12" s="47">
        <v>1</v>
      </c>
      <c r="C12" s="47">
        <v>3.471494759370223</v>
      </c>
      <c r="D12" s="47">
        <v>3.471494759370223</v>
      </c>
      <c r="E12" s="47">
        <v>24.439480646266414</v>
      </c>
      <c r="F12" s="47">
        <v>1.233158921902108E-4</v>
      </c>
    </row>
    <row r="13" spans="1:9" x14ac:dyDescent="0.25">
      <c r="A13" s="47" t="s">
        <v>117</v>
      </c>
      <c r="B13" s="47">
        <v>17</v>
      </c>
      <c r="C13" s="47">
        <v>2.4147571613110155</v>
      </c>
      <c r="D13" s="47">
        <v>0.14204453890064797</v>
      </c>
      <c r="E13" s="47"/>
      <c r="F13" s="47"/>
    </row>
    <row r="14" spans="1:9" ht="15.75" thickBot="1" x14ac:dyDescent="0.3">
      <c r="A14" s="48" t="s">
        <v>118</v>
      </c>
      <c r="B14" s="48">
        <v>18</v>
      </c>
      <c r="C14" s="48">
        <v>5.8862519206812385</v>
      </c>
      <c r="D14" s="48"/>
      <c r="E14" s="48"/>
      <c r="F14" s="48"/>
    </row>
    <row r="15" spans="1:9" ht="15.75" thickBot="1" x14ac:dyDescent="0.3"/>
    <row r="16" spans="1:9" x14ac:dyDescent="0.25">
      <c r="A16" s="49"/>
      <c r="B16" s="49" t="s">
        <v>124</v>
      </c>
      <c r="C16" s="49" t="s">
        <v>113</v>
      </c>
      <c r="D16" s="49" t="s">
        <v>125</v>
      </c>
      <c r="E16" s="49" t="s">
        <v>126</v>
      </c>
      <c r="F16" s="49" t="s">
        <v>127</v>
      </c>
      <c r="G16" s="49" t="s">
        <v>128</v>
      </c>
      <c r="H16" s="49" t="s">
        <v>129</v>
      </c>
      <c r="I16" s="49" t="s">
        <v>130</v>
      </c>
    </row>
    <row r="17" spans="1:12" x14ac:dyDescent="0.25">
      <c r="A17" s="47" t="s">
        <v>119</v>
      </c>
      <c r="B17" s="47">
        <v>2.4487045036509394</v>
      </c>
      <c r="C17" s="47">
        <v>0.25035611926687684</v>
      </c>
      <c r="D17" s="47">
        <v>9.7808853676975538</v>
      </c>
      <c r="E17" s="47">
        <v>2.1402041699623779E-8</v>
      </c>
      <c r="F17" s="47">
        <v>1.9204992632157869</v>
      </c>
      <c r="G17" s="47">
        <v>2.9769097440860919</v>
      </c>
      <c r="H17" s="47">
        <v>1.9204992632157869</v>
      </c>
      <c r="I17" s="47">
        <v>2.9769097440860919</v>
      </c>
      <c r="K17">
        <f>B17+(B18*hindcasts!X48)</f>
        <v>4.2254773356468736</v>
      </c>
      <c r="L17">
        <f>EXP(K17)</f>
        <v>68.407148927220746</v>
      </c>
    </row>
    <row r="18" spans="1:12" ht="15.75" thickBot="1" x14ac:dyDescent="0.3">
      <c r="A18" s="48" t="s">
        <v>131</v>
      </c>
      <c r="B18" s="48">
        <v>0.40845352459676648</v>
      </c>
      <c r="C18" s="48">
        <v>8.2622182272505409E-2</v>
      </c>
      <c r="D18" s="48">
        <v>4.943630310436494</v>
      </c>
      <c r="E18" s="48">
        <v>1.2331589219021069E-4</v>
      </c>
      <c r="F18" s="48">
        <v>0.23413595736365084</v>
      </c>
      <c r="G18" s="48">
        <v>0.58277109182988207</v>
      </c>
      <c r="H18" s="48">
        <v>0.23413595736365084</v>
      </c>
      <c r="I18" s="48">
        <v>0.58277109182988207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CB-DA4B-42B2-A9C1-274ED7AAC755}">
  <dimension ref="A1:AS74"/>
  <sheetViews>
    <sheetView topLeftCell="L10" workbookViewId="0">
      <selection activeCell="W24" sqref="W24"/>
    </sheetView>
  </sheetViews>
  <sheetFormatPr defaultRowHeight="15" x14ac:dyDescent="0.25"/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79</v>
      </c>
      <c r="AA1" t="s">
        <v>80</v>
      </c>
      <c r="AB1" t="s">
        <v>5</v>
      </c>
      <c r="AC1" t="s">
        <v>64</v>
      </c>
      <c r="AD1" t="s">
        <v>6</v>
      </c>
      <c r="AE1" t="s">
        <v>59</v>
      </c>
    </row>
    <row r="2" spans="1:32" x14ac:dyDescent="0.25">
      <c r="A2" t="s">
        <v>10</v>
      </c>
      <c r="B2">
        <v>3.4028618326034099</v>
      </c>
      <c r="C2">
        <v>4.7557368323709204</v>
      </c>
      <c r="D2">
        <v>3.0237121511399101</v>
      </c>
      <c r="E2">
        <v>3.94142672104589</v>
      </c>
      <c r="F2">
        <v>3.5708940777974698</v>
      </c>
      <c r="G2">
        <v>3.5321174058296099</v>
      </c>
      <c r="H2">
        <v>3.6613729790558098</v>
      </c>
      <c r="I2">
        <v>4.0146715458740703</v>
      </c>
      <c r="J2">
        <v>3.21328699187166</v>
      </c>
      <c r="K2">
        <v>3.4459470236788099</v>
      </c>
      <c r="L2">
        <v>2.8384458295156998</v>
      </c>
      <c r="M2">
        <v>3.3339255268827799</v>
      </c>
      <c r="N2">
        <v>3.3382340459903199</v>
      </c>
      <c r="O2">
        <v>4.1051504471324103</v>
      </c>
      <c r="P2">
        <v>2.9849354791720502</v>
      </c>
      <c r="Q2">
        <v>3.8509478197875602</v>
      </c>
      <c r="R2">
        <v>3.25637218294706</v>
      </c>
      <c r="S2">
        <v>3.9715863547986698</v>
      </c>
      <c r="T2">
        <v>3.3899362752808</v>
      </c>
      <c r="U2">
        <v>4.2085549057133598</v>
      </c>
      <c r="V2">
        <v>2.4851472626974398</v>
      </c>
      <c r="W2">
        <v>2.8384458295156998</v>
      </c>
      <c r="X2">
        <v>2.8255202721930801</v>
      </c>
      <c r="Y2">
        <v>3.2606807020546</v>
      </c>
      <c r="Z2">
        <v>0.61234223358950302</v>
      </c>
      <c r="AA2">
        <v>0.59472142602539002</v>
      </c>
      <c r="AB2">
        <v>32.571484305050198</v>
      </c>
      <c r="AC2" s="35">
        <v>6.2286758441946899E-6</v>
      </c>
      <c r="AD2">
        <v>0.42875901476960998</v>
      </c>
      <c r="AE2" t="s">
        <v>11</v>
      </c>
      <c r="AF2">
        <f>1/18</f>
        <v>5.5555555555555552E-2</v>
      </c>
    </row>
    <row r="3" spans="1:32" x14ac:dyDescent="0.25">
      <c r="A3" t="s">
        <v>19</v>
      </c>
      <c r="B3">
        <v>3.2729506646204398</v>
      </c>
      <c r="C3">
        <v>4.7556771723292401</v>
      </c>
      <c r="D3">
        <v>3.2422377508653399</v>
      </c>
      <c r="E3">
        <v>4.1759345716578</v>
      </c>
      <c r="F3">
        <v>3.6056355353512699</v>
      </c>
      <c r="G3">
        <v>4.02656652420192</v>
      </c>
      <c r="H3">
        <v>3.5523102127886301</v>
      </c>
      <c r="I3">
        <v>3.9458757119932999</v>
      </c>
      <c r="J3">
        <v>2.53432703852681</v>
      </c>
      <c r="K3">
        <v>3.6194702292613599</v>
      </c>
      <c r="L3">
        <v>2.8169201766624399</v>
      </c>
      <c r="M3">
        <v>3.96209035446733</v>
      </c>
      <c r="N3">
        <v>3.15405195796105</v>
      </c>
      <c r="O3">
        <v>4.03832516772228</v>
      </c>
      <c r="P3">
        <v>3.1473502934533499</v>
      </c>
      <c r="Q3">
        <v>4.2348666164624298</v>
      </c>
      <c r="R3">
        <v>3.3574179937364499</v>
      </c>
      <c r="S3">
        <v>4.0142535932593004</v>
      </c>
      <c r="T3">
        <v>3.0731198448902401</v>
      </c>
      <c r="U3">
        <v>3.68022566311119</v>
      </c>
      <c r="V3">
        <v>2.62519667816923</v>
      </c>
      <c r="W3">
        <v>2.8281336211464101</v>
      </c>
      <c r="X3">
        <v>2.2582591334451698</v>
      </c>
      <c r="Y3">
        <v>3.3287139888661099</v>
      </c>
      <c r="Z3">
        <v>0.824933374906344</v>
      </c>
      <c r="AA3">
        <v>0.80826036299266302</v>
      </c>
      <c r="AB3">
        <v>16.397796532519799</v>
      </c>
      <c r="AC3" s="35">
        <v>1.13144976206606E-8</v>
      </c>
      <c r="AD3">
        <v>0.29491196479964599</v>
      </c>
      <c r="AE3" t="s">
        <v>12</v>
      </c>
      <c r="AF3">
        <f t="shared" ref="AF3:AF19" si="0">1/18</f>
        <v>5.5555555555555552E-2</v>
      </c>
    </row>
    <row r="4" spans="1:32" x14ac:dyDescent="0.25">
      <c r="A4" t="s">
        <v>48</v>
      </c>
      <c r="B4">
        <v>3.4305731028764601</v>
      </c>
      <c r="C4">
        <v>4.8093247237228001</v>
      </c>
      <c r="D4">
        <v>3.2871225017785499</v>
      </c>
      <c r="E4">
        <v>4.1046698201674596</v>
      </c>
      <c r="F4">
        <v>3.9530675999952898</v>
      </c>
      <c r="G4">
        <v>4.06596480802766</v>
      </c>
      <c r="H4">
        <v>3.6208979102507399</v>
      </c>
      <c r="I4">
        <v>3.9188170593801801</v>
      </c>
      <c r="J4">
        <v>2.7536116554590699</v>
      </c>
      <c r="K4">
        <v>3.6229430048175102</v>
      </c>
      <c r="L4">
        <v>2.9871598558152601</v>
      </c>
      <c r="M4">
        <v>3.6706320534546899</v>
      </c>
      <c r="N4">
        <v>3.4379114773228201</v>
      </c>
      <c r="O4">
        <v>4.0080710570847797</v>
      </c>
      <c r="P4">
        <v>3.0323947909723201</v>
      </c>
      <c r="Q4">
        <v>4.1230133596839202</v>
      </c>
      <c r="R4">
        <v>3.5960500114439902</v>
      </c>
      <c r="S4">
        <v>3.7667962338970402</v>
      </c>
      <c r="T4">
        <v>2.7927320774439601</v>
      </c>
      <c r="U4">
        <v>3.6995397844692</v>
      </c>
      <c r="V4">
        <v>2.31264932641212</v>
      </c>
      <c r="W4">
        <v>2.8257635499836802</v>
      </c>
      <c r="X4">
        <v>2.4345002140160901</v>
      </c>
      <c r="Y4">
        <v>2.9957045164735101</v>
      </c>
      <c r="Z4">
        <v>0.80801286036674302</v>
      </c>
      <c r="AA4">
        <v>0.78972837087786196</v>
      </c>
      <c r="AB4">
        <v>18.612079070521901</v>
      </c>
      <c r="AC4" s="35">
        <v>2.9809689422389599E-8</v>
      </c>
      <c r="AD4">
        <v>0.30883519144872101</v>
      </c>
      <c r="AE4" t="s">
        <v>13</v>
      </c>
      <c r="AF4">
        <f t="shared" si="0"/>
        <v>5.5555555555555552E-2</v>
      </c>
    </row>
    <row r="5" spans="1:32" x14ac:dyDescent="0.25">
      <c r="A5" t="s">
        <v>49</v>
      </c>
      <c r="B5">
        <v>3.2672696654810398</v>
      </c>
      <c r="C5">
        <v>4.8344694979908196</v>
      </c>
      <c r="D5">
        <v>3.3951752346161799</v>
      </c>
      <c r="E5">
        <v>4.0226016981632204</v>
      </c>
      <c r="F5">
        <v>3.8727201771209199</v>
      </c>
      <c r="G5">
        <v>3.9128337261569701</v>
      </c>
      <c r="H5">
        <v>3.61962098271596</v>
      </c>
      <c r="I5">
        <v>3.7691020719661901</v>
      </c>
      <c r="J5">
        <v>2.7934765137097801</v>
      </c>
      <c r="K5">
        <v>3.45055750304219</v>
      </c>
      <c r="L5">
        <v>2.9123678528888801</v>
      </c>
      <c r="M5">
        <v>3.8444283952198099</v>
      </c>
      <c r="N5">
        <v>3.3477970873972098</v>
      </c>
      <c r="O5">
        <v>4.2223640651249399</v>
      </c>
      <c r="P5">
        <v>3.0388150848261399</v>
      </c>
      <c r="Q5">
        <v>4.1663288377196102</v>
      </c>
      <c r="R5">
        <v>3.30032334686463</v>
      </c>
      <c r="S5">
        <v>3.9276019058068501</v>
      </c>
      <c r="T5">
        <v>3.0072107113716302</v>
      </c>
      <c r="U5">
        <v>3.70069222639462</v>
      </c>
      <c r="V5">
        <v>2.4712279507091202</v>
      </c>
      <c r="W5">
        <v>2.7528669395680399</v>
      </c>
      <c r="X5">
        <v>2.46546497174648</v>
      </c>
      <c r="Y5">
        <v>3.1545940483478798</v>
      </c>
      <c r="Z5">
        <v>0.76402444447203599</v>
      </c>
      <c r="AA5">
        <v>0.74155058204080104</v>
      </c>
      <c r="AB5">
        <v>23.563275054890301</v>
      </c>
      <c r="AC5" s="35">
        <v>2.6007803802367098E-7</v>
      </c>
      <c r="AD5">
        <v>0.34239248292205099</v>
      </c>
      <c r="AE5" t="s">
        <v>14</v>
      </c>
      <c r="AF5">
        <f t="shared" si="0"/>
        <v>5.5555555555555552E-2</v>
      </c>
    </row>
    <row r="6" spans="1:32" x14ac:dyDescent="0.25">
      <c r="A6" t="s">
        <v>50</v>
      </c>
      <c r="B6">
        <v>3.4410690037172</v>
      </c>
      <c r="C6">
        <v>4.7925933694870002</v>
      </c>
      <c r="D6">
        <v>3.2702620528408</v>
      </c>
      <c r="E6">
        <v>4.0783077210085699</v>
      </c>
      <c r="F6">
        <v>3.8796481694393599</v>
      </c>
      <c r="G6">
        <v>4.0932580633325601</v>
      </c>
      <c r="H6">
        <v>3.5898708073399899</v>
      </c>
      <c r="I6">
        <v>3.9244839155453501</v>
      </c>
      <c r="J6">
        <v>2.77520242530003</v>
      </c>
      <c r="K6">
        <v>3.4944020528545399</v>
      </c>
      <c r="L6">
        <v>2.9836861148049101</v>
      </c>
      <c r="M6">
        <v>3.7708876162603402</v>
      </c>
      <c r="N6">
        <v>3.4974916339371598</v>
      </c>
      <c r="O6">
        <v>4.0412982200487697</v>
      </c>
      <c r="P6">
        <v>2.9970319248806701</v>
      </c>
      <c r="Q6">
        <v>4.1380397980563703</v>
      </c>
      <c r="R6">
        <v>3.48122209714183</v>
      </c>
      <c r="S6">
        <v>3.9781486734087599</v>
      </c>
      <c r="T6">
        <v>2.8167865561768499</v>
      </c>
      <c r="U6">
        <v>3.5465703012340799</v>
      </c>
      <c r="V6">
        <v>2.32807958559735</v>
      </c>
      <c r="W6">
        <v>2.8017898429036698</v>
      </c>
      <c r="X6">
        <v>2.39150300936477</v>
      </c>
      <c r="Y6">
        <v>3.1382775402681702</v>
      </c>
      <c r="Z6">
        <v>0.81083099215971499</v>
      </c>
      <c r="AA6">
        <v>0.79281489617492595</v>
      </c>
      <c r="AB6">
        <v>18.257177826155701</v>
      </c>
      <c r="AC6" s="35">
        <v>2.5522596439325599E-8</v>
      </c>
      <c r="AD6">
        <v>0.306560154167837</v>
      </c>
      <c r="AE6" t="s">
        <v>15</v>
      </c>
      <c r="AF6">
        <f t="shared" si="0"/>
        <v>5.5555555555555552E-2</v>
      </c>
    </row>
    <row r="7" spans="1:32" x14ac:dyDescent="0.25">
      <c r="A7" t="s">
        <v>51</v>
      </c>
      <c r="B7">
        <v>3.3355225898518799</v>
      </c>
      <c r="C7">
        <v>4.78092223552874</v>
      </c>
      <c r="D7">
        <v>3.3280163927439199</v>
      </c>
      <c r="E7">
        <v>4.03784069266516</v>
      </c>
      <c r="F7">
        <v>3.8613779908502601</v>
      </c>
      <c r="G7">
        <v>3.9919283209132899</v>
      </c>
      <c r="H7">
        <v>3.5830003015831098</v>
      </c>
      <c r="I7">
        <v>3.80349084029007</v>
      </c>
      <c r="J7">
        <v>2.7859827423288301</v>
      </c>
      <c r="K7">
        <v>3.4616107255410702</v>
      </c>
      <c r="L7">
        <v>2.93540397029602</v>
      </c>
      <c r="M7">
        <v>3.8579986050351001</v>
      </c>
      <c r="N7">
        <v>3.45864338212255</v>
      </c>
      <c r="O7">
        <v>4.1968506882156396</v>
      </c>
      <c r="P7">
        <v>3.0544746105894598</v>
      </c>
      <c r="Q7">
        <v>4.1692757956713997</v>
      </c>
      <c r="R7">
        <v>3.3791383843473102</v>
      </c>
      <c r="S7">
        <v>3.9975276246693001</v>
      </c>
      <c r="T7">
        <v>2.9434595572661699</v>
      </c>
      <c r="U7">
        <v>3.5915669487576398</v>
      </c>
      <c r="V7">
        <v>2.3947885115206602</v>
      </c>
      <c r="W7">
        <v>2.7569736869792001</v>
      </c>
      <c r="X7">
        <v>2.3701586039028002</v>
      </c>
      <c r="Y7">
        <v>3.1739572932795301</v>
      </c>
      <c r="Z7">
        <v>0.79206522545921398</v>
      </c>
      <c r="AA7">
        <v>0.77226191359818697</v>
      </c>
      <c r="AB7">
        <v>20.527184459579601</v>
      </c>
      <c r="AC7" s="35">
        <v>6.8902474846840303E-8</v>
      </c>
      <c r="AD7">
        <v>0.32140621890528498</v>
      </c>
      <c r="AE7" t="s">
        <v>16</v>
      </c>
      <c r="AF7">
        <f t="shared" si="0"/>
        <v>5.5555555555555552E-2</v>
      </c>
    </row>
    <row r="8" spans="1:32" x14ac:dyDescent="0.25">
      <c r="A8" t="s">
        <v>28</v>
      </c>
      <c r="B8">
        <v>3.4776019886685199</v>
      </c>
      <c r="C8">
        <v>4.9169348365097303</v>
      </c>
      <c r="D8">
        <v>3.38867814280409</v>
      </c>
      <c r="E8">
        <v>4.1016410494700404</v>
      </c>
      <c r="F8">
        <v>3.8965687226219901</v>
      </c>
      <c r="G8">
        <v>3.9438819986718698</v>
      </c>
      <c r="H8">
        <v>3.66137289247167</v>
      </c>
      <c r="I8">
        <v>3.9725417684436701</v>
      </c>
      <c r="J8">
        <v>2.67173090824843</v>
      </c>
      <c r="K8">
        <v>3.59937521524476</v>
      </c>
      <c r="L8">
        <v>3.0127077515529299</v>
      </c>
      <c r="M8">
        <v>3.6411739986214999</v>
      </c>
      <c r="N8">
        <v>3.3264922520149902</v>
      </c>
      <c r="O8">
        <v>4.0023668052642698</v>
      </c>
      <c r="P8">
        <v>3.0742169020365302</v>
      </c>
      <c r="Q8">
        <v>4.0381625692245704</v>
      </c>
      <c r="R8">
        <v>3.5759466944531</v>
      </c>
      <c r="S8">
        <v>3.76663493330524</v>
      </c>
      <c r="T8">
        <v>2.9030355939404102</v>
      </c>
      <c r="U8">
        <v>3.6602551404882799</v>
      </c>
      <c r="V8">
        <v>2.3187309566229302</v>
      </c>
      <c r="W8">
        <v>2.8570605757128602</v>
      </c>
      <c r="X8">
        <v>2.4760014806777999</v>
      </c>
      <c r="Y8">
        <v>2.9667973178789002</v>
      </c>
      <c r="Z8">
        <v>0.79269207971779798</v>
      </c>
      <c r="AA8">
        <v>0.77294846826234997</v>
      </c>
      <c r="AB8">
        <v>20.4547231552773</v>
      </c>
      <c r="AC8" s="35">
        <v>6.6752401632410402E-8</v>
      </c>
      <c r="AD8">
        <v>0.320921386746371</v>
      </c>
      <c r="AE8" t="s">
        <v>17</v>
      </c>
      <c r="AF8">
        <f t="shared" si="0"/>
        <v>5.5555555555555552E-2</v>
      </c>
    </row>
    <row r="9" spans="1:32" x14ac:dyDescent="0.25">
      <c r="A9" t="s">
        <v>26</v>
      </c>
      <c r="B9">
        <v>3.29438852544037</v>
      </c>
      <c r="C9">
        <v>4.8979413067318598</v>
      </c>
      <c r="D9">
        <v>3.3638366977896998</v>
      </c>
      <c r="E9">
        <v>4.0231278138787596</v>
      </c>
      <c r="F9">
        <v>3.76593657962797</v>
      </c>
      <c r="G9">
        <v>3.81463770268364</v>
      </c>
      <c r="H9">
        <v>3.66284249848152</v>
      </c>
      <c r="I9">
        <v>3.8103445128798201</v>
      </c>
      <c r="J9">
        <v>2.7479918817769899</v>
      </c>
      <c r="K9">
        <v>3.3847876707350801</v>
      </c>
      <c r="L9">
        <v>3.0000255471584198</v>
      </c>
      <c r="M9">
        <v>3.7925405778101502</v>
      </c>
      <c r="N9">
        <v>3.3663329252976499</v>
      </c>
      <c r="O9">
        <v>4.2290731279144902</v>
      </c>
      <c r="P9">
        <v>3.02117079870954</v>
      </c>
      <c r="Q9">
        <v>4.2052859399011204</v>
      </c>
      <c r="R9">
        <v>3.30091568959585</v>
      </c>
      <c r="S9">
        <v>3.9413246932377199</v>
      </c>
      <c r="T9">
        <v>3.11032665277326</v>
      </c>
      <c r="U9">
        <v>3.6379965379897898</v>
      </c>
      <c r="V9">
        <v>2.48487572408707</v>
      </c>
      <c r="W9">
        <v>2.80236543496861</v>
      </c>
      <c r="X9">
        <v>2.4918010905000099</v>
      </c>
      <c r="Y9">
        <v>3.10004056497973</v>
      </c>
      <c r="Z9">
        <v>0.75216514165625903</v>
      </c>
      <c r="AA9">
        <v>0.72856182181399798</v>
      </c>
      <c r="AB9">
        <v>24.740100875554401</v>
      </c>
      <c r="AC9" s="35">
        <v>4.3521624772253397E-7</v>
      </c>
      <c r="AD9">
        <v>0.35089074055605601</v>
      </c>
      <c r="AE9" t="s">
        <v>18</v>
      </c>
      <c r="AF9">
        <f t="shared" si="0"/>
        <v>5.5555555555555552E-2</v>
      </c>
    </row>
    <row r="10" spans="1:32" x14ac:dyDescent="0.25">
      <c r="A10" t="s">
        <v>52</v>
      </c>
      <c r="B10">
        <v>3.4800158477452698</v>
      </c>
      <c r="C10">
        <v>4.89117678119836</v>
      </c>
      <c r="D10">
        <v>3.3054245052462599</v>
      </c>
      <c r="E10">
        <v>4.0682154062443798</v>
      </c>
      <c r="F10">
        <v>3.7799253438229701</v>
      </c>
      <c r="G10">
        <v>3.9729263499518499</v>
      </c>
      <c r="H10">
        <v>3.6605834093046798</v>
      </c>
      <c r="I10">
        <v>3.98360290990647</v>
      </c>
      <c r="J10">
        <v>2.7900151456481899</v>
      </c>
      <c r="K10">
        <v>3.4351839962468098</v>
      </c>
      <c r="L10">
        <v>3.0501248576907201</v>
      </c>
      <c r="M10">
        <v>3.7078572935427001</v>
      </c>
      <c r="N10">
        <v>3.4459894189899098</v>
      </c>
      <c r="O10">
        <v>4.0272877460272802</v>
      </c>
      <c r="P10">
        <v>3.06368745633754</v>
      </c>
      <c r="Q10">
        <v>4.1035738528576804</v>
      </c>
      <c r="R10">
        <v>3.4763336594402201</v>
      </c>
      <c r="S10">
        <v>3.9691522993543602</v>
      </c>
      <c r="T10">
        <v>2.9762259218035001</v>
      </c>
      <c r="U10">
        <v>3.4879173704958699</v>
      </c>
      <c r="V10">
        <v>2.3318889434183898</v>
      </c>
      <c r="W10">
        <v>2.7734733681213402</v>
      </c>
      <c r="X10">
        <v>2.4277700076477799</v>
      </c>
      <c r="Y10">
        <v>3.0415586039065698</v>
      </c>
      <c r="Z10">
        <v>0.78325546471837704</v>
      </c>
      <c r="AA10">
        <v>0.76261312802488901</v>
      </c>
      <c r="AB10">
        <v>21.523063419841701</v>
      </c>
      <c r="AC10" s="35">
        <v>1.06526005867682E-7</v>
      </c>
      <c r="AD10">
        <v>0.32814424428653399</v>
      </c>
      <c r="AE10" t="s">
        <v>20</v>
      </c>
      <c r="AF10">
        <f t="shared" si="0"/>
        <v>5.5555555555555552E-2</v>
      </c>
    </row>
    <row r="11" spans="1:32" x14ac:dyDescent="0.25">
      <c r="A11" t="s">
        <v>30</v>
      </c>
      <c r="B11">
        <v>3.3592144780029698</v>
      </c>
      <c r="C11">
        <v>4.8562730268325298</v>
      </c>
      <c r="D11">
        <v>3.3111420006571901</v>
      </c>
      <c r="E11">
        <v>4.0327453196424399</v>
      </c>
      <c r="F11">
        <v>3.7448844939253698</v>
      </c>
      <c r="G11">
        <v>3.8772018828750698</v>
      </c>
      <c r="H11">
        <v>3.6239505567890302</v>
      </c>
      <c r="I11">
        <v>3.8464409519848299</v>
      </c>
      <c r="J11">
        <v>2.7740674260880902</v>
      </c>
      <c r="K11">
        <v>3.3933310664808398</v>
      </c>
      <c r="L11">
        <v>3.04021119797022</v>
      </c>
      <c r="M11">
        <v>3.7950803509758502</v>
      </c>
      <c r="N11">
        <v>3.4535127690896701</v>
      </c>
      <c r="O11">
        <v>4.2104175941934203</v>
      </c>
      <c r="P11">
        <v>3.0601491221247001</v>
      </c>
      <c r="Q11">
        <v>4.1952430207226303</v>
      </c>
      <c r="R11">
        <v>3.3716039258048198</v>
      </c>
      <c r="S11">
        <v>4.0016703992511804</v>
      </c>
      <c r="T11">
        <v>3.0677313654395602</v>
      </c>
      <c r="U11">
        <v>3.5450732947497099</v>
      </c>
      <c r="V11">
        <v>2.4159377513171898</v>
      </c>
      <c r="W11">
        <v>2.7723558303320601</v>
      </c>
      <c r="X11">
        <v>2.4023633858747102</v>
      </c>
      <c r="Y11">
        <v>3.0993092838250602</v>
      </c>
      <c r="Z11">
        <v>0.77070007523877804</v>
      </c>
      <c r="AA11">
        <v>0.74886198716628005</v>
      </c>
      <c r="AB11">
        <v>22.8745384232992</v>
      </c>
      <c r="AC11" s="35">
        <v>1.92415954021684E-7</v>
      </c>
      <c r="AD11">
        <v>0.33751468150397901</v>
      </c>
      <c r="AE11" t="s">
        <v>21</v>
      </c>
      <c r="AF11">
        <f t="shared" si="0"/>
        <v>5.5555555555555552E-2</v>
      </c>
    </row>
    <row r="12" spans="1:32" x14ac:dyDescent="0.25">
      <c r="A12" t="s">
        <v>33</v>
      </c>
      <c r="B12">
        <v>3.46080534647216</v>
      </c>
      <c r="C12">
        <v>4.8051717610866502</v>
      </c>
      <c r="D12">
        <v>3.3105662419030999</v>
      </c>
      <c r="E12">
        <v>4.0918200040087704</v>
      </c>
      <c r="F12">
        <v>3.9188864685119902</v>
      </c>
      <c r="G12">
        <v>3.9849865066814698</v>
      </c>
      <c r="H12">
        <v>3.6525755763225698</v>
      </c>
      <c r="I12">
        <v>3.9069228746799598</v>
      </c>
      <c r="J12">
        <v>2.8272998286069599</v>
      </c>
      <c r="K12">
        <v>3.6555462337670499</v>
      </c>
      <c r="L12">
        <v>3.0299652854044501</v>
      </c>
      <c r="M12">
        <v>3.6703801613423201</v>
      </c>
      <c r="N12">
        <v>3.4028558720636801</v>
      </c>
      <c r="O12">
        <v>4.0568997274395704</v>
      </c>
      <c r="P12">
        <v>3.0484394042473801</v>
      </c>
      <c r="Q12">
        <v>4.1059565891617504</v>
      </c>
      <c r="R12">
        <v>3.6064446655418299</v>
      </c>
      <c r="S12">
        <v>3.7562124219470001</v>
      </c>
      <c r="T12">
        <v>2.81837940732155</v>
      </c>
      <c r="U12">
        <v>3.7045112207399602</v>
      </c>
      <c r="V12">
        <v>2.30729427397939</v>
      </c>
      <c r="W12">
        <v>2.7777909783680101</v>
      </c>
      <c r="X12">
        <v>2.4075531801455998</v>
      </c>
      <c r="Y12">
        <v>2.9426464652059301</v>
      </c>
      <c r="Z12">
        <v>0.79712237772662398</v>
      </c>
      <c r="AA12">
        <v>0.77780069941487395</v>
      </c>
      <c r="AB12">
        <v>19.936268573053699</v>
      </c>
      <c r="AC12" s="35">
        <v>5.3205745914234802E-8</v>
      </c>
      <c r="AD12">
        <v>0.31747372369923399</v>
      </c>
      <c r="AE12" t="s">
        <v>22</v>
      </c>
      <c r="AF12">
        <f t="shared" si="0"/>
        <v>5.5555555555555552E-2</v>
      </c>
    </row>
    <row r="13" spans="1:32" x14ac:dyDescent="0.25">
      <c r="A13" t="s">
        <v>31</v>
      </c>
      <c r="B13">
        <v>3.3277614827086999</v>
      </c>
      <c r="C13">
        <v>4.7926700561189302</v>
      </c>
      <c r="D13">
        <v>3.39775639144574</v>
      </c>
      <c r="E13">
        <v>4.0253619625427399</v>
      </c>
      <c r="F13">
        <v>3.8441049203993898</v>
      </c>
      <c r="G13">
        <v>3.8762296063611301</v>
      </c>
      <c r="H13">
        <v>3.6653399880562998</v>
      </c>
      <c r="I13">
        <v>3.8115780359681901</v>
      </c>
      <c r="J13">
        <v>2.8700296157510299</v>
      </c>
      <c r="K13">
        <v>3.5006300628892899</v>
      </c>
      <c r="L13">
        <v>2.9871737656168</v>
      </c>
      <c r="M13">
        <v>3.8403918794877101</v>
      </c>
      <c r="N13">
        <v>3.3670824435446201</v>
      </c>
      <c r="O13">
        <v>4.2300607658386697</v>
      </c>
      <c r="P13">
        <v>3.0416700969686699</v>
      </c>
      <c r="Q13">
        <v>4.1699984570450503</v>
      </c>
      <c r="R13">
        <v>3.3244578081180101</v>
      </c>
      <c r="S13">
        <v>3.9160030132439099</v>
      </c>
      <c r="T13">
        <v>2.97727707754775</v>
      </c>
      <c r="U13">
        <v>3.6722848798099701</v>
      </c>
      <c r="V13">
        <v>2.4569907919962</v>
      </c>
      <c r="W13">
        <v>2.70134809870031</v>
      </c>
      <c r="X13">
        <v>2.3636618577296402</v>
      </c>
      <c r="Y13">
        <v>3.0900474370603499</v>
      </c>
      <c r="Z13">
        <v>0.76923068159470498</v>
      </c>
      <c r="AA13">
        <v>0.74725265127039098</v>
      </c>
      <c r="AB13">
        <v>23.027843900216102</v>
      </c>
      <c r="AC13" s="35">
        <v>2.0576414837048599E-7</v>
      </c>
      <c r="AD13">
        <v>0.33859438081790699</v>
      </c>
      <c r="AE13" t="s">
        <v>23</v>
      </c>
      <c r="AF13">
        <f t="shared" si="0"/>
        <v>5.5555555555555552E-2</v>
      </c>
    </row>
    <row r="14" spans="1:32" x14ac:dyDescent="0.25">
      <c r="A14" t="s">
        <v>53</v>
      </c>
      <c r="B14">
        <v>3.4785186283424099</v>
      </c>
      <c r="C14">
        <v>4.7752230297247698</v>
      </c>
      <c r="D14">
        <v>3.2962858016983101</v>
      </c>
      <c r="E14">
        <v>4.0612847162467496</v>
      </c>
      <c r="F14">
        <v>3.8533706760071902</v>
      </c>
      <c r="G14">
        <v>4.0113458440732801</v>
      </c>
      <c r="H14">
        <v>3.6560639038262299</v>
      </c>
      <c r="I14">
        <v>3.9402872576605601</v>
      </c>
      <c r="J14">
        <v>2.8460547800563099</v>
      </c>
      <c r="K14">
        <v>3.5446982743154098</v>
      </c>
      <c r="L14">
        <v>3.05761559499761</v>
      </c>
      <c r="M14">
        <v>3.7338621099137401</v>
      </c>
      <c r="N14">
        <v>3.4890154595599898</v>
      </c>
      <c r="O14">
        <v>4.0722793860107398</v>
      </c>
      <c r="P14">
        <v>3.01020639177545</v>
      </c>
      <c r="Q14">
        <v>4.1089101700044601</v>
      </c>
      <c r="R14">
        <v>3.5009809451607099</v>
      </c>
      <c r="S14">
        <v>3.9689057800223</v>
      </c>
      <c r="T14">
        <v>2.8409798271906199</v>
      </c>
      <c r="U14">
        <v>3.5445722225113001</v>
      </c>
      <c r="V14">
        <v>2.3043907767704499</v>
      </c>
      <c r="W14">
        <v>2.7582529581511199</v>
      </c>
      <c r="X14">
        <v>2.3402467573534098</v>
      </c>
      <c r="Y14">
        <v>3.0565592035759699</v>
      </c>
      <c r="Z14">
        <v>0.80133293149731299</v>
      </c>
      <c r="AA14">
        <v>0.78241225830658101</v>
      </c>
      <c r="AB14">
        <v>19.432927366971601</v>
      </c>
      <c r="AC14" s="35">
        <v>4.2689569601215799E-8</v>
      </c>
      <c r="AD14">
        <v>0.31416200105134301</v>
      </c>
      <c r="AE14" t="s">
        <v>24</v>
      </c>
      <c r="AF14">
        <f t="shared" si="0"/>
        <v>5.5555555555555552E-2</v>
      </c>
    </row>
    <row r="15" spans="1:32" x14ac:dyDescent="0.25">
      <c r="A15" t="s">
        <v>34</v>
      </c>
      <c r="B15">
        <v>3.38113685042293</v>
      </c>
      <c r="C15">
        <v>4.7520555959792699</v>
      </c>
      <c r="D15">
        <v>3.33454866676015</v>
      </c>
      <c r="E15">
        <v>4.0225510722272402</v>
      </c>
      <c r="F15">
        <v>3.82383971612217</v>
      </c>
      <c r="G15">
        <v>3.9243251533530299</v>
      </c>
      <c r="H15">
        <v>3.63173294224248</v>
      </c>
      <c r="I15">
        <v>3.8463219278613598</v>
      </c>
      <c r="J15">
        <v>2.8666384213922198</v>
      </c>
      <c r="K15">
        <v>3.5051775557048601</v>
      </c>
      <c r="L15">
        <v>3.0103631428253301</v>
      </c>
      <c r="M15">
        <v>3.8356557960995401</v>
      </c>
      <c r="N15">
        <v>3.4638940864897498</v>
      </c>
      <c r="O15">
        <v>4.2114021633421004</v>
      </c>
      <c r="P15">
        <v>3.0684637030959898</v>
      </c>
      <c r="Q15">
        <v>4.1608941873090002</v>
      </c>
      <c r="R15">
        <v>3.3963503703312901</v>
      </c>
      <c r="S15">
        <v>3.9910995165691299</v>
      </c>
      <c r="T15">
        <v>2.9519386901479598</v>
      </c>
      <c r="U15">
        <v>3.5833874036251401</v>
      </c>
      <c r="V15">
        <v>2.3754400975134899</v>
      </c>
      <c r="W15">
        <v>2.70733161141878</v>
      </c>
      <c r="X15">
        <v>2.3074590832154001</v>
      </c>
      <c r="Y15">
        <v>3.0979027409005</v>
      </c>
      <c r="Z15">
        <v>0.78607917357716595</v>
      </c>
      <c r="AA15">
        <v>0.76570576153689696</v>
      </c>
      <c r="AB15">
        <v>21.2083411794416</v>
      </c>
      <c r="AC15" s="35">
        <v>9.2823344170264304E-8</v>
      </c>
      <c r="AD15">
        <v>0.32599973469215099</v>
      </c>
      <c r="AE15" t="s">
        <v>25</v>
      </c>
      <c r="AF15">
        <f t="shared" si="0"/>
        <v>5.5555555555555552E-2</v>
      </c>
    </row>
    <row r="16" spans="1:32" x14ac:dyDescent="0.25">
      <c r="A16" t="s">
        <v>36</v>
      </c>
      <c r="B16">
        <v>3.4349568756826598</v>
      </c>
      <c r="C16">
        <v>4.7613502413737496</v>
      </c>
      <c r="D16">
        <v>3.30984093873115</v>
      </c>
      <c r="E16">
        <v>4.1248299797711399</v>
      </c>
      <c r="F16">
        <v>3.9498156873724</v>
      </c>
      <c r="G16">
        <v>3.97449424679241</v>
      </c>
      <c r="H16">
        <v>3.6516552967625802</v>
      </c>
      <c r="I16">
        <v>3.8820520689240898</v>
      </c>
      <c r="J16">
        <v>2.8893941436501902</v>
      </c>
      <c r="K16">
        <v>3.6185038519802202</v>
      </c>
      <c r="L16">
        <v>3.00581441576497</v>
      </c>
      <c r="M16">
        <v>3.64908442287848</v>
      </c>
      <c r="N16">
        <v>3.4538806924835401</v>
      </c>
      <c r="O16">
        <v>4.0909541504006297</v>
      </c>
      <c r="P16">
        <v>3.0791376691441599</v>
      </c>
      <c r="Q16">
        <v>4.1157919383870301</v>
      </c>
      <c r="R16">
        <v>3.45786445642206</v>
      </c>
      <c r="S16">
        <v>3.8206442282385802</v>
      </c>
      <c r="T16">
        <v>2.8139814544576098</v>
      </c>
      <c r="U16">
        <v>3.71054385476471</v>
      </c>
      <c r="V16">
        <v>2.3497812619251301</v>
      </c>
      <c r="W16">
        <v>2.7208230993368701</v>
      </c>
      <c r="X16">
        <v>2.4366555975268298</v>
      </c>
      <c r="Y16">
        <v>2.94805992217792</v>
      </c>
      <c r="Z16">
        <v>0.78030960865690402</v>
      </c>
      <c r="AA16">
        <v>0.75938671424327597</v>
      </c>
      <c r="AB16">
        <v>21.847059575502001</v>
      </c>
      <c r="AC16" s="35">
        <v>1.22748489364148E-7</v>
      </c>
      <c r="AD16">
        <v>0.330366683860707</v>
      </c>
      <c r="AE16" t="s">
        <v>27</v>
      </c>
      <c r="AF16">
        <f t="shared" si="0"/>
        <v>5.5555555555555552E-2</v>
      </c>
    </row>
    <row r="17" spans="1:32" x14ac:dyDescent="0.25">
      <c r="A17" t="s">
        <v>35</v>
      </c>
      <c r="B17">
        <v>3.3514353544165099</v>
      </c>
      <c r="C17">
        <v>4.7812102397310197</v>
      </c>
      <c r="D17">
        <v>3.4101040229469599</v>
      </c>
      <c r="E17">
        <v>4.0760066457408604</v>
      </c>
      <c r="F17">
        <v>3.89103490139071</v>
      </c>
      <c r="G17">
        <v>3.8780383042107398</v>
      </c>
      <c r="H17">
        <v>3.6739816507903398</v>
      </c>
      <c r="I17">
        <v>3.7838941074328201</v>
      </c>
      <c r="J17">
        <v>2.93128014220154</v>
      </c>
      <c r="K17">
        <v>3.5027418656723999</v>
      </c>
      <c r="L17">
        <v>2.95611379211334</v>
      </c>
      <c r="M17">
        <v>3.7742069209029299</v>
      </c>
      <c r="N17">
        <v>3.3884311509976701</v>
      </c>
      <c r="O17">
        <v>4.21716615812295</v>
      </c>
      <c r="P17">
        <v>3.0834211039680399</v>
      </c>
      <c r="Q17">
        <v>4.1132640777491503</v>
      </c>
      <c r="R17">
        <v>3.2317789284593599</v>
      </c>
      <c r="S17">
        <v>3.8965431596419098</v>
      </c>
      <c r="T17">
        <v>2.97093459872772</v>
      </c>
      <c r="U17">
        <v>3.7188120330745802</v>
      </c>
      <c r="V17">
        <v>2.47130792649163</v>
      </c>
      <c r="W17">
        <v>2.6500783562119299</v>
      </c>
      <c r="X17">
        <v>2.3805154460373901</v>
      </c>
      <c r="Y17">
        <v>3.1176096079166</v>
      </c>
      <c r="Z17">
        <v>0.75670577281010099</v>
      </c>
      <c r="AA17">
        <v>0.73353489403010996</v>
      </c>
      <c r="AB17">
        <v>24.296314278671701</v>
      </c>
      <c r="AC17" s="35">
        <v>3.5841315765356502E-7</v>
      </c>
      <c r="AD17">
        <v>0.347661512235932</v>
      </c>
      <c r="AE17" t="s">
        <v>29</v>
      </c>
      <c r="AF17">
        <f t="shared" si="0"/>
        <v>5.5555555555555552E-2</v>
      </c>
    </row>
    <row r="18" spans="1:32" x14ac:dyDescent="0.25">
      <c r="A18" t="s">
        <v>54</v>
      </c>
      <c r="B18">
        <v>3.4640657822955299</v>
      </c>
      <c r="C18">
        <v>4.7376357259920301</v>
      </c>
      <c r="D18">
        <v>3.3154668289259099</v>
      </c>
      <c r="E18">
        <v>4.1002685677803496</v>
      </c>
      <c r="F18">
        <v>3.89198808757993</v>
      </c>
      <c r="G18">
        <v>3.9928854320134599</v>
      </c>
      <c r="H18">
        <v>3.6626858647712801</v>
      </c>
      <c r="I18">
        <v>3.8800809429806602</v>
      </c>
      <c r="J18">
        <v>2.8798671982173101</v>
      </c>
      <c r="K18">
        <v>3.5239656290126198</v>
      </c>
      <c r="L18">
        <v>3.0206886342596899</v>
      </c>
      <c r="M18">
        <v>3.7164273999844402</v>
      </c>
      <c r="N18">
        <v>3.5143234246118</v>
      </c>
      <c r="O18">
        <v>4.1055535997391202</v>
      </c>
      <c r="P18">
        <v>3.0488693211840001</v>
      </c>
      <c r="Q18">
        <v>4.1182612505881204</v>
      </c>
      <c r="R18">
        <v>3.3715734962405302</v>
      </c>
      <c r="S18">
        <v>3.99014746539472</v>
      </c>
      <c r="T18">
        <v>2.8392699536257302</v>
      </c>
      <c r="U18">
        <v>3.5914974464660898</v>
      </c>
      <c r="V18">
        <v>2.3439249908310198</v>
      </c>
      <c r="W18">
        <v>2.7175053812149601</v>
      </c>
      <c r="X18">
        <v>2.35914332037233</v>
      </c>
      <c r="Y18">
        <v>3.06381475086746</v>
      </c>
      <c r="Z18">
        <v>0.788682357564359</v>
      </c>
      <c r="AA18">
        <v>0.76855686780858301</v>
      </c>
      <c r="AB18">
        <v>20.914495722242801</v>
      </c>
      <c r="AC18" s="35">
        <v>8.16254233569721E-8</v>
      </c>
      <c r="AD18">
        <v>0.32401013208812801</v>
      </c>
      <c r="AE18" t="s">
        <v>45</v>
      </c>
      <c r="AF18">
        <f t="shared" si="0"/>
        <v>5.5555555555555552E-2</v>
      </c>
    </row>
    <row r="19" spans="1:32" x14ac:dyDescent="0.25">
      <c r="A19" t="s">
        <v>55</v>
      </c>
      <c r="B19">
        <v>3.39995984918697</v>
      </c>
      <c r="C19">
        <v>4.7409548683047698</v>
      </c>
      <c r="D19">
        <v>3.3530168113875201</v>
      </c>
      <c r="E19">
        <v>4.0749264769683604</v>
      </c>
      <c r="F19">
        <v>3.8746852442591702</v>
      </c>
      <c r="G19">
        <v>3.9173505173222298</v>
      </c>
      <c r="H19">
        <v>3.6493539846337502</v>
      </c>
      <c r="I19">
        <v>3.8051805676881099</v>
      </c>
      <c r="J19">
        <v>2.9245616169641</v>
      </c>
      <c r="K19">
        <v>3.5022211973371999</v>
      </c>
      <c r="L19">
        <v>2.97428118245021</v>
      </c>
      <c r="M19">
        <v>3.7795312757330799</v>
      </c>
      <c r="N19">
        <v>3.4856940976035</v>
      </c>
      <c r="O19">
        <v>4.2028939031295502</v>
      </c>
      <c r="P19">
        <v>3.10171033889086</v>
      </c>
      <c r="Q19">
        <v>4.1203645788632004</v>
      </c>
      <c r="R19">
        <v>3.2900812447200498</v>
      </c>
      <c r="S19">
        <v>3.9705651371370299</v>
      </c>
      <c r="T19">
        <v>2.9432417955799899</v>
      </c>
      <c r="U19">
        <v>3.6357305823071102</v>
      </c>
      <c r="V19">
        <v>2.4016289900201402</v>
      </c>
      <c r="W19">
        <v>2.65837124692335</v>
      </c>
      <c r="X19">
        <v>2.3332823331192198</v>
      </c>
      <c r="Y19">
        <v>3.1103226544196101</v>
      </c>
      <c r="Z19">
        <v>0.77197239959434305</v>
      </c>
      <c r="AA19">
        <v>0.75025548526999497</v>
      </c>
      <c r="AB19">
        <v>22.7409979664674</v>
      </c>
      <c r="AC19" s="35">
        <v>1.8149634323576E-7</v>
      </c>
      <c r="AD19">
        <v>0.33657698929977697</v>
      </c>
      <c r="AE19" t="s">
        <v>32</v>
      </c>
      <c r="AF19">
        <f t="shared" si="0"/>
        <v>5.5555555555555552E-2</v>
      </c>
    </row>
    <row r="20" spans="1:32" x14ac:dyDescent="0.25">
      <c r="B20">
        <v>42.448748999999999</v>
      </c>
      <c r="C20">
        <v>77.818105000000003</v>
      </c>
      <c r="D20">
        <v>20.248977</v>
      </c>
      <c r="E20">
        <v>67.023652999999996</v>
      </c>
      <c r="F20">
        <v>45.315401000000001</v>
      </c>
      <c r="G20">
        <v>52.466735</v>
      </c>
      <c r="H20">
        <v>45.309744000000002</v>
      </c>
      <c r="I20">
        <v>59.121487000000002</v>
      </c>
      <c r="J20">
        <v>11.6065</v>
      </c>
      <c r="K20">
        <v>44.796396999999999</v>
      </c>
      <c r="L20">
        <v>15.908924000000001</v>
      </c>
      <c r="M20">
        <v>38.024357000000002</v>
      </c>
      <c r="N20">
        <v>24.141670999999999</v>
      </c>
      <c r="O20">
        <v>58.882053999999997</v>
      </c>
      <c r="P20">
        <v>21.277018000000002</v>
      </c>
      <c r="Q20">
        <v>94.719412000000005</v>
      </c>
      <c r="R20">
        <v>37.173864700000003</v>
      </c>
      <c r="S20">
        <v>35.092568</v>
      </c>
      <c r="T20">
        <v>18.374199999999998</v>
      </c>
      <c r="U20">
        <v>34.734366000000001</v>
      </c>
      <c r="V20">
        <v>8.0677000000000003</v>
      </c>
      <c r="W20">
        <v>21.141928</v>
      </c>
      <c r="X20">
        <v>8.062989</v>
      </c>
      <c r="Y20">
        <v>48.503718999999997</v>
      </c>
    </row>
    <row r="21" spans="1:32" x14ac:dyDescent="0.25">
      <c r="Z21" t="s">
        <v>8</v>
      </c>
    </row>
    <row r="23" spans="1:32" x14ac:dyDescent="0.25">
      <c r="U23" cm="1">
        <f t="array" ref="U23">SUM(U2:U19*$AF$2:$AF$19)</f>
        <v>3.6622073231501444</v>
      </c>
      <c r="V23" cm="1">
        <f t="array" ref="V23">SUM(V2:V19*$AF$2:$AF$19)</f>
        <v>2.3988489888932745</v>
      </c>
      <c r="W23" cm="1">
        <f t="array" ref="W23">SUM(W2:W19*$AF$2:$AF$19)</f>
        <v>2.7611516894198278</v>
      </c>
      <c r="X23" cm="1">
        <f t="array" ref="X23">SUM(X2:X19*$AF$2:$AF$19)</f>
        <v>2.4151033191593623</v>
      </c>
      <c r="Y23" cm="1">
        <f t="array" ref="Y23">SUM(Y2:Y19*$AF$2:$AF$19)</f>
        <v>3.0936998134446889</v>
      </c>
    </row>
    <row r="24" spans="1:32" x14ac:dyDescent="0.25">
      <c r="S24">
        <f>LN(U20)</f>
        <v>3.5477295714951795</v>
      </c>
      <c r="U24">
        <f>(LN(U20)-U23)^2</f>
        <v>1.3105155623975814E-2</v>
      </c>
      <c r="V24">
        <f t="shared" ref="V24:Y24" si="1">(LN(V20)-V23)^2</f>
        <v>9.6708904611124094E-2</v>
      </c>
      <c r="W24">
        <f t="shared" si="1"/>
        <v>8.41617745986529E-2</v>
      </c>
      <c r="X24">
        <f t="shared" si="1"/>
        <v>0.10746528870575836</v>
      </c>
      <c r="Y24">
        <f t="shared" si="1"/>
        <v>0.62085048678781296</v>
      </c>
      <c r="Z24">
        <f>SUM(U24:Y24)</f>
        <v>0.9222916103273241</v>
      </c>
    </row>
    <row r="26" spans="1:32" x14ac:dyDescent="0.25">
      <c r="U26">
        <f>EXP(U2)</f>
        <v>67.259273555650168</v>
      </c>
      <c r="V26">
        <f t="shared" ref="V26:Y26" si="2">EXP(V2)</f>
        <v>12.00288770230857</v>
      </c>
      <c r="W26">
        <f t="shared" si="2"/>
        <v>17.089185379929994</v>
      </c>
      <c r="X26">
        <f t="shared" si="2"/>
        <v>16.869719549297042</v>
      </c>
      <c r="Y26">
        <f t="shared" si="2"/>
        <v>26.067275152437617</v>
      </c>
    </row>
    <row r="27" spans="1:32" x14ac:dyDescent="0.25">
      <c r="D27" s="52" t="s">
        <v>135</v>
      </c>
      <c r="E27" s="52"/>
      <c r="F27" s="52"/>
    </row>
    <row r="28" spans="1:32" x14ac:dyDescent="0.25">
      <c r="D28" t="s">
        <v>71</v>
      </c>
      <c r="E28" t="s">
        <v>179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100</v>
      </c>
      <c r="V28" t="s">
        <v>101</v>
      </c>
      <c r="W28" t="s">
        <v>102</v>
      </c>
      <c r="X28" t="s">
        <v>103</v>
      </c>
      <c r="Y28" t="s">
        <v>104</v>
      </c>
      <c r="Z28" t="s">
        <v>105</v>
      </c>
      <c r="AA28" t="s">
        <v>107</v>
      </c>
    </row>
    <row r="29" spans="1:32" x14ac:dyDescent="0.25">
      <c r="D29">
        <v>1997</v>
      </c>
      <c r="E29">
        <v>1998</v>
      </c>
      <c r="F29">
        <v>42.448748999999999</v>
      </c>
      <c r="G29">
        <v>9.2799999999999994</v>
      </c>
      <c r="H29">
        <v>10.08</v>
      </c>
      <c r="I29">
        <v>7.48</v>
      </c>
      <c r="J29">
        <v>8.83</v>
      </c>
      <c r="K29">
        <v>7.59</v>
      </c>
      <c r="L29">
        <v>10.3</v>
      </c>
      <c r="M29">
        <v>7.01</v>
      </c>
      <c r="N29">
        <v>8.83</v>
      </c>
      <c r="O29">
        <v>7.3</v>
      </c>
      <c r="P29">
        <v>10.02</v>
      </c>
      <c r="Q29">
        <v>7.35</v>
      </c>
      <c r="R29">
        <v>8.7100000000000009</v>
      </c>
      <c r="S29">
        <v>7.4</v>
      </c>
      <c r="T29">
        <v>10.47</v>
      </c>
      <c r="U29">
        <v>8</v>
      </c>
      <c r="V29">
        <v>9.1999999999999993</v>
      </c>
      <c r="W29">
        <v>7.99</v>
      </c>
      <c r="X29">
        <v>2.48</v>
      </c>
      <c r="Y29" t="s">
        <v>106</v>
      </c>
      <c r="Z29">
        <v>1E-3</v>
      </c>
      <c r="AA29">
        <f>LN(F29)</f>
        <v>3.7482974423584441</v>
      </c>
    </row>
    <row r="30" spans="1:32" x14ac:dyDescent="0.25">
      <c r="D30">
        <v>1998</v>
      </c>
      <c r="E30">
        <v>1999</v>
      </c>
      <c r="F30">
        <v>77.818105000000003</v>
      </c>
      <c r="G30">
        <v>9.4</v>
      </c>
      <c r="H30">
        <v>9.85</v>
      </c>
      <c r="I30">
        <v>7.83</v>
      </c>
      <c r="J30">
        <v>8.91</v>
      </c>
      <c r="K30">
        <v>7.88</v>
      </c>
      <c r="L30">
        <v>9.9700000000000006</v>
      </c>
      <c r="M30">
        <v>7.34</v>
      </c>
      <c r="N30">
        <v>8.85</v>
      </c>
      <c r="O30">
        <v>7.56</v>
      </c>
      <c r="P30">
        <v>9.89</v>
      </c>
      <c r="Q30">
        <v>7.65</v>
      </c>
      <c r="R30">
        <v>8.85</v>
      </c>
      <c r="S30">
        <v>7.71</v>
      </c>
      <c r="T30">
        <v>10.36</v>
      </c>
      <c r="U30">
        <v>8.3699999999999992</v>
      </c>
      <c r="V30">
        <v>9.3800000000000008</v>
      </c>
      <c r="W30">
        <v>8.3699999999999992</v>
      </c>
      <c r="X30">
        <v>5.62</v>
      </c>
      <c r="Y30" t="s">
        <v>106</v>
      </c>
      <c r="Z30">
        <v>1E-3</v>
      </c>
      <c r="AA30">
        <f t="shared" ref="AA30:AA51" si="3">LN(F30)</f>
        <v>4.3543741161933518</v>
      </c>
    </row>
    <row r="31" spans="1:32" x14ac:dyDescent="0.25">
      <c r="D31">
        <v>1999</v>
      </c>
      <c r="E31">
        <v>2000</v>
      </c>
      <c r="F31">
        <v>20.248977</v>
      </c>
      <c r="G31">
        <v>8.56</v>
      </c>
      <c r="H31">
        <v>8.9</v>
      </c>
      <c r="I31">
        <v>6.84</v>
      </c>
      <c r="J31">
        <v>8.0500000000000007</v>
      </c>
      <c r="K31">
        <v>7.12</v>
      </c>
      <c r="L31">
        <v>9.08</v>
      </c>
      <c r="M31">
        <v>6.17</v>
      </c>
      <c r="N31">
        <v>8.02</v>
      </c>
      <c r="O31">
        <v>6.78</v>
      </c>
      <c r="P31">
        <v>8.93</v>
      </c>
      <c r="Q31">
        <v>6.7</v>
      </c>
      <c r="R31">
        <v>7.98</v>
      </c>
      <c r="S31">
        <v>6.95</v>
      </c>
      <c r="T31">
        <v>9.3000000000000007</v>
      </c>
      <c r="U31">
        <v>7.23</v>
      </c>
      <c r="V31">
        <v>8.4</v>
      </c>
      <c r="W31">
        <v>7.43</v>
      </c>
      <c r="X31">
        <v>1.6</v>
      </c>
      <c r="Y31" t="s">
        <v>106</v>
      </c>
      <c r="Z31">
        <v>1E-3</v>
      </c>
      <c r="AA31">
        <f t="shared" si="3"/>
        <v>3.0081042737579264</v>
      </c>
    </row>
    <row r="32" spans="1:32" x14ac:dyDescent="0.25">
      <c r="D32">
        <v>2000</v>
      </c>
      <c r="E32">
        <v>2001</v>
      </c>
      <c r="F32">
        <v>67.023652999999996</v>
      </c>
      <c r="G32">
        <v>8.77</v>
      </c>
      <c r="H32">
        <v>9.6999999999999993</v>
      </c>
      <c r="I32">
        <v>7.34</v>
      </c>
      <c r="J32">
        <v>8.6199999999999992</v>
      </c>
      <c r="K32">
        <v>7.52</v>
      </c>
      <c r="L32">
        <v>9.94</v>
      </c>
      <c r="M32">
        <v>7.02</v>
      </c>
      <c r="N32">
        <v>8.67</v>
      </c>
      <c r="O32">
        <v>7.35</v>
      </c>
      <c r="P32">
        <v>9.6999999999999993</v>
      </c>
      <c r="Q32">
        <v>7.23</v>
      </c>
      <c r="R32">
        <v>8.57</v>
      </c>
      <c r="S32">
        <v>7.39</v>
      </c>
      <c r="T32">
        <v>10.02</v>
      </c>
      <c r="U32">
        <v>7.71</v>
      </c>
      <c r="V32">
        <v>8.9499999999999993</v>
      </c>
      <c r="W32">
        <v>7.86</v>
      </c>
      <c r="X32">
        <v>3.73</v>
      </c>
      <c r="Y32" t="s">
        <v>106</v>
      </c>
      <c r="Z32">
        <v>1E-3</v>
      </c>
      <c r="AA32">
        <f t="shared" si="3"/>
        <v>4.2050455869413366</v>
      </c>
    </row>
    <row r="33" spans="4:29" x14ac:dyDescent="0.25">
      <c r="D33">
        <v>2001</v>
      </c>
      <c r="E33">
        <v>2002</v>
      </c>
      <c r="F33">
        <v>45.315401000000001</v>
      </c>
      <c r="G33">
        <v>9.0299999999999994</v>
      </c>
      <c r="H33">
        <v>9.15</v>
      </c>
      <c r="I33">
        <v>6.74</v>
      </c>
      <c r="J33">
        <v>8.18</v>
      </c>
      <c r="K33">
        <v>7.12</v>
      </c>
      <c r="L33">
        <v>9.57</v>
      </c>
      <c r="M33">
        <v>6.48</v>
      </c>
      <c r="N33">
        <v>8.4</v>
      </c>
      <c r="O33">
        <v>7.08</v>
      </c>
      <c r="P33">
        <v>9.2200000000000006</v>
      </c>
      <c r="Q33">
        <v>6.66</v>
      </c>
      <c r="R33">
        <v>8.17</v>
      </c>
      <c r="S33">
        <v>7.01</v>
      </c>
      <c r="T33">
        <v>9.51</v>
      </c>
      <c r="U33">
        <v>7.1</v>
      </c>
      <c r="V33">
        <v>8.52</v>
      </c>
      <c r="W33">
        <v>7.45</v>
      </c>
      <c r="X33">
        <v>2.87</v>
      </c>
      <c r="Y33" t="s">
        <v>106</v>
      </c>
      <c r="Z33">
        <v>1E-3</v>
      </c>
      <c r="AA33">
        <f t="shared" si="3"/>
        <v>3.8136469526345338</v>
      </c>
    </row>
    <row r="34" spans="4:29" x14ac:dyDescent="0.25">
      <c r="D34">
        <v>2002</v>
      </c>
      <c r="E34">
        <v>2003</v>
      </c>
      <c r="F34">
        <v>52.466735</v>
      </c>
      <c r="G34">
        <v>8.1999999999999993</v>
      </c>
      <c r="H34">
        <v>8.9700000000000006</v>
      </c>
      <c r="I34">
        <v>6.39</v>
      </c>
      <c r="J34">
        <v>7.85</v>
      </c>
      <c r="K34">
        <v>6.64</v>
      </c>
      <c r="L34">
        <v>9.34</v>
      </c>
      <c r="M34">
        <v>6.26</v>
      </c>
      <c r="N34">
        <v>8.02</v>
      </c>
      <c r="O34">
        <v>6.6</v>
      </c>
      <c r="P34">
        <v>9.0500000000000007</v>
      </c>
      <c r="Q34">
        <v>6.39</v>
      </c>
      <c r="R34">
        <v>7.88</v>
      </c>
      <c r="S34">
        <v>6.61</v>
      </c>
      <c r="T34">
        <v>9.44</v>
      </c>
      <c r="U34">
        <v>6.92</v>
      </c>
      <c r="V34">
        <v>8.33</v>
      </c>
      <c r="W34">
        <v>7.14</v>
      </c>
      <c r="X34">
        <v>2.78</v>
      </c>
      <c r="Y34" t="s">
        <v>106</v>
      </c>
      <c r="Z34">
        <v>1E-3</v>
      </c>
      <c r="AA34">
        <f t="shared" si="3"/>
        <v>3.9601793497285764</v>
      </c>
    </row>
    <row r="35" spans="4:29" x14ac:dyDescent="0.25">
      <c r="D35">
        <v>2003</v>
      </c>
      <c r="E35">
        <v>2004</v>
      </c>
      <c r="F35">
        <v>45.309744000000002</v>
      </c>
      <c r="G35">
        <v>9.31</v>
      </c>
      <c r="H35">
        <v>9.92</v>
      </c>
      <c r="I35">
        <v>7.71</v>
      </c>
      <c r="J35">
        <v>8.9</v>
      </c>
      <c r="K35">
        <v>7.85</v>
      </c>
      <c r="L35">
        <v>10.08</v>
      </c>
      <c r="M35">
        <v>7.29</v>
      </c>
      <c r="N35">
        <v>8.8800000000000008</v>
      </c>
      <c r="O35">
        <v>7.53</v>
      </c>
      <c r="P35">
        <v>9.86</v>
      </c>
      <c r="Q35">
        <v>7.57</v>
      </c>
      <c r="R35">
        <v>8.76</v>
      </c>
      <c r="S35">
        <v>7.6</v>
      </c>
      <c r="T35">
        <v>10.32</v>
      </c>
      <c r="U35">
        <v>8.17</v>
      </c>
      <c r="V35">
        <v>9.25</v>
      </c>
      <c r="W35">
        <v>8.16</v>
      </c>
      <c r="X35">
        <v>3.08</v>
      </c>
      <c r="Y35" t="s">
        <v>106</v>
      </c>
      <c r="Z35">
        <v>1E-3</v>
      </c>
      <c r="AA35">
        <f t="shared" si="3"/>
        <v>3.813522108696191</v>
      </c>
    </row>
    <row r="36" spans="4:29" x14ac:dyDescent="0.25">
      <c r="D36">
        <v>2004</v>
      </c>
      <c r="E36">
        <v>2005</v>
      </c>
      <c r="F36">
        <v>59.121487000000002</v>
      </c>
      <c r="G36">
        <v>9.33</v>
      </c>
      <c r="H36">
        <v>10.43</v>
      </c>
      <c r="I36">
        <v>7.94</v>
      </c>
      <c r="J36">
        <v>9.2200000000000006</v>
      </c>
      <c r="K36">
        <v>7.96</v>
      </c>
      <c r="L36">
        <v>10.68</v>
      </c>
      <c r="M36">
        <v>7.53</v>
      </c>
      <c r="N36">
        <v>9.25</v>
      </c>
      <c r="O36">
        <v>7.69</v>
      </c>
      <c r="P36">
        <v>10.38</v>
      </c>
      <c r="Q36">
        <v>7.89</v>
      </c>
      <c r="R36">
        <v>9.09</v>
      </c>
      <c r="S36">
        <v>7.79</v>
      </c>
      <c r="T36">
        <v>10.98</v>
      </c>
      <c r="U36">
        <v>8.58</v>
      </c>
      <c r="V36">
        <v>9.74</v>
      </c>
      <c r="W36">
        <v>8.51</v>
      </c>
      <c r="X36">
        <v>3.9</v>
      </c>
      <c r="Y36" t="s">
        <v>106</v>
      </c>
      <c r="Z36">
        <v>1E-3</v>
      </c>
      <c r="AA36">
        <f t="shared" si="3"/>
        <v>4.0795944285563817</v>
      </c>
    </row>
    <row r="37" spans="4:29" x14ac:dyDescent="0.25">
      <c r="D37">
        <v>2005</v>
      </c>
      <c r="E37">
        <v>2006</v>
      </c>
      <c r="F37">
        <v>11.6065</v>
      </c>
      <c r="G37">
        <v>10.210000000000001</v>
      </c>
      <c r="H37">
        <v>10.67</v>
      </c>
      <c r="I37">
        <v>8.51</v>
      </c>
      <c r="J37">
        <v>9.48</v>
      </c>
      <c r="K37">
        <v>8.44</v>
      </c>
      <c r="L37">
        <v>11.16</v>
      </c>
      <c r="M37">
        <v>8.4</v>
      </c>
      <c r="N37">
        <v>9.64</v>
      </c>
      <c r="O37">
        <v>8.26</v>
      </c>
      <c r="P37">
        <v>10.63</v>
      </c>
      <c r="Q37">
        <v>8.42</v>
      </c>
      <c r="R37">
        <v>9.35</v>
      </c>
      <c r="S37">
        <v>8.26</v>
      </c>
      <c r="T37">
        <v>11.06</v>
      </c>
      <c r="U37">
        <v>8.92</v>
      </c>
      <c r="V37">
        <v>9.83</v>
      </c>
      <c r="W37">
        <v>8.82</v>
      </c>
      <c r="X37">
        <v>2.04</v>
      </c>
      <c r="Y37" t="s">
        <v>106</v>
      </c>
      <c r="Z37">
        <v>1E-3</v>
      </c>
      <c r="AA37">
        <f t="shared" si="3"/>
        <v>2.4515652860053647</v>
      </c>
    </row>
    <row r="38" spans="4:29" x14ac:dyDescent="0.25">
      <c r="D38">
        <v>2006</v>
      </c>
      <c r="E38">
        <v>2007</v>
      </c>
      <c r="F38">
        <v>44.796396999999999</v>
      </c>
      <c r="G38">
        <v>8.75</v>
      </c>
      <c r="H38">
        <v>9.7799999999999994</v>
      </c>
      <c r="I38">
        <v>7.16</v>
      </c>
      <c r="J38">
        <v>8.68</v>
      </c>
      <c r="K38">
        <v>7.58</v>
      </c>
      <c r="L38">
        <v>10.19</v>
      </c>
      <c r="M38">
        <v>6.84</v>
      </c>
      <c r="N38">
        <v>8.86</v>
      </c>
      <c r="O38">
        <v>7.49</v>
      </c>
      <c r="P38">
        <v>9.7200000000000006</v>
      </c>
      <c r="Q38">
        <v>6.98</v>
      </c>
      <c r="R38">
        <v>8.5500000000000007</v>
      </c>
      <c r="S38">
        <v>7.36</v>
      </c>
      <c r="T38">
        <v>10.19</v>
      </c>
      <c r="U38">
        <v>7.63</v>
      </c>
      <c r="V38">
        <v>9.07</v>
      </c>
      <c r="W38">
        <v>7.96</v>
      </c>
      <c r="X38">
        <v>2.58</v>
      </c>
      <c r="Y38" t="s">
        <v>106</v>
      </c>
      <c r="Z38">
        <v>1E-3</v>
      </c>
      <c r="AA38">
        <f t="shared" si="3"/>
        <v>3.8021277120796046</v>
      </c>
    </row>
    <row r="39" spans="4:29" x14ac:dyDescent="0.25">
      <c r="D39">
        <v>2007</v>
      </c>
      <c r="E39">
        <v>2008</v>
      </c>
      <c r="F39">
        <v>15.908924000000001</v>
      </c>
      <c r="G39">
        <v>8.94</v>
      </c>
      <c r="H39">
        <v>9.52</v>
      </c>
      <c r="I39">
        <v>7.04</v>
      </c>
      <c r="J39">
        <v>8.41</v>
      </c>
      <c r="K39">
        <v>7.27</v>
      </c>
      <c r="L39">
        <v>9.49</v>
      </c>
      <c r="M39">
        <v>6.55</v>
      </c>
      <c r="N39">
        <v>8.16</v>
      </c>
      <c r="O39">
        <v>6.87</v>
      </c>
      <c r="P39">
        <v>9.44</v>
      </c>
      <c r="Q39">
        <v>6.9</v>
      </c>
      <c r="R39">
        <v>8.24</v>
      </c>
      <c r="S39">
        <v>7.03</v>
      </c>
      <c r="T39">
        <v>9.99</v>
      </c>
      <c r="U39">
        <v>7.51</v>
      </c>
      <c r="V39">
        <v>8.82</v>
      </c>
      <c r="W39">
        <v>7.64</v>
      </c>
      <c r="X39">
        <v>1.17</v>
      </c>
      <c r="Y39" t="s">
        <v>106</v>
      </c>
      <c r="Z39">
        <v>1E-3</v>
      </c>
      <c r="AA39">
        <f t="shared" si="3"/>
        <v>2.7668802096415366</v>
      </c>
    </row>
    <row r="40" spans="4:29" x14ac:dyDescent="0.25">
      <c r="D40">
        <v>2008</v>
      </c>
      <c r="E40">
        <v>2009</v>
      </c>
      <c r="F40">
        <v>38.024357000000002</v>
      </c>
      <c r="G40">
        <v>7.91</v>
      </c>
      <c r="H40">
        <v>8.65</v>
      </c>
      <c r="I40">
        <v>6.77</v>
      </c>
      <c r="J40">
        <v>7.69</v>
      </c>
      <c r="K40">
        <v>6.83</v>
      </c>
      <c r="L40">
        <v>8.85</v>
      </c>
      <c r="M40">
        <v>6.43</v>
      </c>
      <c r="N40">
        <v>7.72</v>
      </c>
      <c r="O40">
        <v>6.68</v>
      </c>
      <c r="P40">
        <v>8.65</v>
      </c>
      <c r="Q40">
        <v>6.64</v>
      </c>
      <c r="R40">
        <v>7.63</v>
      </c>
      <c r="S40">
        <v>6.74</v>
      </c>
      <c r="T40">
        <v>9.18</v>
      </c>
      <c r="U40">
        <v>7.22</v>
      </c>
      <c r="V40">
        <v>8.17</v>
      </c>
      <c r="W40">
        <v>7.28</v>
      </c>
      <c r="X40">
        <v>2.3199999999999998</v>
      </c>
      <c r="Y40" t="s">
        <v>106</v>
      </c>
      <c r="Z40">
        <v>1E-3</v>
      </c>
      <c r="AA40">
        <f t="shared" si="3"/>
        <v>3.6382269280747028</v>
      </c>
    </row>
    <row r="41" spans="4:29" x14ac:dyDescent="0.25">
      <c r="D41">
        <v>2009</v>
      </c>
      <c r="E41">
        <v>2010</v>
      </c>
      <c r="F41">
        <v>24.141670999999999</v>
      </c>
      <c r="G41">
        <v>9.36</v>
      </c>
      <c r="H41">
        <v>9.75</v>
      </c>
      <c r="I41">
        <v>7.3</v>
      </c>
      <c r="J41">
        <v>8.4600000000000009</v>
      </c>
      <c r="K41">
        <v>7.35</v>
      </c>
      <c r="L41">
        <v>9.94</v>
      </c>
      <c r="M41">
        <v>7.19</v>
      </c>
      <c r="N41">
        <v>8.4700000000000006</v>
      </c>
      <c r="O41">
        <v>7.22</v>
      </c>
      <c r="P41">
        <v>9.77</v>
      </c>
      <c r="Q41">
        <v>7.32</v>
      </c>
      <c r="R41">
        <v>8.4</v>
      </c>
      <c r="S41">
        <v>7.24</v>
      </c>
      <c r="T41">
        <v>10.199999999999999</v>
      </c>
      <c r="U41">
        <v>7.76</v>
      </c>
      <c r="V41">
        <v>8.85</v>
      </c>
      <c r="W41">
        <v>7.73</v>
      </c>
      <c r="X41">
        <v>2.33</v>
      </c>
      <c r="Y41" t="s">
        <v>106</v>
      </c>
      <c r="Z41">
        <v>1E-3</v>
      </c>
      <c r="AA41">
        <f t="shared" si="3"/>
        <v>3.1839394344833187</v>
      </c>
    </row>
    <row r="42" spans="4:29" x14ac:dyDescent="0.25">
      <c r="D42">
        <v>2010</v>
      </c>
      <c r="E42">
        <v>2011</v>
      </c>
      <c r="F42">
        <v>58.882053999999997</v>
      </c>
      <c r="G42">
        <v>9.35</v>
      </c>
      <c r="H42">
        <v>9.65</v>
      </c>
      <c r="I42">
        <v>7.97</v>
      </c>
      <c r="J42">
        <v>8.66</v>
      </c>
      <c r="K42">
        <v>7.93</v>
      </c>
      <c r="L42">
        <v>9.8699999999999992</v>
      </c>
      <c r="M42">
        <v>7.71</v>
      </c>
      <c r="N42">
        <v>8.68</v>
      </c>
      <c r="O42">
        <v>7.81</v>
      </c>
      <c r="P42">
        <v>9.6199999999999992</v>
      </c>
      <c r="Q42">
        <v>7.76</v>
      </c>
      <c r="R42">
        <v>8.5399999999999991</v>
      </c>
      <c r="S42">
        <v>7.72</v>
      </c>
      <c r="T42">
        <v>10.09</v>
      </c>
      <c r="U42">
        <v>8.2799999999999994</v>
      </c>
      <c r="V42">
        <v>9.0500000000000007</v>
      </c>
      <c r="W42">
        <v>8.23</v>
      </c>
      <c r="X42">
        <v>4.1100000000000003</v>
      </c>
      <c r="Y42" t="s">
        <v>106</v>
      </c>
      <c r="Z42">
        <v>1E-3</v>
      </c>
      <c r="AA42">
        <f t="shared" si="3"/>
        <v>4.0755363583230402</v>
      </c>
    </row>
    <row r="43" spans="4:29" x14ac:dyDescent="0.25">
      <c r="D43">
        <v>2011</v>
      </c>
      <c r="E43">
        <v>2012</v>
      </c>
      <c r="F43">
        <v>21.277018000000002</v>
      </c>
      <c r="G43">
        <v>8.65</v>
      </c>
      <c r="H43">
        <v>9.59</v>
      </c>
      <c r="I43">
        <v>7.31</v>
      </c>
      <c r="J43">
        <v>8.49</v>
      </c>
      <c r="K43">
        <v>7.55</v>
      </c>
      <c r="L43">
        <v>9.84</v>
      </c>
      <c r="M43">
        <v>6.81</v>
      </c>
      <c r="N43">
        <v>8.4700000000000006</v>
      </c>
      <c r="O43">
        <v>7.18</v>
      </c>
      <c r="P43">
        <v>9.67</v>
      </c>
      <c r="Q43">
        <v>7.25</v>
      </c>
      <c r="R43">
        <v>8.44</v>
      </c>
      <c r="S43">
        <v>7.44</v>
      </c>
      <c r="T43">
        <v>10.050000000000001</v>
      </c>
      <c r="U43">
        <v>7.74</v>
      </c>
      <c r="V43">
        <v>8.8800000000000008</v>
      </c>
      <c r="W43">
        <v>7.92</v>
      </c>
      <c r="X43">
        <v>1.51</v>
      </c>
      <c r="Y43" t="s">
        <v>106</v>
      </c>
      <c r="Z43">
        <v>1E-3</v>
      </c>
      <c r="AA43">
        <f t="shared" si="3"/>
        <v>3.0576275230751495</v>
      </c>
    </row>
    <row r="44" spans="4:29" x14ac:dyDescent="0.25">
      <c r="D44">
        <v>2012</v>
      </c>
      <c r="E44">
        <v>2013</v>
      </c>
      <c r="F44">
        <v>94.719412000000005</v>
      </c>
      <c r="G44">
        <v>8.48</v>
      </c>
      <c r="H44">
        <v>9.17</v>
      </c>
      <c r="I44">
        <v>7.07</v>
      </c>
      <c r="J44">
        <v>8.18</v>
      </c>
      <c r="K44">
        <v>7.22</v>
      </c>
      <c r="L44">
        <v>9.23</v>
      </c>
      <c r="M44">
        <v>6.92</v>
      </c>
      <c r="N44">
        <v>8.1</v>
      </c>
      <c r="O44">
        <v>7.07</v>
      </c>
      <c r="P44">
        <v>9.14</v>
      </c>
      <c r="Q44">
        <v>6.95</v>
      </c>
      <c r="R44">
        <v>8.09</v>
      </c>
      <c r="S44">
        <v>7.1</v>
      </c>
      <c r="T44">
        <v>9.68</v>
      </c>
      <c r="U44">
        <v>7.47</v>
      </c>
      <c r="V44">
        <v>8.6300000000000008</v>
      </c>
      <c r="W44">
        <v>7.61</v>
      </c>
      <c r="X44">
        <v>3.52</v>
      </c>
      <c r="Y44" t="s">
        <v>106</v>
      </c>
      <c r="Z44">
        <v>1E-3</v>
      </c>
      <c r="AA44">
        <f t="shared" si="3"/>
        <v>4.5509189633461569</v>
      </c>
    </row>
    <row r="45" spans="4:29" x14ac:dyDescent="0.25">
      <c r="D45">
        <v>2013</v>
      </c>
      <c r="E45">
        <v>2014</v>
      </c>
      <c r="F45">
        <v>37.173864700000003</v>
      </c>
      <c r="G45">
        <v>8.83</v>
      </c>
      <c r="H45">
        <v>9.66</v>
      </c>
      <c r="I45">
        <v>6.74</v>
      </c>
      <c r="J45">
        <v>8.44</v>
      </c>
      <c r="K45">
        <v>7.21</v>
      </c>
      <c r="L45">
        <v>9.8800000000000008</v>
      </c>
      <c r="M45">
        <v>6.37</v>
      </c>
      <c r="N45">
        <v>8.4499999999999993</v>
      </c>
      <c r="O45">
        <v>6.97</v>
      </c>
      <c r="P45">
        <v>9.67</v>
      </c>
      <c r="Q45">
        <v>6.59</v>
      </c>
      <c r="R45">
        <v>8.36</v>
      </c>
      <c r="S45">
        <v>7.04</v>
      </c>
      <c r="T45">
        <v>10.39</v>
      </c>
      <c r="U45">
        <v>7.51</v>
      </c>
      <c r="V45">
        <v>9.1</v>
      </c>
      <c r="W45">
        <v>7.85</v>
      </c>
      <c r="X45">
        <v>2.14</v>
      </c>
      <c r="Y45" t="s">
        <v>106</v>
      </c>
      <c r="Z45">
        <v>1E-3</v>
      </c>
      <c r="AA45">
        <f t="shared" si="3"/>
        <v>3.6156059525389286</v>
      </c>
    </row>
    <row r="46" spans="4:29" x14ac:dyDescent="0.25">
      <c r="D46">
        <v>2014</v>
      </c>
      <c r="E46">
        <v>2015</v>
      </c>
      <c r="F46">
        <v>35.092568</v>
      </c>
      <c r="G46">
        <v>9.1199999999999992</v>
      </c>
      <c r="H46">
        <v>9.98</v>
      </c>
      <c r="I46">
        <v>8.17</v>
      </c>
      <c r="J46">
        <v>8.76</v>
      </c>
      <c r="K46">
        <v>7.77</v>
      </c>
      <c r="L46">
        <v>10.23</v>
      </c>
      <c r="M46">
        <v>7.9</v>
      </c>
      <c r="N46">
        <v>8.81</v>
      </c>
      <c r="O46">
        <v>7.62</v>
      </c>
      <c r="P46">
        <v>10.029999999999999</v>
      </c>
      <c r="Q46">
        <v>8.15</v>
      </c>
      <c r="R46">
        <v>8.6999999999999993</v>
      </c>
      <c r="S46">
        <v>7.64</v>
      </c>
      <c r="T46">
        <v>10.57</v>
      </c>
      <c r="U46">
        <v>8.6199999999999992</v>
      </c>
      <c r="V46">
        <v>9.26</v>
      </c>
      <c r="W46">
        <v>8.17</v>
      </c>
      <c r="X46">
        <v>3.8</v>
      </c>
      <c r="Y46" t="s">
        <v>106</v>
      </c>
      <c r="Z46">
        <v>1E-3</v>
      </c>
      <c r="AA46">
        <f t="shared" si="3"/>
        <v>3.5579893701604499</v>
      </c>
    </row>
    <row r="47" spans="4:29" x14ac:dyDescent="0.25">
      <c r="D47">
        <v>2015</v>
      </c>
      <c r="E47">
        <v>2016</v>
      </c>
      <c r="F47">
        <v>18.374199999999998</v>
      </c>
      <c r="G47">
        <v>9.61</v>
      </c>
      <c r="H47">
        <v>10.62</v>
      </c>
      <c r="I47">
        <v>8.8699999999999992</v>
      </c>
      <c r="J47">
        <v>9.5500000000000007</v>
      </c>
      <c r="K47">
        <v>8.73</v>
      </c>
      <c r="L47">
        <v>10.73</v>
      </c>
      <c r="M47">
        <v>8.34</v>
      </c>
      <c r="N47">
        <v>9.43</v>
      </c>
      <c r="O47">
        <v>8.2899999999999991</v>
      </c>
      <c r="P47">
        <v>10.81</v>
      </c>
      <c r="Q47">
        <v>8.92</v>
      </c>
      <c r="R47">
        <v>9.56</v>
      </c>
      <c r="S47">
        <v>8.65</v>
      </c>
      <c r="T47">
        <v>11.43</v>
      </c>
      <c r="U47">
        <v>9.64</v>
      </c>
      <c r="V47">
        <v>10.210000000000001</v>
      </c>
      <c r="W47">
        <v>9.32</v>
      </c>
      <c r="X47">
        <v>2.4500000000000002</v>
      </c>
      <c r="Y47" t="s">
        <v>106</v>
      </c>
      <c r="Z47">
        <v>1E-3</v>
      </c>
      <c r="AA47">
        <f t="shared" si="3"/>
        <v>2.9109475067361537</v>
      </c>
      <c r="AB47" s="2" t="s">
        <v>167</v>
      </c>
      <c r="AC47" s="2" t="s">
        <v>168</v>
      </c>
    </row>
    <row r="48" spans="4:29" x14ac:dyDescent="0.25">
      <c r="D48">
        <v>2016</v>
      </c>
      <c r="E48">
        <v>2017</v>
      </c>
      <c r="F48">
        <v>34.734366000000001</v>
      </c>
      <c r="G48">
        <v>10.199999999999999</v>
      </c>
      <c r="H48">
        <v>11.04</v>
      </c>
      <c r="I48">
        <v>8.92</v>
      </c>
      <c r="J48">
        <v>10.029999999999999</v>
      </c>
      <c r="K48">
        <v>9.07</v>
      </c>
      <c r="L48">
        <v>11.65</v>
      </c>
      <c r="M48">
        <v>8.81</v>
      </c>
      <c r="N48">
        <v>10.37</v>
      </c>
      <c r="O48">
        <v>9.14</v>
      </c>
      <c r="P48">
        <v>11.18</v>
      </c>
      <c r="Q48">
        <v>8.92</v>
      </c>
      <c r="R48">
        <v>10.050000000000001</v>
      </c>
      <c r="S48">
        <v>9</v>
      </c>
      <c r="T48">
        <v>11.67</v>
      </c>
      <c r="U48">
        <v>9.61</v>
      </c>
      <c r="V48">
        <v>10.59</v>
      </c>
      <c r="W48">
        <v>9.59</v>
      </c>
      <c r="X48">
        <v>4.3499999999999996</v>
      </c>
      <c r="Y48" t="s">
        <v>106</v>
      </c>
      <c r="Z48">
        <v>1</v>
      </c>
      <c r="AA48">
        <f t="shared" si="3"/>
        <v>3.5477295714951795</v>
      </c>
      <c r="AB48" s="1">
        <f>$E$73+$E$74*X48</f>
        <v>4.2085549057133633</v>
      </c>
      <c r="AC48" s="1"/>
    </row>
    <row r="49" spans="4:38" x14ac:dyDescent="0.25">
      <c r="D49" s="75">
        <v>2017</v>
      </c>
      <c r="E49" s="75">
        <v>2018</v>
      </c>
      <c r="F49" s="75">
        <v>8.0677000000000003</v>
      </c>
      <c r="G49" s="75">
        <v>8.56</v>
      </c>
      <c r="H49" s="75">
        <v>9.65</v>
      </c>
      <c r="I49" s="75">
        <v>7.65</v>
      </c>
      <c r="J49" s="75">
        <v>8.6999999999999993</v>
      </c>
      <c r="K49" s="75">
        <v>7.76</v>
      </c>
      <c r="L49" s="75">
        <v>9.82</v>
      </c>
      <c r="M49" s="75">
        <v>7.22</v>
      </c>
      <c r="N49" s="75">
        <v>8.66</v>
      </c>
      <c r="O49" s="75">
        <v>7.51</v>
      </c>
      <c r="P49" s="75">
        <v>9.82</v>
      </c>
      <c r="Q49" s="75">
        <v>7.75</v>
      </c>
      <c r="R49" s="75">
        <v>8.77</v>
      </c>
      <c r="S49" s="75">
        <v>7.78</v>
      </c>
      <c r="T49" s="75">
        <v>10.31</v>
      </c>
      <c r="U49" s="75">
        <v>8.25</v>
      </c>
      <c r="V49" s="75">
        <v>9.2799999999999994</v>
      </c>
      <c r="W49" s="75">
        <v>8.2899999999999991</v>
      </c>
      <c r="X49" s="75">
        <v>0.35</v>
      </c>
      <c r="Y49" s="75" t="s">
        <v>106</v>
      </c>
      <c r="Z49" s="75">
        <v>1</v>
      </c>
      <c r="AA49" s="75">
        <f t="shared" si="3"/>
        <v>2.0878684354640864</v>
      </c>
      <c r="AB49" s="46">
        <f>$E$73+$E$74*X49</f>
        <v>2.4851472626974349</v>
      </c>
      <c r="AC49" s="46">
        <f>$AL$73+$AL$74*X50</f>
        <v>2.8603289756675778</v>
      </c>
    </row>
    <row r="50" spans="4:38" x14ac:dyDescent="0.25">
      <c r="D50">
        <v>2018</v>
      </c>
      <c r="E50">
        <v>2019</v>
      </c>
      <c r="F50">
        <v>21.141928</v>
      </c>
      <c r="G50">
        <v>8.92</v>
      </c>
      <c r="H50">
        <v>9.8699999999999992</v>
      </c>
      <c r="I50">
        <v>7.4</v>
      </c>
      <c r="J50">
        <v>8.75</v>
      </c>
      <c r="K50">
        <v>7.61</v>
      </c>
      <c r="L50">
        <v>9.99</v>
      </c>
      <c r="M50">
        <v>6.92</v>
      </c>
      <c r="N50">
        <v>8.74</v>
      </c>
      <c r="O50">
        <v>7.43</v>
      </c>
      <c r="P50">
        <v>10.11</v>
      </c>
      <c r="Q50">
        <v>7.53</v>
      </c>
      <c r="R50">
        <v>8.86</v>
      </c>
      <c r="S50">
        <v>7.63</v>
      </c>
      <c r="T50">
        <v>10.79</v>
      </c>
      <c r="U50">
        <v>8.2799999999999994</v>
      </c>
      <c r="V50">
        <v>9.5399999999999991</v>
      </c>
      <c r="W50">
        <v>8.3000000000000007</v>
      </c>
      <c r="X50">
        <v>1.17</v>
      </c>
      <c r="Y50" t="s">
        <v>106</v>
      </c>
      <c r="Z50">
        <v>1</v>
      </c>
      <c r="AA50">
        <f t="shared" si="3"/>
        <v>3.0512581777972043</v>
      </c>
      <c r="AB50" s="1">
        <f t="shared" ref="AB50" si="4">$E$73+$E$74*X50</f>
        <v>2.8384458295157002</v>
      </c>
      <c r="AC50" s="1">
        <f>$S$73+$S$74*X51</f>
        <v>2.8713364357772795</v>
      </c>
    </row>
    <row r="51" spans="4:38" x14ac:dyDescent="0.25">
      <c r="D51">
        <v>2019</v>
      </c>
      <c r="E51">
        <v>2020</v>
      </c>
      <c r="F51">
        <v>8.062989</v>
      </c>
      <c r="G51">
        <v>9.91</v>
      </c>
      <c r="H51">
        <v>10.47</v>
      </c>
      <c r="I51">
        <v>8.24</v>
      </c>
      <c r="J51">
        <v>9.4600000000000009</v>
      </c>
      <c r="K51">
        <v>8.35</v>
      </c>
      <c r="L51">
        <v>10.74</v>
      </c>
      <c r="M51">
        <v>7.79</v>
      </c>
      <c r="N51">
        <v>9.51</v>
      </c>
      <c r="O51">
        <v>8.1</v>
      </c>
      <c r="P51">
        <v>10.87</v>
      </c>
      <c r="Q51">
        <v>8.42</v>
      </c>
      <c r="R51">
        <v>9.65</v>
      </c>
      <c r="S51">
        <v>8.44</v>
      </c>
      <c r="T51">
        <v>11.46</v>
      </c>
      <c r="U51">
        <v>9.01</v>
      </c>
      <c r="V51">
        <v>10.25</v>
      </c>
      <c r="W51">
        <v>9.0500000000000007</v>
      </c>
      <c r="X51">
        <v>1.1399999999999999</v>
      </c>
      <c r="Y51" t="s">
        <v>106</v>
      </c>
      <c r="Z51">
        <v>1</v>
      </c>
      <c r="AA51">
        <f t="shared" si="3"/>
        <v>2.0872843314454741</v>
      </c>
      <c r="AB51" s="1">
        <f>$E$73+$E$74*X51</f>
        <v>2.825520272193081</v>
      </c>
      <c r="AC51" s="1">
        <f>$AC$73+$AC$74*X52</f>
        <v>3.2290680255095188</v>
      </c>
    </row>
    <row r="52" spans="4:38" x14ac:dyDescent="0.25">
      <c r="D52">
        <v>2020</v>
      </c>
      <c r="E52">
        <v>2021</v>
      </c>
      <c r="F52">
        <v>48.503718999999997</v>
      </c>
      <c r="G52">
        <v>8.89</v>
      </c>
      <c r="H52">
        <v>9.99</v>
      </c>
      <c r="I52">
        <v>8.09</v>
      </c>
      <c r="J52">
        <v>8.84</v>
      </c>
      <c r="K52">
        <v>7.86</v>
      </c>
      <c r="L52">
        <v>10.4</v>
      </c>
      <c r="M52">
        <v>7.83</v>
      </c>
      <c r="N52">
        <v>9.0500000000000007</v>
      </c>
      <c r="O52">
        <v>7.86</v>
      </c>
      <c r="P52">
        <v>10.23</v>
      </c>
      <c r="Q52">
        <v>8.26</v>
      </c>
      <c r="R52">
        <v>8.98</v>
      </c>
      <c r="S52">
        <v>7.94</v>
      </c>
      <c r="T52">
        <v>10.7</v>
      </c>
      <c r="U52">
        <v>8.9</v>
      </c>
      <c r="V52">
        <v>9.52</v>
      </c>
      <c r="W52">
        <v>8.5299999999999994</v>
      </c>
      <c r="X52">
        <v>2.15</v>
      </c>
      <c r="Y52" t="s">
        <v>106</v>
      </c>
      <c r="Z52">
        <v>1</v>
      </c>
      <c r="AA52">
        <f>LN(F52)</f>
        <v>3.8816404754160159</v>
      </c>
      <c r="AB52" s="1">
        <f>$E$73+$E$74*X52</f>
        <v>3.2606807020546027</v>
      </c>
      <c r="AC52" s="1"/>
    </row>
    <row r="53" spans="4:38" x14ac:dyDescent="0.25">
      <c r="D53">
        <v>2021</v>
      </c>
      <c r="E53">
        <v>2022</v>
      </c>
      <c r="G53">
        <v>8.89</v>
      </c>
      <c r="H53">
        <v>10.06</v>
      </c>
      <c r="I53">
        <v>7.25</v>
      </c>
      <c r="J53">
        <v>8.9</v>
      </c>
      <c r="K53">
        <v>7.63</v>
      </c>
      <c r="L53">
        <v>10.26</v>
      </c>
      <c r="M53">
        <v>6.91</v>
      </c>
      <c r="N53">
        <v>8.91</v>
      </c>
      <c r="O53">
        <v>7.47</v>
      </c>
      <c r="P53">
        <v>10.23</v>
      </c>
      <c r="Q53">
        <v>7.29</v>
      </c>
      <c r="R53">
        <v>8.9600000000000009</v>
      </c>
      <c r="S53">
        <v>7.65</v>
      </c>
      <c r="T53">
        <v>10.82</v>
      </c>
      <c r="U53">
        <v>7.97</v>
      </c>
      <c r="V53">
        <v>9.58</v>
      </c>
      <c r="W53">
        <v>8.31</v>
      </c>
      <c r="X53">
        <v>0.88</v>
      </c>
      <c r="Y53" t="s">
        <v>106</v>
      </c>
      <c r="Z53">
        <v>1</v>
      </c>
      <c r="AB53" s="1">
        <f>$E$73+$E$74*X53</f>
        <v>2.7134987753970456</v>
      </c>
      <c r="AC53" s="1"/>
    </row>
    <row r="57" spans="4:38" x14ac:dyDescent="0.25">
      <c r="D57" t="s">
        <v>108</v>
      </c>
      <c r="R57" t="s">
        <v>108</v>
      </c>
      <c r="X57">
        <f>EXP(AB49)</f>
        <v>12.002887702308511</v>
      </c>
      <c r="AB57" t="s">
        <v>108</v>
      </c>
      <c r="AK57" t="s">
        <v>108</v>
      </c>
    </row>
    <row r="58" spans="4:38" ht="15.75" thickBot="1" x14ac:dyDescent="0.3"/>
    <row r="59" spans="4:38" x14ac:dyDescent="0.25">
      <c r="D59" s="50" t="s">
        <v>109</v>
      </c>
      <c r="E59" s="50"/>
      <c r="R59" s="50" t="s">
        <v>109</v>
      </c>
      <c r="S59" s="50"/>
      <c r="AB59" s="50" t="s">
        <v>109</v>
      </c>
      <c r="AC59" s="50"/>
      <c r="AK59" s="50" t="s">
        <v>109</v>
      </c>
      <c r="AL59" s="50"/>
    </row>
    <row r="60" spans="4:38" x14ac:dyDescent="0.25">
      <c r="D60" s="47" t="s">
        <v>110</v>
      </c>
      <c r="E60" s="47">
        <v>0.78252299237115319</v>
      </c>
      <c r="R60" s="47" t="s">
        <v>110</v>
      </c>
      <c r="S60" s="47">
        <v>0.79242080726129238</v>
      </c>
      <c r="AB60" s="47" t="s">
        <v>110</v>
      </c>
      <c r="AC60" s="47">
        <v>0.80320130513038313</v>
      </c>
      <c r="AK60" s="47" t="s">
        <v>110</v>
      </c>
      <c r="AL60" s="47">
        <v>0.78843274807438035</v>
      </c>
    </row>
    <row r="61" spans="4:38" x14ac:dyDescent="0.25">
      <c r="D61" s="47" t="s">
        <v>111</v>
      </c>
      <c r="E61" s="47">
        <v>0.6123422335895039</v>
      </c>
      <c r="R61" s="47" t="s">
        <v>111</v>
      </c>
      <c r="S61" s="47">
        <v>0.62793073578063829</v>
      </c>
      <c r="AB61" s="47" t="s">
        <v>111</v>
      </c>
      <c r="AC61" s="47">
        <v>0.64513233656315083</v>
      </c>
      <c r="AK61" s="47" t="s">
        <v>111</v>
      </c>
      <c r="AL61" s="47">
        <v>0.62162619823611931</v>
      </c>
    </row>
    <row r="62" spans="4:38" x14ac:dyDescent="0.25">
      <c r="D62" s="47" t="s">
        <v>112</v>
      </c>
      <c r="E62" s="47">
        <v>0.59472142602539046</v>
      </c>
      <c r="R62" s="47" t="s">
        <v>112</v>
      </c>
      <c r="S62" s="47">
        <v>0.60932727256967012</v>
      </c>
      <c r="AB62" s="47" t="s">
        <v>112</v>
      </c>
      <c r="AC62" s="47">
        <v>0.62823387639949135</v>
      </c>
      <c r="AK62" s="47" t="s">
        <v>112</v>
      </c>
      <c r="AL62" s="47">
        <v>0.60171178761696764</v>
      </c>
    </row>
    <row r="63" spans="4:38" x14ac:dyDescent="0.25">
      <c r="D63" s="47" t="s">
        <v>113</v>
      </c>
      <c r="E63" s="47">
        <v>0.42875901476960915</v>
      </c>
      <c r="R63" s="47" t="s">
        <v>113</v>
      </c>
      <c r="S63" s="47">
        <v>0.39321465198499178</v>
      </c>
      <c r="AB63" s="47" t="s">
        <v>113</v>
      </c>
      <c r="AC63" s="47">
        <v>0.41628362583017681</v>
      </c>
      <c r="AK63" s="47" t="s">
        <v>113</v>
      </c>
      <c r="AL63" s="47">
        <v>0.40133489664267979</v>
      </c>
    </row>
    <row r="64" spans="4:38" ht="15.75" thickBot="1" x14ac:dyDescent="0.3">
      <c r="D64" s="48" t="s">
        <v>114</v>
      </c>
      <c r="E64" s="48">
        <v>24</v>
      </c>
      <c r="R64" s="48" t="s">
        <v>114</v>
      </c>
      <c r="S64" s="48">
        <v>22</v>
      </c>
      <c r="AB64" s="48" t="s">
        <v>114</v>
      </c>
      <c r="AC64" s="48">
        <v>23</v>
      </c>
      <c r="AK64" s="48" t="s">
        <v>114</v>
      </c>
      <c r="AL64" s="48">
        <v>21</v>
      </c>
    </row>
    <row r="66" spans="4:45" ht="15.75" thickBot="1" x14ac:dyDescent="0.3">
      <c r="D66" t="s">
        <v>115</v>
      </c>
      <c r="R66" t="s">
        <v>115</v>
      </c>
      <c r="AB66" t="s">
        <v>115</v>
      </c>
      <c r="AK66" t="s">
        <v>115</v>
      </c>
    </row>
    <row r="67" spans="4:45" x14ac:dyDescent="0.25">
      <c r="D67" s="49"/>
      <c r="E67" s="49" t="s">
        <v>7</v>
      </c>
      <c r="F67" s="49" t="s">
        <v>120</v>
      </c>
      <c r="G67" s="49" t="s">
        <v>121</v>
      </c>
      <c r="H67" s="49" t="s">
        <v>122</v>
      </c>
      <c r="I67" s="49" t="s">
        <v>123</v>
      </c>
      <c r="R67" s="49"/>
      <c r="S67" s="49" t="s">
        <v>7</v>
      </c>
      <c r="T67" s="49" t="s">
        <v>120</v>
      </c>
      <c r="U67" s="49" t="s">
        <v>121</v>
      </c>
      <c r="V67" s="49" t="s">
        <v>122</v>
      </c>
      <c r="W67" s="49" t="s">
        <v>123</v>
      </c>
      <c r="AB67" s="49"/>
      <c r="AC67" s="49" t="s">
        <v>7</v>
      </c>
      <c r="AD67" s="49" t="s">
        <v>120</v>
      </c>
      <c r="AE67" s="49" t="s">
        <v>121</v>
      </c>
      <c r="AF67" s="49" t="s">
        <v>122</v>
      </c>
      <c r="AG67" s="49" t="s">
        <v>123</v>
      </c>
      <c r="AK67" s="49"/>
      <c r="AL67" s="49" t="s">
        <v>7</v>
      </c>
      <c r="AM67" s="49" t="s">
        <v>120</v>
      </c>
      <c r="AN67" s="49" t="s">
        <v>121</v>
      </c>
      <c r="AO67" s="49" t="s">
        <v>122</v>
      </c>
      <c r="AP67" s="49" t="s">
        <v>123</v>
      </c>
    </row>
    <row r="68" spans="4:45" x14ac:dyDescent="0.25">
      <c r="D68" s="47" t="s">
        <v>116</v>
      </c>
      <c r="E68" s="47">
        <v>1</v>
      </c>
      <c r="F68" s="47">
        <v>6.3884416773166262</v>
      </c>
      <c r="G68" s="47">
        <v>6.3884416773166262</v>
      </c>
      <c r="H68" s="47">
        <v>34.751087960156852</v>
      </c>
      <c r="I68" s="47">
        <v>6.228675844194623E-6</v>
      </c>
      <c r="R68" s="47" t="s">
        <v>116</v>
      </c>
      <c r="S68" s="47">
        <v>1</v>
      </c>
      <c r="T68" s="47">
        <v>5.2188801779952074</v>
      </c>
      <c r="U68" s="47">
        <v>5.2188801779952074</v>
      </c>
      <c r="V68" s="47">
        <v>33.753432286222257</v>
      </c>
      <c r="W68" s="47">
        <v>1.1021083240051079E-5</v>
      </c>
      <c r="AB68" s="47" t="s">
        <v>116</v>
      </c>
      <c r="AC68" s="47">
        <v>1</v>
      </c>
      <c r="AD68" s="47">
        <v>6.615769049023676</v>
      </c>
      <c r="AE68" s="47">
        <v>6.615769049023676</v>
      </c>
      <c r="AF68" s="47">
        <v>38.176989519466517</v>
      </c>
      <c r="AG68" s="47">
        <v>3.9505815279352103E-6</v>
      </c>
      <c r="AK68" s="47" t="s">
        <v>116</v>
      </c>
      <c r="AL68" s="47">
        <v>1</v>
      </c>
      <c r="AM68" s="47">
        <v>5.0277734409936379</v>
      </c>
      <c r="AN68" s="47">
        <v>5.0277734409936379</v>
      </c>
      <c r="AO68" s="47">
        <v>31.214893080405993</v>
      </c>
      <c r="AP68" s="47">
        <v>2.1801306179431787E-5</v>
      </c>
    </row>
    <row r="69" spans="4:45" x14ac:dyDescent="0.25">
      <c r="D69" s="47" t="s">
        <v>117</v>
      </c>
      <c r="E69" s="47">
        <v>22</v>
      </c>
      <c r="F69" s="47">
        <v>4.0443544404165301</v>
      </c>
      <c r="G69" s="47">
        <v>0.18383429274620591</v>
      </c>
      <c r="H69" s="47"/>
      <c r="I69" s="47"/>
      <c r="R69" s="47" t="s">
        <v>117</v>
      </c>
      <c r="S69" s="47">
        <v>20</v>
      </c>
      <c r="T69" s="47">
        <v>3.0923552507135641</v>
      </c>
      <c r="U69" s="47">
        <v>0.15461776253567822</v>
      </c>
      <c r="V69" s="47"/>
      <c r="W69" s="47"/>
      <c r="AB69" s="47" t="s">
        <v>117</v>
      </c>
      <c r="AC69" s="47">
        <v>21</v>
      </c>
      <c r="AD69" s="47">
        <v>3.6391331998206913</v>
      </c>
      <c r="AE69" s="47">
        <v>0.17329205713431864</v>
      </c>
      <c r="AF69" s="47"/>
      <c r="AG69" s="47"/>
      <c r="AK69" s="47" t="s">
        <v>117</v>
      </c>
      <c r="AL69" s="47">
        <v>19</v>
      </c>
      <c r="AM69" s="47">
        <v>3.0603242860006183</v>
      </c>
      <c r="AN69" s="47">
        <v>0.16106969926319045</v>
      </c>
      <c r="AO69" s="47"/>
      <c r="AP69" s="47"/>
    </row>
    <row r="70" spans="4:45" ht="15.75" thickBot="1" x14ac:dyDescent="0.3">
      <c r="D70" s="48" t="s">
        <v>118</v>
      </c>
      <c r="E70" s="48">
        <v>23</v>
      </c>
      <c r="F70" s="48">
        <v>10.432796117733156</v>
      </c>
      <c r="G70" s="48"/>
      <c r="H70" s="48"/>
      <c r="I70" s="48"/>
      <c r="R70" s="48" t="s">
        <v>118</v>
      </c>
      <c r="S70" s="48">
        <v>21</v>
      </c>
      <c r="T70" s="48">
        <v>8.3112354287087715</v>
      </c>
      <c r="U70" s="48"/>
      <c r="V70" s="48"/>
      <c r="W70" s="48"/>
      <c r="AB70" s="48" t="s">
        <v>118</v>
      </c>
      <c r="AC70" s="48">
        <v>22</v>
      </c>
      <c r="AD70" s="48">
        <v>10.254902248844367</v>
      </c>
      <c r="AE70" s="48"/>
      <c r="AF70" s="48"/>
      <c r="AG70" s="48"/>
      <c r="AK70" s="48" t="s">
        <v>118</v>
      </c>
      <c r="AL70" s="48">
        <v>20</v>
      </c>
      <c r="AM70" s="48">
        <v>8.0880977269942562</v>
      </c>
      <c r="AN70" s="48"/>
      <c r="AO70" s="48"/>
      <c r="AP70" s="48"/>
    </row>
    <row r="71" spans="4:45" ht="15.75" thickBot="1" x14ac:dyDescent="0.3"/>
    <row r="72" spans="4:45" x14ac:dyDescent="0.25">
      <c r="D72" s="49"/>
      <c r="E72" s="49" t="s">
        <v>124</v>
      </c>
      <c r="F72" s="49" t="s">
        <v>113</v>
      </c>
      <c r="G72" s="49" t="s">
        <v>125</v>
      </c>
      <c r="H72" s="49" t="s">
        <v>126</v>
      </c>
      <c r="I72" s="49" t="s">
        <v>127</v>
      </c>
      <c r="J72" s="49" t="s">
        <v>128</v>
      </c>
      <c r="K72" s="49" t="s">
        <v>129</v>
      </c>
      <c r="L72" s="49" t="s">
        <v>130</v>
      </c>
      <c r="R72" s="49"/>
      <c r="S72" s="49" t="s">
        <v>124</v>
      </c>
      <c r="T72" s="49" t="s">
        <v>113</v>
      </c>
      <c r="U72" s="49" t="s">
        <v>125</v>
      </c>
      <c r="V72" s="49" t="s">
        <v>126</v>
      </c>
      <c r="W72" s="49" t="s">
        <v>127</v>
      </c>
      <c r="X72" s="49" t="s">
        <v>128</v>
      </c>
      <c r="Y72" s="49" t="s">
        <v>129</v>
      </c>
      <c r="Z72" s="49" t="s">
        <v>130</v>
      </c>
      <c r="AB72" s="49"/>
      <c r="AC72" s="49" t="s">
        <v>124</v>
      </c>
      <c r="AD72" s="49" t="s">
        <v>113</v>
      </c>
      <c r="AE72" s="49" t="s">
        <v>125</v>
      </c>
      <c r="AF72" s="49" t="s">
        <v>126</v>
      </c>
      <c r="AG72" s="49" t="s">
        <v>127</v>
      </c>
      <c r="AH72" s="49" t="s">
        <v>128</v>
      </c>
      <c r="AI72" s="49" t="s">
        <v>129</v>
      </c>
      <c r="AJ72" s="49" t="s">
        <v>130</v>
      </c>
      <c r="AK72" s="49"/>
      <c r="AL72" s="49" t="s">
        <v>124</v>
      </c>
      <c r="AM72" s="49" t="s">
        <v>113</v>
      </c>
      <c r="AN72" s="49" t="s">
        <v>125</v>
      </c>
      <c r="AO72" s="49" t="s">
        <v>126</v>
      </c>
      <c r="AP72" s="49" t="s">
        <v>127</v>
      </c>
      <c r="AQ72" s="49" t="s">
        <v>128</v>
      </c>
      <c r="AR72" s="49" t="s">
        <v>129</v>
      </c>
      <c r="AS72" s="49" t="s">
        <v>130</v>
      </c>
    </row>
    <row r="73" spans="4:45" x14ac:dyDescent="0.25">
      <c r="D73" s="47" t="s">
        <v>119</v>
      </c>
      <c r="E73" s="47">
        <v>2.3343490939335414</v>
      </c>
      <c r="F73" s="47">
        <v>0.21140117700315761</v>
      </c>
      <c r="G73" s="47">
        <v>11.04227103663985</v>
      </c>
      <c r="H73" s="47">
        <v>1.9298833060794875E-10</v>
      </c>
      <c r="I73" s="47">
        <v>1.895929886423481</v>
      </c>
      <c r="J73" s="47">
        <v>2.7727683014436018</v>
      </c>
      <c r="K73" s="47">
        <v>1.895929886423481</v>
      </c>
      <c r="L73" s="47">
        <v>2.7727683014436018</v>
      </c>
      <c r="R73" s="47" t="s">
        <v>119</v>
      </c>
      <c r="S73" s="47">
        <v>2.4093259281631001</v>
      </c>
      <c r="T73" s="47">
        <v>0.20760841296198962</v>
      </c>
      <c r="U73" s="47">
        <v>11.605145927319507</v>
      </c>
      <c r="V73" s="47">
        <v>2.4499146356103491E-10</v>
      </c>
      <c r="W73" s="47">
        <v>1.976262367379513</v>
      </c>
      <c r="X73" s="47">
        <v>2.8423894889466874</v>
      </c>
      <c r="Y73" s="47">
        <v>1.976262367379513</v>
      </c>
      <c r="Z73" s="47">
        <v>2.8423894889466874</v>
      </c>
      <c r="AB73" s="47" t="s">
        <v>119</v>
      </c>
      <c r="AC73" s="47">
        <v>2.2830484672221631</v>
      </c>
      <c r="AD73" s="47">
        <v>0.20797376058376174</v>
      </c>
      <c r="AE73" s="47">
        <v>10.977579387004747</v>
      </c>
      <c r="AF73" s="47">
        <v>3.6934775172474217E-10</v>
      </c>
      <c r="AG73" s="47">
        <v>1.8505433553720922</v>
      </c>
      <c r="AH73" s="47">
        <v>2.715553579072234</v>
      </c>
      <c r="AI73" s="47">
        <v>1.8505433553720922</v>
      </c>
      <c r="AJ73" s="47">
        <v>2.715553579072234</v>
      </c>
      <c r="AK73" s="47" t="s">
        <v>119</v>
      </c>
      <c r="AL73" s="47">
        <v>2.3752441321404296</v>
      </c>
      <c r="AM73" s="47">
        <v>0.22525722262315709</v>
      </c>
      <c r="AN73" s="47">
        <v>10.544585893763248</v>
      </c>
      <c r="AO73" s="47">
        <v>2.2251650137598498E-9</v>
      </c>
      <c r="AP73" s="47">
        <v>1.9037753467609542</v>
      </c>
      <c r="AQ73" s="47">
        <v>2.8467129175199051</v>
      </c>
      <c r="AR73" s="47">
        <v>1.9037753467609542</v>
      </c>
      <c r="AS73" s="47">
        <v>2.8467129175199051</v>
      </c>
    </row>
    <row r="74" spans="4:45" ht="15.75" thickBot="1" x14ac:dyDescent="0.3">
      <c r="D74" s="48" t="s">
        <v>131</v>
      </c>
      <c r="E74" s="48">
        <v>0.43085191075398199</v>
      </c>
      <c r="F74" s="48">
        <v>7.3087620094421782E-2</v>
      </c>
      <c r="G74" s="48">
        <v>5.8950053401296287</v>
      </c>
      <c r="H74" s="48">
        <v>6.2286758441946238E-6</v>
      </c>
      <c r="I74" s="48">
        <v>0.27927746384295959</v>
      </c>
      <c r="J74" s="48">
        <v>0.58242635766500439</v>
      </c>
      <c r="K74" s="48">
        <v>0.27927746384295959</v>
      </c>
      <c r="L74" s="48">
        <v>0.58242635766500439</v>
      </c>
      <c r="R74" s="48" t="s">
        <v>131</v>
      </c>
      <c r="S74" s="48">
        <v>0.40527237510015723</v>
      </c>
      <c r="T74" s="48">
        <v>6.9757037900583005E-2</v>
      </c>
      <c r="U74" s="48">
        <v>5.8097704159650121</v>
      </c>
      <c r="V74" s="48">
        <v>1.1021083240051057E-5</v>
      </c>
      <c r="W74" s="48">
        <v>0.2597617438500015</v>
      </c>
      <c r="X74" s="48">
        <v>0.55078300635031296</v>
      </c>
      <c r="Y74" s="48">
        <v>0.2597617438500015</v>
      </c>
      <c r="Z74" s="48">
        <v>0.55078300635031296</v>
      </c>
      <c r="AB74" s="48" t="s">
        <v>131</v>
      </c>
      <c r="AC74" s="48">
        <v>0.4400090968778399</v>
      </c>
      <c r="AD74" s="48">
        <v>7.1213251570491659E-2</v>
      </c>
      <c r="AE74" s="48">
        <v>6.1787530715724914</v>
      </c>
      <c r="AF74" s="48">
        <v>3.9505815279352179E-6</v>
      </c>
      <c r="AG74" s="48">
        <v>0.29191303298377025</v>
      </c>
      <c r="AH74" s="48">
        <v>0.58810516077190955</v>
      </c>
      <c r="AI74" s="48">
        <v>0.29191303298377025</v>
      </c>
      <c r="AJ74" s="48">
        <v>0.58810516077190955</v>
      </c>
      <c r="AK74" s="48" t="s">
        <v>131</v>
      </c>
      <c r="AL74" s="48">
        <v>0.41460243036508398</v>
      </c>
      <c r="AM74" s="48">
        <v>7.4208032595172752E-2</v>
      </c>
      <c r="AN74" s="48">
        <v>5.587029003003833</v>
      </c>
      <c r="AO74" s="48">
        <v>2.1801306179431787E-5</v>
      </c>
      <c r="AP74" s="48">
        <v>0.25928323311307155</v>
      </c>
      <c r="AQ74" s="48">
        <v>0.56992162761709642</v>
      </c>
      <c r="AR74" s="48">
        <v>0.25928323311307155</v>
      </c>
      <c r="AS74" s="48">
        <v>0.56992162761709642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E02-2AED-4FFD-8D29-37094AAF286D}">
  <dimension ref="A1:AN86"/>
  <sheetViews>
    <sheetView topLeftCell="A19" workbookViewId="0">
      <selection activeCell="E26" sqref="E26"/>
    </sheetView>
  </sheetViews>
  <sheetFormatPr defaultRowHeight="15" x14ac:dyDescent="0.25"/>
  <cols>
    <col min="1" max="1" width="13.7109375" customWidth="1"/>
    <col min="2" max="2" width="28.140625" style="1" customWidth="1"/>
    <col min="3" max="3" width="13.7109375" style="1" customWidth="1"/>
    <col min="4" max="4" width="29.140625" style="27" bestFit="1" customWidth="1"/>
    <col min="5" max="5" width="30.42578125" style="27" bestFit="1" customWidth="1"/>
    <col min="6" max="6" width="29.140625" bestFit="1" customWidth="1"/>
    <col min="7" max="7" width="30.42578125" bestFit="1" customWidth="1"/>
    <col min="8" max="8" width="29.140625" bestFit="1" customWidth="1"/>
    <col min="9" max="9" width="30.42578125" bestFit="1" customWidth="1"/>
    <col min="10" max="10" width="29.140625" bestFit="1" customWidth="1"/>
    <col min="11" max="11" width="30.42578125" bestFit="1" customWidth="1"/>
    <col min="12" max="12" width="29.140625" bestFit="1" customWidth="1"/>
    <col min="13" max="13" width="30.42578125" bestFit="1" customWidth="1"/>
    <col min="14" max="14" width="29.140625" bestFit="1" customWidth="1"/>
    <col min="15" max="15" width="30.42578125" bestFit="1" customWidth="1"/>
    <col min="16" max="16" width="29.140625" bestFit="1" customWidth="1"/>
    <col min="17" max="17" width="30.42578125" bestFit="1" customWidth="1"/>
    <col min="18" max="18" width="29.140625" bestFit="1" customWidth="1"/>
    <col min="19" max="19" width="30.42578125" bestFit="1" customWidth="1"/>
    <col min="20" max="20" width="29.140625" bestFit="1" customWidth="1"/>
    <col min="21" max="21" width="30.42578125" bestFit="1" customWidth="1"/>
    <col min="22" max="22" width="29.140625" bestFit="1" customWidth="1"/>
    <col min="23" max="23" width="30.42578125" bestFit="1" customWidth="1"/>
    <col min="24" max="24" width="29.140625" bestFit="1" customWidth="1"/>
    <col min="25" max="25" width="30.42578125" bestFit="1" customWidth="1"/>
    <col min="26" max="26" width="29.140625" bestFit="1" customWidth="1"/>
    <col min="27" max="27" width="30.42578125" bestFit="1" customWidth="1"/>
    <col min="28" max="28" width="29.140625" bestFit="1" customWidth="1"/>
    <col min="29" max="29" width="30.42578125" bestFit="1" customWidth="1"/>
    <col min="30" max="30" width="29.140625" bestFit="1" customWidth="1"/>
    <col min="31" max="31" width="30.42578125" bestFit="1" customWidth="1"/>
    <col min="32" max="32" width="29.140625" bestFit="1" customWidth="1"/>
    <col min="33" max="33" width="30.42578125" bestFit="1" customWidth="1"/>
    <col min="34" max="34" width="29.140625" bestFit="1" customWidth="1"/>
    <col min="35" max="35" width="30.42578125" bestFit="1" customWidth="1"/>
    <col min="36" max="36" width="29.140625" bestFit="1" customWidth="1"/>
    <col min="37" max="37" width="30.42578125" bestFit="1" customWidth="1"/>
    <col min="38" max="38" width="29.140625" bestFit="1" customWidth="1"/>
    <col min="39" max="39" width="30.42578125" bestFit="1" customWidth="1"/>
  </cols>
  <sheetData>
    <row r="1" spans="1:39" x14ac:dyDescent="0.25">
      <c r="D1" s="86" t="s">
        <v>138</v>
      </c>
      <c r="E1" s="86"/>
      <c r="F1" s="86" t="s">
        <v>139</v>
      </c>
      <c r="G1" s="86"/>
      <c r="H1" s="86" t="s">
        <v>140</v>
      </c>
      <c r="I1" s="86"/>
      <c r="J1" s="86" t="s">
        <v>141</v>
      </c>
      <c r="K1" s="86"/>
      <c r="L1" s="86" t="s">
        <v>142</v>
      </c>
      <c r="M1" s="86"/>
      <c r="N1" s="86" t="s">
        <v>143</v>
      </c>
      <c r="O1" s="86"/>
      <c r="P1" s="86" t="s">
        <v>144</v>
      </c>
      <c r="Q1" s="86"/>
      <c r="R1" s="86" t="s">
        <v>145</v>
      </c>
      <c r="S1" s="86"/>
      <c r="T1" s="86" t="s">
        <v>146</v>
      </c>
      <c r="U1" s="86"/>
      <c r="V1" s="86" t="s">
        <v>147</v>
      </c>
      <c r="W1" s="86"/>
      <c r="X1" s="86" t="s">
        <v>148</v>
      </c>
      <c r="Y1" s="86"/>
      <c r="Z1" s="86" t="s">
        <v>149</v>
      </c>
      <c r="AA1" s="86"/>
      <c r="AB1" s="86" t="s">
        <v>150</v>
      </c>
      <c r="AC1" s="86"/>
      <c r="AD1" s="86" t="s">
        <v>151</v>
      </c>
      <c r="AE1" s="86"/>
      <c r="AF1" s="86" t="s">
        <v>152</v>
      </c>
      <c r="AG1" s="86"/>
      <c r="AH1" s="86" t="s">
        <v>153</v>
      </c>
      <c r="AI1" s="86"/>
      <c r="AJ1" s="86" t="s">
        <v>154</v>
      </c>
      <c r="AK1" s="86"/>
      <c r="AL1" s="86" t="s">
        <v>155</v>
      </c>
      <c r="AM1" s="86"/>
    </row>
    <row r="2" spans="1:39" ht="15.75" x14ac:dyDescent="0.25">
      <c r="B2" s="28" t="s">
        <v>72</v>
      </c>
      <c r="D2" s="26" t="s">
        <v>69</v>
      </c>
      <c r="E2" s="33" t="s">
        <v>70</v>
      </c>
      <c r="F2" s="26" t="s">
        <v>69</v>
      </c>
      <c r="G2" s="33" t="s">
        <v>70</v>
      </c>
      <c r="H2" s="26" t="s">
        <v>69</v>
      </c>
      <c r="I2" s="33" t="s">
        <v>70</v>
      </c>
      <c r="J2" s="26" t="s">
        <v>69</v>
      </c>
      <c r="K2" s="33" t="s">
        <v>70</v>
      </c>
      <c r="L2" s="26" t="s">
        <v>69</v>
      </c>
      <c r="M2" s="33" t="s">
        <v>70</v>
      </c>
      <c r="N2" s="26" t="s">
        <v>69</v>
      </c>
      <c r="O2" s="33" t="s">
        <v>70</v>
      </c>
      <c r="P2" s="26" t="s">
        <v>69</v>
      </c>
      <c r="Q2" s="33" t="s">
        <v>70</v>
      </c>
      <c r="R2" s="26" t="s">
        <v>69</v>
      </c>
      <c r="S2" s="33" t="s">
        <v>70</v>
      </c>
      <c r="T2" s="26" t="s">
        <v>69</v>
      </c>
      <c r="U2" s="33" t="s">
        <v>70</v>
      </c>
      <c r="V2" s="26" t="s">
        <v>69</v>
      </c>
      <c r="W2" s="33" t="s">
        <v>70</v>
      </c>
      <c r="X2" s="26" t="s">
        <v>69</v>
      </c>
      <c r="Y2" s="33" t="s">
        <v>70</v>
      </c>
      <c r="Z2" s="26" t="s">
        <v>69</v>
      </c>
      <c r="AA2" s="33" t="s">
        <v>70</v>
      </c>
      <c r="AB2" s="26" t="s">
        <v>69</v>
      </c>
      <c r="AC2" s="33" t="s">
        <v>70</v>
      </c>
      <c r="AD2" s="26" t="s">
        <v>69</v>
      </c>
      <c r="AE2" s="33" t="s">
        <v>70</v>
      </c>
      <c r="AF2" s="26" t="s">
        <v>69</v>
      </c>
      <c r="AG2" s="33" t="s">
        <v>70</v>
      </c>
      <c r="AH2" s="26" t="s">
        <v>69</v>
      </c>
      <c r="AI2" s="33" t="s">
        <v>70</v>
      </c>
      <c r="AJ2" s="26" t="s">
        <v>69</v>
      </c>
      <c r="AK2" s="33" t="s">
        <v>70</v>
      </c>
      <c r="AL2" s="26" t="s">
        <v>69</v>
      </c>
      <c r="AM2" s="33" t="s">
        <v>70</v>
      </c>
    </row>
    <row r="3" spans="1:39" ht="15.75" x14ac:dyDescent="0.25">
      <c r="A3" s="29" t="s">
        <v>179</v>
      </c>
      <c r="B3" s="3" t="s">
        <v>73</v>
      </c>
      <c r="C3" s="29" t="s">
        <v>74</v>
      </c>
      <c r="D3" s="56" t="s">
        <v>75</v>
      </c>
      <c r="E3" s="60" t="s">
        <v>75</v>
      </c>
      <c r="F3" s="56" t="s">
        <v>19</v>
      </c>
      <c r="G3" s="60" t="s">
        <v>19</v>
      </c>
      <c r="H3" s="56" t="s">
        <v>48</v>
      </c>
      <c r="I3" s="60" t="s">
        <v>48</v>
      </c>
      <c r="J3" s="56" t="s">
        <v>49</v>
      </c>
      <c r="K3" s="60" t="s">
        <v>49</v>
      </c>
      <c r="L3" s="56" t="s">
        <v>50</v>
      </c>
      <c r="M3" s="60" t="s">
        <v>50</v>
      </c>
      <c r="N3" s="56" t="s">
        <v>51</v>
      </c>
      <c r="O3" s="60" t="s">
        <v>51</v>
      </c>
      <c r="P3" s="56" t="s">
        <v>28</v>
      </c>
      <c r="Q3" s="60" t="s">
        <v>28</v>
      </c>
      <c r="R3" s="56" t="s">
        <v>26</v>
      </c>
      <c r="S3" s="60" t="s">
        <v>26</v>
      </c>
      <c r="T3" s="56" t="s">
        <v>52</v>
      </c>
      <c r="U3" s="60" t="s">
        <v>52</v>
      </c>
      <c r="V3" s="56" t="s">
        <v>30</v>
      </c>
      <c r="W3" s="60" t="s">
        <v>30</v>
      </c>
      <c r="X3" s="56" t="s">
        <v>33</v>
      </c>
      <c r="Y3" s="60" t="s">
        <v>33</v>
      </c>
      <c r="Z3" s="56" t="s">
        <v>31</v>
      </c>
      <c r="AA3" s="60" t="s">
        <v>31</v>
      </c>
      <c r="AB3" s="56" t="s">
        <v>53</v>
      </c>
      <c r="AC3" s="60" t="s">
        <v>53</v>
      </c>
      <c r="AD3" s="56" t="s">
        <v>34</v>
      </c>
      <c r="AE3" s="60" t="s">
        <v>34</v>
      </c>
      <c r="AF3" s="56" t="s">
        <v>36</v>
      </c>
      <c r="AG3" s="60" t="s">
        <v>36</v>
      </c>
      <c r="AH3" s="56" t="s">
        <v>35</v>
      </c>
      <c r="AI3" s="60" t="s">
        <v>35</v>
      </c>
      <c r="AJ3" s="56" t="s">
        <v>54</v>
      </c>
      <c r="AK3" s="60" t="s">
        <v>54</v>
      </c>
      <c r="AL3" s="56" t="s">
        <v>55</v>
      </c>
      <c r="AM3" s="60" t="s">
        <v>55</v>
      </c>
    </row>
    <row r="4" spans="1:39" ht="15.75" x14ac:dyDescent="0.25">
      <c r="A4">
        <v>1998</v>
      </c>
      <c r="B4" s="1">
        <v>42.448748999999999</v>
      </c>
      <c r="C4" s="1">
        <f>LN(B4)</f>
        <v>3.7482974423584441</v>
      </c>
      <c r="D4" s="57"/>
      <c r="E4" s="61"/>
      <c r="F4" s="57"/>
      <c r="G4" s="61"/>
      <c r="H4" s="57"/>
      <c r="I4" s="61"/>
      <c r="J4" s="57"/>
      <c r="K4" s="61"/>
      <c r="L4" s="57"/>
      <c r="M4" s="61"/>
      <c r="N4" s="57"/>
      <c r="O4" s="61"/>
      <c r="P4" s="57"/>
      <c r="Q4" s="61"/>
      <c r="R4" s="57"/>
      <c r="S4" s="61"/>
      <c r="T4" s="57"/>
      <c r="U4" s="61"/>
      <c r="V4" s="57"/>
      <c r="W4" s="61"/>
      <c r="X4" s="57"/>
      <c r="Y4" s="61"/>
      <c r="Z4" s="57"/>
      <c r="AA4" s="61"/>
      <c r="AB4" s="57"/>
      <c r="AC4" s="61"/>
      <c r="AD4" s="57"/>
      <c r="AE4" s="61"/>
      <c r="AF4" s="57"/>
      <c r="AG4" s="61"/>
      <c r="AH4" s="57"/>
      <c r="AI4" s="61"/>
      <c r="AJ4" s="57"/>
      <c r="AK4" s="61"/>
      <c r="AL4" s="57"/>
      <c r="AM4" s="61"/>
    </row>
    <row r="5" spans="1:39" ht="15.75" x14ac:dyDescent="0.25">
      <c r="A5">
        <v>1999</v>
      </c>
      <c r="B5" s="1">
        <v>77.818105000000003</v>
      </c>
      <c r="C5" s="1">
        <f t="shared" ref="C5:C27" si="0">LN(B5)</f>
        <v>4.3543741161933518</v>
      </c>
      <c r="D5" s="57"/>
      <c r="E5" s="61"/>
      <c r="F5" s="57"/>
      <c r="G5" s="61"/>
      <c r="H5" s="57"/>
      <c r="I5" s="61"/>
      <c r="J5" s="57"/>
      <c r="K5" s="61"/>
      <c r="L5" s="57"/>
      <c r="M5" s="61"/>
      <c r="N5" s="57"/>
      <c r="O5" s="61"/>
      <c r="P5" s="57"/>
      <c r="Q5" s="61"/>
      <c r="R5" s="57"/>
      <c r="S5" s="61"/>
      <c r="T5" s="57"/>
      <c r="U5" s="61"/>
      <c r="V5" s="57"/>
      <c r="W5" s="61"/>
      <c r="X5" s="57"/>
      <c r="Y5" s="61"/>
      <c r="Z5" s="57"/>
      <c r="AA5" s="61"/>
      <c r="AB5" s="57"/>
      <c r="AC5" s="61"/>
      <c r="AD5" s="57"/>
      <c r="AE5" s="61"/>
      <c r="AF5" s="57"/>
      <c r="AG5" s="61"/>
      <c r="AH5" s="57"/>
      <c r="AI5" s="61"/>
      <c r="AJ5" s="57"/>
      <c r="AK5" s="61"/>
      <c r="AL5" s="57"/>
      <c r="AM5" s="61"/>
    </row>
    <row r="6" spans="1:39" ht="15.75" x14ac:dyDescent="0.25">
      <c r="A6">
        <v>2000</v>
      </c>
      <c r="B6" s="1">
        <v>20.248977</v>
      </c>
      <c r="C6" s="1">
        <f t="shared" si="0"/>
        <v>3.0081042737579264</v>
      </c>
      <c r="D6" s="57"/>
      <c r="E6" s="61"/>
      <c r="F6" s="57"/>
      <c r="G6" s="61"/>
      <c r="H6" s="57"/>
      <c r="I6" s="61"/>
      <c r="J6" s="57"/>
      <c r="K6" s="61"/>
      <c r="L6" s="57"/>
      <c r="M6" s="61"/>
      <c r="N6" s="57"/>
      <c r="O6" s="61"/>
      <c r="P6" s="57"/>
      <c r="Q6" s="61"/>
      <c r="R6" s="57"/>
      <c r="S6" s="61"/>
      <c r="T6" s="57"/>
      <c r="U6" s="61"/>
      <c r="V6" s="57"/>
      <c r="W6" s="61"/>
      <c r="X6" s="57"/>
      <c r="Y6" s="61"/>
      <c r="Z6" s="57"/>
      <c r="AA6" s="61"/>
      <c r="AB6" s="57"/>
      <c r="AC6" s="61"/>
      <c r="AD6" s="57"/>
      <c r="AE6" s="61"/>
      <c r="AF6" s="57"/>
      <c r="AG6" s="61"/>
      <c r="AH6" s="57"/>
      <c r="AI6" s="61"/>
      <c r="AJ6" s="57"/>
      <c r="AK6" s="61"/>
      <c r="AL6" s="57"/>
      <c r="AM6" s="61"/>
    </row>
    <row r="7" spans="1:39" ht="15.75" x14ac:dyDescent="0.25">
      <c r="A7">
        <v>2001</v>
      </c>
      <c r="B7" s="1">
        <v>67.023652999999996</v>
      </c>
      <c r="C7" s="1">
        <f t="shared" si="0"/>
        <v>4.2050455869413366</v>
      </c>
      <c r="D7" s="57"/>
      <c r="E7" s="61"/>
      <c r="F7" s="57"/>
      <c r="G7" s="61"/>
      <c r="H7" s="57"/>
      <c r="I7" s="61"/>
      <c r="J7" s="57"/>
      <c r="K7" s="61"/>
      <c r="L7" s="57"/>
      <c r="M7" s="61"/>
      <c r="N7" s="57"/>
      <c r="O7" s="61"/>
      <c r="P7" s="57"/>
      <c r="Q7" s="61"/>
      <c r="R7" s="57"/>
      <c r="S7" s="61"/>
      <c r="T7" s="57"/>
      <c r="U7" s="61"/>
      <c r="V7" s="57"/>
      <c r="W7" s="61"/>
      <c r="X7" s="57"/>
      <c r="Y7" s="61"/>
      <c r="Z7" s="57"/>
      <c r="AA7" s="61"/>
      <c r="AB7" s="57"/>
      <c r="AC7" s="61"/>
      <c r="AD7" s="57"/>
      <c r="AE7" s="61"/>
      <c r="AF7" s="57"/>
      <c r="AG7" s="61"/>
      <c r="AH7" s="57"/>
      <c r="AI7" s="61"/>
      <c r="AJ7" s="57"/>
      <c r="AK7" s="61"/>
      <c r="AL7" s="57"/>
      <c r="AM7" s="61"/>
    </row>
    <row r="8" spans="1:39" ht="15.75" x14ac:dyDescent="0.25">
      <c r="A8">
        <v>2002</v>
      </c>
      <c r="B8" s="1">
        <v>45.315401000000001</v>
      </c>
      <c r="C8" s="1">
        <f t="shared" si="0"/>
        <v>3.8136469526345338</v>
      </c>
      <c r="D8" s="57"/>
      <c r="E8" s="61"/>
      <c r="F8" s="57"/>
      <c r="G8" s="61"/>
      <c r="H8" s="57"/>
      <c r="I8" s="61"/>
      <c r="J8" s="57"/>
      <c r="K8" s="61"/>
      <c r="L8" s="57"/>
      <c r="M8" s="61"/>
      <c r="N8" s="57"/>
      <c r="O8" s="61"/>
      <c r="P8" s="57"/>
      <c r="Q8" s="61"/>
      <c r="R8" s="57"/>
      <c r="S8" s="61"/>
      <c r="T8" s="57"/>
      <c r="U8" s="61"/>
      <c r="V8" s="57"/>
      <c r="W8" s="61"/>
      <c r="X8" s="57"/>
      <c r="Y8" s="61"/>
      <c r="Z8" s="57"/>
      <c r="AA8" s="61"/>
      <c r="AB8" s="57"/>
      <c r="AC8" s="61"/>
      <c r="AD8" s="57"/>
      <c r="AE8" s="61"/>
      <c r="AF8" s="57"/>
      <c r="AG8" s="61"/>
      <c r="AH8" s="57"/>
      <c r="AI8" s="61"/>
      <c r="AJ8" s="57"/>
      <c r="AK8" s="61"/>
      <c r="AL8" s="57"/>
      <c r="AM8" s="61"/>
    </row>
    <row r="9" spans="1:39" ht="15.75" x14ac:dyDescent="0.25">
      <c r="A9">
        <v>2003</v>
      </c>
      <c r="B9" s="1">
        <v>52.466735</v>
      </c>
      <c r="C9" s="1">
        <f t="shared" si="0"/>
        <v>3.9601793497285764</v>
      </c>
      <c r="D9" s="57"/>
      <c r="E9" s="61"/>
      <c r="F9" s="57"/>
      <c r="G9" s="61"/>
      <c r="H9" s="57"/>
      <c r="I9" s="61"/>
      <c r="J9" s="57"/>
      <c r="K9" s="61"/>
      <c r="L9" s="57"/>
      <c r="M9" s="61"/>
      <c r="N9" s="57"/>
      <c r="O9" s="61"/>
      <c r="P9" s="57"/>
      <c r="Q9" s="61"/>
      <c r="R9" s="57"/>
      <c r="S9" s="61"/>
      <c r="T9" s="57"/>
      <c r="U9" s="61"/>
      <c r="V9" s="57"/>
      <c r="W9" s="61"/>
      <c r="X9" s="57"/>
      <c r="Y9" s="61"/>
      <c r="Z9" s="57"/>
      <c r="AA9" s="61"/>
      <c r="AB9" s="57"/>
      <c r="AC9" s="61"/>
      <c r="AD9" s="57"/>
      <c r="AE9" s="61"/>
      <c r="AF9" s="57"/>
      <c r="AG9" s="61"/>
      <c r="AH9" s="57"/>
      <c r="AI9" s="61"/>
      <c r="AJ9" s="57"/>
      <c r="AK9" s="61"/>
      <c r="AL9" s="57"/>
      <c r="AM9" s="61"/>
    </row>
    <row r="10" spans="1:39" ht="15.75" x14ac:dyDescent="0.25">
      <c r="A10">
        <v>2004</v>
      </c>
      <c r="B10" s="1">
        <v>45.309744000000002</v>
      </c>
      <c r="C10" s="1">
        <f t="shared" si="0"/>
        <v>3.813522108696191</v>
      </c>
      <c r="D10" s="57"/>
      <c r="E10" s="61"/>
      <c r="F10" s="57"/>
      <c r="G10" s="61"/>
      <c r="H10" s="57"/>
      <c r="I10" s="61"/>
      <c r="J10" s="57"/>
      <c r="K10" s="61"/>
      <c r="L10" s="57"/>
      <c r="M10" s="61"/>
      <c r="N10" s="57"/>
      <c r="O10" s="61"/>
      <c r="P10" s="57"/>
      <c r="Q10" s="61"/>
      <c r="R10" s="57"/>
      <c r="S10" s="61"/>
      <c r="T10" s="57"/>
      <c r="U10" s="61"/>
      <c r="V10" s="57"/>
      <c r="W10" s="61"/>
      <c r="X10" s="57"/>
      <c r="Y10" s="61"/>
      <c r="Z10" s="57"/>
      <c r="AA10" s="61"/>
      <c r="AB10" s="57"/>
      <c r="AC10" s="61"/>
      <c r="AD10" s="57"/>
      <c r="AE10" s="61"/>
      <c r="AF10" s="57"/>
      <c r="AG10" s="61"/>
      <c r="AH10" s="57"/>
      <c r="AI10" s="61"/>
      <c r="AJ10" s="57"/>
      <c r="AK10" s="61"/>
      <c r="AL10" s="57"/>
      <c r="AM10" s="61"/>
    </row>
    <row r="11" spans="1:39" ht="15.75" x14ac:dyDescent="0.25">
      <c r="A11">
        <v>2005</v>
      </c>
      <c r="B11" s="1">
        <v>59.121487000000002</v>
      </c>
      <c r="C11" s="1">
        <f t="shared" si="0"/>
        <v>4.0795944285563817</v>
      </c>
      <c r="D11" s="58"/>
      <c r="E11" s="61"/>
      <c r="F11" s="58"/>
      <c r="G11" s="61"/>
      <c r="H11" s="58"/>
      <c r="I11" s="61"/>
      <c r="J11" s="58"/>
      <c r="K11" s="61"/>
      <c r="L11" s="58"/>
      <c r="M11" s="61"/>
      <c r="N11" s="58"/>
      <c r="O11" s="61"/>
      <c r="P11" s="58"/>
      <c r="Q11" s="61"/>
      <c r="R11" s="58"/>
      <c r="S11" s="61"/>
      <c r="T11" s="58"/>
      <c r="U11" s="61"/>
      <c r="V11" s="58"/>
      <c r="W11" s="61"/>
      <c r="X11" s="58"/>
      <c r="Y11" s="61"/>
      <c r="Z11" s="58"/>
      <c r="AA11" s="61"/>
      <c r="AB11" s="58"/>
      <c r="AC11" s="61"/>
      <c r="AD11" s="58"/>
      <c r="AE11" s="61"/>
      <c r="AF11" s="58"/>
      <c r="AG11" s="61"/>
      <c r="AH11" s="58"/>
      <c r="AI11" s="61"/>
      <c r="AJ11" s="58"/>
      <c r="AK11" s="61"/>
      <c r="AL11" s="58"/>
      <c r="AM11" s="61"/>
    </row>
    <row r="12" spans="1:39" ht="15.75" x14ac:dyDescent="0.25">
      <c r="A12">
        <v>2006</v>
      </c>
      <c r="B12" s="1">
        <v>11.6065</v>
      </c>
      <c r="C12" s="1">
        <f t="shared" si="0"/>
        <v>2.4515652860053647</v>
      </c>
      <c r="D12" s="58"/>
      <c r="E12" s="61"/>
      <c r="F12" s="58"/>
      <c r="G12" s="61"/>
      <c r="H12" s="58"/>
      <c r="I12" s="61"/>
      <c r="J12" s="58"/>
      <c r="K12" s="61"/>
      <c r="L12" s="58"/>
      <c r="M12" s="61"/>
      <c r="N12" s="58"/>
      <c r="O12" s="61"/>
      <c r="P12" s="58"/>
      <c r="Q12" s="61"/>
      <c r="R12" s="58"/>
      <c r="S12" s="61"/>
      <c r="T12" s="58"/>
      <c r="U12" s="61"/>
      <c r="V12" s="58"/>
      <c r="W12" s="61"/>
      <c r="X12" s="58"/>
      <c r="Y12" s="61"/>
      <c r="Z12" s="58"/>
      <c r="AA12" s="61"/>
      <c r="AB12" s="58"/>
      <c r="AC12" s="61"/>
      <c r="AD12" s="58"/>
      <c r="AE12" s="61"/>
      <c r="AF12" s="58"/>
      <c r="AG12" s="61"/>
      <c r="AH12" s="58"/>
      <c r="AI12" s="61"/>
      <c r="AJ12" s="58"/>
      <c r="AK12" s="61"/>
      <c r="AL12" s="58"/>
      <c r="AM12" s="61"/>
    </row>
    <row r="13" spans="1:39" ht="15.75" x14ac:dyDescent="0.25">
      <c r="A13">
        <v>2007</v>
      </c>
      <c r="B13" s="1">
        <v>44.796396999999999</v>
      </c>
      <c r="C13" s="1">
        <f t="shared" si="0"/>
        <v>3.8021277120796046</v>
      </c>
      <c r="D13" s="58"/>
      <c r="E13" s="61"/>
      <c r="F13" s="58"/>
      <c r="G13" s="61"/>
      <c r="H13" s="58"/>
      <c r="I13" s="61"/>
      <c r="J13" s="58"/>
      <c r="K13" s="61"/>
      <c r="L13" s="58"/>
      <c r="M13" s="61"/>
      <c r="N13" s="58"/>
      <c r="O13" s="61"/>
      <c r="P13" s="58"/>
      <c r="Q13" s="61"/>
      <c r="R13" s="58"/>
      <c r="S13" s="61"/>
      <c r="T13" s="58"/>
      <c r="U13" s="61"/>
      <c r="V13" s="58"/>
      <c r="W13" s="61"/>
      <c r="X13" s="58"/>
      <c r="Y13" s="61"/>
      <c r="Z13" s="58"/>
      <c r="AA13" s="61"/>
      <c r="AB13" s="58"/>
      <c r="AC13" s="61"/>
      <c r="AD13" s="58"/>
      <c r="AE13" s="61"/>
      <c r="AF13" s="58"/>
      <c r="AG13" s="61"/>
      <c r="AH13" s="58"/>
      <c r="AI13" s="61"/>
      <c r="AJ13" s="58"/>
      <c r="AK13" s="61"/>
      <c r="AL13" s="58"/>
      <c r="AM13" s="61"/>
    </row>
    <row r="14" spans="1:39" ht="15.75" x14ac:dyDescent="0.25">
      <c r="A14">
        <v>2008</v>
      </c>
      <c r="B14" s="1">
        <v>15.908924000000001</v>
      </c>
      <c r="C14" s="1">
        <f t="shared" si="0"/>
        <v>2.7668802096415366</v>
      </c>
      <c r="D14" s="59"/>
      <c r="E14" s="61"/>
      <c r="F14" s="59"/>
      <c r="G14" s="61"/>
      <c r="H14" s="59"/>
      <c r="I14" s="61"/>
      <c r="J14" s="59"/>
      <c r="K14" s="61"/>
      <c r="L14" s="59"/>
      <c r="M14" s="61"/>
      <c r="N14" s="59"/>
      <c r="O14" s="61"/>
      <c r="P14" s="59"/>
      <c r="Q14" s="61"/>
      <c r="R14" s="59"/>
      <c r="S14" s="61"/>
      <c r="T14" s="59"/>
      <c r="U14" s="61"/>
      <c r="V14" s="59"/>
      <c r="W14" s="61"/>
      <c r="X14" s="59"/>
      <c r="Y14" s="61"/>
      <c r="Z14" s="59"/>
      <c r="AA14" s="61"/>
      <c r="AB14" s="59"/>
      <c r="AC14" s="61"/>
      <c r="AD14" s="59"/>
      <c r="AE14" s="61"/>
      <c r="AF14" s="59"/>
      <c r="AG14" s="61"/>
      <c r="AH14" s="59"/>
      <c r="AI14" s="61"/>
      <c r="AJ14" s="59"/>
      <c r="AK14" s="61"/>
      <c r="AL14" s="59"/>
      <c r="AM14" s="61"/>
    </row>
    <row r="15" spans="1:39" ht="15.75" x14ac:dyDescent="0.25">
      <c r="A15">
        <v>2009</v>
      </c>
      <c r="B15" s="1">
        <v>38.024357000000002</v>
      </c>
      <c r="C15" s="1">
        <f t="shared" si="0"/>
        <v>3.6382269280747028</v>
      </c>
      <c r="D15" s="59"/>
      <c r="E15" s="61"/>
      <c r="F15" s="59"/>
      <c r="G15" s="61"/>
      <c r="H15" s="59"/>
      <c r="I15" s="61"/>
      <c r="J15" s="59"/>
      <c r="K15" s="61"/>
      <c r="L15" s="59"/>
      <c r="M15" s="61"/>
      <c r="N15" s="59"/>
      <c r="O15" s="61"/>
      <c r="P15" s="59"/>
      <c r="Q15" s="61"/>
      <c r="R15" s="59"/>
      <c r="S15" s="61"/>
      <c r="T15" s="59"/>
      <c r="U15" s="61"/>
      <c r="V15" s="59"/>
      <c r="W15" s="61"/>
      <c r="X15" s="59"/>
      <c r="Y15" s="61"/>
      <c r="Z15" s="59"/>
      <c r="AA15" s="61"/>
      <c r="AB15" s="59"/>
      <c r="AC15" s="61"/>
      <c r="AD15" s="59"/>
      <c r="AE15" s="61"/>
      <c r="AF15" s="59"/>
      <c r="AG15" s="61"/>
      <c r="AH15" s="59"/>
      <c r="AI15" s="61"/>
      <c r="AJ15" s="59"/>
      <c r="AK15" s="61"/>
      <c r="AL15" s="59"/>
      <c r="AM15" s="61"/>
    </row>
    <row r="16" spans="1:39" ht="15.75" x14ac:dyDescent="0.25">
      <c r="A16">
        <v>2010</v>
      </c>
      <c r="B16" s="1">
        <v>24.141670999999999</v>
      </c>
      <c r="C16" s="1">
        <f t="shared" si="0"/>
        <v>3.1839394344833187</v>
      </c>
      <c r="D16" s="59"/>
      <c r="E16" s="61"/>
      <c r="F16" s="59"/>
      <c r="G16" s="61"/>
      <c r="H16" s="59"/>
      <c r="I16" s="61"/>
      <c r="J16" s="59"/>
      <c r="K16" s="61"/>
      <c r="L16" s="59"/>
      <c r="M16" s="61"/>
      <c r="N16" s="59"/>
      <c r="O16" s="61"/>
      <c r="P16" s="59"/>
      <c r="Q16" s="61"/>
      <c r="R16" s="59"/>
      <c r="S16" s="61"/>
      <c r="T16" s="59"/>
      <c r="U16" s="61"/>
      <c r="V16" s="59"/>
      <c r="W16" s="61"/>
      <c r="X16" s="59"/>
      <c r="Y16" s="61"/>
      <c r="Z16" s="59"/>
      <c r="AA16" s="61"/>
      <c r="AB16" s="59"/>
      <c r="AC16" s="61"/>
      <c r="AD16" s="59"/>
      <c r="AE16" s="61"/>
      <c r="AF16" s="59"/>
      <c r="AG16" s="61"/>
      <c r="AH16" s="59"/>
      <c r="AI16" s="61"/>
      <c r="AJ16" s="59"/>
      <c r="AK16" s="61"/>
      <c r="AL16" s="59"/>
      <c r="AM16" s="61"/>
    </row>
    <row r="17" spans="1:40" s="13" customFormat="1" ht="15.75" x14ac:dyDescent="0.25">
      <c r="A17" s="13">
        <v>2011</v>
      </c>
      <c r="B17" s="38">
        <v>58.882053999999997</v>
      </c>
      <c r="C17" s="38">
        <f t="shared" si="0"/>
        <v>4.0755363583230402</v>
      </c>
      <c r="D17" s="66">
        <v>4.1361340000000002</v>
      </c>
      <c r="E17" s="70">
        <f>($C17-D17)^2</f>
        <v>3.6720741768092426E-3</v>
      </c>
      <c r="F17" s="66">
        <v>4.0379300000000002</v>
      </c>
      <c r="G17" s="70">
        <f t="shared" ref="G17:I26" si="1">($C17-F17)^2</f>
        <v>1.4142381863208749E-3</v>
      </c>
      <c r="H17" s="66">
        <v>3.9407079999999999</v>
      </c>
      <c r="I17" s="70">
        <f t="shared" si="1"/>
        <v>1.8178686208086148E-2</v>
      </c>
      <c r="J17" s="66">
        <v>4.1895179999999996</v>
      </c>
      <c r="K17" s="70">
        <f t="shared" ref="K17" si="2">($C17-J17)^2</f>
        <v>1.2991814639374781E-2</v>
      </c>
      <c r="L17" s="66">
        <v>4.0023609999999996</v>
      </c>
      <c r="M17" s="70">
        <f t="shared" ref="M17" si="3">($C17-L17)^2</f>
        <v>5.3546330657053814E-3</v>
      </c>
      <c r="N17" s="66">
        <v>4.1758559999999996</v>
      </c>
      <c r="O17" s="70">
        <f t="shared" ref="O17" si="4">($C17-N17)^2</f>
        <v>1.0064030506193528E-2</v>
      </c>
      <c r="P17" s="66">
        <v>3.9155280000000001</v>
      </c>
      <c r="Q17" s="70">
        <f t="shared" ref="Q17" si="5">($C17-P17)^2</f>
        <v>2.5602674733234382E-2</v>
      </c>
      <c r="R17" s="66">
        <v>4.1895879999999996</v>
      </c>
      <c r="S17" s="70">
        <f t="shared" ref="S17" si="6">($C17-R17)^2</f>
        <v>1.3007776969209559E-2</v>
      </c>
      <c r="T17" s="66">
        <v>3.9595020000000001</v>
      </c>
      <c r="U17" s="70">
        <f t="shared" ref="U17" si="7">($C17-T17)^2</f>
        <v>1.3463972311439665E-2</v>
      </c>
      <c r="V17" s="66">
        <v>4.1824579999999996</v>
      </c>
      <c r="W17" s="70">
        <f t="shared" ref="W17" si="8">($C17-V17)^2</f>
        <v>1.14322374588961E-2</v>
      </c>
      <c r="X17" s="66">
        <v>3.982548</v>
      </c>
      <c r="Y17" s="70">
        <f t="shared" ref="Y17" si="9">($C17-X17)^2</f>
        <v>8.6468347836141188E-3</v>
      </c>
      <c r="Z17" s="66">
        <v>4.2083269999999997</v>
      </c>
      <c r="AA17" s="70">
        <f t="shared" ref="AA17" si="10">($C17-Z17)^2</f>
        <v>1.7633354516978662E-2</v>
      </c>
      <c r="AB17" s="66">
        <v>4.0170060000000003</v>
      </c>
      <c r="AC17" s="70">
        <f t="shared" ref="AC17" si="11">($C17-AB17)^2</f>
        <v>3.4258028454234434E-3</v>
      </c>
      <c r="AD17" s="66">
        <v>4.203265</v>
      </c>
      <c r="AE17" s="70">
        <f t="shared" ref="AE17" si="12">($C17-AD17)^2</f>
        <v>1.6314605904641205E-2</v>
      </c>
      <c r="AF17" s="66">
        <v>4.033366</v>
      </c>
      <c r="AG17" s="70">
        <f t="shared" ref="AG17" si="13">($C17-AF17)^2</f>
        <v>1.7783391210936033E-3</v>
      </c>
      <c r="AH17" s="66">
        <v>4.1952959999999999</v>
      </c>
      <c r="AI17" s="70">
        <f t="shared" ref="AI17" si="14">($C17-AH17)^2</f>
        <v>1.4342371774593791E-2</v>
      </c>
      <c r="AJ17" s="66">
        <v>4.0693970000000004</v>
      </c>
      <c r="AK17" s="70">
        <f t="shared" ref="AK17" si="15">($C17-AJ17)^2</f>
        <v>3.7691720618678074E-5</v>
      </c>
      <c r="AL17" s="66">
        <v>4.1926189999999997</v>
      </c>
      <c r="AM17" s="70">
        <f t="shared" ref="AM17" si="16">($C17-AL17)^2</f>
        <v>1.3708344982055289E-2</v>
      </c>
    </row>
    <row r="18" spans="1:40" s="12" customFormat="1" ht="15.75" x14ac:dyDescent="0.25">
      <c r="A18" s="12">
        <v>2012</v>
      </c>
      <c r="B18" s="10">
        <v>21.277018000000002</v>
      </c>
      <c r="C18" s="10">
        <f t="shared" si="0"/>
        <v>3.0576275230751495</v>
      </c>
      <c r="D18" s="67">
        <v>3.0713629999999998</v>
      </c>
      <c r="E18" s="68">
        <f>($C18-D18)^2</f>
        <v>1.8866332635309593E-4</v>
      </c>
      <c r="F18" s="67">
        <v>3.1699519999999999</v>
      </c>
      <c r="G18" s="68">
        <f t="shared" si="1"/>
        <v>1.2616788116441242E-2</v>
      </c>
      <c r="H18" s="67">
        <v>2.9712149999999999</v>
      </c>
      <c r="I18" s="68">
        <f t="shared" si="1"/>
        <v>7.4671241442132571E-3</v>
      </c>
      <c r="J18" s="67">
        <v>3.0348030000000001</v>
      </c>
      <c r="K18" s="68">
        <f t="shared" ref="K18" si="17">($C18-J18)^2</f>
        <v>5.2095885360802614E-4</v>
      </c>
      <c r="L18" s="67">
        <v>2.943711</v>
      </c>
      <c r="M18" s="68">
        <f t="shared" ref="M18" si="18">($C18-L18)^2</f>
        <v>1.2976974229531079E-2</v>
      </c>
      <c r="N18" s="67">
        <v>3.0214439999999998</v>
      </c>
      <c r="O18" s="68">
        <f t="shared" ref="O18" si="19">($C18-N18)^2</f>
        <v>1.3092473421298918E-3</v>
      </c>
      <c r="P18" s="67">
        <v>3.0421689999999999</v>
      </c>
      <c r="Q18" s="68">
        <f t="shared" ref="Q18" si="20">($C18-P18)^2</f>
        <v>2.3896593566493298E-4</v>
      </c>
      <c r="R18" s="67">
        <v>3.0395089999999998</v>
      </c>
      <c r="S18" s="68">
        <f t="shared" ref="S18" si="21">($C18-R18)^2</f>
        <v>3.2828087842473277E-4</v>
      </c>
      <c r="T18" s="67">
        <v>3.0195400000000001</v>
      </c>
      <c r="U18" s="68">
        <f t="shared" ref="U18" si="22">($C18-T18)^2</f>
        <v>1.450659414000038E-3</v>
      </c>
      <c r="V18" s="67">
        <v>3.042789</v>
      </c>
      <c r="W18" s="68">
        <f t="shared" ref="W18" si="23">($C18-V18)^2</f>
        <v>2.2018176705174554E-4</v>
      </c>
      <c r="X18" s="67">
        <v>2.954116</v>
      </c>
      <c r="Y18" s="68">
        <f t="shared" ref="Y18" si="24">($C18-X18)^2</f>
        <v>1.0714635409337217E-2</v>
      </c>
      <c r="Z18" s="67">
        <v>2.9963500000000001</v>
      </c>
      <c r="AA18" s="68">
        <f t="shared" ref="AA18" si="25">($C18-Z18)^2</f>
        <v>3.7549348342254723E-3</v>
      </c>
      <c r="AB18" s="67">
        <v>2.896401</v>
      </c>
      <c r="AC18" s="68">
        <f t="shared" ref="AC18" si="26">($C18-AB18)^2</f>
        <v>2.5993991742901717E-2</v>
      </c>
      <c r="AD18" s="67">
        <v>2.994631</v>
      </c>
      <c r="AE18" s="68">
        <f t="shared" ref="AE18" si="27">($C18-AD18)^2</f>
        <v>3.9685619195578394E-3</v>
      </c>
      <c r="AF18" s="67">
        <v>2.9778500000000001</v>
      </c>
      <c r="AG18" s="68">
        <f t="shared" ref="AG18" si="28">($C18-AF18)^2</f>
        <v>6.3644531880059953E-3</v>
      </c>
      <c r="AH18" s="67">
        <v>3.0202360000000001</v>
      </c>
      <c r="AI18" s="68">
        <f t="shared" ref="AI18" si="29">($C18-AH18)^2</f>
        <v>1.3981259978794278E-3</v>
      </c>
      <c r="AJ18" s="67">
        <v>2.9348700000000001</v>
      </c>
      <c r="AK18" s="68">
        <f t="shared" ref="AK18" si="30">($C18-AJ18)^2</f>
        <v>1.5069409471545843E-2</v>
      </c>
      <c r="AL18" s="67">
        <v>3.0152359999999998</v>
      </c>
      <c r="AM18" s="68">
        <f t="shared" ref="AM18" si="31">($C18-AL18)^2</f>
        <v>1.79704122863095E-3</v>
      </c>
    </row>
    <row r="19" spans="1:40" s="12" customFormat="1" ht="15.75" x14ac:dyDescent="0.25">
      <c r="A19" s="12">
        <v>2013</v>
      </c>
      <c r="B19" s="10">
        <v>94.719412000000005</v>
      </c>
      <c r="C19" s="10">
        <f t="shared" si="0"/>
        <v>4.5509189633461569</v>
      </c>
      <c r="D19" s="67">
        <v>3.8868879999999999</v>
      </c>
      <c r="E19" s="68">
        <f t="shared" ref="E19:E22" si="32">($C19-D19)^2</f>
        <v>0.44093712028242527</v>
      </c>
      <c r="F19" s="67">
        <v>4.1469880000000003</v>
      </c>
      <c r="G19" s="68">
        <f t="shared" si="1"/>
        <v>0.16316022314975404</v>
      </c>
      <c r="H19" s="67">
        <v>4.065944</v>
      </c>
      <c r="I19" s="68">
        <f t="shared" si="1"/>
        <v>0.2352007150726062</v>
      </c>
      <c r="J19" s="67">
        <v>4.0544609999999999</v>
      </c>
      <c r="K19" s="68">
        <f t="shared" ref="K19" si="33">($C19-J19)^2</f>
        <v>0.24647050936981416</v>
      </c>
      <c r="L19" s="67">
        <v>4.070055</v>
      </c>
      <c r="M19" s="68">
        <f t="shared" ref="M19" si="34">($C19-L19)^2</f>
        <v>0.23123015124497412</v>
      </c>
      <c r="N19" s="67">
        <v>4.0759150000000002</v>
      </c>
      <c r="O19" s="68">
        <f t="shared" ref="O19" si="35">($C19-N19)^2</f>
        <v>0.22562876519455696</v>
      </c>
      <c r="P19" s="67">
        <v>3.9743909999999998</v>
      </c>
      <c r="Q19" s="68">
        <f t="shared" ref="Q19" si="36">($C19-P19)^2</f>
        <v>0.33238449252006785</v>
      </c>
      <c r="R19" s="67">
        <v>4.0799209999999997</v>
      </c>
      <c r="S19" s="68">
        <f t="shared" ref="S19" si="37">($C19-R19)^2</f>
        <v>0.22183908147622802</v>
      </c>
      <c r="T19" s="67">
        <v>4.0444889999999996</v>
      </c>
      <c r="U19" s="68">
        <f t="shared" ref="U19" si="38">($C19-T19)^2</f>
        <v>0.25647130777479021</v>
      </c>
      <c r="V19" s="67">
        <v>4.0947129999999996</v>
      </c>
      <c r="W19" s="68">
        <f t="shared" ref="W19" si="39">($C19-V19)^2</f>
        <v>0.20812388099259538</v>
      </c>
      <c r="X19" s="67">
        <v>4.0701879999999999</v>
      </c>
      <c r="Y19" s="68">
        <f t="shared" ref="Y19" si="40">($C19-X19)^2</f>
        <v>0.2311022591197241</v>
      </c>
      <c r="Z19" s="67">
        <v>4.0796390000000002</v>
      </c>
      <c r="AA19" s="68">
        <f t="shared" ref="AA19" si="41">($C19-Z19)^2</f>
        <v>0.22210480385155473</v>
      </c>
      <c r="AB19" s="67">
        <v>4.0709580000000001</v>
      </c>
      <c r="AC19" s="68">
        <f t="shared" ref="AC19" si="42">($C19-AB19)^2</f>
        <v>0.23036252633617085</v>
      </c>
      <c r="AD19" s="67">
        <v>4.0985810000000003</v>
      </c>
      <c r="AE19" s="68">
        <f t="shared" ref="AE19" si="43">($C19-AD19)^2</f>
        <v>0.20460963308414892</v>
      </c>
      <c r="AF19" s="67">
        <v>4.085801</v>
      </c>
      <c r="AG19" s="68">
        <f t="shared" ref="AG19" si="44">($C19-AF19)^2</f>
        <v>0.21633471982727689</v>
      </c>
      <c r="AH19" s="67">
        <v>4.0394180000000004</v>
      </c>
      <c r="AI19" s="68">
        <f t="shared" ref="AI19" si="45">($C19-AH19)^2</f>
        <v>0.2616332355040461</v>
      </c>
      <c r="AJ19" s="67">
        <v>4.0839970000000001</v>
      </c>
      <c r="AK19" s="68">
        <f t="shared" ref="AK19" si="46">($C19-AJ19)^2</f>
        <v>0.21801611985502975</v>
      </c>
      <c r="AL19" s="67">
        <v>4.0651510000000002</v>
      </c>
      <c r="AM19" s="68">
        <f t="shared" ref="AM19" si="47">($C19-AL19)^2</f>
        <v>0.23597051421347304</v>
      </c>
    </row>
    <row r="20" spans="1:40" s="12" customFormat="1" ht="15.75" x14ac:dyDescent="0.25">
      <c r="A20" s="12">
        <v>2014</v>
      </c>
      <c r="B20" s="10">
        <v>37.173864700000003</v>
      </c>
      <c r="C20" s="10">
        <f t="shared" si="0"/>
        <v>3.6156059525389286</v>
      </c>
      <c r="D20" s="67">
        <v>3.35059</v>
      </c>
      <c r="E20" s="68">
        <f t="shared" si="32"/>
        <v>7.0233455100115666E-2</v>
      </c>
      <c r="F20" s="67">
        <v>3.3828369999999999</v>
      </c>
      <c r="G20" s="68">
        <f t="shared" si="1"/>
        <v>5.4181385266070047E-2</v>
      </c>
      <c r="H20" s="67">
        <v>3.5769790000000001</v>
      </c>
      <c r="I20" s="68">
        <f t="shared" si="1"/>
        <v>1.4920414624446309E-3</v>
      </c>
      <c r="J20" s="67">
        <v>3.307728</v>
      </c>
      <c r="K20" s="68">
        <f t="shared" ref="K20" si="48">($C20-J20)^2</f>
        <v>9.4788833659562755E-2</v>
      </c>
      <c r="L20" s="67">
        <v>3.4512390000000002</v>
      </c>
      <c r="M20" s="68">
        <f t="shared" ref="M20" si="49">($C20-L20)^2</f>
        <v>2.7016495086934347E-2</v>
      </c>
      <c r="N20" s="67">
        <v>3.3560880000000002</v>
      </c>
      <c r="O20" s="68">
        <f t="shared" ref="O20" si="50">($C20-N20)^2</f>
        <v>6.7349567689997489E-2</v>
      </c>
      <c r="P20" s="67">
        <v>3.5583269999999998</v>
      </c>
      <c r="Q20" s="68">
        <f t="shared" ref="Q20" si="51">($C20-P20)^2</f>
        <v>3.2808784039568563E-3</v>
      </c>
      <c r="R20" s="67">
        <v>3.318835</v>
      </c>
      <c r="S20" s="68">
        <f t="shared" ref="S20" si="52">($C20-R20)^2</f>
        <v>8.8072998270863012E-2</v>
      </c>
      <c r="T20" s="67">
        <v>3.4589460000000001</v>
      </c>
      <c r="U20" s="68">
        <f t="shared" ref="U20" si="53">($C20-T20)^2</f>
        <v>2.4542340729499332E-2</v>
      </c>
      <c r="V20" s="67">
        <v>3.3597899999999998</v>
      </c>
      <c r="W20" s="68">
        <f t="shared" ref="W20" si="54">($C20-V20)^2</f>
        <v>6.5441801573399447E-2</v>
      </c>
      <c r="X20" s="67">
        <v>3.6073559999999998</v>
      </c>
      <c r="Y20" s="68">
        <f t="shared" ref="Y20" si="55">($C20-X20)^2</f>
        <v>6.8061716894577675E-5</v>
      </c>
      <c r="Z20" s="67">
        <v>3.2969750000000002</v>
      </c>
      <c r="AA20" s="68">
        <f t="shared" ref="AA20" si="56">($C20-Z20)^2</f>
        <v>0.10152568391586482</v>
      </c>
      <c r="AB20" s="67">
        <v>3.4712670000000001</v>
      </c>
      <c r="AC20" s="68">
        <f t="shared" ref="AC20" si="57">($C20-AB20)^2</f>
        <v>2.0833733220035049E-2</v>
      </c>
      <c r="AD20" s="67">
        <v>3.3522699999999999</v>
      </c>
      <c r="AE20" s="68">
        <f t="shared" ref="AE20" si="58">($C20-AD20)^2</f>
        <v>6.9345823899584921E-2</v>
      </c>
      <c r="AF20" s="67">
        <v>3.4192450000000001</v>
      </c>
      <c r="AG20" s="68">
        <f t="shared" ref="AG20" si="59">($C20-AF20)^2</f>
        <v>3.8557623681995327E-2</v>
      </c>
      <c r="AH20" s="67">
        <v>3.1977600000000002</v>
      </c>
      <c r="AI20" s="68">
        <f t="shared" ref="AI20" si="60">($C20-AH20)^2</f>
        <v>0.17459524005316443</v>
      </c>
      <c r="AJ20" s="67">
        <v>3.309723</v>
      </c>
      <c r="AK20" s="68">
        <f t="shared" ref="AK20" si="61">($C20-AJ20)^2</f>
        <v>9.3564380653932452E-2</v>
      </c>
      <c r="AL20" s="67">
        <v>3.2302919999999999</v>
      </c>
      <c r="AM20" s="68">
        <f t="shared" ref="AM20" si="62">($C20-AL20)^2</f>
        <v>0.14846684202117175</v>
      </c>
    </row>
    <row r="21" spans="1:40" s="12" customFormat="1" ht="15.75" x14ac:dyDescent="0.25">
      <c r="A21" s="12">
        <v>2015</v>
      </c>
      <c r="B21" s="10">
        <v>35.092568</v>
      </c>
      <c r="C21" s="10">
        <f t="shared" si="0"/>
        <v>3.5579893701604499</v>
      </c>
      <c r="D21" s="67">
        <v>4.0707930000000001</v>
      </c>
      <c r="E21" s="68">
        <f t="shared" si="32"/>
        <v>0.26296756277661842</v>
      </c>
      <c r="F21" s="67">
        <v>4.0448320000000004</v>
      </c>
      <c r="G21" s="68">
        <f t="shared" si="1"/>
        <v>0.23701574622908961</v>
      </c>
      <c r="H21" s="67">
        <v>3.7432530000000002</v>
      </c>
      <c r="I21" s="68">
        <f t="shared" si="1"/>
        <v>3.4322612541325896E-2</v>
      </c>
      <c r="J21" s="67">
        <v>3.9745059999999999</v>
      </c>
      <c r="K21" s="68">
        <f t="shared" ref="K21" si="63">($C21-J21)^2</f>
        <v>0.17348610293289668</v>
      </c>
      <c r="L21" s="67">
        <v>3.9825439999999999</v>
      </c>
      <c r="M21" s="68">
        <f t="shared" ref="M21" si="64">($C21-L21)^2</f>
        <v>0.18024663371819727</v>
      </c>
      <c r="N21" s="67">
        <v>4.0212620000000001</v>
      </c>
      <c r="O21" s="68">
        <f t="shared" ref="O21" si="65">($C21-N21)^2</f>
        <v>0.2146215295584529</v>
      </c>
      <c r="P21" s="67">
        <v>3.7558799999999999</v>
      </c>
      <c r="Q21" s="68">
        <f t="shared" ref="Q21" si="66">($C21-P21)^2</f>
        <v>3.9160701378293784E-2</v>
      </c>
      <c r="R21" s="67">
        <v>3.976137</v>
      </c>
      <c r="S21" s="68">
        <f t="shared" ref="S21" si="67">($C21-R21)^2</f>
        <v>0.17484744034043342</v>
      </c>
      <c r="T21" s="67">
        <v>3.9591270000000001</v>
      </c>
      <c r="U21" s="68">
        <f t="shared" ref="U21" si="68">($C21-T21)^2</f>
        <v>0.16091139807329194</v>
      </c>
      <c r="V21" s="67">
        <v>4.0183030000000004</v>
      </c>
      <c r="W21" s="68">
        <f t="shared" ref="W21" si="69">($C21-V21)^2</f>
        <v>0.21188863781606271</v>
      </c>
      <c r="X21" s="67">
        <v>3.6872199999999999</v>
      </c>
      <c r="Y21" s="68">
        <f t="shared" ref="Y21" si="70">($C21-X21)^2</f>
        <v>1.6700555688726797E-2</v>
      </c>
      <c r="Z21" s="67">
        <v>3.9450919999999998</v>
      </c>
      <c r="AA21" s="68">
        <f t="shared" ref="AA21" si="71">($C21-Z21)^2</f>
        <v>0.1498484460286956</v>
      </c>
      <c r="AB21" s="67">
        <v>3.9559090000000001</v>
      </c>
      <c r="AC21" s="68">
        <f t="shared" ref="AC21" si="72">($C21-AB21)^2</f>
        <v>0.15834003181164466</v>
      </c>
      <c r="AD21" s="67">
        <v>4.0061580000000001</v>
      </c>
      <c r="AE21" s="68">
        <f t="shared" ref="AE21" si="73">($C21-AD21)^2</f>
        <v>0.20085512077225975</v>
      </c>
      <c r="AF21" s="67">
        <v>3.7594569999999998</v>
      </c>
      <c r="AG21" s="68">
        <f t="shared" ref="AG21" si="74">($C21-AF21)^2</f>
        <v>4.0589205873165904E-2</v>
      </c>
      <c r="AH21" s="67">
        <v>3.9375900000000001</v>
      </c>
      <c r="AI21" s="68">
        <f t="shared" ref="AI21" si="75">($C21-AH21)^2</f>
        <v>0.14409663817458324</v>
      </c>
      <c r="AJ21" s="67">
        <v>3.991495</v>
      </c>
      <c r="AK21" s="68">
        <f t="shared" ref="AK21" si="76">($C21-AJ21)^2</f>
        <v>0.18792713110258502</v>
      </c>
      <c r="AL21" s="67">
        <v>3.9915759999999998</v>
      </c>
      <c r="AM21" s="68">
        <f t="shared" ref="AM21" si="77">($C21-AL21)^2</f>
        <v>0.18799736557561883</v>
      </c>
    </row>
    <row r="22" spans="1:40" s="12" customFormat="1" ht="15.75" x14ac:dyDescent="0.25">
      <c r="A22" s="12">
        <v>2016</v>
      </c>
      <c r="B22" s="10">
        <v>18.374199999999998</v>
      </c>
      <c r="C22" s="10">
        <f t="shared" si="0"/>
        <v>2.9109475067361537</v>
      </c>
      <c r="D22" s="67">
        <v>3.483835</v>
      </c>
      <c r="E22" s="68">
        <f t="shared" si="32"/>
        <v>0.3282000799381336</v>
      </c>
      <c r="F22" s="67">
        <v>3.1527720000000001</v>
      </c>
      <c r="G22" s="68">
        <f t="shared" si="1"/>
        <v>5.847908554231613E-2</v>
      </c>
      <c r="H22" s="67">
        <v>2.6719970000000002</v>
      </c>
      <c r="I22" s="68">
        <f t="shared" si="1"/>
        <v>5.7097344669464527E-2</v>
      </c>
      <c r="J22" s="67">
        <v>3.0960329999999998</v>
      </c>
      <c r="K22" s="68">
        <f t="shared" ref="K22" si="78">($C22-J22)^2</f>
        <v>3.4256639816721238E-2</v>
      </c>
      <c r="L22" s="67">
        <v>2.7551269999999999</v>
      </c>
      <c r="M22" s="68">
        <f t="shared" ref="M22" si="79">($C22-L22)^2</f>
        <v>2.4280030319511745E-2</v>
      </c>
      <c r="N22" s="67">
        <v>2.9821770000000001</v>
      </c>
      <c r="O22" s="68">
        <f>($C22-N22)^2</f>
        <v>5.0736407106243431E-3</v>
      </c>
      <c r="P22" s="67">
        <v>2.8376009999999998</v>
      </c>
      <c r="Q22" s="68">
        <f t="shared" ref="Q22" si="80">($C22-P22)^2</f>
        <v>5.3797100503966602E-3</v>
      </c>
      <c r="R22" s="67">
        <v>3.1768809999999998</v>
      </c>
      <c r="S22" s="68">
        <f t="shared" ref="S22" si="81">($C22-R22)^2</f>
        <v>7.0720622839512123E-2</v>
      </c>
      <c r="T22" s="67">
        <v>2.8696389999999998</v>
      </c>
      <c r="U22" s="68">
        <f t="shared" ref="U22" si="82">($C22-T22)^2</f>
        <v>1.7063927287708661E-3</v>
      </c>
      <c r="V22" s="67">
        <v>3.0847889999999998</v>
      </c>
      <c r="W22" s="68">
        <f t="shared" ref="W22" si="83">($C22-V22)^2</f>
        <v>3.0220864780203856E-2</v>
      </c>
      <c r="X22" s="67">
        <v>2.5916670000000002</v>
      </c>
      <c r="Y22" s="68">
        <f t="shared" ref="Y22" si="84">($C22-X22)^2</f>
        <v>0.10194004198169496</v>
      </c>
      <c r="Z22" s="67">
        <v>2.9779089999999999</v>
      </c>
      <c r="AA22" s="68">
        <f t="shared" ref="AA22" si="85">($C22-Z22)^2</f>
        <v>4.4838415801241281E-3</v>
      </c>
      <c r="AB22" s="67">
        <v>2.6189249999999999</v>
      </c>
      <c r="AC22" s="68">
        <f t="shared" ref="AC22" si="86">($C22-AB22)^2</f>
        <v>8.527714444046694E-2</v>
      </c>
      <c r="AD22" s="67">
        <v>2.8778280000000001</v>
      </c>
      <c r="AE22" s="68">
        <f t="shared" ref="AE22" si="87">($C22-AD22)^2</f>
        <v>1.0969017264461239E-3</v>
      </c>
      <c r="AF22" s="67">
        <v>2.5352000000000001</v>
      </c>
      <c r="AG22" s="68">
        <f t="shared" ref="AG22" si="88">($C22-AF22)^2</f>
        <v>0.14118618881843575</v>
      </c>
      <c r="AH22" s="67">
        <v>2.985922</v>
      </c>
      <c r="AI22" s="68">
        <f t="shared" ref="AI22" si="89">($C22-AH22)^2</f>
        <v>5.621174640170536E-3</v>
      </c>
      <c r="AJ22" s="67">
        <v>2.647351</v>
      </c>
      <c r="AK22" s="68">
        <f t="shared" ref="AK22" si="90">($C22-AJ22)^2</f>
        <v>6.9483118363503099E-2</v>
      </c>
      <c r="AL22" s="67">
        <v>2.8841049999999999</v>
      </c>
      <c r="AM22" s="68">
        <f t="shared" ref="AM22" si="91">($C22-AL22)^2</f>
        <v>7.2052016788045877E-4</v>
      </c>
    </row>
    <row r="23" spans="1:40" s="12" customFormat="1" ht="15.75" x14ac:dyDescent="0.25">
      <c r="A23" s="12">
        <v>2017</v>
      </c>
      <c r="B23" s="10">
        <v>34.734366000000001</v>
      </c>
      <c r="C23" s="64">
        <f t="shared" si="0"/>
        <v>3.5477295714951795</v>
      </c>
      <c r="D23" s="11">
        <v>4.2254769999999997</v>
      </c>
      <c r="E23" s="68">
        <f>($C23-D23)^2</f>
        <v>0.45934157684489635</v>
      </c>
      <c r="F23" s="11">
        <v>3.6818590000000002</v>
      </c>
      <c r="G23" s="68">
        <f t="shared" si="1"/>
        <v>1.7990703591029802E-2</v>
      </c>
      <c r="H23" s="11">
        <v>3.6783419999999998</v>
      </c>
      <c r="I23" s="68">
        <f t="shared" si="1"/>
        <v>1.705960647992678E-2</v>
      </c>
      <c r="J23" s="11">
        <v>3.7243179999999998</v>
      </c>
      <c r="K23" s="68">
        <f t="shared" ref="K23" si="92">($C23-J23)^2</f>
        <v>3.1183473081802016E-2</v>
      </c>
      <c r="L23" s="11">
        <v>3.5304479999999998</v>
      </c>
      <c r="M23" s="68">
        <f t="shared" ref="M23" si="93">($C23-L23)^2</f>
        <v>2.9865271334300841E-4</v>
      </c>
      <c r="N23" s="11">
        <v>3.6007259999999999</v>
      </c>
      <c r="O23" s="68">
        <f t="shared" ref="O23" si="94">($C23-N23)^2</f>
        <v>2.8086214342665336E-3</v>
      </c>
      <c r="P23" s="11">
        <v>3.6068120000000001</v>
      </c>
      <c r="Q23" s="68">
        <f t="shared" ref="Q23" si="95">($C23-P23)^2</f>
        <v>3.490733358027237E-3</v>
      </c>
      <c r="R23" s="11">
        <v>3.6162640000000001</v>
      </c>
      <c r="S23" s="68">
        <f t="shared" ref="S23" si="96">($C23-R23)^2</f>
        <v>4.6969678904823682E-3</v>
      </c>
      <c r="T23" s="11">
        <v>3.336646</v>
      </c>
      <c r="U23" s="68">
        <f t="shared" ref="U23" si="97">($C23-T23)^2</f>
        <v>4.4556274155160572E-2</v>
      </c>
      <c r="V23" s="11">
        <v>3.4821390000000001</v>
      </c>
      <c r="W23" s="68">
        <f t="shared" ref="W23" si="98">($C23-V23)^2</f>
        <v>4.3021230690642454E-3</v>
      </c>
      <c r="X23" s="11">
        <v>3.6470150000000001</v>
      </c>
      <c r="Y23" s="68">
        <f t="shared" ref="Y23" si="99">($C23-X23)^2</f>
        <v>9.8575963133858396E-3</v>
      </c>
      <c r="Z23" s="11">
        <v>3.646001</v>
      </c>
      <c r="AA23" s="68">
        <f t="shared" ref="AA23" si="100">($C23-Z23)^2</f>
        <v>9.6572736603780501E-3</v>
      </c>
      <c r="AB23" s="11">
        <v>3.456664</v>
      </c>
      <c r="AC23" s="68">
        <f t="shared" ref="AC23" si="101">($C23-AB23)^2</f>
        <v>8.2929383117436636E-3</v>
      </c>
      <c r="AD23" s="11">
        <v>3.520546</v>
      </c>
      <c r="AE23" s="68">
        <f t="shared" ref="AE23" si="102">($C23-AD23)^2</f>
        <v>7.3894655923353988E-4</v>
      </c>
      <c r="AF23" s="11">
        <v>3.6401569999999999</v>
      </c>
      <c r="AG23" s="68">
        <f t="shared" ref="AG23" si="103">($C23-AF23)^2</f>
        <v>8.5428295400136744E-3</v>
      </c>
      <c r="AH23" s="11">
        <v>3.7099160000000002</v>
      </c>
      <c r="AI23" s="68">
        <f t="shared" ref="AI23" si="104">($C23-AH23)^2</f>
        <v>2.630443759114931E-2</v>
      </c>
      <c r="AJ23" s="11">
        <v>3.528527</v>
      </c>
      <c r="AK23" s="68">
        <f>($C23-AJ23)^2</f>
        <v>3.6873875202748279E-4</v>
      </c>
      <c r="AL23" s="11">
        <v>3.595421</v>
      </c>
      <c r="AM23" s="68">
        <f t="shared" ref="AM23" si="105">($C23-AL23)^2</f>
        <v>2.2744723528303999E-3</v>
      </c>
    </row>
    <row r="24" spans="1:40" s="12" customFormat="1" ht="15.75" x14ac:dyDescent="0.25">
      <c r="A24" s="12">
        <v>2018</v>
      </c>
      <c r="B24" s="10">
        <v>8.0677000000000003</v>
      </c>
      <c r="C24" s="64">
        <f t="shared" si="0"/>
        <v>2.0878684354640864</v>
      </c>
      <c r="D24" s="11">
        <v>2.6662759999999999</v>
      </c>
      <c r="E24" s="68">
        <f>($C24-D24)^2</f>
        <v>0.33455531071236688</v>
      </c>
      <c r="F24" s="11">
        <v>2.7167819999999998</v>
      </c>
      <c r="G24" s="68">
        <f t="shared" si="1"/>
        <v>0.39553227165726851</v>
      </c>
      <c r="H24" s="11">
        <v>2.281768</v>
      </c>
      <c r="I24" s="68">
        <f t="shared" si="1"/>
        <v>3.7597041127216929E-2</v>
      </c>
      <c r="J24" s="11">
        <v>2.5281769999999999</v>
      </c>
      <c r="K24" s="68">
        <f t="shared" ref="K24" si="106">($C24-J24)^2</f>
        <v>0.19387163200367669</v>
      </c>
      <c r="L24" s="11">
        <v>2.3346680000000002</v>
      </c>
      <c r="M24" s="68">
        <f t="shared" ref="M24" si="107">($C24-L24)^2</f>
        <v>6.0910025055116675E-2</v>
      </c>
      <c r="N24" s="11">
        <v>2.4120840000000001</v>
      </c>
      <c r="O24" s="68">
        <f t="shared" ref="O24" si="108">($C24-N24)^2</f>
        <v>0.10511573228734122</v>
      </c>
      <c r="P24" s="11">
        <v>2.2995719999999999</v>
      </c>
      <c r="Q24" s="68">
        <f t="shared" ref="Q24" si="109">($C24-P24)^2</f>
        <v>4.481839923721171E-2</v>
      </c>
      <c r="R24" s="11">
        <v>2.5537369999999999</v>
      </c>
      <c r="S24" s="68">
        <f t="shared" ref="S24" si="110">($C24-R24)^2</f>
        <v>0.21703351942275262</v>
      </c>
      <c r="T24" s="11">
        <v>2.3053680000000001</v>
      </c>
      <c r="U24" s="68">
        <f t="shared" ref="U24" si="111">($C24-T24)^2</f>
        <v>4.7306060573312082E-2</v>
      </c>
      <c r="V24" s="11">
        <v>2.432302</v>
      </c>
      <c r="W24" s="68">
        <f t="shared" ref="W24" si="112">($C24-V24)^2</f>
        <v>0.11863448037891533</v>
      </c>
      <c r="X24" s="11">
        <v>2.2170890000000001</v>
      </c>
      <c r="Y24" s="68">
        <f t="shared" ref="Y24" si="113">($C24-X24)^2</f>
        <v>1.6697954298980234E-2</v>
      </c>
      <c r="Z24" s="11">
        <v>2.4480400000000002</v>
      </c>
      <c r="AA24" s="68">
        <f t="shared" ref="AA24" si="114">($C24-Z24)^2</f>
        <v>0.12972355590024792</v>
      </c>
      <c r="AB24" s="11">
        <v>2.2368079999999999</v>
      </c>
      <c r="AC24" s="68">
        <f t="shared" ref="AC24" si="115">($C24-AB24)^2</f>
        <v>2.2182993884147545E-2</v>
      </c>
      <c r="AD24" s="11">
        <v>2.3212609999999998</v>
      </c>
      <c r="AE24" s="68">
        <f t="shared" ref="AE24" si="116">($C24-AD24)^2</f>
        <v>5.4472089180650496E-2</v>
      </c>
      <c r="AF24" s="11">
        <v>2.266893</v>
      </c>
      <c r="AG24" s="68">
        <f t="shared" ref="AG24" si="117">($C24-AF24)^2</f>
        <v>3.204979470727351E-2</v>
      </c>
      <c r="AH24" s="11">
        <v>2.4616570000000002</v>
      </c>
      <c r="AI24" s="68">
        <f t="shared" ref="AI24" si="118">($C24-AH24)^2</f>
        <v>0.139717890977819</v>
      </c>
      <c r="AJ24" s="11">
        <v>2.2861699999999998</v>
      </c>
      <c r="AK24" s="68">
        <f t="shared" ref="AK24" si="119">($C24-AJ24)^2</f>
        <v>3.932351049739103E-2</v>
      </c>
      <c r="AL24" s="11">
        <v>2.3503319999999999</v>
      </c>
      <c r="AM24" s="68">
        <f t="shared" ref="AM24" si="120">($C24-AL24)^2</f>
        <v>6.8887122708897616E-2</v>
      </c>
    </row>
    <row r="25" spans="1:40" s="12" customFormat="1" ht="15.75" x14ac:dyDescent="0.25">
      <c r="A25" s="12">
        <v>2019</v>
      </c>
      <c r="B25" s="10">
        <v>21.141928</v>
      </c>
      <c r="C25" s="64">
        <f t="shared" si="0"/>
        <v>3.0512581777972043</v>
      </c>
      <c r="D25" s="11">
        <v>2.8603290000000001</v>
      </c>
      <c r="E25" s="68">
        <f t="shared" ref="E25:E26" si="121">($C25-D25)^2</f>
        <v>3.6453950934316415E-2</v>
      </c>
      <c r="F25" s="11">
        <v>2.7797969999999999</v>
      </c>
      <c r="G25" s="68">
        <f t="shared" si="1"/>
        <v>7.3691171051045459E-2</v>
      </c>
      <c r="H25" s="11">
        <v>2.76207</v>
      </c>
      <c r="I25" s="68">
        <f t="shared" si="1"/>
        <v>8.3629802177667439E-2</v>
      </c>
      <c r="J25" s="11">
        <v>2.7045810000000001</v>
      </c>
      <c r="K25" s="68">
        <f t="shared" ref="K25" si="122">($C25-J25)^2</f>
        <v>0.12018506560543434</v>
      </c>
      <c r="L25" s="11">
        <v>2.7478009999999999</v>
      </c>
      <c r="M25" s="68">
        <f t="shared" ref="M25" si="123">($C25-L25)^2</f>
        <v>9.2086258756644113E-2</v>
      </c>
      <c r="N25" s="11">
        <v>2.6974369999999999</v>
      </c>
      <c r="O25" s="68">
        <f t="shared" ref="O25" si="124">($C25-N25)^2</f>
        <v>0.12518942585780096</v>
      </c>
      <c r="P25" s="11">
        <v>2.8030759999999999</v>
      </c>
      <c r="Q25" s="68">
        <f t="shared" ref="Q25" si="125">($C25-P25)^2</f>
        <v>6.1594393376163188E-2</v>
      </c>
      <c r="R25" s="11">
        <v>2.757536</v>
      </c>
      <c r="S25" s="68">
        <f t="shared" ref="S25" si="126">($C25-R25)^2</f>
        <v>8.6272717729932516E-2</v>
      </c>
      <c r="T25" s="11">
        <v>2.7022569999999999</v>
      </c>
      <c r="U25" s="68">
        <f t="shared" ref="U25" si="127">($C25-T25)^2</f>
        <v>0.12180182210383589</v>
      </c>
      <c r="V25" s="11">
        <v>2.7073830000000001</v>
      </c>
      <c r="W25" s="68">
        <f t="shared" ref="W25" si="128">($C25-V25)^2</f>
        <v>0.11825013790505881</v>
      </c>
      <c r="X25" s="11">
        <v>2.6836509999999998</v>
      </c>
      <c r="Y25" s="68">
        <f t="shared" ref="Y25" si="129">($C25-X25)^2</f>
        <v>0.13513503716802555</v>
      </c>
      <c r="Z25" s="11">
        <v>2.605623</v>
      </c>
      <c r="AA25" s="68">
        <f t="shared" ref="AA25" si="130">($C25-Z25)^2</f>
        <v>0.19859071169034589</v>
      </c>
      <c r="AB25" s="11">
        <v>2.6708810000000001</v>
      </c>
      <c r="AC25" s="68">
        <f t="shared" ref="AC25" si="131">($C25-AB25)^2</f>
        <v>0.14468679738896595</v>
      </c>
      <c r="AD25" s="11">
        <v>2.6049329999999999</v>
      </c>
      <c r="AE25" s="68">
        <f t="shared" ref="AE25" si="132">($C25-AD25)^2</f>
        <v>0.19920616433570609</v>
      </c>
      <c r="AF25" s="11">
        <v>2.6082010000000002</v>
      </c>
      <c r="AG25" s="68">
        <f t="shared" ref="AG25" si="133">($C25-AF25)^2</f>
        <v>0.19629966279762334</v>
      </c>
      <c r="AH25" s="11">
        <v>2.5443259999999999</v>
      </c>
      <c r="AI25" s="68">
        <f t="shared" ref="AI25" si="134">($C25-AH25)^2</f>
        <v>0.25698023288621652</v>
      </c>
      <c r="AJ25" s="11">
        <v>2.6219260000000002</v>
      </c>
      <c r="AK25" s="68">
        <f t="shared" ref="AK25" si="135">($C25-AJ25)^2</f>
        <v>0.18432611889209008</v>
      </c>
      <c r="AL25" s="11">
        <v>2.5447109999999999</v>
      </c>
      <c r="AM25" s="68">
        <f t="shared" ref="AM25" si="136">($C25-AL25)^2</f>
        <v>0.25659004333431257</v>
      </c>
    </row>
    <row r="26" spans="1:40" s="12" customFormat="1" ht="15.75" x14ac:dyDescent="0.25">
      <c r="A26" s="12">
        <v>2020</v>
      </c>
      <c r="B26" s="10">
        <v>8.062989</v>
      </c>
      <c r="C26" s="64">
        <f t="shared" si="0"/>
        <v>2.0872843314454741</v>
      </c>
      <c r="D26" s="11">
        <v>2.8713359999999999</v>
      </c>
      <c r="E26" s="68">
        <f t="shared" si="121"/>
        <v>0.61473701896313593</v>
      </c>
      <c r="F26" s="11">
        <v>2.2810899999999998</v>
      </c>
      <c r="G26" s="68">
        <f t="shared" si="1"/>
        <v>3.7560637163866692E-2</v>
      </c>
      <c r="H26" s="11">
        <v>2.3826960000000001</v>
      </c>
      <c r="I26" s="68">
        <f t="shared" si="1"/>
        <v>8.726805391816915E-2</v>
      </c>
      <c r="J26" s="11">
        <v>2.4747490000000001</v>
      </c>
      <c r="K26" s="68">
        <f t="shared" ref="K26" si="137">($C26-J26)^2</f>
        <v>0.15012886937806869</v>
      </c>
      <c r="L26" s="11">
        <v>2.3827859999999998</v>
      </c>
      <c r="M26" s="68">
        <f t="shared" ref="M26" si="138">($C26-L26)^2</f>
        <v>8.7321236118508797E-2</v>
      </c>
      <c r="N26" s="11">
        <v>2.3714270000000002</v>
      </c>
      <c r="O26" s="68">
        <f t="shared" ref="O26" si="139">($C26-N26)^2</f>
        <v>8.0737056093287268E-2</v>
      </c>
      <c r="P26" s="11">
        <v>2.4195880000000001</v>
      </c>
      <c r="Q26" s="68">
        <f t="shared" ref="Q26" si="140">($C26-P26)^2</f>
        <v>0.11042572813479626</v>
      </c>
      <c r="R26" s="11">
        <v>2.4856630000000002</v>
      </c>
      <c r="S26" s="68">
        <f t="shared" ref="S26" si="141">($C26-R26)^2</f>
        <v>0.15870556355927695</v>
      </c>
      <c r="T26" s="11">
        <v>2.389516</v>
      </c>
      <c r="U26" s="68">
        <f t="shared" ref="U26" si="142">($C26-T26)^2</f>
        <v>9.1343981477252784E-2</v>
      </c>
      <c r="V26" s="11">
        <v>2.382225</v>
      </c>
      <c r="W26" s="68">
        <f t="shared" ref="W26" si="143">($C26-V26)^2</f>
        <v>8.6989997967390723E-2</v>
      </c>
      <c r="X26" s="11">
        <v>2.320614</v>
      </c>
      <c r="Y26" s="68">
        <f t="shared" ref="Y26" si="144">($C26-X26)^2</f>
        <v>5.4442734227764897E-2</v>
      </c>
      <c r="Z26" s="11">
        <v>2.3305539999999998</v>
      </c>
      <c r="AA26" s="68">
        <f t="shared" ref="AA26" si="145">($C26-Z26)^2</f>
        <v>5.9180131638628786E-2</v>
      </c>
      <c r="AB26" s="11">
        <v>2.288332</v>
      </c>
      <c r="AC26" s="68">
        <f t="shared" ref="AC26" si="146">($C26-AB26)^2</f>
        <v>4.0420165031210514E-2</v>
      </c>
      <c r="AD26" s="11">
        <v>2.2631610000000002</v>
      </c>
      <c r="AE26" s="68">
        <f t="shared" ref="AE26" si="147">($C26-AD26)^2</f>
        <v>3.0932602541838633E-2</v>
      </c>
      <c r="AF26" s="11">
        <v>2.356141</v>
      </c>
      <c r="AG26" s="68">
        <f t="shared" ref="AG26" si="148">($C26-AF26)^2</f>
        <v>7.2283908226238217E-2</v>
      </c>
      <c r="AH26" s="11">
        <v>2.3642099999999999</v>
      </c>
      <c r="AI26" s="68">
        <f t="shared" ref="AI26" si="149">($C26-AH26)^2</f>
        <v>7.6687825904371093E-2</v>
      </c>
      <c r="AJ26" s="11">
        <v>2.3143470000000002</v>
      </c>
      <c r="AK26" s="68">
        <f t="shared" ref="AK26" si="150">($C26-AJ26)^2</f>
        <v>5.155745545110256E-2</v>
      </c>
      <c r="AL26" s="11">
        <v>2.301949</v>
      </c>
      <c r="AM26" s="68">
        <f t="shared" ref="AM26" si="151">($C26-AL26)^2</f>
        <v>4.6080919925624471E-2</v>
      </c>
    </row>
    <row r="27" spans="1:40" s="17" customFormat="1" ht="15.75" x14ac:dyDescent="0.25">
      <c r="A27" s="17">
        <v>2021</v>
      </c>
      <c r="B27" s="14">
        <v>48.503718999999997</v>
      </c>
      <c r="C27" s="65">
        <f t="shared" si="0"/>
        <v>3.8816404754160159</v>
      </c>
      <c r="D27" s="16">
        <v>3.2290679999999998</v>
      </c>
      <c r="E27" s="69">
        <f>($C27-D27)^2</f>
        <v>0.42585083567058685</v>
      </c>
      <c r="F27" s="16">
        <v>3.2992880000000002</v>
      </c>
      <c r="G27" s="69">
        <f>($C27-F27)^2</f>
        <v>0.33913440562316111</v>
      </c>
      <c r="H27" s="16">
        <v>2.9156870000000001</v>
      </c>
      <c r="I27" s="69">
        <f>($C27-H27)^2</f>
        <v>0.93306611666827932</v>
      </c>
      <c r="J27" s="16">
        <v>3.1118269999999999</v>
      </c>
      <c r="K27" s="69">
        <f>($C27-J27)^2</f>
        <v>0.59261278693208497</v>
      </c>
      <c r="L27" s="16">
        <v>3.0944479999999999</v>
      </c>
      <c r="M27" s="69">
        <f>($C27-L27)^2</f>
        <v>0.61967199335159495</v>
      </c>
      <c r="N27" s="16">
        <v>3.1347809999999998</v>
      </c>
      <c r="O27" s="69">
        <f>($C27-N27)^2</f>
        <v>0.55779907601868672</v>
      </c>
      <c r="P27" s="16">
        <v>2.8714949999999999</v>
      </c>
      <c r="Q27" s="69">
        <f>($C27-P27)^2</f>
        <v>1.020393881503449</v>
      </c>
      <c r="R27" s="16">
        <v>3.0446900000000001</v>
      </c>
      <c r="S27" s="69">
        <f>($C27-R27)^2</f>
        <v>0.70048609829909481</v>
      </c>
      <c r="T27" s="16">
        <v>2.9730799999999999</v>
      </c>
      <c r="U27" s="69">
        <f>($C27-T27)^2</f>
        <v>0.82548213748817689</v>
      </c>
      <c r="V27" s="16">
        <v>3.045633</v>
      </c>
      <c r="W27" s="69">
        <f>($C27-V27)^2</f>
        <v>0.69890849895146034</v>
      </c>
      <c r="X27" s="16">
        <v>2.8372570000000001</v>
      </c>
      <c r="Y27" s="69">
        <f>($C27-X27)^2</f>
        <v>1.0907368437220355</v>
      </c>
      <c r="Z27" s="16">
        <v>3.0339</v>
      </c>
      <c r="AA27" s="69">
        <f>($C27-Z27)^2</f>
        <v>0.71866391365857252</v>
      </c>
      <c r="AB27" s="16">
        <v>2.9948619999999999</v>
      </c>
      <c r="AC27" s="69">
        <f>($C27-AB27)^2</f>
        <v>0.7863760644611536</v>
      </c>
      <c r="AD27" s="16">
        <v>3.045153</v>
      </c>
      <c r="AE27" s="69">
        <f>($C27-AD27)^2</f>
        <v>0.69971129652785979</v>
      </c>
      <c r="AF27" s="16">
        <v>2.8394490000000001</v>
      </c>
      <c r="AG27" s="69">
        <f>($C27-AF27)^2</f>
        <v>1.0861630714298118</v>
      </c>
      <c r="AH27" s="16">
        <v>3.0670790000000001</v>
      </c>
      <c r="AI27" s="69">
        <f>($C27-AH27)^2</f>
        <v>0.6635103972319164</v>
      </c>
      <c r="AJ27" s="16">
        <v>3.0027219999999999</v>
      </c>
      <c r="AK27" s="69">
        <f>($C27-AJ27)^2</f>
        <v>0.77249768642761385</v>
      </c>
      <c r="AL27" s="16">
        <v>3.0593240000000002</v>
      </c>
      <c r="AM27" s="69">
        <f>($C27-AL27)^2</f>
        <v>0.67620438574061881</v>
      </c>
    </row>
    <row r="28" spans="1:40" ht="15.75" x14ac:dyDescent="0.25">
      <c r="A28">
        <v>2022</v>
      </c>
      <c r="D28" s="1"/>
      <c r="E28" s="62">
        <f>SUM(E23:E27)/4</f>
        <v>0.46773467328132562</v>
      </c>
      <c r="F28" s="1"/>
      <c r="G28" s="62">
        <f>SUM(G23:G27)</f>
        <v>0.86390918908637149</v>
      </c>
      <c r="H28" s="1"/>
      <c r="I28" s="62">
        <f>SUM(I23:I27)</f>
        <v>1.1586206203712597</v>
      </c>
      <c r="J28" s="1"/>
      <c r="K28" s="62">
        <f>SUM(K23:K27)</f>
        <v>1.0879818270010668</v>
      </c>
      <c r="L28" s="1"/>
      <c r="M28" s="62">
        <f>SUM(M23:M27)</f>
        <v>0.86028816599520752</v>
      </c>
      <c r="N28" s="1"/>
      <c r="O28" s="62">
        <f>SUM(O23:O27)</f>
        <v>0.87164991169138273</v>
      </c>
      <c r="P28" s="1"/>
      <c r="Q28" s="62">
        <f>SUM(Q23:Q27)</f>
        <v>1.2407231356096473</v>
      </c>
      <c r="R28" s="1"/>
      <c r="S28" s="62">
        <f>SUM(S23:S27)</f>
        <v>1.1671948669015393</v>
      </c>
      <c r="T28" s="1"/>
      <c r="U28" s="62">
        <f>SUM(U23:U27)</f>
        <v>1.1304902757977382</v>
      </c>
      <c r="V28" s="1"/>
      <c r="W28" s="62">
        <f>SUM(W23:W27)</f>
        <v>1.0270852382718894</v>
      </c>
      <c r="X28" s="1"/>
      <c r="Y28" s="62">
        <f>SUM(Y23:Y27)</f>
        <v>1.306870165730192</v>
      </c>
      <c r="Z28" s="1"/>
      <c r="AA28" s="62">
        <f>SUM(AA23:AA27)</f>
        <v>1.1158155865481731</v>
      </c>
      <c r="AB28" s="1"/>
      <c r="AC28" s="62">
        <f>SUM(AC23:AC27)</f>
        <v>1.0019589590772213</v>
      </c>
      <c r="AD28" s="1"/>
      <c r="AE28" s="62">
        <f>SUM(AE23:AE27)</f>
        <v>0.9850610991452885</v>
      </c>
      <c r="AF28" s="1"/>
      <c r="AG28" s="62">
        <f>SUM(AG23:AG27)</f>
        <v>1.3953392667009605</v>
      </c>
      <c r="AH28" s="1"/>
      <c r="AI28" s="62">
        <f>SUM(AI23:AI27)</f>
        <v>1.1632007845914725</v>
      </c>
      <c r="AJ28" s="1"/>
      <c r="AK28" s="62">
        <f>SUM(AK23:AK27)</f>
        <v>1.048073510020225</v>
      </c>
      <c r="AL28" s="1"/>
      <c r="AM28" s="62">
        <f>SUM(AM23:AM27)</f>
        <v>1.0500369440622839</v>
      </c>
      <c r="AN28" s="1" t="s">
        <v>166</v>
      </c>
    </row>
    <row r="29" spans="1:40" ht="15.75" x14ac:dyDescent="0.25">
      <c r="D29" s="1" t="s">
        <v>157</v>
      </c>
      <c r="E29" s="63">
        <f>1/(SUM(E23:E27)/(COUNT(E23:E27)-1))</f>
        <v>2.1379642287039426</v>
      </c>
      <c r="F29" s="1" t="s">
        <v>161</v>
      </c>
      <c r="G29" s="63">
        <f>1/(SUM(G23:G27)/(COUNT(G23:G27)-1))</f>
        <v>4.6301162790387798</v>
      </c>
      <c r="H29" s="1" t="s">
        <v>161</v>
      </c>
      <c r="I29" s="63">
        <f>1/(SUM(I23:I27)/(COUNT(I23:I27)-1))</f>
        <v>3.4523811588285649</v>
      </c>
      <c r="J29" s="1" t="s">
        <v>161</v>
      </c>
      <c r="K29" s="63">
        <f>1/(SUM(K23:K27)/(COUNT(K23:K27)-1))</f>
        <v>3.6765319978052151</v>
      </c>
      <c r="L29" s="1" t="s">
        <v>161</v>
      </c>
      <c r="M29" s="63">
        <f>1/(SUM(M23:M27)/(COUNT(M23:M27)-1))</f>
        <v>4.6496048162799939</v>
      </c>
      <c r="N29" s="1" t="s">
        <v>161</v>
      </c>
      <c r="O29" s="63">
        <f>1/(SUM(O23:O27)/(COUNT(O23:O27)-1))</f>
        <v>4.5889983425091474</v>
      </c>
      <c r="P29" s="1" t="s">
        <v>161</v>
      </c>
      <c r="Q29" s="63">
        <f>1/(SUM(Q23:Q27)/(COUNT(Q23:Q27)-1))</f>
        <v>3.2239263419832516</v>
      </c>
      <c r="R29" s="1" t="s">
        <v>161</v>
      </c>
      <c r="S29" s="63">
        <f>1/(SUM(S23:S27)/(COUNT(S23:S27)-1))</f>
        <v>3.4270198691144746</v>
      </c>
      <c r="T29" s="1" t="s">
        <v>161</v>
      </c>
      <c r="U29" s="63">
        <f>1/(SUM(U23:U27)/(COUNT(U23:U27)-1))</f>
        <v>3.5382878434556835</v>
      </c>
      <c r="V29" s="1" t="s">
        <v>161</v>
      </c>
      <c r="W29" s="63">
        <f>1/(SUM(W23:W27)/(COUNT(W23:W27)-1))</f>
        <v>3.8945161033860778</v>
      </c>
      <c r="X29" s="1" t="s">
        <v>161</v>
      </c>
      <c r="Y29" s="63">
        <f>1/(SUM(Y23:Y27)/(COUNT(Y23:Y27)-1))</f>
        <v>3.0607478117499656</v>
      </c>
      <c r="Z29" s="1" t="s">
        <v>161</v>
      </c>
      <c r="AA29" s="63">
        <f>1/(SUM(AA23:AA27)/(COUNT(AA23:AA27)-1))</f>
        <v>3.5848217646557385</v>
      </c>
      <c r="AB29" s="1" t="s">
        <v>161</v>
      </c>
      <c r="AC29" s="63">
        <f>1/(SUM(AC23:AC27)/(COUNT(AC23:AC27)-1))</f>
        <v>3.9921794837623867</v>
      </c>
      <c r="AD29" s="1" t="s">
        <v>161</v>
      </c>
      <c r="AE29" s="63">
        <f>1/(SUM(AE23:AE27)/(COUNT(AE23:AE27)-1))</f>
        <v>4.0606618243992116</v>
      </c>
      <c r="AF29" s="1" t="s">
        <v>161</v>
      </c>
      <c r="AG29" s="63">
        <f>1/(SUM(AG23:AG27)/(COUNT(AG23:AG27)-1))</f>
        <v>2.8666863288792204</v>
      </c>
      <c r="AH29" s="1" t="s">
        <v>161</v>
      </c>
      <c r="AI29" s="63">
        <f>1/(SUM(AI23:AI27)/(COUNT(AI23:AI27)-1))</f>
        <v>3.4387872265791493</v>
      </c>
      <c r="AJ29" s="1" t="s">
        <v>161</v>
      </c>
      <c r="AK29" s="63">
        <f>1/(SUM(AK23:AK27)/(COUNT(AK23:AK27)-1))</f>
        <v>3.8165261899643004</v>
      </c>
      <c r="AL29" s="1" t="s">
        <v>161</v>
      </c>
      <c r="AM29" s="63">
        <f>1/(SUM(AM23:AM27)/(COUNT(AM23:AM27)-1))</f>
        <v>3.8093897768255442</v>
      </c>
      <c r="AN29" s="34">
        <f>SUM(E29,G29,I29,K29,M29,O29,Q29,S29,U29,W29,Y29,AA29,AC29,AE29,AG29,AI29,AK29,AM29)</f>
        <v>65.849147387920638</v>
      </c>
    </row>
    <row r="30" spans="1:40" ht="15.75" x14ac:dyDescent="0.25">
      <c r="D30" s="1" t="s">
        <v>156</v>
      </c>
      <c r="E30" s="63">
        <f>1/(SUM(E22:E26)/(COUNT(E22:E26)-1))</f>
        <v>2.2556968418117935</v>
      </c>
      <c r="F30" s="1" t="s">
        <v>162</v>
      </c>
      <c r="G30" s="63">
        <f>1/(SUM(G22:G26)/(COUNT(G22:G26)-1))</f>
        <v>6.8580770956910664</v>
      </c>
      <c r="H30" s="1" t="s">
        <v>162</v>
      </c>
      <c r="I30" s="63">
        <f>1/(SUM(I22:I26)/(COUNT(I22:I26)-1))</f>
        <v>14.151685273005107</v>
      </c>
      <c r="J30" s="1" t="s">
        <v>162</v>
      </c>
      <c r="K30" s="63">
        <f>1/(SUM(K22:K26)/(COUNT(K22:K26)-1))</f>
        <v>7.5525038756867469</v>
      </c>
      <c r="L30" s="1" t="s">
        <v>162</v>
      </c>
      <c r="M30" s="63">
        <f>1/(SUM(M22:M26)/(COUNT(M22:M26)-1))</f>
        <v>15.100254194873575</v>
      </c>
      <c r="N30" s="1" t="s">
        <v>162</v>
      </c>
      <c r="O30" s="63">
        <f>1/(SUM(O22:O26)/(COUNT(O22:O26)-1))</f>
        <v>12.542154322430672</v>
      </c>
      <c r="P30" s="1" t="s">
        <v>162</v>
      </c>
      <c r="Q30" s="63">
        <f>1/(SUM(Q22:Q26)/(COUNT(Q22:Q26)-1))</f>
        <v>17.72193680896445</v>
      </c>
      <c r="R30" s="1" t="s">
        <v>162</v>
      </c>
      <c r="S30" s="63">
        <f>1/(SUM(S22:S26)/(COUNT(S22:S26)-1))</f>
        <v>7.4428381917627364</v>
      </c>
      <c r="T30" s="1" t="s">
        <v>162</v>
      </c>
      <c r="U30" s="63">
        <f>1/(SUM(U22:U26)/(COUNT(U22:U26)-1))</f>
        <v>13.041442759358842</v>
      </c>
      <c r="V30" s="1" t="s">
        <v>162</v>
      </c>
      <c r="W30" s="63">
        <f>1/(SUM(W22:W26)/(COUNT(W22:W26)-1))</f>
        <v>11.16078889544378</v>
      </c>
      <c r="X30" s="1" t="s">
        <v>162</v>
      </c>
      <c r="Y30" s="63">
        <f>1/(SUM(Y22:Y26)/(COUNT(Y22:Y26)-1))</f>
        <v>12.575715079768907</v>
      </c>
      <c r="Z30" s="1" t="s">
        <v>162</v>
      </c>
      <c r="AA30" s="63">
        <f>1/(SUM(AA22:AA26)/(COUNT(AA22:AA26)-1))</f>
        <v>9.9592786391939434</v>
      </c>
      <c r="AB30" s="1" t="s">
        <v>162</v>
      </c>
      <c r="AC30" s="63">
        <f>1/(SUM(AC22:AC26)/(COUNT(AC22:AC26)-1))</f>
        <v>13.2952186423414</v>
      </c>
      <c r="AD30" s="1" t="s">
        <v>162</v>
      </c>
      <c r="AE30" s="63">
        <f>1/(SUM(AE22:AE26)/(COUNT(AE22:AE26)-1))</f>
        <v>13.964203250870925</v>
      </c>
      <c r="AF30" s="1" t="s">
        <v>162</v>
      </c>
      <c r="AG30" s="63">
        <f>1/(SUM(AG22:AG26)/(COUNT(AG22:AG26)-1))</f>
        <v>8.8817364444991789</v>
      </c>
      <c r="AH30" s="1" t="s">
        <v>162</v>
      </c>
      <c r="AI30" s="63">
        <f>1/(SUM(AI22:AI26)/(COUNT(AI22:AI26)-1))</f>
        <v>7.9159083243026309</v>
      </c>
      <c r="AJ30" s="1" t="s">
        <v>162</v>
      </c>
      <c r="AK30" s="63">
        <f>1/(SUM(AK22:AK26)/(COUNT(AK22:AK26)-1))</f>
        <v>11.592222410827228</v>
      </c>
      <c r="AL30" s="1" t="s">
        <v>162</v>
      </c>
      <c r="AM30" s="63">
        <f>1/(SUM(AM22:AM26)/(COUNT(AM22:AM26)-1))</f>
        <v>10.679394269380294</v>
      </c>
      <c r="AN30" s="34">
        <f t="shared" ref="AN30:AN33" si="152">SUM(E30,G30,I30,K30,M30,O30,Q30,S30,U30,W30,Y30,AA30,AC30,AE30,AG30,AI30,AK30,AM30)</f>
        <v>196.69105532021325</v>
      </c>
    </row>
    <row r="31" spans="1:40" ht="15.75" x14ac:dyDescent="0.25">
      <c r="B31" s="30"/>
      <c r="C31" s="30"/>
      <c r="D31" s="1" t="s">
        <v>158</v>
      </c>
      <c r="E31" s="63">
        <f>1/(SUM(E21:E25)/(COUNT(E21:E25)-1))</f>
        <v>2.813892364315596</v>
      </c>
      <c r="F31" s="1" t="s">
        <v>163</v>
      </c>
      <c r="G31" s="63">
        <f>1/(SUM(G21:G25)/(COUNT(G21:G25)-1))</f>
        <v>5.1104562641651956</v>
      </c>
      <c r="H31" s="1" t="s">
        <v>163</v>
      </c>
      <c r="I31" s="63">
        <f>1/(SUM(I21:I25)/(COUNT(I21:I25)-1))</f>
        <v>17.413532571064039</v>
      </c>
      <c r="J31" s="1" t="s">
        <v>163</v>
      </c>
      <c r="K31" s="63">
        <f>1/(SUM(K21:K25)/(COUNT(K21:K25)-1))</f>
        <v>7.2334965561827778</v>
      </c>
      <c r="L31" s="1" t="s">
        <v>163</v>
      </c>
      <c r="M31" s="63">
        <f>1/(SUM(M21:M25)/(COUNT(M21:M25)-1))</f>
        <v>11.17875498211526</v>
      </c>
      <c r="N31" s="1" t="s">
        <v>163</v>
      </c>
      <c r="O31" s="63">
        <f>1/(SUM(O21:O25)/(COUNT(O21:O25)-1))</f>
        <v>8.833747657457824</v>
      </c>
      <c r="P31" s="1" t="s">
        <v>163</v>
      </c>
      <c r="Q31" s="63">
        <f>1/(SUM(Q21:Q25)/(COUNT(Q21:Q25)-1))</f>
        <v>25.8993656037003</v>
      </c>
      <c r="R31" s="1" t="s">
        <v>163</v>
      </c>
      <c r="S31" s="63">
        <f>1/(SUM(S21:S25)/(COUNT(S21:S25)-1))</f>
        <v>7.225808544651251</v>
      </c>
      <c r="T31" s="1" t="s">
        <v>163</v>
      </c>
      <c r="U31" s="63">
        <f>1/(SUM(U21:U25)/(COUNT(U21:U25)-1))</f>
        <v>10.630326607873178</v>
      </c>
      <c r="V31" s="1" t="s">
        <v>163</v>
      </c>
      <c r="W31" s="63">
        <f>1/(SUM(W21:W25)/(COUNT(W21:W25)-1))</f>
        <v>8.2764971796875333</v>
      </c>
      <c r="X31" s="1" t="s">
        <v>163</v>
      </c>
      <c r="Y31" s="63">
        <f>1/(SUM(Y21:Y25)/(COUNT(Y21:Y25)-1))</f>
        <v>14.268837031339975</v>
      </c>
      <c r="Z31" s="1" t="s">
        <v>163</v>
      </c>
      <c r="AA31" s="63">
        <f>1/(SUM(AA21:AA25)/(COUNT(AA21:AA25)-1))</f>
        <v>8.1250637624823394</v>
      </c>
      <c r="AB31" s="1" t="s">
        <v>163</v>
      </c>
      <c r="AC31" s="63">
        <f>1/(SUM(AC21:AC25)/(COUNT(AC21:AC25)-1))</f>
        <v>9.551556663172855</v>
      </c>
      <c r="AD31" s="1" t="s">
        <v>163</v>
      </c>
      <c r="AE31" s="63">
        <f>1/(SUM(AE21:AE25)/(COUNT(AE21:AE25)-1))</f>
        <v>8.7648329513474312</v>
      </c>
      <c r="AF31" s="1" t="s">
        <v>163</v>
      </c>
      <c r="AG31" s="63">
        <f>1/(SUM(AG21:AG25)/(COUNT(AG21:AG25)-1))</f>
        <v>9.5541169631464271</v>
      </c>
      <c r="AH31" s="1" t="s">
        <v>163</v>
      </c>
      <c r="AI31" s="63">
        <f>1/(SUM(AI21:AI25)/(COUNT(AI21:AI25)-1))</f>
        <v>6.9842111084294896</v>
      </c>
      <c r="AJ31" s="1" t="s">
        <v>163</v>
      </c>
      <c r="AK31" s="63">
        <f>1/(SUM(AK21:AK25)/(COUNT(AK21:AK25)-1))</f>
        <v>8.3086045442780971</v>
      </c>
      <c r="AL31" s="1" t="s">
        <v>163</v>
      </c>
      <c r="AM31" s="63">
        <f>1/(SUM(AM21:AM25)/(COUNT(AM21:AM25)-1))</f>
        <v>7.7448906722311834</v>
      </c>
      <c r="AN31" s="34">
        <f t="shared" si="152"/>
        <v>177.91799202764076</v>
      </c>
    </row>
    <row r="32" spans="1:40" ht="15.75" x14ac:dyDescent="0.25">
      <c r="D32" s="1" t="s">
        <v>159</v>
      </c>
      <c r="E32" s="63">
        <f>1/(SUM(E20:E24)/(COUNT(E20:E24)-1))</f>
        <v>2.7485779821080212</v>
      </c>
      <c r="F32" s="1" t="s">
        <v>164</v>
      </c>
      <c r="G32" s="63">
        <f>1/(SUM(G20:G24)/(COUNT(G20:G24)-1))</f>
        <v>5.2410956935371482</v>
      </c>
      <c r="H32" s="1" t="s">
        <v>164</v>
      </c>
      <c r="I32" s="63">
        <f>1/(SUM(I20:I24)/(COUNT(I20:I24)-1))</f>
        <v>27.106028962277296</v>
      </c>
      <c r="J32" s="1" t="s">
        <v>164</v>
      </c>
      <c r="K32" s="63">
        <f>1/(SUM(K20:K24)/(COUNT(K20:K24)-1))</f>
        <v>7.5816925261796833</v>
      </c>
      <c r="L32" s="1" t="s">
        <v>164</v>
      </c>
      <c r="M32" s="63">
        <f>1/(SUM(M20:M24)/(COUNT(M20:M24)-1))</f>
        <v>13.663449706929017</v>
      </c>
      <c r="N32" s="1" t="s">
        <v>164</v>
      </c>
      <c r="O32" s="63">
        <f>1/(SUM(O20:O24)/(COUNT(O20:O24)-1))</f>
        <v>10.127374734511754</v>
      </c>
      <c r="P32" s="1" t="s">
        <v>164</v>
      </c>
      <c r="Q32" s="63">
        <f>1/(SUM(Q20:Q24)/(COUNT(Q20:Q24)-1))</f>
        <v>41.610136510121578</v>
      </c>
      <c r="R32" s="1" t="s">
        <v>164</v>
      </c>
      <c r="S32" s="63">
        <f>1/(SUM(S20:S24)/(COUNT(S20:S24)-1))</f>
        <v>7.2023855181307619</v>
      </c>
      <c r="T32" s="1" t="s">
        <v>164</v>
      </c>
      <c r="U32" s="63">
        <f>1/(SUM(U20:U24)/(COUNT(U20:U24)-1))</f>
        <v>14.335763186438911</v>
      </c>
      <c r="V32" s="1" t="s">
        <v>164</v>
      </c>
      <c r="W32" s="63">
        <f>1/(SUM(W20:W24)/(COUNT(W20:W24)-1))</f>
        <v>9.2917824849862072</v>
      </c>
      <c r="X32" s="1" t="s">
        <v>164</v>
      </c>
      <c r="Y32" s="63">
        <f>1/(SUM(Y20:Y24)/(COUNT(Y20:Y24)-1))</f>
        <v>27.536032447419398</v>
      </c>
      <c r="Z32" s="1" t="s">
        <v>164</v>
      </c>
      <c r="AA32" s="63">
        <f>1/(SUM(AA20:AA24)/(COUNT(AA20:AA24)-1))</f>
        <v>10.120463853792073</v>
      </c>
      <c r="AB32" s="1" t="s">
        <v>164</v>
      </c>
      <c r="AC32" s="63">
        <f>1/(SUM(AC20:AC24)/(COUNT(AC20:AC24)-1))</f>
        <v>13.56268550321472</v>
      </c>
      <c r="AD32" s="1" t="s">
        <v>164</v>
      </c>
      <c r="AE32" s="63">
        <f>1/(SUM(AE20:AE24)/(COUNT(AE20:AE24)-1))</f>
        <v>12.250815272790176</v>
      </c>
      <c r="AF32" s="1" t="s">
        <v>164</v>
      </c>
      <c r="AG32" s="63">
        <f>1/(SUM(AG20:AG24)/(COUNT(AG20:AG24)-1))</f>
        <v>15.330037936562105</v>
      </c>
      <c r="AH32" s="1" t="s">
        <v>164</v>
      </c>
      <c r="AI32" s="63">
        <f>1/(SUM(AI20:AI24)/(COUNT(AI20:AI24)-1))</f>
        <v>8.1576817652406337</v>
      </c>
      <c r="AJ32" s="1" t="s">
        <v>164</v>
      </c>
      <c r="AK32" s="63">
        <f>1/(SUM(AK20:AK24)/(COUNT(AK20:AK24)-1))</f>
        <v>10.238902275146158</v>
      </c>
      <c r="AL32" s="1" t="s">
        <v>164</v>
      </c>
      <c r="AM32" s="63">
        <f>1/(SUM(AM20:AM24)/(COUNT(AM20:AM24)-1))</f>
        <v>9.7956067592667573</v>
      </c>
      <c r="AN32" s="34">
        <f t="shared" si="152"/>
        <v>245.90051311865236</v>
      </c>
    </row>
    <row r="33" spans="1:40" ht="15.75" x14ac:dyDescent="0.25">
      <c r="B33" s="30"/>
      <c r="D33" s="1" t="s">
        <v>160</v>
      </c>
      <c r="E33" s="63">
        <f>1/(SUM(E19:E23)/(COUNT(E19:E23)-1))</f>
        <v>2.5613445297523829</v>
      </c>
      <c r="F33" s="1" t="s">
        <v>165</v>
      </c>
      <c r="G33" s="63">
        <f>1/(SUM(G19:G23)/(COUNT(G19:G23)-1))</f>
        <v>7.535409684458231</v>
      </c>
      <c r="H33" s="1" t="s">
        <v>165</v>
      </c>
      <c r="I33" s="63">
        <f>1/(SUM(I19:I23)/(COUNT(I19:I23)-1))</f>
        <v>11.588414729731822</v>
      </c>
      <c r="J33" s="1" t="s">
        <v>165</v>
      </c>
      <c r="K33" s="63">
        <f>1/(SUM(K19:K23)/(COUNT(K19:K23)-1))</f>
        <v>6.8943460224243793</v>
      </c>
      <c r="L33" s="1" t="s">
        <v>165</v>
      </c>
      <c r="M33" s="63">
        <f>1/(SUM(M19:M23)/(COUNT(M19:M23)-1))</f>
        <v>8.637966274981304</v>
      </c>
      <c r="N33" s="1" t="s">
        <v>165</v>
      </c>
      <c r="O33" s="63">
        <f>1/(SUM(O19:O23)/(COUNT(O19:O23)-1))</f>
        <v>7.7597259132851537</v>
      </c>
      <c r="P33" s="1" t="s">
        <v>165</v>
      </c>
      <c r="Q33" s="63">
        <f>1/(SUM(Q19:Q23)/(COUNT(Q19:Q23)-1))</f>
        <v>10.424905716411256</v>
      </c>
      <c r="R33" s="1" t="s">
        <v>165</v>
      </c>
      <c r="S33" s="63">
        <f>1/(SUM(S19:S23)/(COUNT(S19:S23)-1))</f>
        <v>7.1405987905546979</v>
      </c>
      <c r="T33" s="1" t="s">
        <v>165</v>
      </c>
      <c r="U33" s="63">
        <f>1/(SUM(U19:U23)/(COUNT(U19:U23)-1))</f>
        <v>8.1935695833839262</v>
      </c>
      <c r="V33" s="1" t="s">
        <v>165</v>
      </c>
      <c r="W33" s="63">
        <f>1/(SUM(W19:W23)/(COUNT(W19:W23)-1))</f>
        <v>7.6926433840080071</v>
      </c>
      <c r="X33" s="1" t="s">
        <v>165</v>
      </c>
      <c r="Y33" s="63">
        <f>1/(SUM(Y19:Y23)/(COUNT(Y19:Y23)-1))</f>
        <v>11.121351564501282</v>
      </c>
      <c r="Z33" s="1" t="s">
        <v>165</v>
      </c>
      <c r="AA33" s="63">
        <f>1/(SUM(AA19:AA23)/(COUNT(AA19:AA23)-1))</f>
        <v>8.2031081533721437</v>
      </c>
      <c r="AB33" s="1" t="s">
        <v>165</v>
      </c>
      <c r="AC33" s="63">
        <f>1/(SUM(AC19:AC23)/(COUNT(AC19:AC23)-1))</f>
        <v>7.9506048934403699</v>
      </c>
      <c r="AD33" s="1" t="s">
        <v>165</v>
      </c>
      <c r="AE33" s="63">
        <f>1/(SUM(AE19:AE23)/(COUNT(AE19:AE23)-1))</f>
        <v>8.39196473834523</v>
      </c>
      <c r="AF33" s="1" t="s">
        <v>165</v>
      </c>
      <c r="AG33" s="63">
        <f>1/(SUM(AG19:AG23)/(COUNT(AG19:AG23)-1))</f>
        <v>8.9845126999051814</v>
      </c>
      <c r="AH33" s="1" t="s">
        <v>165</v>
      </c>
      <c r="AI33" s="63">
        <f>1/(SUM(AI19:AI23)/(COUNT(AI19:AI23)-1))</f>
        <v>6.5332711426478394</v>
      </c>
      <c r="AJ33" s="1" t="s">
        <v>165</v>
      </c>
      <c r="AK33" s="63">
        <f>1/(SUM(AK19:AK23)/(COUNT(AK19:AK23)-1))</f>
        <v>7.0254383727631149</v>
      </c>
      <c r="AL33" s="1" t="s">
        <v>165</v>
      </c>
      <c r="AM33" s="63">
        <f>1/(SUM(AM19:AM23)/(COUNT(AM19:AM23)-1))</f>
        <v>6.9513268091318752</v>
      </c>
      <c r="AN33" s="34">
        <f t="shared" si="152"/>
        <v>143.59050300309821</v>
      </c>
    </row>
    <row r="35" spans="1:40" ht="30" x14ac:dyDescent="0.25">
      <c r="D35" s="73" t="s">
        <v>170</v>
      </c>
    </row>
    <row r="36" spans="1:40" ht="15.75" x14ac:dyDescent="0.25">
      <c r="B36" s="31"/>
      <c r="D36" s="1" t="s">
        <v>157</v>
      </c>
      <c r="E36" s="27">
        <f>E29/$AN29</f>
        <v>3.2467606848560815E-2</v>
      </c>
      <c r="G36" s="27">
        <f>G29/$AN29</f>
        <v>7.0313989819223197E-2</v>
      </c>
      <c r="I36" s="27">
        <f>I29/$AN29</f>
        <v>5.2428638726184466E-2</v>
      </c>
      <c r="K36" s="27">
        <f>K29/$AN29</f>
        <v>5.5832643908759826E-2</v>
      </c>
      <c r="M36" s="27">
        <f>M29/$AN29</f>
        <v>7.0609947140073626E-2</v>
      </c>
      <c r="O36" s="27">
        <f>O29/$AN29</f>
        <v>6.9689563563748627E-2</v>
      </c>
      <c r="Q36" s="27">
        <f>Q29/$AN29</f>
        <v>4.8959272365228047E-2</v>
      </c>
      <c r="S36" s="27">
        <f>S29/$AN29</f>
        <v>5.2043496462083678E-2</v>
      </c>
      <c r="U36" s="27">
        <f>U29/$AN29</f>
        <v>5.3733237009303277E-2</v>
      </c>
      <c r="W36" s="27">
        <f>W29/$AN29</f>
        <v>5.9142999687502217E-2</v>
      </c>
      <c r="Y36" s="27">
        <f>Y29/$AN29</f>
        <v>4.6481206411359381E-2</v>
      </c>
      <c r="AA36" s="27">
        <f>AA29/$AN29</f>
        <v>5.4439911629187439E-2</v>
      </c>
      <c r="AC36" s="27">
        <f>AC29/$AN29</f>
        <v>6.062613780318607E-2</v>
      </c>
      <c r="AE36" s="27">
        <f>AE29/$AN29</f>
        <v>6.1666126069600397E-2</v>
      </c>
      <c r="AG36" s="27">
        <f>AG29/$AN29</f>
        <v>4.3534144975202596E-2</v>
      </c>
      <c r="AI36" s="27">
        <f>AI29/$AN29</f>
        <v>5.2222198205864094E-2</v>
      </c>
      <c r="AK36" s="27">
        <f>AK29/$AN29</f>
        <v>5.7958627276993469E-2</v>
      </c>
      <c r="AM36" s="27">
        <f>AM29/$AN29</f>
        <v>5.7850252097938905E-2</v>
      </c>
      <c r="AN36" s="34">
        <f>SUM(E36,G36,I36,K36,M36,O36,Q36,S36,U36,W36,Y36,AA36,AC36,AE36,AG36,AI36,AK36,AM36)</f>
        <v>1.0000000000000002</v>
      </c>
    </row>
    <row r="37" spans="1:40" ht="15.75" x14ac:dyDescent="0.25">
      <c r="B37" s="30"/>
      <c r="D37" s="1" t="s">
        <v>156</v>
      </c>
      <c r="E37" s="27">
        <f t="shared" ref="E37:G40" si="153">E30/$AN30</f>
        <v>1.1468222782879052E-2</v>
      </c>
      <c r="G37" s="27">
        <f t="shared" si="153"/>
        <v>3.4867254560844718E-2</v>
      </c>
      <c r="I37" s="27">
        <f t="shared" ref="I37" si="154">I30/$AN30</f>
        <v>7.1948799349142487E-2</v>
      </c>
      <c r="K37" s="27">
        <f t="shared" ref="K37" si="155">K30/$AN30</f>
        <v>3.8397800364593407E-2</v>
      </c>
      <c r="M37" s="27">
        <f t="shared" ref="M37" si="156">M30/$AN30</f>
        <v>7.6771433099946232E-2</v>
      </c>
      <c r="O37" s="27">
        <f t="shared" ref="O37" si="157">O30/$AN30</f>
        <v>6.3765758447998727E-2</v>
      </c>
      <c r="Q37" s="27">
        <f t="shared" ref="Q37" si="158">Q30/$AN30</f>
        <v>9.010036974031746E-2</v>
      </c>
      <c r="S37" s="27">
        <f t="shared" ref="S37" si="159">S30/$AN30</f>
        <v>3.7840247385148185E-2</v>
      </c>
      <c r="U37" s="27">
        <f t="shared" ref="U37" si="160">U30/$AN30</f>
        <v>6.6304198419838464E-2</v>
      </c>
      <c r="W37" s="27">
        <f t="shared" ref="W37" si="161">W30/$AN30</f>
        <v>5.6742737371935921E-2</v>
      </c>
      <c r="Y37" s="27">
        <f t="shared" ref="Y37" si="162">Y30/$AN30</f>
        <v>6.3936385207225763E-2</v>
      </c>
      <c r="AA37" s="27">
        <f t="shared" ref="AA37" si="163">AA30/$AN30</f>
        <v>5.0634120717793836E-2</v>
      </c>
      <c r="AC37" s="27">
        <f t="shared" ref="AC37" si="164">AC30/$AN30</f>
        <v>6.7594424264472874E-2</v>
      </c>
      <c r="AE37" s="27">
        <f t="shared" ref="AE37" si="165">AE30/$AN30</f>
        <v>7.0995619135487312E-2</v>
      </c>
      <c r="AG37" s="27">
        <f t="shared" ref="AG37" si="166">AG30/$AN30</f>
        <v>4.5155771979766453E-2</v>
      </c>
      <c r="AI37" s="27">
        <f t="shared" ref="AI37" si="167">AI30/$AN30</f>
        <v>4.0245390475004181E-2</v>
      </c>
      <c r="AK37" s="27">
        <f t="shared" ref="AK37" si="168">AK30/$AN30</f>
        <v>5.893619510025546E-2</v>
      </c>
      <c r="AM37" s="27">
        <f t="shared" ref="AM37" si="169">AM30/$AN30</f>
        <v>5.4295271597349606E-2</v>
      </c>
      <c r="AN37" s="34">
        <f t="shared" ref="AN37:AN40" si="170">SUM(E37,G37,I37,K37,M37,O37,Q37,S37,U37,W37,Y37,AA37,AC37,AE37,AG37,AI37,AK37,AM37)</f>
        <v>1.0000000000000002</v>
      </c>
    </row>
    <row r="38" spans="1:40" ht="15.75" x14ac:dyDescent="0.25">
      <c r="B38" s="30"/>
      <c r="D38" s="1" t="s">
        <v>158</v>
      </c>
      <c r="E38" s="27">
        <f t="shared" si="153"/>
        <v>1.5815670648297551E-2</v>
      </c>
      <c r="G38" s="27">
        <f t="shared" si="153"/>
        <v>2.872366198563691E-2</v>
      </c>
      <c r="I38" s="27">
        <f t="shared" ref="I38" si="171">I31/$AN31</f>
        <v>9.7873927041390668E-2</v>
      </c>
      <c r="K38" s="27">
        <f t="shared" ref="K38" si="172">K31/$AN31</f>
        <v>4.0656352253902489E-2</v>
      </c>
      <c r="M38" s="27">
        <f t="shared" ref="M38" si="173">M31/$AN31</f>
        <v>6.2830941686766367E-2</v>
      </c>
      <c r="O38" s="27">
        <f t="shared" ref="O38" si="174">O31/$AN31</f>
        <v>4.9650670833141154E-2</v>
      </c>
      <c r="Q38" s="27">
        <f t="shared" ref="Q38" si="175">Q31/$AN31</f>
        <v>0.14556912040507211</v>
      </c>
      <c r="S38" s="27">
        <f t="shared" ref="S38" si="176">S31/$AN31</f>
        <v>4.0613141269763613E-2</v>
      </c>
      <c r="U38" s="27">
        <f t="shared" ref="U38" si="177">U31/$AN31</f>
        <v>5.974846324829073E-2</v>
      </c>
      <c r="W38" s="27">
        <f t="shared" ref="W38" si="178">W31/$AN31</f>
        <v>4.6518607170441331E-2</v>
      </c>
      <c r="Y38" s="27">
        <f t="shared" ref="Y38" si="179">Y31/$AN31</f>
        <v>8.0198954972036871E-2</v>
      </c>
      <c r="AA38" s="27">
        <f t="shared" ref="AA38" si="180">AA31/$AN31</f>
        <v>4.5667465498486833E-2</v>
      </c>
      <c r="AC38" s="27">
        <f t="shared" ref="AC38" si="181">AC31/$AN31</f>
        <v>5.3685164464361515E-2</v>
      </c>
      <c r="AE38" s="27">
        <f t="shared" ref="AE38" si="182">AE31/$AN31</f>
        <v>4.9263331108108252E-2</v>
      </c>
      <c r="AG38" s="27">
        <f t="shared" ref="AG38" si="183">AG31/$AN31</f>
        <v>5.3699554801979389E-2</v>
      </c>
      <c r="AI38" s="27">
        <f t="shared" ref="AI38" si="184">AI31/$AN31</f>
        <v>3.9255226685249715E-2</v>
      </c>
      <c r="AK38" s="27">
        <f t="shared" ref="AK38" si="185">AK31/$AN31</f>
        <v>4.6699068765273043E-2</v>
      </c>
      <c r="AM38" s="27">
        <f t="shared" ref="AM38" si="186">AM31/$AN31</f>
        <v>4.3530677161801389E-2</v>
      </c>
      <c r="AN38" s="34">
        <f t="shared" si="170"/>
        <v>1</v>
      </c>
    </row>
    <row r="39" spans="1:40" ht="15.75" x14ac:dyDescent="0.25">
      <c r="B39" s="30"/>
      <c r="D39" s="1" t="s">
        <v>159</v>
      </c>
      <c r="E39" s="27">
        <f t="shared" si="153"/>
        <v>1.1177601653810997E-2</v>
      </c>
      <c r="G39" s="27">
        <f t="shared" si="153"/>
        <v>2.1313886770981259E-2</v>
      </c>
      <c r="I39" s="27">
        <f t="shared" ref="I39" si="187">I32/$AN32</f>
        <v>0.11023168930598387</v>
      </c>
      <c r="K39" s="27">
        <f t="shared" ref="K39" si="188">K32/$AN32</f>
        <v>3.0832357484839208E-2</v>
      </c>
      <c r="M39" s="27">
        <f t="shared" ref="M39" si="189">M32/$AN32</f>
        <v>5.5564949961434622E-2</v>
      </c>
      <c r="O39" s="27">
        <f t="shared" ref="O39" si="190">O32/$AN32</f>
        <v>4.1184845879622366E-2</v>
      </c>
      <c r="Q39" s="27">
        <f t="shared" ref="Q39" si="191">Q32/$AN32</f>
        <v>0.16921533014469059</v>
      </c>
      <c r="S39" s="27">
        <f t="shared" ref="S39" si="192">S32/$AN32</f>
        <v>2.9289835254046232E-2</v>
      </c>
      <c r="U39" s="27">
        <f t="shared" ref="U39" si="193">U32/$AN32</f>
        <v>5.8299037300184861E-2</v>
      </c>
      <c r="W39" s="27">
        <f t="shared" ref="W39" si="194">W32/$AN32</f>
        <v>3.7786755168350214E-2</v>
      </c>
      <c r="Y39" s="27">
        <f t="shared" ref="Y39" si="195">Y32/$AN32</f>
        <v>0.11198037815452895</v>
      </c>
      <c r="AA39" s="27">
        <f t="shared" ref="AA39" si="196">AA32/$AN32</f>
        <v>4.1156741502644721E-2</v>
      </c>
      <c r="AC39" s="27">
        <f t="shared" ref="AC39" si="197">AC32/$AN32</f>
        <v>5.5155173656227505E-2</v>
      </c>
      <c r="AE39" s="27">
        <f t="shared" ref="AE39" si="198">AE32/$AN32</f>
        <v>4.9820210285120022E-2</v>
      </c>
      <c r="AG39" s="27">
        <f t="shared" ref="AG39" si="199">AG32/$AN32</f>
        <v>6.2342439802738549E-2</v>
      </c>
      <c r="AI39" s="27">
        <f t="shared" ref="AI39" si="200">AI32/$AN32</f>
        <v>3.3174724451690653E-2</v>
      </c>
      <c r="AK39" s="27">
        <f t="shared" ref="AK39" si="201">AK32/$AN32</f>
        <v>4.1638393288775548E-2</v>
      </c>
      <c r="AM39" s="27">
        <f t="shared" ref="AM39" si="202">AM32/$AN32</f>
        <v>3.9835649934330003E-2</v>
      </c>
      <c r="AN39" s="34">
        <f t="shared" si="170"/>
        <v>1.0000000000000002</v>
      </c>
    </row>
    <row r="40" spans="1:40" x14ac:dyDescent="0.25">
      <c r="D40" s="1" t="s">
        <v>160</v>
      </c>
      <c r="E40" s="27">
        <f t="shared" si="153"/>
        <v>1.7837840777653085E-2</v>
      </c>
      <c r="G40" s="27">
        <f t="shared" si="153"/>
        <v>5.2478468470130241E-2</v>
      </c>
      <c r="I40" s="27">
        <f t="shared" ref="I40" si="203">I33/$AN33</f>
        <v>8.0704604325272003E-2</v>
      </c>
      <c r="K40" s="27">
        <f t="shared" ref="K40" si="204">K33/$AN33</f>
        <v>4.8013941578543134E-2</v>
      </c>
      <c r="M40" s="27">
        <f t="shared" ref="M40" si="205">M33/$AN33</f>
        <v>6.0156946972982787E-2</v>
      </c>
      <c r="O40" s="27">
        <f t="shared" ref="O40" si="206">O33/$AN33</f>
        <v>5.4040662515944561E-2</v>
      </c>
      <c r="Q40" s="27">
        <f t="shared" ref="Q40" si="207">Q33/$AN33</f>
        <v>7.2601637980099012E-2</v>
      </c>
      <c r="S40" s="27">
        <f t="shared" ref="S40" si="208">S33/$AN33</f>
        <v>4.9728907143675283E-2</v>
      </c>
      <c r="U40" s="27">
        <f t="shared" ref="U40" si="209">U33/$AN33</f>
        <v>5.7062057810377168E-2</v>
      </c>
      <c r="W40" s="27">
        <f t="shared" ref="W40" si="210">W33/$AN33</f>
        <v>5.3573483086426864E-2</v>
      </c>
      <c r="Y40" s="27">
        <f t="shared" ref="Y40" si="211">Y33/$AN33</f>
        <v>7.7451860199008571E-2</v>
      </c>
      <c r="AA40" s="27">
        <f t="shared" ref="AA40" si="212">AA33/$AN33</f>
        <v>5.7128486785753149E-2</v>
      </c>
      <c r="AC40" s="27">
        <f t="shared" ref="AC40" si="213">AC33/$AN33</f>
        <v>5.5369991240080983E-2</v>
      </c>
      <c r="AE40" s="27">
        <f t="shared" ref="AE40" si="214">AE33/$AN33</f>
        <v>5.8443731046503536E-2</v>
      </c>
      <c r="AG40" s="27">
        <f t="shared" ref="AG40" si="215">AG33/$AN33</f>
        <v>6.2570382525307583E-2</v>
      </c>
      <c r="AI40" s="27">
        <f t="shared" ref="AI40" si="216">AI33/$AN33</f>
        <v>4.5499326250754014E-2</v>
      </c>
      <c r="AK40" s="27">
        <f t="shared" ref="AK40" si="217">AK33/$AN33</f>
        <v>4.8926901332823729E-2</v>
      </c>
      <c r="AM40" s="27">
        <f t="shared" ref="AM40" si="218">AM33/$AN33</f>
        <v>4.8410769958664251E-2</v>
      </c>
      <c r="AN40" s="34">
        <f t="shared" si="170"/>
        <v>0.99999999999999989</v>
      </c>
    </row>
    <row r="42" spans="1:40" ht="15.75" x14ac:dyDescent="0.25">
      <c r="B42" s="31"/>
      <c r="D42" s="72" t="s">
        <v>169</v>
      </c>
    </row>
    <row r="43" spans="1:40" ht="15.75" x14ac:dyDescent="0.25">
      <c r="A43" s="25"/>
      <c r="B43" s="30"/>
      <c r="D43" s="27">
        <v>2022</v>
      </c>
      <c r="E43" s="34">
        <v>2.7134987753970501</v>
      </c>
      <c r="F43" s="34"/>
      <c r="G43" s="34">
        <v>2.7018002590068702</v>
      </c>
      <c r="H43" s="34"/>
      <c r="I43" s="34">
        <v>2.7511831057059202</v>
      </c>
      <c r="J43" s="34"/>
      <c r="K43" s="34">
        <v>2.53121969937837</v>
      </c>
      <c r="L43" s="34"/>
      <c r="M43" s="34">
        <v>2.65193890172046</v>
      </c>
      <c r="N43" s="34"/>
      <c r="O43" s="34">
        <v>2.5408846544961499</v>
      </c>
      <c r="P43" s="34"/>
      <c r="Q43" s="34">
        <v>2.7155142441756999</v>
      </c>
      <c r="R43" s="34"/>
      <c r="S43" s="34">
        <v>2.5595786046086002</v>
      </c>
      <c r="T43" s="34"/>
      <c r="U43" s="34">
        <v>2.6115196118677999</v>
      </c>
      <c r="V43" s="34"/>
      <c r="W43" s="34">
        <v>2.5547300867066101</v>
      </c>
      <c r="X43" s="34"/>
      <c r="Y43" s="34">
        <v>2.7386056832110102</v>
      </c>
      <c r="Z43" s="34"/>
      <c r="AA43" s="34">
        <v>2.5199833209339002</v>
      </c>
      <c r="AB43" s="34"/>
      <c r="AC43" s="34">
        <v>2.61423000672491</v>
      </c>
      <c r="AD43" s="34"/>
      <c r="AE43" s="34">
        <v>2.5255224006689501</v>
      </c>
      <c r="AF43" s="34"/>
      <c r="AG43" s="34">
        <v>2.7004108818662602</v>
      </c>
      <c r="AH43" s="34"/>
      <c r="AI43" s="34">
        <v>2.5104391121635201</v>
      </c>
      <c r="AJ43" s="34"/>
      <c r="AK43" s="34">
        <v>2.5791672052573098</v>
      </c>
      <c r="AL43" s="34"/>
      <c r="AM43" s="34">
        <v>2.5096767376662399</v>
      </c>
    </row>
    <row r="44" spans="1:40" ht="15.75" x14ac:dyDescent="0.25">
      <c r="A44" s="25"/>
      <c r="B44" s="32"/>
      <c r="D44" s="27">
        <v>2021</v>
      </c>
      <c r="E44" s="71">
        <f>D27</f>
        <v>3.2290679999999998</v>
      </c>
      <c r="F44" s="71"/>
      <c r="G44" s="71">
        <f>F27</f>
        <v>3.2992880000000002</v>
      </c>
      <c r="H44" s="71"/>
      <c r="I44" s="71">
        <f>H27</f>
        <v>2.9156870000000001</v>
      </c>
      <c r="J44" s="71"/>
      <c r="K44" s="71">
        <f>J27</f>
        <v>3.1118269999999999</v>
      </c>
      <c r="L44" s="71"/>
      <c r="M44" s="71">
        <f>L27</f>
        <v>3.0944479999999999</v>
      </c>
      <c r="N44" s="71"/>
      <c r="O44" s="71">
        <f>N27</f>
        <v>3.1347809999999998</v>
      </c>
      <c r="P44" s="71"/>
      <c r="Q44" s="71">
        <f>P27</f>
        <v>2.8714949999999999</v>
      </c>
      <c r="R44" s="71"/>
      <c r="S44" s="71">
        <f>R27</f>
        <v>3.0446900000000001</v>
      </c>
      <c r="T44" s="71"/>
      <c r="U44" s="71">
        <f>T27</f>
        <v>2.9730799999999999</v>
      </c>
      <c r="V44" s="71"/>
      <c r="W44" s="71">
        <f>V27</f>
        <v>3.045633</v>
      </c>
      <c r="X44" s="71"/>
      <c r="Y44" s="71">
        <f>X27</f>
        <v>2.8372570000000001</v>
      </c>
      <c r="Z44" s="71"/>
      <c r="AA44" s="71">
        <f>Z27</f>
        <v>3.0339</v>
      </c>
      <c r="AB44" s="71"/>
      <c r="AC44" s="71">
        <f>AB27</f>
        <v>2.9948619999999999</v>
      </c>
      <c r="AD44" s="71"/>
      <c r="AE44" s="71">
        <f>AD27</f>
        <v>3.045153</v>
      </c>
      <c r="AF44" s="71"/>
      <c r="AG44" s="71">
        <f>AF27</f>
        <v>2.8394490000000001</v>
      </c>
      <c r="AH44" s="71"/>
      <c r="AI44" s="71">
        <f>AH27</f>
        <v>3.0670790000000001</v>
      </c>
      <c r="AJ44" s="71"/>
      <c r="AK44" s="71">
        <f>AJ27</f>
        <v>3.0027219999999999</v>
      </c>
      <c r="AL44" s="71"/>
      <c r="AM44" s="71">
        <f>AL27</f>
        <v>3.0593240000000002</v>
      </c>
    </row>
    <row r="45" spans="1:40" ht="15.75" x14ac:dyDescent="0.25">
      <c r="A45" s="25"/>
      <c r="B45" s="32"/>
      <c r="C45" s="30"/>
      <c r="D45" s="27">
        <v>2020</v>
      </c>
      <c r="E45" s="71">
        <f>D26</f>
        <v>2.8713359999999999</v>
      </c>
      <c r="F45" s="71"/>
      <c r="G45" s="71">
        <f>F26</f>
        <v>2.2810899999999998</v>
      </c>
      <c r="H45" s="71"/>
      <c r="I45" s="71">
        <f>H26</f>
        <v>2.3826960000000001</v>
      </c>
      <c r="J45" s="71"/>
      <c r="K45" s="71">
        <f>J26</f>
        <v>2.4747490000000001</v>
      </c>
      <c r="L45" s="71"/>
      <c r="M45" s="71">
        <f>L26</f>
        <v>2.3827859999999998</v>
      </c>
      <c r="N45" s="71"/>
      <c r="O45" s="71">
        <f>N26</f>
        <v>2.3714270000000002</v>
      </c>
      <c r="P45" s="71"/>
      <c r="Q45" s="71">
        <f>P26</f>
        <v>2.4195880000000001</v>
      </c>
      <c r="R45" s="71"/>
      <c r="S45" s="71">
        <f>R26</f>
        <v>2.4856630000000002</v>
      </c>
      <c r="T45" s="71"/>
      <c r="U45" s="71">
        <f>T26</f>
        <v>2.389516</v>
      </c>
      <c r="V45" s="71"/>
      <c r="W45" s="71">
        <f>V26</f>
        <v>2.382225</v>
      </c>
      <c r="X45" s="71"/>
      <c r="Y45" s="71">
        <f>X26</f>
        <v>2.320614</v>
      </c>
      <c r="Z45" s="71"/>
      <c r="AA45" s="71">
        <f>Z26</f>
        <v>2.3305539999999998</v>
      </c>
      <c r="AB45" s="71"/>
      <c r="AC45" s="71">
        <f>AB26</f>
        <v>2.288332</v>
      </c>
      <c r="AD45" s="71"/>
      <c r="AE45" s="71">
        <f>AD26</f>
        <v>2.2631610000000002</v>
      </c>
      <c r="AF45" s="71"/>
      <c r="AG45" s="71">
        <f>AF26</f>
        <v>2.356141</v>
      </c>
      <c r="AH45" s="71"/>
      <c r="AI45" s="71">
        <f>AH26</f>
        <v>2.3642099999999999</v>
      </c>
      <c r="AJ45" s="71"/>
      <c r="AK45" s="71">
        <f>AJ26</f>
        <v>2.3143470000000002</v>
      </c>
      <c r="AL45" s="71"/>
      <c r="AM45" s="71">
        <f>AL26</f>
        <v>2.301949</v>
      </c>
    </row>
    <row r="46" spans="1:40" ht="15.75" x14ac:dyDescent="0.25">
      <c r="A46" s="25"/>
      <c r="B46" s="30"/>
      <c r="D46" s="27">
        <v>2019</v>
      </c>
      <c r="E46" s="71">
        <f>D25</f>
        <v>2.8603290000000001</v>
      </c>
      <c r="F46" s="71"/>
      <c r="G46" s="71">
        <f>F25</f>
        <v>2.7797969999999999</v>
      </c>
      <c r="H46" s="71"/>
      <c r="I46" s="71">
        <f>H25</f>
        <v>2.76207</v>
      </c>
      <c r="J46" s="71"/>
      <c r="K46" s="71">
        <f>J25</f>
        <v>2.7045810000000001</v>
      </c>
      <c r="L46" s="71"/>
      <c r="M46" s="71">
        <f>L25</f>
        <v>2.7478009999999999</v>
      </c>
      <c r="N46" s="71"/>
      <c r="O46" s="71">
        <f>N25</f>
        <v>2.6974369999999999</v>
      </c>
      <c r="P46" s="71"/>
      <c r="Q46" s="71">
        <f>P25</f>
        <v>2.8030759999999999</v>
      </c>
      <c r="R46" s="71"/>
      <c r="S46" s="71">
        <f>R25</f>
        <v>2.757536</v>
      </c>
      <c r="T46" s="71"/>
      <c r="U46" s="71">
        <f>T25</f>
        <v>2.7022569999999999</v>
      </c>
      <c r="V46" s="71"/>
      <c r="W46" s="71">
        <f>V25</f>
        <v>2.7073830000000001</v>
      </c>
      <c r="X46" s="71"/>
      <c r="Y46" s="71">
        <f>X25</f>
        <v>2.6836509999999998</v>
      </c>
      <c r="Z46" s="71"/>
      <c r="AA46" s="71">
        <f>Z25</f>
        <v>2.605623</v>
      </c>
      <c r="AB46" s="71"/>
      <c r="AC46" s="71">
        <f>AB25</f>
        <v>2.6708810000000001</v>
      </c>
      <c r="AD46" s="71"/>
      <c r="AE46" s="71">
        <f>AD25</f>
        <v>2.6049329999999999</v>
      </c>
      <c r="AF46" s="71"/>
      <c r="AG46" s="71">
        <f>AF25</f>
        <v>2.6082010000000002</v>
      </c>
      <c r="AH46" s="71"/>
      <c r="AI46" s="71">
        <f>AH25</f>
        <v>2.5443259999999999</v>
      </c>
      <c r="AJ46" s="71"/>
      <c r="AK46" s="71">
        <f>AJ25</f>
        <v>2.6219260000000002</v>
      </c>
      <c r="AL46" s="71"/>
      <c r="AM46" s="71">
        <f>AL25</f>
        <v>2.5447109999999999</v>
      </c>
    </row>
    <row r="47" spans="1:40" ht="15.75" x14ac:dyDescent="0.25">
      <c r="A47" s="25"/>
      <c r="B47" s="30"/>
      <c r="D47" s="27">
        <v>2018</v>
      </c>
      <c r="E47" s="71">
        <f>D24</f>
        <v>2.6662759999999999</v>
      </c>
      <c r="F47" s="71"/>
      <c r="G47" s="71">
        <f>F24</f>
        <v>2.7167819999999998</v>
      </c>
      <c r="H47" s="71"/>
      <c r="I47" s="71">
        <f>H24</f>
        <v>2.281768</v>
      </c>
      <c r="J47" s="71"/>
      <c r="K47" s="71">
        <f>J24</f>
        <v>2.5281769999999999</v>
      </c>
      <c r="L47" s="71"/>
      <c r="M47" s="71">
        <f>L24</f>
        <v>2.3346680000000002</v>
      </c>
      <c r="N47" s="71"/>
      <c r="O47" s="71">
        <f>N24</f>
        <v>2.4120840000000001</v>
      </c>
      <c r="P47" s="71"/>
      <c r="Q47" s="71">
        <f>P24</f>
        <v>2.2995719999999999</v>
      </c>
      <c r="R47" s="71"/>
      <c r="S47" s="71">
        <f>R24</f>
        <v>2.5537369999999999</v>
      </c>
      <c r="T47" s="71"/>
      <c r="U47" s="71">
        <f>T24</f>
        <v>2.3053680000000001</v>
      </c>
      <c r="V47" s="71"/>
      <c r="W47" s="71">
        <f>V24</f>
        <v>2.432302</v>
      </c>
      <c r="X47" s="71"/>
      <c r="Y47" s="71">
        <f>X24</f>
        <v>2.2170890000000001</v>
      </c>
      <c r="Z47" s="71"/>
      <c r="AA47" s="71">
        <f>Z24</f>
        <v>2.4480400000000002</v>
      </c>
      <c r="AB47" s="71"/>
      <c r="AC47" s="71">
        <f>AB24</f>
        <v>2.2368079999999999</v>
      </c>
      <c r="AD47" s="71"/>
      <c r="AE47" s="71">
        <f>AD24</f>
        <v>2.3212609999999998</v>
      </c>
      <c r="AF47" s="71"/>
      <c r="AG47" s="71">
        <f>AF24</f>
        <v>2.266893</v>
      </c>
      <c r="AH47" s="71"/>
      <c r="AI47" s="71">
        <f>AH24</f>
        <v>2.4616570000000002</v>
      </c>
      <c r="AJ47" s="71"/>
      <c r="AK47" s="71">
        <f>AJ24</f>
        <v>2.2861699999999998</v>
      </c>
      <c r="AL47" s="71"/>
      <c r="AM47" s="71">
        <f>AL24</f>
        <v>2.3503319999999999</v>
      </c>
    </row>
    <row r="48" spans="1:40" ht="15.75" x14ac:dyDescent="0.25">
      <c r="A48" s="25"/>
      <c r="B48" s="30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</row>
    <row r="49" spans="1:40" ht="15.75" x14ac:dyDescent="0.25">
      <c r="A49" s="25"/>
      <c r="B49" s="30"/>
      <c r="E49" s="34">
        <f>1/18</f>
        <v>5.5555555555555552E-2</v>
      </c>
      <c r="F49" s="71"/>
      <c r="G49" s="71">
        <f>1/18</f>
        <v>5.5555555555555552E-2</v>
      </c>
      <c r="H49" s="71"/>
      <c r="I49" s="34">
        <f>1/18</f>
        <v>5.5555555555555552E-2</v>
      </c>
      <c r="J49" s="71"/>
      <c r="K49" s="34">
        <f>1/18</f>
        <v>5.5555555555555552E-2</v>
      </c>
      <c r="L49" s="71"/>
      <c r="M49" s="34">
        <f>1/18</f>
        <v>5.5555555555555552E-2</v>
      </c>
      <c r="N49" s="71"/>
      <c r="O49" s="34">
        <f>1/18</f>
        <v>5.5555555555555552E-2</v>
      </c>
      <c r="P49" s="71"/>
      <c r="Q49" s="34">
        <f>1/18</f>
        <v>5.5555555555555552E-2</v>
      </c>
      <c r="R49" s="71"/>
      <c r="S49" s="34">
        <f>1/18</f>
        <v>5.5555555555555552E-2</v>
      </c>
      <c r="T49" s="71"/>
      <c r="U49" s="34">
        <f>1/18</f>
        <v>5.5555555555555552E-2</v>
      </c>
      <c r="V49" s="71"/>
      <c r="W49" s="34">
        <f>1/18</f>
        <v>5.5555555555555552E-2</v>
      </c>
      <c r="X49" s="71"/>
      <c r="Y49" s="34">
        <f>1/18</f>
        <v>5.5555555555555552E-2</v>
      </c>
      <c r="Z49" s="71"/>
      <c r="AA49" s="34">
        <f>1/18</f>
        <v>5.5555555555555552E-2</v>
      </c>
      <c r="AB49" s="71"/>
      <c r="AC49" s="34">
        <f>1/18</f>
        <v>5.5555555555555552E-2</v>
      </c>
      <c r="AD49" s="71"/>
      <c r="AE49" s="34">
        <f>1/18</f>
        <v>5.5555555555555552E-2</v>
      </c>
      <c r="AF49" s="71"/>
      <c r="AG49" s="34">
        <f>1/18</f>
        <v>5.5555555555555552E-2</v>
      </c>
      <c r="AH49" s="71"/>
      <c r="AI49" s="34">
        <f>1/18</f>
        <v>5.5555555555555552E-2</v>
      </c>
      <c r="AJ49" s="71"/>
      <c r="AK49" s="34">
        <f>1/18</f>
        <v>5.5555555555555552E-2</v>
      </c>
      <c r="AL49" s="71"/>
      <c r="AM49" s="34">
        <f>1/18</f>
        <v>5.5555555555555552E-2</v>
      </c>
      <c r="AN49" s="34">
        <f>SUM(E49,G49,I49,K49,M49,O49,Q49,S49,U49,W49,Y49,AA49,AC49,AE49,AG49,AI49,AK49,AM49)</f>
        <v>1.0000000000000002</v>
      </c>
    </row>
    <row r="50" spans="1:40" ht="15.75" x14ac:dyDescent="0.25">
      <c r="A50" s="25"/>
      <c r="B50" s="30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34"/>
      <c r="AD50" s="71"/>
      <c r="AE50" s="71"/>
      <c r="AF50" s="71"/>
      <c r="AG50" s="71"/>
      <c r="AH50" s="71"/>
      <c r="AI50" s="71"/>
      <c r="AJ50" s="71"/>
      <c r="AK50" s="71"/>
      <c r="AL50" s="71"/>
      <c r="AM50" s="71"/>
    </row>
    <row r="51" spans="1:40" ht="15.75" x14ac:dyDescent="0.25">
      <c r="A51" s="25"/>
      <c r="B51" s="30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</row>
    <row r="52" spans="1:40" ht="15.75" x14ac:dyDescent="0.25">
      <c r="A52" s="25"/>
      <c r="B52" s="30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</row>
    <row r="53" spans="1:40" ht="15.75" x14ac:dyDescent="0.25">
      <c r="A53" s="25"/>
      <c r="B53" s="30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</row>
    <row r="54" spans="1:40" ht="15.75" x14ac:dyDescent="0.25">
      <c r="A54" s="25"/>
      <c r="B54" s="30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</row>
    <row r="55" spans="1:40" ht="15" customHeight="1" x14ac:dyDescent="0.25">
      <c r="A55" s="25"/>
      <c r="B55" s="30"/>
      <c r="D55" s="74" t="s">
        <v>173</v>
      </c>
      <c r="E55" s="76" t="s">
        <v>177</v>
      </c>
      <c r="F55" s="76" t="s">
        <v>176</v>
      </c>
      <c r="G55" s="76" t="s">
        <v>177</v>
      </c>
      <c r="H55" s="76" t="s">
        <v>176</v>
      </c>
      <c r="I55" s="76" t="s">
        <v>177</v>
      </c>
      <c r="J55" s="76" t="s">
        <v>176</v>
      </c>
    </row>
    <row r="56" spans="1:40" ht="15.75" x14ac:dyDescent="0.25">
      <c r="B56" s="30"/>
      <c r="D56" s="72" t="s">
        <v>180</v>
      </c>
      <c r="E56" s="72" t="s">
        <v>171</v>
      </c>
      <c r="F56" s="72" t="s">
        <v>171</v>
      </c>
      <c r="G56" s="72" t="s">
        <v>175</v>
      </c>
      <c r="H56" s="72" t="s">
        <v>175</v>
      </c>
      <c r="I56" s="72" t="s">
        <v>172</v>
      </c>
      <c r="J56" s="72" t="s">
        <v>172</v>
      </c>
      <c r="K56" s="72" t="s">
        <v>178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spans="1:40" x14ac:dyDescent="0.25">
      <c r="D57" s="27">
        <v>2022</v>
      </c>
      <c r="E57" s="71" cm="1">
        <f t="array" ref="E57">SUM(E36:AM36*E43:AM43)</f>
        <v>2.6075882405523645</v>
      </c>
      <c r="F57" s="71">
        <f>EXP(E57)</f>
        <v>13.566292730692579</v>
      </c>
      <c r="G57" s="71" cm="1">
        <f t="array" ref="G57">SUM($E$49:$AM$49*E43:AM43)</f>
        <v>2.6127724050864236</v>
      </c>
      <c r="H57" s="71">
        <f>EXP(G57)</f>
        <v>13.636805240630441</v>
      </c>
      <c r="I57" s="71">
        <f>'inverse variance-Buckland CI'!C5</f>
        <v>2.7018002590068702</v>
      </c>
      <c r="J57" s="1">
        <f>EXP(I57)</f>
        <v>14.906543222509214</v>
      </c>
      <c r="K57" s="77" t="s">
        <v>181</v>
      </c>
    </row>
    <row r="58" spans="1:40" x14ac:dyDescent="0.25">
      <c r="D58" s="27">
        <v>2021</v>
      </c>
      <c r="E58" s="71" cm="1">
        <f t="array" ref="E58">SUM(E37:AM37*E44:AM44)</f>
        <v>3.0110534472086412</v>
      </c>
      <c r="F58" s="71">
        <f>EXP(E58)</f>
        <v>20.308782890998078</v>
      </c>
      <c r="G58" s="71" cm="1">
        <f t="array" ref="G58">SUM($E$49:$AM$49*E44:AM44)</f>
        <v>3.0333190555555558</v>
      </c>
      <c r="H58" s="71">
        <f>EXP(G58)</f>
        <v>20.766041982130819</v>
      </c>
      <c r="I58" s="71">
        <f>F27</f>
        <v>3.2992880000000002</v>
      </c>
      <c r="J58" s="1">
        <f t="shared" ref="J58:J61" si="219">EXP(I58)</f>
        <v>27.093341592410464</v>
      </c>
      <c r="K58" s="1">
        <f>B27</f>
        <v>48.503718999999997</v>
      </c>
    </row>
    <row r="59" spans="1:40" x14ac:dyDescent="0.25">
      <c r="D59" s="27">
        <v>2020</v>
      </c>
      <c r="E59" s="71" cm="1">
        <f t="array" ref="E59">SUM(E38:AM38*E45:AM45)</f>
        <v>2.3734588633473059</v>
      </c>
      <c r="F59" s="71">
        <f>EXP(E59)</f>
        <v>10.734457166422905</v>
      </c>
      <c r="G59" s="71" cm="1">
        <f t="array" ref="G59">SUM($E$49:$AM$49*E45:AM45)</f>
        <v>2.3877991111111108</v>
      </c>
      <c r="H59" s="71">
        <f>EXP(G59)</f>
        <v>10.889500968104736</v>
      </c>
      <c r="I59" s="71">
        <f>F26</f>
        <v>2.2810899999999998</v>
      </c>
      <c r="J59" s="1">
        <f t="shared" si="219"/>
        <v>9.7873428011230441</v>
      </c>
      <c r="K59" s="1">
        <f>B26</f>
        <v>8.062989</v>
      </c>
    </row>
    <row r="60" spans="1:40" x14ac:dyDescent="0.25">
      <c r="D60" s="27">
        <v>2019</v>
      </c>
      <c r="E60" s="71" cm="1">
        <f t="array" ref="E60">SUM(E39:AM39*E46:AM46)</f>
        <v>2.7001828569138224</v>
      </c>
      <c r="F60" s="71">
        <f>EXP(E60)</f>
        <v>14.882452835473911</v>
      </c>
      <c r="G60" s="71" cm="1">
        <f t="array" ref="G60">SUM($E$49:$AM$49*E46:AM46)</f>
        <v>2.6892510555555558</v>
      </c>
      <c r="H60" s="71">
        <f>EXP(G60)</f>
        <v>14.720646844202825</v>
      </c>
      <c r="I60" s="71">
        <f>F25</f>
        <v>2.7797969999999999</v>
      </c>
      <c r="J60" s="1">
        <f t="shared" si="219"/>
        <v>16.115749118876987</v>
      </c>
      <c r="K60" s="1">
        <f>B25</f>
        <v>21.141928</v>
      </c>
    </row>
    <row r="61" spans="1:40" x14ac:dyDescent="0.25">
      <c r="D61" s="27">
        <v>2018</v>
      </c>
      <c r="E61" s="71" cm="1">
        <f t="array" ref="E61">SUM(E40:AM40*E47:AM47)</f>
        <v>2.3728367582074035</v>
      </c>
      <c r="F61" s="71">
        <f>EXP(E61)</f>
        <v>10.727781282211856</v>
      </c>
      <c r="G61" s="71" cm="1">
        <f t="array" ref="G61">SUM($E$49:$AM$49*E47:AM47)</f>
        <v>2.3954991111111115</v>
      </c>
      <c r="H61" s="71">
        <f>EXP(G61)</f>
        <v>10.973673774982229</v>
      </c>
      <c r="I61" s="71">
        <f>F24</f>
        <v>2.7167819999999998</v>
      </c>
      <c r="J61" s="1">
        <f t="shared" si="219"/>
        <v>15.131550483821382</v>
      </c>
      <c r="K61" s="1">
        <f>B24</f>
        <v>8.0677000000000003</v>
      </c>
    </row>
    <row r="63" spans="1:40" x14ac:dyDescent="0.25">
      <c r="D63" s="27">
        <f>D61</f>
        <v>2018</v>
      </c>
      <c r="E63" s="34">
        <f>E61</f>
        <v>2.3728367582074035</v>
      </c>
      <c r="F63" s="34">
        <f t="shared" ref="F63:K63" si="220">F61</f>
        <v>10.727781282211856</v>
      </c>
      <c r="G63" s="34">
        <f t="shared" si="220"/>
        <v>2.3954991111111115</v>
      </c>
      <c r="H63" s="34">
        <f t="shared" si="220"/>
        <v>10.973673774982229</v>
      </c>
      <c r="I63" s="34">
        <f t="shared" si="220"/>
        <v>2.7167819999999998</v>
      </c>
      <c r="J63" s="34">
        <f t="shared" si="220"/>
        <v>15.131550483821382</v>
      </c>
      <c r="K63" s="34">
        <f t="shared" si="220"/>
        <v>8.0677000000000003</v>
      </c>
    </row>
    <row r="64" spans="1:40" x14ac:dyDescent="0.25">
      <c r="D64" s="27">
        <f>D60</f>
        <v>2019</v>
      </c>
      <c r="E64" s="34">
        <f>E60</f>
        <v>2.7001828569138224</v>
      </c>
      <c r="F64" s="34">
        <f t="shared" ref="F64:K64" si="221">F60</f>
        <v>14.882452835473911</v>
      </c>
      <c r="G64" s="34">
        <f t="shared" si="221"/>
        <v>2.6892510555555558</v>
      </c>
      <c r="H64" s="34">
        <f t="shared" si="221"/>
        <v>14.720646844202825</v>
      </c>
      <c r="I64" s="34">
        <f t="shared" si="221"/>
        <v>2.7797969999999999</v>
      </c>
      <c r="J64" s="34">
        <f t="shared" si="221"/>
        <v>16.115749118876987</v>
      </c>
      <c r="K64" s="34">
        <f t="shared" si="221"/>
        <v>21.141928</v>
      </c>
    </row>
    <row r="65" spans="4:11" x14ac:dyDescent="0.25">
      <c r="D65" s="27">
        <f>D59</f>
        <v>2020</v>
      </c>
      <c r="E65" s="34">
        <f>E59</f>
        <v>2.3734588633473059</v>
      </c>
      <c r="F65" s="34">
        <f t="shared" ref="F65:K65" si="222">F59</f>
        <v>10.734457166422905</v>
      </c>
      <c r="G65" s="34">
        <f t="shared" si="222"/>
        <v>2.3877991111111108</v>
      </c>
      <c r="H65" s="34">
        <f t="shared" si="222"/>
        <v>10.889500968104736</v>
      </c>
      <c r="I65" s="34">
        <f t="shared" si="222"/>
        <v>2.2810899999999998</v>
      </c>
      <c r="J65" s="34">
        <f t="shared" si="222"/>
        <v>9.7873428011230441</v>
      </c>
      <c r="K65" s="34">
        <f t="shared" si="222"/>
        <v>8.062989</v>
      </c>
    </row>
    <row r="66" spans="4:11" x14ac:dyDescent="0.25">
      <c r="D66" s="27">
        <f>D58</f>
        <v>2021</v>
      </c>
      <c r="E66" s="34">
        <f>E58</f>
        <v>3.0110534472086412</v>
      </c>
      <c r="F66" s="34">
        <f t="shared" ref="F66:K66" si="223">F58</f>
        <v>20.308782890998078</v>
      </c>
      <c r="G66" s="34">
        <f t="shared" si="223"/>
        <v>3.0333190555555558</v>
      </c>
      <c r="H66" s="34">
        <f t="shared" si="223"/>
        <v>20.766041982130819</v>
      </c>
      <c r="I66" s="34">
        <f t="shared" si="223"/>
        <v>3.2992880000000002</v>
      </c>
      <c r="J66" s="34">
        <f t="shared" si="223"/>
        <v>27.093341592410464</v>
      </c>
      <c r="K66" s="34">
        <f t="shared" si="223"/>
        <v>48.503718999999997</v>
      </c>
    </row>
    <row r="67" spans="4:11" ht="15.75" thickBot="1" x14ac:dyDescent="0.3"/>
    <row r="68" spans="4:11" ht="15.75" thickBot="1" x14ac:dyDescent="0.3">
      <c r="E68" s="78" t="s">
        <v>182</v>
      </c>
      <c r="F68" s="78" t="s">
        <v>183</v>
      </c>
      <c r="G68" s="78" t="s">
        <v>184</v>
      </c>
      <c r="H68" s="78" t="s">
        <v>185</v>
      </c>
      <c r="I68" s="78" t="s">
        <v>186</v>
      </c>
    </row>
    <row r="69" spans="4:11" x14ac:dyDescent="0.25">
      <c r="D69" s="27">
        <v>2018</v>
      </c>
      <c r="E69" s="34">
        <f>F63</f>
        <v>10.727781282211856</v>
      </c>
      <c r="F69" s="34">
        <f>K63</f>
        <v>8.0677000000000003</v>
      </c>
      <c r="G69" s="79">
        <f>(E69-F69)/F69</f>
        <v>0.32971990557554887</v>
      </c>
      <c r="H69" s="71">
        <f>ABS(E69-F69)</f>
        <v>2.6600812822118556</v>
      </c>
      <c r="I69" s="80">
        <f>ABS(G69)</f>
        <v>0.32971990557554887</v>
      </c>
    </row>
    <row r="70" spans="4:11" x14ac:dyDescent="0.25">
      <c r="D70" s="27">
        <v>2019</v>
      </c>
      <c r="E70" s="34">
        <f t="shared" ref="E70:E72" si="224">F64</f>
        <v>14.882452835473911</v>
      </c>
      <c r="F70" s="34">
        <f t="shared" ref="F70:F72" si="225">K64</f>
        <v>21.141928</v>
      </c>
      <c r="G70" s="79">
        <f t="shared" ref="G70:G72" si="226">(E70-F70)/F70</f>
        <v>-0.29606926882572343</v>
      </c>
      <c r="H70" s="71">
        <f t="shared" ref="H70:H72" si="227">ABS(E70-F70)</f>
        <v>6.2594751645260889</v>
      </c>
      <c r="I70" s="80">
        <f t="shared" ref="I70:I72" si="228">ABS(G70)</f>
        <v>0.29606926882572343</v>
      </c>
    </row>
    <row r="71" spans="4:11" x14ac:dyDescent="0.25">
      <c r="D71" s="27">
        <v>2020</v>
      </c>
      <c r="E71" s="34">
        <f t="shared" si="224"/>
        <v>10.734457166422905</v>
      </c>
      <c r="F71" s="34">
        <f t="shared" si="225"/>
        <v>8.062989</v>
      </c>
      <c r="G71" s="79">
        <f t="shared" si="226"/>
        <v>0.33132479362466011</v>
      </c>
      <c r="H71" s="71">
        <f t="shared" si="227"/>
        <v>2.6714681664229047</v>
      </c>
      <c r="I71" s="80">
        <f t="shared" si="228"/>
        <v>0.33132479362466011</v>
      </c>
    </row>
    <row r="72" spans="4:11" x14ac:dyDescent="0.25">
      <c r="D72" s="27">
        <v>2021</v>
      </c>
      <c r="E72" s="34">
        <f t="shared" si="224"/>
        <v>20.308782890998078</v>
      </c>
      <c r="F72" s="34">
        <f t="shared" si="225"/>
        <v>48.503718999999997</v>
      </c>
      <c r="G72" s="79">
        <f t="shared" si="226"/>
        <v>-0.58129431495762052</v>
      </c>
      <c r="H72" s="71">
        <f t="shared" si="227"/>
        <v>28.194936109001919</v>
      </c>
      <c r="I72" s="80">
        <f t="shared" si="228"/>
        <v>0.58129431495762052</v>
      </c>
    </row>
    <row r="74" spans="4:11" ht="15.75" thickBot="1" x14ac:dyDescent="0.3"/>
    <row r="75" spans="4:11" ht="15.75" thickBot="1" x14ac:dyDescent="0.3">
      <c r="E75" s="78" t="s">
        <v>182</v>
      </c>
      <c r="F75" s="78" t="s">
        <v>183</v>
      </c>
      <c r="G75" s="78" t="s">
        <v>184</v>
      </c>
      <c r="H75" s="78" t="s">
        <v>185</v>
      </c>
      <c r="I75" s="78" t="s">
        <v>186</v>
      </c>
    </row>
    <row r="76" spans="4:11" x14ac:dyDescent="0.25">
      <c r="D76" s="27">
        <v>2018</v>
      </c>
      <c r="E76" s="34">
        <f>H63</f>
        <v>10.973673774982229</v>
      </c>
      <c r="F76" s="34">
        <f>F69</f>
        <v>8.0677000000000003</v>
      </c>
      <c r="G76" s="79">
        <f>(E76-F76)/F76</f>
        <v>0.36019854171352789</v>
      </c>
      <c r="H76" s="71">
        <f>ABS(E76-F76)</f>
        <v>2.905973774982229</v>
      </c>
      <c r="I76" s="80">
        <f>ABS(G76)</f>
        <v>0.36019854171352789</v>
      </c>
    </row>
    <row r="77" spans="4:11" x14ac:dyDescent="0.25">
      <c r="D77" s="27">
        <v>2019</v>
      </c>
      <c r="E77" s="34">
        <f t="shared" ref="E77:E79" si="229">H64</f>
        <v>14.720646844202825</v>
      </c>
      <c r="F77" s="34">
        <f t="shared" ref="F77:F79" si="230">F70</f>
        <v>21.141928</v>
      </c>
      <c r="G77" s="79">
        <f t="shared" ref="G77:G79" si="231">(E77-F77)/F77</f>
        <v>-0.30372259123184864</v>
      </c>
      <c r="H77" s="71">
        <f t="shared" ref="H77:H79" si="232">ABS(E77-F77)</f>
        <v>6.4212811557971747</v>
      </c>
      <c r="I77" s="80">
        <f t="shared" ref="I77:I79" si="233">ABS(G77)</f>
        <v>0.30372259123184864</v>
      </c>
    </row>
    <row r="78" spans="4:11" x14ac:dyDescent="0.25">
      <c r="D78" s="27">
        <v>2020</v>
      </c>
      <c r="E78" s="34">
        <f t="shared" si="229"/>
        <v>10.889500968104736</v>
      </c>
      <c r="F78" s="34">
        <f t="shared" si="230"/>
        <v>8.062989</v>
      </c>
      <c r="G78" s="79">
        <f t="shared" si="231"/>
        <v>0.35055386632733049</v>
      </c>
      <c r="H78" s="71">
        <f t="shared" si="232"/>
        <v>2.8265119681047359</v>
      </c>
      <c r="I78" s="80">
        <f t="shared" si="233"/>
        <v>0.35055386632733049</v>
      </c>
    </row>
    <row r="79" spans="4:11" x14ac:dyDescent="0.25">
      <c r="D79" s="27">
        <v>2021</v>
      </c>
      <c r="E79" s="34">
        <f t="shared" si="229"/>
        <v>20.766041982130819</v>
      </c>
      <c r="F79" s="34">
        <f t="shared" si="230"/>
        <v>48.503718999999997</v>
      </c>
      <c r="G79" s="79">
        <f t="shared" si="231"/>
        <v>-0.57186701534925966</v>
      </c>
      <c r="H79" s="71">
        <f t="shared" si="232"/>
        <v>27.737677017869178</v>
      </c>
      <c r="I79" s="80">
        <f t="shared" si="233"/>
        <v>0.57186701534925966</v>
      </c>
    </row>
    <row r="81" spans="4:9" ht="15.75" thickBot="1" x14ac:dyDescent="0.3"/>
    <row r="82" spans="4:9" ht="15.75" thickBot="1" x14ac:dyDescent="0.3">
      <c r="E82" s="78" t="s">
        <v>182</v>
      </c>
      <c r="F82" s="78" t="s">
        <v>183</v>
      </c>
      <c r="G82" s="78" t="s">
        <v>184</v>
      </c>
      <c r="H82" s="78" t="s">
        <v>185</v>
      </c>
      <c r="I82" s="78" t="s">
        <v>186</v>
      </c>
    </row>
    <row r="83" spans="4:9" x14ac:dyDescent="0.25">
      <c r="D83" s="27">
        <v>2018</v>
      </c>
      <c r="E83" s="34">
        <f>'ISTI model'!F7</f>
        <v>15.636234495933815</v>
      </c>
      <c r="F83" s="34">
        <f>F76</f>
        <v>8.0677000000000003</v>
      </c>
      <c r="G83" s="79">
        <f>(E83-F83)/F83</f>
        <v>0.93812790459905726</v>
      </c>
      <c r="H83" s="71">
        <f>ABS(E83-F83)</f>
        <v>7.5685344959338146</v>
      </c>
      <c r="I83" s="80">
        <f>ABS(G83)</f>
        <v>0.93812790459905726</v>
      </c>
    </row>
    <row r="84" spans="4:9" x14ac:dyDescent="0.25">
      <c r="D84" s="27">
        <v>2019</v>
      </c>
      <c r="E84" s="34">
        <f>'ISTI model'!E7</f>
        <v>16.760293469265328</v>
      </c>
      <c r="F84" s="34">
        <f t="shared" ref="F84:F86" si="234">F77</f>
        <v>21.141928</v>
      </c>
      <c r="G84" s="79">
        <f t="shared" ref="G84:G86" si="235">(E84-F84)/F84</f>
        <v>-0.2072485787831021</v>
      </c>
      <c r="H84" s="71">
        <f t="shared" ref="H84:H86" si="236">ABS(E84-F84)</f>
        <v>4.3816345307346722</v>
      </c>
      <c r="I84" s="80">
        <f t="shared" ref="I84:I86" si="237">ABS(G84)</f>
        <v>0.2072485787831021</v>
      </c>
    </row>
    <row r="85" spans="4:9" x14ac:dyDescent="0.25">
      <c r="D85" s="27">
        <v>2020</v>
      </c>
      <c r="E85" s="34">
        <f>'ISTI model'!D7</f>
        <v>10.175608367917464</v>
      </c>
      <c r="F85" s="34">
        <f t="shared" si="234"/>
        <v>8.062989</v>
      </c>
      <c r="G85" s="79">
        <f t="shared" si="235"/>
        <v>0.26201441771996264</v>
      </c>
      <c r="H85" s="71">
        <f t="shared" si="236"/>
        <v>2.1126193679174641</v>
      </c>
      <c r="I85" s="80">
        <f t="shared" si="237"/>
        <v>0.26201441771996264</v>
      </c>
    </row>
    <row r="86" spans="4:9" x14ac:dyDescent="0.25">
      <c r="D86" s="27">
        <v>2021</v>
      </c>
      <c r="E86" s="34">
        <f>'ISTI model'!C7</f>
        <v>28.131075219423948</v>
      </c>
      <c r="F86" s="34">
        <f t="shared" si="234"/>
        <v>48.503718999999997</v>
      </c>
      <c r="G86" s="79">
        <f t="shared" si="235"/>
        <v>-0.42002230345627828</v>
      </c>
      <c r="H86" s="71">
        <f t="shared" si="236"/>
        <v>20.372643780576048</v>
      </c>
      <c r="I86" s="80">
        <f t="shared" si="237"/>
        <v>0.42002230345627828</v>
      </c>
    </row>
  </sheetData>
  <mergeCells count="18">
    <mergeCell ref="N1:O1"/>
    <mergeCell ref="D1:E1"/>
    <mergeCell ref="F1:G1"/>
    <mergeCell ref="H1:I1"/>
    <mergeCell ref="J1:K1"/>
    <mergeCell ref="L1:M1"/>
    <mergeCell ref="AL1:AM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</mergeCells>
  <phoneticPr fontId="29" type="noConversion"/>
  <conditionalFormatting sqref="E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9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0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1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3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9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0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0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3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0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1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98FF-6EE8-4464-ADA2-8B524B64B449}">
  <dimension ref="A1:W35"/>
  <sheetViews>
    <sheetView workbookViewId="0">
      <selection activeCell="C1" sqref="C1:F7"/>
    </sheetView>
  </sheetViews>
  <sheetFormatPr defaultRowHeight="15" x14ac:dyDescent="0.25"/>
  <cols>
    <col min="1" max="1" width="13.85546875" bestFit="1" customWidth="1"/>
  </cols>
  <sheetData>
    <row r="1" spans="1:23" x14ac:dyDescent="0.25">
      <c r="B1">
        <v>2022</v>
      </c>
      <c r="C1">
        <v>2021</v>
      </c>
      <c r="D1">
        <v>2020</v>
      </c>
      <c r="E1">
        <v>2019</v>
      </c>
      <c r="F1">
        <v>2018</v>
      </c>
    </row>
    <row r="2" spans="1:23" x14ac:dyDescent="0.25">
      <c r="A2" t="s">
        <v>187</v>
      </c>
      <c r="B2">
        <v>7.26633</v>
      </c>
      <c r="C2">
        <v>7.1181599999999996</v>
      </c>
      <c r="D2">
        <v>6.9067400000000001</v>
      </c>
      <c r="E2">
        <v>6.9111200000000004</v>
      </c>
      <c r="F2">
        <v>7.1526300000000003</v>
      </c>
    </row>
    <row r="3" spans="1:23" x14ac:dyDescent="0.25">
      <c r="A3" t="s">
        <v>10</v>
      </c>
      <c r="B3">
        <v>0.49325000000000002</v>
      </c>
      <c r="C3">
        <v>0.50068000000000001</v>
      </c>
      <c r="D3">
        <v>0.48904999999999998</v>
      </c>
      <c r="E3">
        <v>0.50329999999999997</v>
      </c>
      <c r="F3">
        <v>0.45195000000000002</v>
      </c>
      <c r="N3" s="35"/>
    </row>
    <row r="4" spans="1:23" x14ac:dyDescent="0.25">
      <c r="A4" t="s">
        <v>188</v>
      </c>
      <c r="B4">
        <v>-0.56220000000000003</v>
      </c>
      <c r="C4">
        <v>-0.55066000000000004</v>
      </c>
      <c r="D4">
        <v>-0.52302000000000004</v>
      </c>
      <c r="E4">
        <v>-0.52917000000000003</v>
      </c>
      <c r="F4">
        <v>-0.53669</v>
      </c>
      <c r="N4" s="35"/>
    </row>
    <row r="5" spans="1:23" x14ac:dyDescent="0.25">
      <c r="A5" t="s">
        <v>6</v>
      </c>
      <c r="B5">
        <v>0.29420000000000002</v>
      </c>
      <c r="C5">
        <v>0.27429999999999999</v>
      </c>
      <c r="D5">
        <v>0.27879999999999999</v>
      </c>
      <c r="E5">
        <v>0.28010000000000002</v>
      </c>
      <c r="F5">
        <v>0.25629999999999997</v>
      </c>
      <c r="N5" s="35"/>
    </row>
    <row r="6" spans="1:23" x14ac:dyDescent="0.25">
      <c r="A6" t="s">
        <v>189</v>
      </c>
      <c r="B6" s="87">
        <f>B2+(B3*U35)+(B4*D35)</f>
        <v>2.7024319999999991</v>
      </c>
      <c r="C6" s="87">
        <f>C2+(C3*U34)+(C4*D34)</f>
        <v>3.2992545999999985</v>
      </c>
      <c r="D6" s="87">
        <f>D2+(D3*U33)+(D4*D33)</f>
        <v>2.2811287999999994</v>
      </c>
      <c r="E6" s="87">
        <f>E2+(E3*U32)+(E4*D32)</f>
        <v>2.7797846000000002</v>
      </c>
      <c r="F6" s="87">
        <f>F2+(F3*U31)+(F4*D31)</f>
        <v>2.7167460999999999</v>
      </c>
    </row>
    <row r="7" spans="1:23" x14ac:dyDescent="0.25">
      <c r="A7" t="s">
        <v>191</v>
      </c>
      <c r="B7" s="87">
        <f>EXP(B6)*EXP(0.5*B5*B5)</f>
        <v>15.575650352787713</v>
      </c>
      <c r="C7" s="87">
        <f>EXP(C6)*EXP(0.5*C5*C5)</f>
        <v>28.131075219423948</v>
      </c>
      <c r="D7" s="87">
        <f>EXP(D6)*EXP(0.5*D5*D5)</f>
        <v>10.175608367917464</v>
      </c>
      <c r="E7" s="87">
        <f>EXP(E6)*EXP(0.5*E5*E5)</f>
        <v>16.760293469265328</v>
      </c>
      <c r="F7" s="87">
        <f>EXP(F6)*EXP(0.5*F5*F5)</f>
        <v>15.636234495933815</v>
      </c>
      <c r="G7" s="35"/>
    </row>
    <row r="10" spans="1:23" x14ac:dyDescent="0.25">
      <c r="A10" t="s">
        <v>190</v>
      </c>
      <c r="B10" t="s">
        <v>71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</row>
    <row r="11" spans="1:23" x14ac:dyDescent="0.25">
      <c r="A11">
        <v>1997</v>
      </c>
      <c r="B11">
        <v>1998</v>
      </c>
      <c r="C11">
        <v>42.448748999999999</v>
      </c>
      <c r="D11">
        <v>9.2799999999999994</v>
      </c>
      <c r="E11">
        <v>10.08</v>
      </c>
      <c r="F11">
        <v>7.48</v>
      </c>
      <c r="G11">
        <v>8.83</v>
      </c>
      <c r="H11">
        <v>7.59</v>
      </c>
      <c r="I11">
        <v>10.3</v>
      </c>
      <c r="J11">
        <v>7.01</v>
      </c>
      <c r="K11">
        <v>8.83</v>
      </c>
      <c r="L11">
        <v>7.3</v>
      </c>
      <c r="M11">
        <v>10.02</v>
      </c>
      <c r="N11">
        <v>7.35</v>
      </c>
      <c r="O11">
        <v>8.7100000000000009</v>
      </c>
      <c r="P11">
        <v>7.4</v>
      </c>
      <c r="Q11">
        <v>10.47</v>
      </c>
      <c r="R11">
        <v>8</v>
      </c>
      <c r="S11">
        <v>9.1999999999999993</v>
      </c>
      <c r="T11">
        <v>7.99</v>
      </c>
      <c r="U11">
        <v>2.48</v>
      </c>
      <c r="V11" t="s">
        <v>106</v>
      </c>
      <c r="W11">
        <v>1E-3</v>
      </c>
    </row>
    <row r="12" spans="1:23" x14ac:dyDescent="0.25">
      <c r="A12">
        <v>1998</v>
      </c>
      <c r="B12">
        <v>1999</v>
      </c>
      <c r="C12">
        <v>77.818105000000003</v>
      </c>
      <c r="D12">
        <v>9.4</v>
      </c>
      <c r="E12">
        <v>9.85</v>
      </c>
      <c r="F12">
        <v>7.83</v>
      </c>
      <c r="G12">
        <v>8.91</v>
      </c>
      <c r="H12">
        <v>7.88</v>
      </c>
      <c r="I12">
        <v>9.9700000000000006</v>
      </c>
      <c r="J12">
        <v>7.34</v>
      </c>
      <c r="K12">
        <v>8.85</v>
      </c>
      <c r="L12">
        <v>7.56</v>
      </c>
      <c r="M12">
        <v>9.89</v>
      </c>
      <c r="N12">
        <v>7.65</v>
      </c>
      <c r="O12">
        <v>8.85</v>
      </c>
      <c r="P12">
        <v>7.71</v>
      </c>
      <c r="Q12">
        <v>10.36</v>
      </c>
      <c r="R12">
        <v>8.3699999999999992</v>
      </c>
      <c r="S12">
        <v>9.3800000000000008</v>
      </c>
      <c r="T12">
        <v>8.3699999999999992</v>
      </c>
      <c r="U12">
        <v>5.62</v>
      </c>
      <c r="V12" t="s">
        <v>106</v>
      </c>
      <c r="W12">
        <v>1E-3</v>
      </c>
    </row>
    <row r="13" spans="1:23" x14ac:dyDescent="0.25">
      <c r="A13">
        <v>1999</v>
      </c>
      <c r="B13">
        <v>2000</v>
      </c>
      <c r="C13">
        <v>20.248977</v>
      </c>
      <c r="D13">
        <v>8.56</v>
      </c>
      <c r="E13">
        <v>8.9</v>
      </c>
      <c r="F13">
        <v>6.84</v>
      </c>
      <c r="G13">
        <v>8.0500000000000007</v>
      </c>
      <c r="H13">
        <v>7.12</v>
      </c>
      <c r="I13">
        <v>9.08</v>
      </c>
      <c r="J13">
        <v>6.17</v>
      </c>
      <c r="K13">
        <v>8.02</v>
      </c>
      <c r="L13">
        <v>6.78</v>
      </c>
      <c r="M13">
        <v>8.93</v>
      </c>
      <c r="N13">
        <v>6.7</v>
      </c>
      <c r="O13">
        <v>7.98</v>
      </c>
      <c r="P13">
        <v>6.95</v>
      </c>
      <c r="Q13">
        <v>9.3000000000000007</v>
      </c>
      <c r="R13">
        <v>7.23</v>
      </c>
      <c r="S13">
        <v>8.4</v>
      </c>
      <c r="T13">
        <v>7.43</v>
      </c>
      <c r="U13">
        <v>1.6</v>
      </c>
      <c r="V13" t="s">
        <v>106</v>
      </c>
      <c r="W13">
        <v>1E-3</v>
      </c>
    </row>
    <row r="14" spans="1:23" x14ac:dyDescent="0.25">
      <c r="A14">
        <v>2000</v>
      </c>
      <c r="B14">
        <v>2001</v>
      </c>
      <c r="C14">
        <v>67.023652999999996</v>
      </c>
      <c r="D14">
        <v>8.77</v>
      </c>
      <c r="E14">
        <v>9.6999999999999993</v>
      </c>
      <c r="F14">
        <v>7.34</v>
      </c>
      <c r="G14">
        <v>8.6199999999999992</v>
      </c>
      <c r="H14">
        <v>7.52</v>
      </c>
      <c r="I14">
        <v>9.94</v>
      </c>
      <c r="J14">
        <v>7.02</v>
      </c>
      <c r="K14">
        <v>8.67</v>
      </c>
      <c r="L14">
        <v>7.35</v>
      </c>
      <c r="M14">
        <v>9.6999999999999993</v>
      </c>
      <c r="N14">
        <v>7.23</v>
      </c>
      <c r="O14">
        <v>8.57</v>
      </c>
      <c r="P14">
        <v>7.39</v>
      </c>
      <c r="Q14">
        <v>10.02</v>
      </c>
      <c r="R14">
        <v>7.71</v>
      </c>
      <c r="S14">
        <v>8.9499999999999993</v>
      </c>
      <c r="T14">
        <v>7.86</v>
      </c>
      <c r="U14">
        <v>3.73</v>
      </c>
      <c r="V14" t="s">
        <v>106</v>
      </c>
      <c r="W14">
        <v>1E-3</v>
      </c>
    </row>
    <row r="15" spans="1:23" x14ac:dyDescent="0.25">
      <c r="A15">
        <v>2001</v>
      </c>
      <c r="B15">
        <v>2002</v>
      </c>
      <c r="C15">
        <v>45.315401000000001</v>
      </c>
      <c r="D15">
        <v>9.0299999999999994</v>
      </c>
      <c r="E15">
        <v>9.15</v>
      </c>
      <c r="F15">
        <v>6.74</v>
      </c>
      <c r="G15">
        <v>8.18</v>
      </c>
      <c r="H15">
        <v>7.12</v>
      </c>
      <c r="I15">
        <v>9.57</v>
      </c>
      <c r="J15">
        <v>6.48</v>
      </c>
      <c r="K15">
        <v>8.4</v>
      </c>
      <c r="L15">
        <v>7.08</v>
      </c>
      <c r="M15">
        <v>9.2200000000000006</v>
      </c>
      <c r="N15">
        <v>6.66</v>
      </c>
      <c r="O15">
        <v>8.17</v>
      </c>
      <c r="P15">
        <v>7.01</v>
      </c>
      <c r="Q15">
        <v>9.51</v>
      </c>
      <c r="R15">
        <v>7.1</v>
      </c>
      <c r="S15">
        <v>8.52</v>
      </c>
      <c r="T15">
        <v>7.45</v>
      </c>
      <c r="U15">
        <v>2.87</v>
      </c>
      <c r="V15" t="s">
        <v>106</v>
      </c>
      <c r="W15">
        <v>1E-3</v>
      </c>
    </row>
    <row r="16" spans="1:23" x14ac:dyDescent="0.25">
      <c r="A16">
        <v>2002</v>
      </c>
      <c r="B16">
        <v>2003</v>
      </c>
      <c r="C16">
        <v>52.466735</v>
      </c>
      <c r="D16">
        <v>8.1999999999999993</v>
      </c>
      <c r="E16">
        <v>8.9700000000000006</v>
      </c>
      <c r="F16">
        <v>6.39</v>
      </c>
      <c r="G16">
        <v>7.85</v>
      </c>
      <c r="H16">
        <v>6.64</v>
      </c>
      <c r="I16">
        <v>9.34</v>
      </c>
      <c r="J16">
        <v>6.26</v>
      </c>
      <c r="K16">
        <v>8.02</v>
      </c>
      <c r="L16">
        <v>6.6</v>
      </c>
      <c r="M16">
        <v>9.0500000000000007</v>
      </c>
      <c r="N16">
        <v>6.39</v>
      </c>
      <c r="O16">
        <v>7.88</v>
      </c>
      <c r="P16">
        <v>6.61</v>
      </c>
      <c r="Q16">
        <v>9.44</v>
      </c>
      <c r="R16">
        <v>6.92</v>
      </c>
      <c r="S16">
        <v>8.33</v>
      </c>
      <c r="T16">
        <v>7.14</v>
      </c>
      <c r="U16">
        <v>2.78</v>
      </c>
      <c r="V16" t="s">
        <v>106</v>
      </c>
      <c r="W16">
        <v>1E-3</v>
      </c>
    </row>
    <row r="17" spans="1:23" x14ac:dyDescent="0.25">
      <c r="A17">
        <v>2003</v>
      </c>
      <c r="B17">
        <v>2004</v>
      </c>
      <c r="C17">
        <v>45.309744000000002</v>
      </c>
      <c r="D17">
        <v>9.31</v>
      </c>
      <c r="E17">
        <v>9.92</v>
      </c>
      <c r="F17">
        <v>7.71</v>
      </c>
      <c r="G17">
        <v>8.9</v>
      </c>
      <c r="H17">
        <v>7.85</v>
      </c>
      <c r="I17">
        <v>10.08</v>
      </c>
      <c r="J17">
        <v>7.29</v>
      </c>
      <c r="K17">
        <v>8.8800000000000008</v>
      </c>
      <c r="L17">
        <v>7.53</v>
      </c>
      <c r="M17">
        <v>9.86</v>
      </c>
      <c r="N17">
        <v>7.57</v>
      </c>
      <c r="O17">
        <v>8.76</v>
      </c>
      <c r="P17">
        <v>7.6</v>
      </c>
      <c r="Q17">
        <v>10.32</v>
      </c>
      <c r="R17">
        <v>8.17</v>
      </c>
      <c r="S17">
        <v>9.25</v>
      </c>
      <c r="T17">
        <v>8.16</v>
      </c>
      <c r="U17">
        <v>3.08</v>
      </c>
      <c r="V17" t="s">
        <v>106</v>
      </c>
      <c r="W17">
        <v>1E-3</v>
      </c>
    </row>
    <row r="18" spans="1:23" x14ac:dyDescent="0.25">
      <c r="A18">
        <v>2004</v>
      </c>
      <c r="B18">
        <v>2005</v>
      </c>
      <c r="C18">
        <v>59.121487000000002</v>
      </c>
      <c r="D18">
        <v>9.33</v>
      </c>
      <c r="E18">
        <v>10.43</v>
      </c>
      <c r="F18">
        <v>7.94</v>
      </c>
      <c r="G18">
        <v>9.2200000000000006</v>
      </c>
      <c r="H18">
        <v>7.96</v>
      </c>
      <c r="I18">
        <v>10.68</v>
      </c>
      <c r="J18">
        <v>7.53</v>
      </c>
      <c r="K18">
        <v>9.25</v>
      </c>
      <c r="L18">
        <v>7.69</v>
      </c>
      <c r="M18">
        <v>10.38</v>
      </c>
      <c r="N18">
        <v>7.89</v>
      </c>
      <c r="O18">
        <v>9.09</v>
      </c>
      <c r="P18">
        <v>7.79</v>
      </c>
      <c r="Q18">
        <v>10.98</v>
      </c>
      <c r="R18">
        <v>8.58</v>
      </c>
      <c r="S18">
        <v>9.74</v>
      </c>
      <c r="T18">
        <v>8.51</v>
      </c>
      <c r="U18">
        <v>3.9</v>
      </c>
      <c r="V18" t="s">
        <v>106</v>
      </c>
      <c r="W18">
        <v>1E-3</v>
      </c>
    </row>
    <row r="19" spans="1:23" x14ac:dyDescent="0.25">
      <c r="A19">
        <v>2005</v>
      </c>
      <c r="B19">
        <v>2006</v>
      </c>
      <c r="C19">
        <v>11.6065</v>
      </c>
      <c r="D19">
        <v>10.210000000000001</v>
      </c>
      <c r="E19">
        <v>10.67</v>
      </c>
      <c r="F19">
        <v>8.51</v>
      </c>
      <c r="G19">
        <v>9.48</v>
      </c>
      <c r="H19">
        <v>8.44</v>
      </c>
      <c r="I19">
        <v>11.16</v>
      </c>
      <c r="J19">
        <v>8.4</v>
      </c>
      <c r="K19">
        <v>9.64</v>
      </c>
      <c r="L19">
        <v>8.26</v>
      </c>
      <c r="M19">
        <v>10.63</v>
      </c>
      <c r="N19">
        <v>8.42</v>
      </c>
      <c r="O19">
        <v>9.35</v>
      </c>
      <c r="P19">
        <v>8.26</v>
      </c>
      <c r="Q19">
        <v>11.06</v>
      </c>
      <c r="R19">
        <v>8.92</v>
      </c>
      <c r="S19">
        <v>9.83</v>
      </c>
      <c r="T19">
        <v>8.82</v>
      </c>
      <c r="U19">
        <v>2.04</v>
      </c>
      <c r="V19" t="s">
        <v>106</v>
      </c>
      <c r="W19">
        <v>1E-3</v>
      </c>
    </row>
    <row r="20" spans="1:23" x14ac:dyDescent="0.25">
      <c r="A20">
        <v>2006</v>
      </c>
      <c r="B20">
        <v>2007</v>
      </c>
      <c r="C20">
        <v>44.796396999999999</v>
      </c>
      <c r="D20">
        <v>8.75</v>
      </c>
      <c r="E20">
        <v>9.7799999999999994</v>
      </c>
      <c r="F20">
        <v>7.16</v>
      </c>
      <c r="G20">
        <v>8.68</v>
      </c>
      <c r="H20">
        <v>7.58</v>
      </c>
      <c r="I20">
        <v>10.19</v>
      </c>
      <c r="J20">
        <v>6.84</v>
      </c>
      <c r="K20">
        <v>8.86</v>
      </c>
      <c r="L20">
        <v>7.49</v>
      </c>
      <c r="M20">
        <v>9.7200000000000006</v>
      </c>
      <c r="N20">
        <v>6.98</v>
      </c>
      <c r="O20">
        <v>8.5500000000000007</v>
      </c>
      <c r="P20">
        <v>7.36</v>
      </c>
      <c r="Q20">
        <v>10.19</v>
      </c>
      <c r="R20">
        <v>7.63</v>
      </c>
      <c r="S20">
        <v>9.07</v>
      </c>
      <c r="T20">
        <v>7.96</v>
      </c>
      <c r="U20">
        <v>2.58</v>
      </c>
      <c r="V20" t="s">
        <v>106</v>
      </c>
      <c r="W20">
        <v>1E-3</v>
      </c>
    </row>
    <row r="21" spans="1:23" x14ac:dyDescent="0.25">
      <c r="A21">
        <v>2007</v>
      </c>
      <c r="B21">
        <v>2008</v>
      </c>
      <c r="C21">
        <v>15.908924000000001</v>
      </c>
      <c r="D21">
        <v>8.94</v>
      </c>
      <c r="E21">
        <v>9.52</v>
      </c>
      <c r="F21">
        <v>7.04</v>
      </c>
      <c r="G21">
        <v>8.41</v>
      </c>
      <c r="H21">
        <v>7.27</v>
      </c>
      <c r="I21">
        <v>9.49</v>
      </c>
      <c r="J21">
        <v>6.55</v>
      </c>
      <c r="K21">
        <v>8.16</v>
      </c>
      <c r="L21">
        <v>6.87</v>
      </c>
      <c r="M21">
        <v>9.44</v>
      </c>
      <c r="N21">
        <v>6.9</v>
      </c>
      <c r="O21">
        <v>8.24</v>
      </c>
      <c r="P21">
        <v>7.03</v>
      </c>
      <c r="Q21">
        <v>9.99</v>
      </c>
      <c r="R21">
        <v>7.51</v>
      </c>
      <c r="S21">
        <v>8.82</v>
      </c>
      <c r="T21">
        <v>7.64</v>
      </c>
      <c r="U21">
        <v>1.17</v>
      </c>
      <c r="V21" t="s">
        <v>106</v>
      </c>
      <c r="W21">
        <v>1E-3</v>
      </c>
    </row>
    <row r="22" spans="1:23" x14ac:dyDescent="0.25">
      <c r="A22">
        <v>2008</v>
      </c>
      <c r="B22">
        <v>2009</v>
      </c>
      <c r="C22">
        <v>38.024357000000002</v>
      </c>
      <c r="D22">
        <v>7.91</v>
      </c>
      <c r="E22">
        <v>8.65</v>
      </c>
      <c r="F22">
        <v>6.77</v>
      </c>
      <c r="G22">
        <v>7.69</v>
      </c>
      <c r="H22">
        <v>6.83</v>
      </c>
      <c r="I22">
        <v>8.85</v>
      </c>
      <c r="J22">
        <v>6.43</v>
      </c>
      <c r="K22">
        <v>7.72</v>
      </c>
      <c r="L22">
        <v>6.68</v>
      </c>
      <c r="M22">
        <v>8.65</v>
      </c>
      <c r="N22">
        <v>6.64</v>
      </c>
      <c r="O22">
        <v>7.63</v>
      </c>
      <c r="P22">
        <v>6.74</v>
      </c>
      <c r="Q22">
        <v>9.18</v>
      </c>
      <c r="R22">
        <v>7.22</v>
      </c>
      <c r="S22">
        <v>8.17</v>
      </c>
      <c r="T22">
        <v>7.28</v>
      </c>
      <c r="U22">
        <v>2.3199999999999998</v>
      </c>
      <c r="V22" t="s">
        <v>106</v>
      </c>
      <c r="W22">
        <v>1E-3</v>
      </c>
    </row>
    <row r="23" spans="1:23" x14ac:dyDescent="0.25">
      <c r="A23">
        <v>2009</v>
      </c>
      <c r="B23">
        <v>2010</v>
      </c>
      <c r="C23">
        <v>24.141670999999999</v>
      </c>
      <c r="D23">
        <v>9.36</v>
      </c>
      <c r="E23">
        <v>9.75</v>
      </c>
      <c r="F23">
        <v>7.3</v>
      </c>
      <c r="G23">
        <v>8.4600000000000009</v>
      </c>
      <c r="H23">
        <v>7.35</v>
      </c>
      <c r="I23">
        <v>9.94</v>
      </c>
      <c r="J23">
        <v>7.19</v>
      </c>
      <c r="K23">
        <v>8.4700000000000006</v>
      </c>
      <c r="L23">
        <v>7.22</v>
      </c>
      <c r="M23">
        <v>9.77</v>
      </c>
      <c r="N23">
        <v>7.32</v>
      </c>
      <c r="O23">
        <v>8.4</v>
      </c>
      <c r="P23">
        <v>7.24</v>
      </c>
      <c r="Q23">
        <v>10.199999999999999</v>
      </c>
      <c r="R23">
        <v>7.76</v>
      </c>
      <c r="S23">
        <v>8.85</v>
      </c>
      <c r="T23">
        <v>7.73</v>
      </c>
      <c r="U23">
        <v>2.33</v>
      </c>
      <c r="V23" t="s">
        <v>106</v>
      </c>
      <c r="W23">
        <v>1E-3</v>
      </c>
    </row>
    <row r="24" spans="1:23" x14ac:dyDescent="0.25">
      <c r="A24">
        <v>2010</v>
      </c>
      <c r="B24">
        <v>2011</v>
      </c>
      <c r="C24">
        <v>58.882053999999997</v>
      </c>
      <c r="D24">
        <v>9.35</v>
      </c>
      <c r="E24">
        <v>9.65</v>
      </c>
      <c r="F24">
        <v>7.97</v>
      </c>
      <c r="G24">
        <v>8.66</v>
      </c>
      <c r="H24">
        <v>7.93</v>
      </c>
      <c r="I24">
        <v>9.8699999999999992</v>
      </c>
      <c r="J24">
        <v>7.71</v>
      </c>
      <c r="K24">
        <v>8.68</v>
      </c>
      <c r="L24">
        <v>7.81</v>
      </c>
      <c r="M24">
        <v>9.6199999999999992</v>
      </c>
      <c r="N24">
        <v>7.76</v>
      </c>
      <c r="O24">
        <v>8.5399999999999991</v>
      </c>
      <c r="P24">
        <v>7.72</v>
      </c>
      <c r="Q24">
        <v>10.09</v>
      </c>
      <c r="R24">
        <v>8.2799999999999994</v>
      </c>
      <c r="S24">
        <v>9.0500000000000007</v>
      </c>
      <c r="T24">
        <v>8.23</v>
      </c>
      <c r="U24">
        <v>4.1100000000000003</v>
      </c>
      <c r="V24" t="s">
        <v>106</v>
      </c>
      <c r="W24">
        <v>1E-3</v>
      </c>
    </row>
    <row r="25" spans="1:23" x14ac:dyDescent="0.25">
      <c r="A25">
        <v>2011</v>
      </c>
      <c r="B25">
        <v>2012</v>
      </c>
      <c r="C25">
        <v>21.277018000000002</v>
      </c>
      <c r="D25">
        <v>8.65</v>
      </c>
      <c r="E25">
        <v>9.59</v>
      </c>
      <c r="F25">
        <v>7.31</v>
      </c>
      <c r="G25">
        <v>8.49</v>
      </c>
      <c r="H25">
        <v>7.55</v>
      </c>
      <c r="I25">
        <v>9.84</v>
      </c>
      <c r="J25">
        <v>6.81</v>
      </c>
      <c r="K25">
        <v>8.4700000000000006</v>
      </c>
      <c r="L25">
        <v>7.18</v>
      </c>
      <c r="M25">
        <v>9.67</v>
      </c>
      <c r="N25">
        <v>7.25</v>
      </c>
      <c r="O25">
        <v>8.44</v>
      </c>
      <c r="P25">
        <v>7.44</v>
      </c>
      <c r="Q25">
        <v>10.050000000000001</v>
      </c>
      <c r="R25">
        <v>7.74</v>
      </c>
      <c r="S25">
        <v>8.8800000000000008</v>
      </c>
      <c r="T25">
        <v>7.92</v>
      </c>
      <c r="U25">
        <v>1.51</v>
      </c>
      <c r="V25" t="s">
        <v>106</v>
      </c>
      <c r="W25">
        <v>1E-3</v>
      </c>
    </row>
    <row r="26" spans="1:23" x14ac:dyDescent="0.25">
      <c r="A26">
        <v>2012</v>
      </c>
      <c r="B26">
        <v>2013</v>
      </c>
      <c r="C26">
        <v>94.719412000000005</v>
      </c>
      <c r="D26">
        <v>8.48</v>
      </c>
      <c r="E26">
        <v>9.17</v>
      </c>
      <c r="F26">
        <v>7.07</v>
      </c>
      <c r="G26">
        <v>8.18</v>
      </c>
      <c r="H26">
        <v>7.22</v>
      </c>
      <c r="I26">
        <v>9.23</v>
      </c>
      <c r="J26">
        <v>6.92</v>
      </c>
      <c r="K26">
        <v>8.1</v>
      </c>
      <c r="L26">
        <v>7.07</v>
      </c>
      <c r="M26">
        <v>9.14</v>
      </c>
      <c r="N26">
        <v>6.95</v>
      </c>
      <c r="O26">
        <v>8.09</v>
      </c>
      <c r="P26">
        <v>7.1</v>
      </c>
      <c r="Q26">
        <v>9.68</v>
      </c>
      <c r="R26">
        <v>7.47</v>
      </c>
      <c r="S26">
        <v>8.6300000000000008</v>
      </c>
      <c r="T26">
        <v>7.61</v>
      </c>
      <c r="U26">
        <v>3.52</v>
      </c>
      <c r="V26" t="s">
        <v>106</v>
      </c>
      <c r="W26">
        <v>1E-3</v>
      </c>
    </row>
    <row r="27" spans="1:23" x14ac:dyDescent="0.25">
      <c r="A27">
        <v>2013</v>
      </c>
      <c r="B27">
        <v>2014</v>
      </c>
      <c r="C27">
        <v>37.173864700000003</v>
      </c>
      <c r="D27">
        <v>8.83</v>
      </c>
      <c r="E27">
        <v>9.66</v>
      </c>
      <c r="F27">
        <v>6.74</v>
      </c>
      <c r="G27">
        <v>8.44</v>
      </c>
      <c r="H27">
        <v>7.21</v>
      </c>
      <c r="I27">
        <v>9.8800000000000008</v>
      </c>
      <c r="J27">
        <v>6.37</v>
      </c>
      <c r="K27">
        <v>8.4499999999999993</v>
      </c>
      <c r="L27">
        <v>6.97</v>
      </c>
      <c r="M27">
        <v>9.67</v>
      </c>
      <c r="N27">
        <v>6.59</v>
      </c>
      <c r="O27">
        <v>8.36</v>
      </c>
      <c r="P27">
        <v>7.04</v>
      </c>
      <c r="Q27">
        <v>10.39</v>
      </c>
      <c r="R27">
        <v>7.51</v>
      </c>
      <c r="S27">
        <v>9.1</v>
      </c>
      <c r="T27">
        <v>7.85</v>
      </c>
      <c r="U27">
        <v>2.14</v>
      </c>
      <c r="V27" t="s">
        <v>106</v>
      </c>
      <c r="W27">
        <v>1E-3</v>
      </c>
    </row>
    <row r="28" spans="1:23" x14ac:dyDescent="0.25">
      <c r="A28">
        <v>2014</v>
      </c>
      <c r="B28">
        <v>2015</v>
      </c>
      <c r="C28">
        <v>35.092568</v>
      </c>
      <c r="D28">
        <v>9.1199999999999992</v>
      </c>
      <c r="E28">
        <v>9.98</v>
      </c>
      <c r="F28">
        <v>8.17</v>
      </c>
      <c r="G28">
        <v>8.76</v>
      </c>
      <c r="H28">
        <v>7.77</v>
      </c>
      <c r="I28">
        <v>10.23</v>
      </c>
      <c r="J28">
        <v>7.9</v>
      </c>
      <c r="K28">
        <v>8.81</v>
      </c>
      <c r="L28">
        <v>7.62</v>
      </c>
      <c r="M28">
        <v>10.029999999999999</v>
      </c>
      <c r="N28">
        <v>8.15</v>
      </c>
      <c r="O28">
        <v>8.6999999999999993</v>
      </c>
      <c r="P28">
        <v>7.64</v>
      </c>
      <c r="Q28">
        <v>10.57</v>
      </c>
      <c r="R28">
        <v>8.6199999999999992</v>
      </c>
      <c r="S28">
        <v>9.26</v>
      </c>
      <c r="T28">
        <v>8.17</v>
      </c>
      <c r="U28">
        <v>3.8</v>
      </c>
      <c r="V28" t="s">
        <v>106</v>
      </c>
      <c r="W28">
        <v>1E-3</v>
      </c>
    </row>
    <row r="29" spans="1:23" x14ac:dyDescent="0.25">
      <c r="A29">
        <v>2015</v>
      </c>
      <c r="B29">
        <v>2016</v>
      </c>
      <c r="C29">
        <v>18.374199999999998</v>
      </c>
      <c r="D29">
        <v>9.61</v>
      </c>
      <c r="E29">
        <v>10.62</v>
      </c>
      <c r="F29">
        <v>8.8699999999999992</v>
      </c>
      <c r="G29">
        <v>9.5500000000000007</v>
      </c>
      <c r="H29">
        <v>8.73</v>
      </c>
      <c r="I29">
        <v>10.73</v>
      </c>
      <c r="J29">
        <v>8.34</v>
      </c>
      <c r="K29">
        <v>9.43</v>
      </c>
      <c r="L29">
        <v>8.2899999999999991</v>
      </c>
      <c r="M29">
        <v>10.81</v>
      </c>
      <c r="N29">
        <v>8.92</v>
      </c>
      <c r="O29">
        <v>9.56</v>
      </c>
      <c r="P29">
        <v>8.65</v>
      </c>
      <c r="Q29">
        <v>11.43</v>
      </c>
      <c r="R29">
        <v>9.64</v>
      </c>
      <c r="S29">
        <v>10.210000000000001</v>
      </c>
      <c r="T29">
        <v>9.32</v>
      </c>
      <c r="U29">
        <v>2.4500000000000002</v>
      </c>
      <c r="V29" t="s">
        <v>106</v>
      </c>
      <c r="W29">
        <v>1E-3</v>
      </c>
    </row>
    <row r="30" spans="1:23" x14ac:dyDescent="0.25">
      <c r="A30">
        <v>2016</v>
      </c>
      <c r="B30">
        <v>2017</v>
      </c>
      <c r="C30">
        <v>34.734366000000001</v>
      </c>
      <c r="D30">
        <v>10.199999999999999</v>
      </c>
      <c r="E30">
        <v>11.04</v>
      </c>
      <c r="F30">
        <v>8.92</v>
      </c>
      <c r="G30">
        <v>10.029999999999999</v>
      </c>
      <c r="H30">
        <v>9.07</v>
      </c>
      <c r="I30">
        <v>11.65</v>
      </c>
      <c r="J30">
        <v>8.81</v>
      </c>
      <c r="K30">
        <v>10.37</v>
      </c>
      <c r="L30">
        <v>9.14</v>
      </c>
      <c r="M30">
        <v>11.18</v>
      </c>
      <c r="N30">
        <v>8.92</v>
      </c>
      <c r="O30">
        <v>10.050000000000001</v>
      </c>
      <c r="P30">
        <v>9</v>
      </c>
      <c r="Q30">
        <v>11.67</v>
      </c>
      <c r="R30">
        <v>9.61</v>
      </c>
      <c r="S30">
        <v>10.59</v>
      </c>
      <c r="T30">
        <v>9.59</v>
      </c>
      <c r="U30">
        <v>4.3499999999999996</v>
      </c>
      <c r="V30" t="s">
        <v>106</v>
      </c>
      <c r="W30">
        <v>1</v>
      </c>
    </row>
    <row r="31" spans="1:23" x14ac:dyDescent="0.25">
      <c r="A31">
        <v>2017</v>
      </c>
      <c r="B31">
        <v>2018</v>
      </c>
      <c r="C31">
        <v>8.0677000000000003</v>
      </c>
      <c r="D31">
        <v>8.56</v>
      </c>
      <c r="E31">
        <v>9.65</v>
      </c>
      <c r="F31">
        <v>7.65</v>
      </c>
      <c r="G31">
        <v>8.6999999999999993</v>
      </c>
      <c r="H31">
        <v>7.76</v>
      </c>
      <c r="I31">
        <v>9.82</v>
      </c>
      <c r="J31">
        <v>7.22</v>
      </c>
      <c r="K31">
        <v>8.66</v>
      </c>
      <c r="L31">
        <v>7.51</v>
      </c>
      <c r="M31">
        <v>9.82</v>
      </c>
      <c r="N31">
        <v>7.75</v>
      </c>
      <c r="O31">
        <v>8.77</v>
      </c>
      <c r="P31">
        <v>7.78</v>
      </c>
      <c r="Q31">
        <v>10.31</v>
      </c>
      <c r="R31">
        <v>8.25</v>
      </c>
      <c r="S31">
        <v>9.2799999999999994</v>
      </c>
      <c r="T31">
        <v>8.2899999999999991</v>
      </c>
      <c r="U31">
        <v>0.35</v>
      </c>
      <c r="V31" t="s">
        <v>106</v>
      </c>
      <c r="W31">
        <v>1</v>
      </c>
    </row>
    <row r="32" spans="1:23" x14ac:dyDescent="0.25">
      <c r="A32">
        <v>2018</v>
      </c>
      <c r="B32">
        <v>2019</v>
      </c>
      <c r="C32">
        <v>21.141928</v>
      </c>
      <c r="D32">
        <v>8.92</v>
      </c>
      <c r="E32">
        <v>9.8699999999999992</v>
      </c>
      <c r="F32">
        <v>7.4</v>
      </c>
      <c r="G32">
        <v>8.75</v>
      </c>
      <c r="H32">
        <v>7.61</v>
      </c>
      <c r="I32">
        <v>9.99</v>
      </c>
      <c r="J32">
        <v>6.92</v>
      </c>
      <c r="K32">
        <v>8.74</v>
      </c>
      <c r="L32">
        <v>7.43</v>
      </c>
      <c r="M32">
        <v>10.11</v>
      </c>
      <c r="N32">
        <v>7.53</v>
      </c>
      <c r="O32">
        <v>8.86</v>
      </c>
      <c r="P32">
        <v>7.63</v>
      </c>
      <c r="Q32">
        <v>10.79</v>
      </c>
      <c r="R32">
        <v>8.2799999999999994</v>
      </c>
      <c r="S32">
        <v>9.5399999999999991</v>
      </c>
      <c r="T32">
        <v>8.3000000000000007</v>
      </c>
      <c r="U32">
        <v>1.17</v>
      </c>
      <c r="V32" t="s">
        <v>106</v>
      </c>
      <c r="W32">
        <v>1</v>
      </c>
    </row>
    <row r="33" spans="1:23" x14ac:dyDescent="0.25">
      <c r="A33">
        <v>2019</v>
      </c>
      <c r="B33">
        <v>2020</v>
      </c>
      <c r="C33">
        <v>8.062989</v>
      </c>
      <c r="D33">
        <v>9.91</v>
      </c>
      <c r="E33">
        <v>10.47</v>
      </c>
      <c r="F33">
        <v>8.24</v>
      </c>
      <c r="G33">
        <v>9.4600000000000009</v>
      </c>
      <c r="H33">
        <v>8.35</v>
      </c>
      <c r="I33">
        <v>10.74</v>
      </c>
      <c r="J33">
        <v>7.79</v>
      </c>
      <c r="K33">
        <v>9.51</v>
      </c>
      <c r="L33">
        <v>8.1</v>
      </c>
      <c r="M33">
        <v>10.87</v>
      </c>
      <c r="N33">
        <v>8.42</v>
      </c>
      <c r="O33">
        <v>9.65</v>
      </c>
      <c r="P33">
        <v>8.44</v>
      </c>
      <c r="Q33">
        <v>11.46</v>
      </c>
      <c r="R33">
        <v>9.01</v>
      </c>
      <c r="S33">
        <v>10.25</v>
      </c>
      <c r="T33">
        <v>9.0500000000000007</v>
      </c>
      <c r="U33">
        <v>1.1399999999999999</v>
      </c>
      <c r="V33" t="s">
        <v>106</v>
      </c>
      <c r="W33">
        <v>1</v>
      </c>
    </row>
    <row r="34" spans="1:23" x14ac:dyDescent="0.25">
      <c r="A34">
        <v>2020</v>
      </c>
      <c r="B34">
        <v>2021</v>
      </c>
      <c r="C34">
        <v>48.503718999999997</v>
      </c>
      <c r="D34">
        <v>8.89</v>
      </c>
      <c r="E34">
        <v>9.99</v>
      </c>
      <c r="F34">
        <v>8.09</v>
      </c>
      <c r="G34">
        <v>8.84</v>
      </c>
      <c r="H34">
        <v>7.86</v>
      </c>
      <c r="I34">
        <v>10.4</v>
      </c>
      <c r="J34">
        <v>7.83</v>
      </c>
      <c r="K34">
        <v>9.0500000000000007</v>
      </c>
      <c r="L34">
        <v>7.86</v>
      </c>
      <c r="M34">
        <v>10.23</v>
      </c>
      <c r="N34">
        <v>8.26</v>
      </c>
      <c r="O34">
        <v>8.98</v>
      </c>
      <c r="P34">
        <v>7.94</v>
      </c>
      <c r="Q34">
        <v>10.7</v>
      </c>
      <c r="R34">
        <v>8.9</v>
      </c>
      <c r="S34">
        <v>9.52</v>
      </c>
      <c r="T34">
        <v>8.5299999999999994</v>
      </c>
      <c r="U34">
        <v>2.15</v>
      </c>
      <c r="V34" t="s">
        <v>106</v>
      </c>
      <c r="W34">
        <v>1</v>
      </c>
    </row>
    <row r="35" spans="1:23" x14ac:dyDescent="0.25">
      <c r="A35">
        <v>2021</v>
      </c>
      <c r="B35">
        <v>2022</v>
      </c>
      <c r="D35">
        <v>8.89</v>
      </c>
      <c r="E35">
        <v>10.06</v>
      </c>
      <c r="F35">
        <v>7.25</v>
      </c>
      <c r="G35">
        <v>8.9</v>
      </c>
      <c r="H35">
        <v>7.63</v>
      </c>
      <c r="I35">
        <v>10.26</v>
      </c>
      <c r="J35">
        <v>6.91</v>
      </c>
      <c r="K35">
        <v>8.91</v>
      </c>
      <c r="L35">
        <v>7.47</v>
      </c>
      <c r="M35">
        <v>10.23</v>
      </c>
      <c r="N35">
        <v>7.29</v>
      </c>
      <c r="O35">
        <v>8.9600000000000009</v>
      </c>
      <c r="P35">
        <v>7.65</v>
      </c>
      <c r="Q35">
        <v>10.82</v>
      </c>
      <c r="R35">
        <v>7.97</v>
      </c>
      <c r="S35">
        <v>9.58</v>
      </c>
      <c r="T35">
        <v>8.31</v>
      </c>
      <c r="U35">
        <v>0.88</v>
      </c>
      <c r="V35" t="s">
        <v>106</v>
      </c>
      <c r="W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equal-weighting--2008 CI (hind)</vt:lpstr>
      <vt:lpstr>equal-weighting--2008 CI (Buck)</vt:lpstr>
      <vt:lpstr>inverse variance-Buckland CI</vt:lpstr>
      <vt:lpstr>Sheet3</vt:lpstr>
      <vt:lpstr>hindcasts</vt:lpstr>
      <vt:lpstr>inverse variance</vt:lpstr>
      <vt:lpstr>ISTI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2022-04-12T19:54:57Z</dcterms:modified>
</cp:coreProperties>
</file>