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FMS_writeup\code\model_averaging_process\"/>
    </mc:Choice>
  </mc:AlternateContent>
  <xr:revisionPtr revIDLastSave="0" documentId="13_ncr:1_{FF10BA9B-D6F1-48E9-9AE8-44A5DC4C12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al-weighting--2008 CI" sheetId="5" r:id="rId1"/>
    <sheet name="hindcasts" sheetId="6" r:id="rId2"/>
    <sheet name="inverse variance-Buckland CI" sheetId="2" r:id="rId3"/>
    <sheet name="inverse varia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5" l="1"/>
  <c r="Q7" i="5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5" i="5"/>
  <c r="Q4" i="5"/>
  <c r="Z24" i="6"/>
  <c r="U24" i="6"/>
  <c r="Y23" i="6" a="1"/>
  <c r="Y23" i="6" s="1"/>
  <c r="Y24" i="6" s="1"/>
  <c r="V24" i="6"/>
  <c r="W24" i="6"/>
  <c r="X24" i="6"/>
  <c r="U23" i="6" a="1"/>
  <c r="U23" i="6" s="1"/>
  <c r="V23" i="6" a="1"/>
  <c r="V23" i="6"/>
  <c r="W23" i="6" a="1"/>
  <c r="W23" i="6" s="1"/>
  <c r="X23" i="6" a="1"/>
  <c r="X23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" i="6"/>
  <c r="Y4" i="2"/>
  <c r="K4" i="2"/>
  <c r="M4" i="5"/>
  <c r="P4" i="5" a="1"/>
  <c r="P4" i="5" s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  <c r="L30" i="5"/>
  <c r="G30" i="5"/>
  <c r="I30" i="5" s="1"/>
  <c r="K30" i="5" s="1"/>
  <c r="U28" i="5"/>
  <c r="M21" i="5"/>
  <c r="J21" i="5"/>
  <c r="M20" i="5"/>
  <c r="N20" i="5" s="1"/>
  <c r="J20" i="5"/>
  <c r="M19" i="5"/>
  <c r="J19" i="5"/>
  <c r="M18" i="5"/>
  <c r="J18" i="5"/>
  <c r="M17" i="5"/>
  <c r="L17" i="5" s="1"/>
  <c r="J17" i="5"/>
  <c r="M16" i="5"/>
  <c r="N16" i="5" s="1"/>
  <c r="J16" i="5"/>
  <c r="N15" i="5"/>
  <c r="M15" i="5"/>
  <c r="J15" i="5"/>
  <c r="M14" i="5"/>
  <c r="K14" i="5" s="1"/>
  <c r="J14" i="5"/>
  <c r="M13" i="5"/>
  <c r="K13" i="5" s="1"/>
  <c r="L13" i="5"/>
  <c r="J13" i="5"/>
  <c r="M12" i="5"/>
  <c r="J12" i="5"/>
  <c r="M11" i="5"/>
  <c r="J11" i="5"/>
  <c r="M10" i="5"/>
  <c r="J10" i="5"/>
  <c r="M9" i="5"/>
  <c r="J9" i="5"/>
  <c r="M8" i="5"/>
  <c r="J8" i="5"/>
  <c r="M7" i="5"/>
  <c r="J7" i="5"/>
  <c r="N6" i="5"/>
  <c r="M6" i="5"/>
  <c r="J6" i="5"/>
  <c r="M5" i="5"/>
  <c r="P5" i="5" s="1" a="1"/>
  <c r="P5" i="5" s="1"/>
  <c r="T5" i="5" s="1"/>
  <c r="J5" i="5"/>
  <c r="J4" i="5"/>
  <c r="Y28" i="2"/>
  <c r="E29" i="4"/>
  <c r="E28" i="4"/>
  <c r="E27" i="4"/>
  <c r="R4" i="5" l="1"/>
  <c r="U4" i="5" s="1"/>
  <c r="T4" i="5"/>
  <c r="S4" i="5"/>
  <c r="V4" i="5" s="1"/>
  <c r="L10" i="5"/>
  <c r="N14" i="5"/>
  <c r="N17" i="5"/>
  <c r="K19" i="5"/>
  <c r="K21" i="5"/>
  <c r="P13" i="5" a="1"/>
  <c r="P13" i="5" s="1"/>
  <c r="L7" i="5"/>
  <c r="N13" i="5"/>
  <c r="L6" i="5"/>
  <c r="N7" i="5"/>
  <c r="K9" i="5"/>
  <c r="L11" i="5"/>
  <c r="L18" i="5"/>
  <c r="P9" i="5" a="1"/>
  <c r="P9" i="5" s="1"/>
  <c r="T9" i="5" s="1"/>
  <c r="N10" i="5"/>
  <c r="N11" i="5"/>
  <c r="K17" i="5"/>
  <c r="N18" i="5"/>
  <c r="N19" i="5"/>
  <c r="N21" i="5"/>
  <c r="H30" i="5"/>
  <c r="J30" i="5" s="1"/>
  <c r="L5" i="5"/>
  <c r="K5" i="5"/>
  <c r="K6" i="5"/>
  <c r="K7" i="5"/>
  <c r="L9" i="5"/>
  <c r="K10" i="5"/>
  <c r="L14" i="5"/>
  <c r="K11" i="5"/>
  <c r="K18" i="5"/>
  <c r="L21" i="5"/>
  <c r="T13" i="5"/>
  <c r="K15" i="5"/>
  <c r="P18" i="5" a="1"/>
  <c r="P18" i="5" s="1"/>
  <c r="P14" i="5" a="1"/>
  <c r="P14" i="5" s="1"/>
  <c r="P21" i="5" a="1"/>
  <c r="P21" i="5" s="1"/>
  <c r="P20" i="5" a="1"/>
  <c r="P20" i="5" s="1"/>
  <c r="P16" i="5" a="1"/>
  <c r="P16" i="5" s="1"/>
  <c r="P12" i="5" a="1"/>
  <c r="P12" i="5" s="1"/>
  <c r="P8" i="5" a="1"/>
  <c r="P8" i="5" s="1"/>
  <c r="L4" i="5"/>
  <c r="P10" i="5" a="1"/>
  <c r="P10" i="5" s="1"/>
  <c r="N4" i="5"/>
  <c r="P17" i="5" a="1"/>
  <c r="P17" i="5" s="1"/>
  <c r="P19" i="5" a="1"/>
  <c r="P19" i="5" s="1"/>
  <c r="P15" i="5" a="1"/>
  <c r="P15" i="5" s="1"/>
  <c r="P11" i="5" a="1"/>
  <c r="P11" i="5" s="1"/>
  <c r="P7" i="5" a="1"/>
  <c r="P7" i="5" s="1"/>
  <c r="K4" i="5"/>
  <c r="P6" i="5" a="1"/>
  <c r="P6" i="5" s="1"/>
  <c r="L8" i="5"/>
  <c r="K8" i="5"/>
  <c r="N8" i="5"/>
  <c r="N12" i="5"/>
  <c r="L12" i="5"/>
  <c r="K12" i="5"/>
  <c r="N5" i="5"/>
  <c r="N9" i="5"/>
  <c r="L15" i="5"/>
  <c r="K16" i="5"/>
  <c r="L19" i="5"/>
  <c r="K20" i="5"/>
  <c r="L16" i="5"/>
  <c r="L20" i="5"/>
  <c r="T11" i="5" l="1"/>
  <c r="T8" i="5"/>
  <c r="T21" i="5"/>
  <c r="T6" i="5"/>
  <c r="T15" i="5"/>
  <c r="T10" i="5"/>
  <c r="T12" i="5"/>
  <c r="T14" i="5"/>
  <c r="T19" i="5"/>
  <c r="T16" i="5"/>
  <c r="T18" i="5"/>
  <c r="T7" i="5"/>
  <c r="T17" i="5"/>
  <c r="T20" i="5"/>
  <c r="R17" i="5" l="1"/>
  <c r="U17" i="5" s="1"/>
  <c r="S21" i="5"/>
  <c r="V21" i="5" s="1"/>
  <c r="R21" i="5"/>
  <c r="U21" i="5" s="1"/>
  <c r="F23" i="4"/>
  <c r="F24" i="4"/>
  <c r="F25" i="4"/>
  <c r="F26" i="4"/>
  <c r="F22" i="4"/>
  <c r="E22" i="4"/>
  <c r="E23" i="4"/>
  <c r="E24" i="4"/>
  <c r="E25" i="4"/>
  <c r="E26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3" i="4"/>
  <c r="S17" i="5" l="1"/>
  <c r="V17" i="5" s="1"/>
  <c r="R18" i="5"/>
  <c r="U18" i="5" s="1"/>
  <c r="S18" i="5"/>
  <c r="V18" i="5" s="1"/>
  <c r="R14" i="5"/>
  <c r="U14" i="5" s="1"/>
  <c r="S14" i="5"/>
  <c r="V14" i="5" s="1"/>
  <c r="R10" i="5"/>
  <c r="U10" i="5" s="1"/>
  <c r="S10" i="5"/>
  <c r="V10" i="5" s="1"/>
  <c r="R6" i="5"/>
  <c r="U6" i="5" s="1"/>
  <c r="S6" i="5"/>
  <c r="V6" i="5" s="1"/>
  <c r="S9" i="5"/>
  <c r="V9" i="5" s="1"/>
  <c r="R9" i="5"/>
  <c r="U9" i="5" s="1"/>
  <c r="R20" i="5"/>
  <c r="U20" i="5" s="1"/>
  <c r="S20" i="5"/>
  <c r="V20" i="5" s="1"/>
  <c r="R16" i="5"/>
  <c r="U16" i="5" s="1"/>
  <c r="S16" i="5"/>
  <c r="V16" i="5" s="1"/>
  <c r="R12" i="5"/>
  <c r="U12" i="5" s="1"/>
  <c r="S12" i="5"/>
  <c r="V12" i="5" s="1"/>
  <c r="S13" i="5"/>
  <c r="V13" i="5" s="1"/>
  <c r="R13" i="5"/>
  <c r="U13" i="5" s="1"/>
  <c r="S19" i="5"/>
  <c r="V19" i="5" s="1"/>
  <c r="R19" i="5"/>
  <c r="U19" i="5" s="1"/>
  <c r="S8" i="5"/>
  <c r="V8" i="5" s="1"/>
  <c r="R8" i="5"/>
  <c r="U8" i="5" s="1"/>
  <c r="S15" i="5"/>
  <c r="V15" i="5" s="1"/>
  <c r="R15" i="5"/>
  <c r="U15" i="5" s="1"/>
  <c r="R11" i="5"/>
  <c r="U11" i="5" s="1"/>
  <c r="S11" i="5"/>
  <c r="V11" i="5" s="1"/>
  <c r="S7" i="5"/>
  <c r="V7" i="5" s="1"/>
  <c r="R7" i="5"/>
  <c r="U7" i="5" s="1"/>
  <c r="S5" i="5"/>
  <c r="V5" i="5" s="1"/>
  <c r="R5" i="5"/>
  <c r="U5" i="5" s="1"/>
  <c r="M4" i="2"/>
  <c r="J4" i="2"/>
  <c r="Q4" i="2" a="1"/>
  <c r="Q4" i="2" s="1"/>
  <c r="X4" i="2" l="1"/>
  <c r="N4" i="2" l="1"/>
  <c r="P4" i="2"/>
  <c r="H30" i="2"/>
  <c r="G30" i="2"/>
  <c r="L30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I30" i="2" l="1"/>
  <c r="K30" i="2" s="1"/>
  <c r="M21" i="2"/>
  <c r="N21" i="2" s="1"/>
  <c r="J21" i="2"/>
  <c r="M20" i="2"/>
  <c r="N20" i="2" s="1"/>
  <c r="J20" i="2"/>
  <c r="M19" i="2"/>
  <c r="N19" i="2" s="1"/>
  <c r="J19" i="2"/>
  <c r="M18" i="2"/>
  <c r="N18" i="2" s="1"/>
  <c r="J18" i="2"/>
  <c r="M17" i="2"/>
  <c r="N17" i="2" s="1"/>
  <c r="J17" i="2"/>
  <c r="M16" i="2"/>
  <c r="N16" i="2" s="1"/>
  <c r="J16" i="2"/>
  <c r="M15" i="2"/>
  <c r="N15" i="2" s="1"/>
  <c r="J15" i="2"/>
  <c r="M14" i="2"/>
  <c r="N14" i="2" s="1"/>
  <c r="J14" i="2"/>
  <c r="R14" i="2" s="1"/>
  <c r="M13" i="2"/>
  <c r="N13" i="2" s="1"/>
  <c r="J13" i="2"/>
  <c r="M12" i="2"/>
  <c r="N12" i="2" s="1"/>
  <c r="J12" i="2"/>
  <c r="R12" i="2" s="1"/>
  <c r="M11" i="2"/>
  <c r="N11" i="2" s="1"/>
  <c r="J11" i="2"/>
  <c r="M10" i="2"/>
  <c r="N10" i="2" s="1"/>
  <c r="J10" i="2"/>
  <c r="R10" i="2" s="1"/>
  <c r="M9" i="2"/>
  <c r="N9" i="2" s="1"/>
  <c r="J9" i="2"/>
  <c r="R9" i="2" s="1"/>
  <c r="R8" i="2"/>
  <c r="M8" i="2"/>
  <c r="N8" i="2" s="1"/>
  <c r="J8" i="2"/>
  <c r="M7" i="2"/>
  <c r="N7" i="2" s="1"/>
  <c r="J7" i="2"/>
  <c r="R7" i="2" s="1"/>
  <c r="M6" i="2"/>
  <c r="N6" i="2" s="1"/>
  <c r="J6" i="2"/>
  <c r="R6" i="2" s="1"/>
  <c r="M5" i="2"/>
  <c r="N5" i="2" s="1"/>
  <c r="J5" i="2"/>
  <c r="R4" i="2"/>
  <c r="L10" i="2" l="1"/>
  <c r="K12" i="2"/>
  <c r="Q14" i="2" a="1"/>
  <c r="Q14" i="2" s="1"/>
  <c r="K8" i="2"/>
  <c r="L6" i="2"/>
  <c r="L16" i="2"/>
  <c r="L18" i="2"/>
  <c r="L20" i="2"/>
  <c r="L14" i="2"/>
  <c r="L8" i="2"/>
  <c r="K10" i="2"/>
  <c r="R16" i="2"/>
  <c r="R18" i="2"/>
  <c r="R20" i="2"/>
  <c r="K5" i="2"/>
  <c r="K6" i="2"/>
  <c r="L12" i="2"/>
  <c r="J30" i="2"/>
  <c r="K14" i="2"/>
  <c r="K16" i="2"/>
  <c r="K18" i="2"/>
  <c r="K20" i="2"/>
  <c r="L11" i="2"/>
  <c r="L15" i="2"/>
  <c r="L19" i="2"/>
  <c r="R15" i="2"/>
  <c r="K15" i="2"/>
  <c r="L5" i="2"/>
  <c r="L9" i="2"/>
  <c r="R13" i="2"/>
  <c r="K13" i="2"/>
  <c r="R17" i="2"/>
  <c r="K17" i="2"/>
  <c r="R21" i="2"/>
  <c r="K21" i="2"/>
  <c r="Q16" i="2" a="1"/>
  <c r="Q16" i="2" s="1"/>
  <c r="Q8" i="2" a="1"/>
  <c r="Q8" i="2" s="1"/>
  <c r="Q21" i="2" a="1"/>
  <c r="Q21" i="2" s="1"/>
  <c r="Q9" i="2" a="1"/>
  <c r="Q9" i="2" s="1"/>
  <c r="R5" i="2"/>
  <c r="L7" i="2"/>
  <c r="K7" i="2"/>
  <c r="R11" i="2"/>
  <c r="K11" i="2"/>
  <c r="R19" i="2"/>
  <c r="K19" i="2"/>
  <c r="L4" i="2"/>
  <c r="L13" i="2"/>
  <c r="L17" i="2"/>
  <c r="L21" i="2"/>
  <c r="K9" i="2"/>
  <c r="S8" i="2" l="1"/>
  <c r="T8" i="2" s="1"/>
  <c r="S16" i="2"/>
  <c r="T16" i="2" s="1"/>
  <c r="S14" i="2"/>
  <c r="T14" i="2" s="1"/>
  <c r="S4" i="2"/>
  <c r="T4" i="2" s="1"/>
  <c r="Q6" i="2" a="1"/>
  <c r="Q6" i="2" s="1"/>
  <c r="Q13" i="2" a="1"/>
  <c r="Q13" i="2" s="1"/>
  <c r="Q7" i="2" a="1"/>
  <c r="Q7" i="2" s="1"/>
  <c r="Q10" i="2" a="1"/>
  <c r="Q10" i="2" s="1"/>
  <c r="Q18" i="2" a="1"/>
  <c r="Q18" i="2" s="1"/>
  <c r="Q17" i="2" a="1"/>
  <c r="Q17" i="2" s="1"/>
  <c r="Q11" i="2" a="1"/>
  <c r="Q11" i="2" s="1"/>
  <c r="Q12" i="2" a="1"/>
  <c r="Q12" i="2" s="1"/>
  <c r="Q20" i="2" a="1"/>
  <c r="Q20" i="2" s="1"/>
  <c r="Q5" i="2" a="1"/>
  <c r="Q5" i="2" s="1"/>
  <c r="S5" i="2" s="1"/>
  <c r="Q19" i="2" a="1"/>
  <c r="Q19" i="2" s="1"/>
  <c r="Q15" i="2" a="1"/>
  <c r="Q15" i="2" s="1"/>
  <c r="X18" i="2"/>
  <c r="X14" i="2"/>
  <c r="X6" i="2"/>
  <c r="X9" i="2"/>
  <c r="S9" i="2"/>
  <c r="T9" i="2" s="1"/>
  <c r="X21" i="2"/>
  <c r="X8" i="2"/>
  <c r="X16" i="2"/>
  <c r="S21" i="2"/>
  <c r="T21" i="2" s="1"/>
  <c r="S18" i="2"/>
  <c r="T18" i="2" s="1"/>
  <c r="X13" i="2" l="1"/>
  <c r="X20" i="2"/>
  <c r="S6" i="2"/>
  <c r="T6" i="2" s="1"/>
  <c r="X17" i="2"/>
  <c r="S15" i="2"/>
  <c r="T15" i="2" s="1"/>
  <c r="S12" i="2"/>
  <c r="T12" i="2" s="1"/>
  <c r="X10" i="2"/>
  <c r="T5" i="2"/>
  <c r="X19" i="2"/>
  <c r="S11" i="2"/>
  <c r="T11" i="2" s="1"/>
  <c r="X7" i="2"/>
  <c r="X12" i="2"/>
  <c r="X15" i="2"/>
  <c r="S7" i="2"/>
  <c r="T7" i="2" s="1"/>
  <c r="X5" i="2"/>
  <c r="S13" i="2"/>
  <c r="T13" i="2" s="1"/>
  <c r="S20" i="2"/>
  <c r="T20" i="2" s="1"/>
  <c r="X11" i="2"/>
  <c r="S19" i="2"/>
  <c r="T19" i="2" s="1"/>
  <c r="U4" i="2" s="1"/>
  <c r="V4" i="2" s="1"/>
  <c r="S10" i="2"/>
  <c r="T10" i="2" s="1"/>
  <c r="S17" i="2"/>
  <c r="T17" i="2" s="1"/>
  <c r="W4" i="2" l="1"/>
  <c r="U9" i="2"/>
  <c r="U13" i="2"/>
  <c r="U6" i="2"/>
  <c r="U21" i="2"/>
  <c r="U7" i="2"/>
  <c r="U5" i="2"/>
  <c r="U11" i="2"/>
  <c r="U20" i="2"/>
  <c r="U8" i="2"/>
  <c r="U10" i="2"/>
  <c r="U18" i="2"/>
  <c r="U14" i="2"/>
  <c r="U16" i="2"/>
  <c r="U19" i="2"/>
  <c r="U12" i="2"/>
  <c r="U17" i="2"/>
  <c r="U15" i="2"/>
  <c r="V19" i="2" l="1"/>
  <c r="Y19" i="2" s="1"/>
  <c r="W19" i="2"/>
  <c r="W15" i="2"/>
  <c r="Z15" i="2" s="1"/>
  <c r="V15" i="2"/>
  <c r="Y15" i="2" s="1"/>
  <c r="V8" i="2"/>
  <c r="W8" i="2"/>
  <c r="W7" i="2"/>
  <c r="V7" i="2"/>
  <c r="Y7" i="2" s="1"/>
  <c r="W9" i="2"/>
  <c r="Z9" i="2" s="1"/>
  <c r="V9" i="2"/>
  <c r="W5" i="2"/>
  <c r="Z5" i="2" s="1"/>
  <c r="V5" i="2"/>
  <c r="Y5" i="2" s="1"/>
  <c r="W16" i="2"/>
  <c r="Z16" i="2" s="1"/>
  <c r="V16" i="2"/>
  <c r="V14" i="2"/>
  <c r="W14" i="2"/>
  <c r="Z14" i="2" s="1"/>
  <c r="V20" i="2"/>
  <c r="W20" i="2"/>
  <c r="V21" i="2"/>
  <c r="W21" i="2"/>
  <c r="Z21" i="2" s="1"/>
  <c r="W10" i="2"/>
  <c r="Z10" i="2" s="1"/>
  <c r="V10" i="2"/>
  <c r="W13" i="2"/>
  <c r="V13" i="2"/>
  <c r="Y13" i="2" s="1"/>
  <c r="W17" i="2"/>
  <c r="Z17" i="2" s="1"/>
  <c r="V17" i="2"/>
  <c r="W12" i="2"/>
  <c r="V12" i="2"/>
  <c r="Y12" i="2" s="1"/>
  <c r="V18" i="2"/>
  <c r="W18" i="2"/>
  <c r="W11" i="2"/>
  <c r="Z11" i="2" s="1"/>
  <c r="V11" i="2"/>
  <c r="Y11" i="2" s="1"/>
  <c r="W6" i="2"/>
  <c r="Z6" i="2" s="1"/>
  <c r="V6" i="2"/>
  <c r="Z4" i="2"/>
  <c r="Z18" i="2"/>
  <c r="Y18" i="2"/>
  <c r="Y17" i="2"/>
  <c r="Z13" i="2"/>
  <c r="Y16" i="2"/>
  <c r="Z20" i="2"/>
  <c r="Y20" i="2"/>
  <c r="Y21" i="2"/>
  <c r="Y14" i="2"/>
  <c r="Y9" i="2"/>
  <c r="Y10" i="2"/>
  <c r="Z19" i="2"/>
  <c r="Y8" i="2"/>
  <c r="Z8" i="2"/>
  <c r="Y6" i="2"/>
  <c r="Z7" i="2"/>
  <c r="Z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Q1" authorId="0" shapeId="0" xr:uid="{2C9AA5F8-AA10-4D97-9BFA-093B8944B152}">
      <text>
        <r>
          <rPr>
            <b/>
            <sz val="9"/>
            <color indexed="81"/>
            <rFont val="Tahoma"/>
            <family val="2"/>
          </rPr>
          <t>produce hindcast predictions for the last ten years (2012-2021) based on the chosen model-averaging approach, and estimate the sample standard deviation from the sum of the squared errors of the log of the observed values minus the log of the predicted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9AE43819-BB67-4E93-A168-BA1643CC46E9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1725FFD4-BB79-42D0-ACC6-737AFD7B68AA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F2EECF21-4B34-4B7C-8D7E-06C171BE3CCD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06BC3F3B-0CCD-4057-8F76-57B48DC34545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96D9376A-8CB0-4540-A1C1-D70A3BB332FE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P3" authorId="0" shapeId="0" xr:uid="{58288318-0EBA-471E-9D15-157472BA81BC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 shapeId="0" xr:uid="{88EF830A-197B-44B3-BFF4-D08EA2A789D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 xr:uid="{7E4F7ABF-055C-4015-8370-AD4DFA50EDC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Z21" authorId="0" shapeId="0" xr:uid="{E4A61226-35C0-41CC-A651-838816E643BE}">
      <text>
        <r>
          <rPr>
            <b/>
            <sz val="9"/>
            <color indexed="81"/>
            <rFont val="Tahoma"/>
            <family val="2"/>
          </rPr>
          <t>(observed-expected)^2 and then summed for the last 5 years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1" authorId="0" shapeId="0" xr:uid="{279CD23A-5EFF-41A2-974D-67C2DE8E2BDC}">
      <text>
        <r>
          <rPr>
            <b/>
            <sz val="9"/>
            <color indexed="81"/>
            <rFont val="Tahoma"/>
            <family val="2"/>
          </rPr>
          <t>References: Buckland et al. 1997; Dormann et al. 2008; derivation in Burnham and Anderson 2002:159-162; Norman et al. 2008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F232629D-D7EB-47A2-9407-ED9BA53EC61A}">
      <text/>
    </comment>
    <comment ref="E3" authorId="0" shapeId="0" xr:uid="{2C67B80A-E254-45D6-9F75-7424CC616365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AE2541ED-80FB-43F8-B8E4-248A8CB7AA01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8ADF851C-DDD6-407D-BEF2-DEC93905587C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8DF3D440-B880-4E51-BE4C-C3C15F85395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E6762157-2878-4807-83F8-6D266EDF1206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Q3" authorId="0" shapeId="0" xr:uid="{B5304558-CD82-41DA-BDFE-CEC418601407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5C346A86-3B25-4B2D-9031-A062ECE4DE6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 xr:uid="{31E7BFA2-5966-48AA-9C8F-292B95461F7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<sst xmlns="http://schemas.openxmlformats.org/spreadsheetml/2006/main" count="216" uniqueCount="85">
  <si>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</si>
  <si>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</si>
  <si>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</si>
  <si>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</si>
  <si>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</si>
  <si>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</si>
  <si>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</si>
  <si>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</si>
  <si>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</si>
  <si>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</si>
  <si>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</si>
  <si>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</si>
  <si>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m2</t>
  </si>
  <si>
    <t>m3</t>
  </si>
  <si>
    <t>m4</t>
  </si>
  <si>
    <t>m5</t>
  </si>
  <si>
    <t>m6</t>
  </si>
  <si>
    <t>m7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</si>
  <si>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</si>
  <si>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</si>
  <si>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</si>
  <si>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</si>
  <si>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</si>
  <si>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</si>
  <si>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</si>
  <si>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</si>
  <si>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</si>
  <si>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</si>
  <si>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</si>
  <si>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</si>
  <si>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</si>
  <si>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</si>
  <si>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</si>
  <si>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</si>
  <si>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CPUE + NSEAK_SST_AMJJ</t>
  </si>
  <si>
    <t>CPUE + SEAK_SST_MJJ</t>
  </si>
  <si>
    <t>CPUE + SEAK_SST_May</t>
  </si>
  <si>
    <t>fit_bias_corrected</t>
  </si>
  <si>
    <t>model_averaged_pred</t>
  </si>
  <si>
    <t>step1</t>
  </si>
  <si>
    <t>step2</t>
  </si>
  <si>
    <t>fit_LPI_80</t>
  </si>
  <si>
    <t>fit_UPI_80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</si>
  <si>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</si>
  <si>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</si>
  <si>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</si>
  <si>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</si>
  <si>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</si>
  <si>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</si>
  <si>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</si>
  <si>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</si>
  <si>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</si>
  <si>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</si>
  <si>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</si>
  <si>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</si>
  <si>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</si>
  <si>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</si>
  <si>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</si>
  <si>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</si>
  <si>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</si>
  <si>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</si>
  <si>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</si>
  <si>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</si>
  <si>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</si>
  <si>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</si>
  <si>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</si>
  <si>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</si>
  <si>
    <t>weighted equally based on inverse MAPE</t>
  </si>
  <si>
    <t>inv_var</t>
  </si>
  <si>
    <t>inv_var weighting</t>
  </si>
  <si>
    <t>step3 (se</t>
  </si>
  <si>
    <t>Forecasts</t>
  </si>
  <si>
    <t>Difference squared (observed - expected)^2</t>
  </si>
  <si>
    <t>Year</t>
  </si>
  <si>
    <t>Observed (True) Run Size</t>
  </si>
  <si>
    <t>millions</t>
  </si>
  <si>
    <t>log(millions)</t>
  </si>
  <si>
    <t>CPUE-only</t>
  </si>
  <si>
    <t>equal weighting</t>
  </si>
  <si>
    <t>weighted equally based on one step ahead inverse-variance</t>
  </si>
  <si>
    <t>SE</t>
  </si>
  <si>
    <t>Based on…</t>
  </si>
  <si>
    <t>R2</t>
  </si>
  <si>
    <t>AdjR2</t>
  </si>
  <si>
    <t>se_y_pred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</si>
</sst>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000"/>
    <numFmt numFmtId="166" formatCode="_(* #,##0_);_(* \(#,##0\);_(* &quot;-&quot;??_);_(@_)"/>
    <numFmt numFmtId="167" formatCode="0.0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9C0006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theme="9" tint="0.79998168889431442"/>
        <bgColor rgb="FFFFC7CE"/>
      </patternFill>
    </fill>
    <fill>
      <patternFill patternType="solid">
        <fgColor theme="9" tint="0.79998168889431442"/>
        <bgColor rgb="FFE6B8B7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164" fontId="0" fillId="34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165" fontId="0" fillId="34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1" fillId="0" borderId="0" xfId="0" applyFont="1"/>
    <xf numFmtId="0" fontId="26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1" fillId="35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2" fillId="37" borderId="0" xfId="0" applyFont="1" applyFill="1" applyAlignment="1">
      <alignment horizontal="center"/>
    </xf>
    <xf numFmtId="0" fontId="22" fillId="36" borderId="0" xfId="0" applyFont="1" applyFill="1" applyAlignment="1">
      <alignment horizontal="center"/>
    </xf>
    <xf numFmtId="166" fontId="22" fillId="37" borderId="0" xfId="0" applyNumberFormat="1" applyFont="1" applyFill="1" applyBorder="1" applyAlignment="1">
      <alignment horizontal="center"/>
    </xf>
    <xf numFmtId="166" fontId="22" fillId="36" borderId="0" xfId="0" applyNumberFormat="1" applyFont="1" applyFill="1" applyAlignment="1">
      <alignment horizontal="center"/>
    </xf>
    <xf numFmtId="3" fontId="0" fillId="38" borderId="0" xfId="0" applyNumberFormat="1" applyFill="1" applyBorder="1" applyAlignment="1">
      <alignment horizontal="center" wrapText="1"/>
    </xf>
    <xf numFmtId="166" fontId="22" fillId="36" borderId="0" xfId="0" applyNumberFormat="1" applyFont="1" applyFill="1" applyBorder="1" applyAlignment="1">
      <alignment horizontal="center"/>
    </xf>
    <xf numFmtId="166" fontId="0" fillId="38" borderId="0" xfId="0" applyNumberFormat="1" applyFill="1" applyBorder="1" applyAlignment="1">
      <alignment horizontal="center"/>
    </xf>
    <xf numFmtId="9" fontId="24" fillId="0" borderId="0" xfId="0" applyNumberFormat="1" applyFont="1" applyFill="1" applyBorder="1" applyAlignment="1">
      <alignment horizontal="center"/>
    </xf>
    <xf numFmtId="43" fontId="22" fillId="36" borderId="0" xfId="0" applyNumberFormat="1" applyFont="1" applyFill="1" applyAlignment="1">
      <alignment horizontal="center" vertical="center"/>
    </xf>
    <xf numFmtId="167" fontId="23" fillId="0" borderId="0" xfId="0" applyNumberFormat="1" applyFont="1" applyAlignment="1">
      <alignment horizontal="center" vertical="center"/>
    </xf>
    <xf numFmtId="2" fontId="22" fillId="36" borderId="0" xfId="0" applyNumberFormat="1" applyFont="1" applyFill="1" applyBorder="1" applyAlignment="1">
      <alignment horizontal="center" vertical="center"/>
    </xf>
    <xf numFmtId="43" fontId="21" fillId="0" borderId="0" xfId="0" applyNumberFormat="1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36</xdr:row>
      <xdr:rowOff>0</xdr:rowOff>
    </xdr:from>
    <xdr:ext cx="314325" cy="304800"/>
    <xdr:sp macro="" textlink="">
      <xdr:nvSpPr>
        <xdr:cNvPr id="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A926D1-5938-4599-BA8B-A0E459F13C7B}"/>
            </a:ext>
          </a:extLst>
        </xdr:cNvPr>
        <xdr:cNvSpPr/>
      </xdr:nvSpPr>
      <xdr:spPr>
        <a:xfrm>
          <a:off x="5886450" y="6858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342900</xdr:colOff>
      <xdr:row>30</xdr:row>
      <xdr:rowOff>123825</xdr:rowOff>
    </xdr:from>
    <xdr:ext cx="2105025" cy="3905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FFBED93-DD02-4751-84DF-E2536D7ED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7300" y="6153150"/>
          <a:ext cx="2105025" cy="390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88D-9972-4FE4-B74E-E96782EFC1C7}">
  <dimension ref="A1:V32"/>
  <sheetViews>
    <sheetView tabSelected="1" topLeftCell="L1" workbookViewId="0">
      <selection activeCell="T4" sqref="T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13.42578125" style="1" customWidth="1"/>
    <col min="12" max="12" width="17.42578125" style="1" customWidth="1"/>
    <col min="13" max="13" width="19" style="1" bestFit="1" customWidth="1"/>
    <col min="14" max="14" width="19" style="1" customWidth="1"/>
    <col min="15" max="15" width="32.7109375" style="1" bestFit="1" customWidth="1"/>
    <col min="16" max="16" width="21.7109375" style="1" bestFit="1" customWidth="1"/>
    <col min="17" max="17" width="9.140625" style="1"/>
    <col min="18" max="18" width="22.28515625" style="1" customWidth="1"/>
    <col min="19" max="19" width="35.140625" style="1" customWidth="1"/>
    <col min="20" max="20" width="5.5703125" style="1" bestFit="1" customWidth="1"/>
    <col min="21" max="21" width="19.140625" style="1" customWidth="1"/>
    <col min="22" max="22" width="24.7109375" style="1" customWidth="1"/>
  </cols>
  <sheetData>
    <row r="1" spans="1:22" ht="30" x14ac:dyDescent="0.25">
      <c r="A1" s="27" t="s">
        <v>67</v>
      </c>
      <c r="B1" s="2" t="s">
        <v>57</v>
      </c>
      <c r="Q1" s="1" t="s">
        <v>81</v>
      </c>
    </row>
    <row r="2" spans="1:22" x14ac:dyDescent="0.25">
      <c r="C2" s="52" t="s">
        <v>56</v>
      </c>
      <c r="D2" s="52"/>
      <c r="E2" s="52"/>
      <c r="F2" s="52"/>
      <c r="G2" s="52"/>
      <c r="H2" s="52"/>
      <c r="I2" s="52"/>
      <c r="K2" s="52" t="s">
        <v>46</v>
      </c>
      <c r="L2" s="52"/>
      <c r="O2" s="26"/>
      <c r="Q2" s="28" t="s">
        <v>80</v>
      </c>
      <c r="R2" s="52" t="s">
        <v>47</v>
      </c>
      <c r="S2" s="52"/>
      <c r="U2" s="52" t="s">
        <v>47</v>
      </c>
      <c r="V2" s="52"/>
    </row>
    <row r="3" spans="1:22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41</v>
      </c>
      <c r="L3" s="3" t="s">
        <v>42</v>
      </c>
      <c r="M3" s="3" t="s">
        <v>37</v>
      </c>
      <c r="N3" s="3" t="s">
        <v>37</v>
      </c>
      <c r="O3" s="3" t="s">
        <v>78</v>
      </c>
      <c r="P3" s="3" t="s">
        <v>38</v>
      </c>
      <c r="Q3" s="3" t="s">
        <v>84</v>
      </c>
      <c r="R3" s="3" t="s">
        <v>41</v>
      </c>
      <c r="S3" s="3" t="s">
        <v>42</v>
      </c>
      <c r="T3" s="3" t="s">
        <v>1</v>
      </c>
      <c r="U3" s="3" t="s">
        <v>41</v>
      </c>
      <c r="V3" s="3" t="s">
        <v>42</v>
      </c>
    </row>
    <row r="4" spans="1:22" s="12" customFormat="1" x14ac:dyDescent="0.25">
      <c r="A4" s="10" t="s">
        <v>11</v>
      </c>
      <c r="B4" s="10" t="s">
        <v>10</v>
      </c>
      <c r="C4" s="10">
        <v>2.7121487673036202</v>
      </c>
      <c r="D4" s="10">
        <v>0.15537120085078801</v>
      </c>
      <c r="E4" s="10">
        <v>2.1097801743561302</v>
      </c>
      <c r="F4" s="10">
        <v>3.3145173602511102</v>
      </c>
      <c r="G4" s="10">
        <v>32.5560578916457</v>
      </c>
      <c r="H4" s="10">
        <v>0.428621240788846</v>
      </c>
      <c r="I4" s="10">
        <v>22</v>
      </c>
      <c r="J4" s="5">
        <f>D4*SQRT(I4+1)</f>
        <v>0.74513410285516113</v>
      </c>
      <c r="K4" s="5">
        <f>M4-(1.28*J4)</f>
        <v>1.8502351996766988</v>
      </c>
      <c r="L4" s="5">
        <f>M4+(1.28*J4)</f>
        <v>3.7577785029859117</v>
      </c>
      <c r="M4" s="11">
        <f>C4+((H4*H4)/2)</f>
        <v>2.8040068513313052</v>
      </c>
      <c r="N4" s="11">
        <f>EXP(M4)</f>
        <v>16.510670210624895</v>
      </c>
      <c r="O4" s="11">
        <f>1/18</f>
        <v>5.5555555555555552E-2</v>
      </c>
      <c r="P4" s="5" cm="1">
        <f t="array" ref="P4">SUM($M$4:$M$21*$O$4:$O$21)</f>
        <v>2.6668214076372858</v>
      </c>
      <c r="Q4" s="24">
        <f>hindcasts!Z24</f>
        <v>0.91705683764725676</v>
      </c>
      <c r="R4" s="5">
        <f>P4-1.28*Q4</f>
        <v>1.4929886554487972</v>
      </c>
      <c r="S4" s="5">
        <f>P4+1.28*Q4</f>
        <v>3.8406541598257746</v>
      </c>
      <c r="T4" s="11">
        <f>EXP(P4)</f>
        <v>14.39414328652996</v>
      </c>
      <c r="U4" s="11">
        <f>EXP(R4)</f>
        <v>4.4503763046641849</v>
      </c>
      <c r="V4" s="11">
        <f>EXP(S4)</f>
        <v>46.555919492922463</v>
      </c>
    </row>
    <row r="5" spans="1:22" s="12" customFormat="1" x14ac:dyDescent="0.25">
      <c r="A5" s="10" t="s">
        <v>12</v>
      </c>
      <c r="B5" s="10" t="s">
        <v>19</v>
      </c>
      <c r="C5" s="10">
        <v>2.7027208960742302</v>
      </c>
      <c r="D5" s="10">
        <v>0.106660481348756</v>
      </c>
      <c r="E5" s="10">
        <v>2.2886470081110502</v>
      </c>
      <c r="F5" s="10">
        <v>3.1167947840374</v>
      </c>
      <c r="G5" s="10">
        <v>16.281556239917101</v>
      </c>
      <c r="H5" s="10">
        <v>0.29419864858496603</v>
      </c>
      <c r="I5" s="10">
        <v>21</v>
      </c>
      <c r="J5" s="5">
        <f t="shared" ref="J5:J21" si="0">D5*SQRT(I5+1)</f>
        <v>0.50028200266855816</v>
      </c>
      <c r="K5" s="5">
        <f t="shared" ref="K5:K21" si="1">M5-(1.28*J5)</f>
        <v>2.1056363550730857</v>
      </c>
      <c r="L5" s="5">
        <f t="shared" ref="L5:L21" si="2">M5+(1.28*J5)</f>
        <v>3.3863582819045948</v>
      </c>
      <c r="M5" s="11">
        <f t="shared" ref="M5:M21" si="3">C5+((H5*H5)/2)</f>
        <v>2.7459973184888402</v>
      </c>
      <c r="N5" s="11">
        <f t="shared" ref="N5:N21" si="4">EXP(M5)</f>
        <v>15.580144552630969</v>
      </c>
      <c r="O5" s="11">
        <f t="shared" ref="O5:O21" si="5">1/18</f>
        <v>5.5555555555555552E-2</v>
      </c>
      <c r="P5" s="5" cm="1">
        <f t="array" ref="P5">SUM($M$4:$M$21*$O$4:$O$21)</f>
        <v>2.6668214076372858</v>
      </c>
      <c r="Q5" s="24">
        <f>Q4</f>
        <v>0.91705683764725676</v>
      </c>
      <c r="R5" s="5">
        <f>P5-1.28*Q5</f>
        <v>1.4929886554487972</v>
      </c>
      <c r="S5" s="5">
        <f>P5+1.28*Q5</f>
        <v>3.8406541598257746</v>
      </c>
      <c r="T5" s="11">
        <f>EXP(P5)</f>
        <v>14.39414328652996</v>
      </c>
      <c r="U5" s="11">
        <f t="shared" ref="U5:V21" si="6">EXP(R5)</f>
        <v>4.4503763046641849</v>
      </c>
      <c r="V5" s="11">
        <f t="shared" si="6"/>
        <v>46.555919492922463</v>
      </c>
    </row>
    <row r="6" spans="1:22" s="12" customFormat="1" x14ac:dyDescent="0.25">
      <c r="A6" s="10" t="s">
        <v>13</v>
      </c>
      <c r="B6" s="10" t="s">
        <v>48</v>
      </c>
      <c r="C6" s="10">
        <v>2.7495991174469698</v>
      </c>
      <c r="D6" s="10">
        <v>0.112206475902042</v>
      </c>
      <c r="E6" s="10">
        <v>2.3149394593798398</v>
      </c>
      <c r="F6" s="10">
        <v>3.1842587755140999</v>
      </c>
      <c r="G6" s="10">
        <v>18.5967320268565</v>
      </c>
      <c r="H6" s="10">
        <v>0.308736463333391</v>
      </c>
      <c r="I6" s="10">
        <v>21</v>
      </c>
      <c r="J6" s="5">
        <f t="shared" si="0"/>
        <v>0.52629502292518571</v>
      </c>
      <c r="K6" s="5">
        <f t="shared" si="1"/>
        <v>2.1236005899985373</v>
      </c>
      <c r="L6" s="5">
        <f t="shared" si="2"/>
        <v>3.4709158486870124</v>
      </c>
      <c r="M6" s="11">
        <f t="shared" si="3"/>
        <v>2.7972582193427749</v>
      </c>
      <c r="N6" s="11">
        <f t="shared" si="4"/>
        <v>16.399620910388439</v>
      </c>
      <c r="O6" s="11">
        <f t="shared" si="5"/>
        <v>5.5555555555555552E-2</v>
      </c>
      <c r="P6" s="5" cm="1">
        <f t="array" ref="P6">SUM($M$4:$M$21*$O$4:$O$21)</f>
        <v>2.6668214076372858</v>
      </c>
      <c r="Q6" s="24">
        <f t="shared" ref="Q6:Q21" si="7">Q5</f>
        <v>0.91705683764725676</v>
      </c>
      <c r="R6" s="5">
        <f>P6-1.28*Q6</f>
        <v>1.4929886554487972</v>
      </c>
      <c r="S6" s="5">
        <f>P6+1.28*Q6</f>
        <v>3.8406541598257746</v>
      </c>
      <c r="T6" s="11">
        <f>EXP(P6)</f>
        <v>14.39414328652996</v>
      </c>
      <c r="U6" s="11">
        <f t="shared" si="6"/>
        <v>4.4503763046641849</v>
      </c>
      <c r="V6" s="11">
        <f t="shared" si="6"/>
        <v>46.555919492922463</v>
      </c>
    </row>
    <row r="7" spans="1:22" s="12" customFormat="1" x14ac:dyDescent="0.25">
      <c r="A7" s="10" t="s">
        <v>14</v>
      </c>
      <c r="B7" s="10" t="s">
        <v>49</v>
      </c>
      <c r="C7" s="10">
        <v>2.5296472351655499</v>
      </c>
      <c r="D7" s="10">
        <v>0.133566394858191</v>
      </c>
      <c r="E7" s="10">
        <v>2.0436945647353499</v>
      </c>
      <c r="F7" s="10">
        <v>3.0155999055957401</v>
      </c>
      <c r="G7" s="10">
        <v>23.523646666590999</v>
      </c>
      <c r="H7" s="10">
        <v>0.34210992328034301</v>
      </c>
      <c r="I7" s="10">
        <v>21</v>
      </c>
      <c r="J7" s="5">
        <f t="shared" si="0"/>
        <v>0.62648192342565812</v>
      </c>
      <c r="K7" s="5">
        <f t="shared" si="1"/>
        <v>1.7862699729841487</v>
      </c>
      <c r="L7" s="5">
        <f t="shared" si="2"/>
        <v>3.3900636969538334</v>
      </c>
      <c r="M7" s="11">
        <f t="shared" si="3"/>
        <v>2.588166834968991</v>
      </c>
      <c r="N7" s="11">
        <f t="shared" si="4"/>
        <v>13.305358315650695</v>
      </c>
      <c r="O7" s="11">
        <f t="shared" si="5"/>
        <v>5.5555555555555552E-2</v>
      </c>
      <c r="P7" s="5" cm="1">
        <f t="array" ref="P7">SUM($M$4:$M$21*$O$4:$O$21)</f>
        <v>2.6668214076372858</v>
      </c>
      <c r="Q7" s="24">
        <f t="shared" si="7"/>
        <v>0.91705683764725676</v>
      </c>
      <c r="R7" s="5">
        <f>P7-1.28*Q7</f>
        <v>1.4929886554487972</v>
      </c>
      <c r="S7" s="5">
        <f>P7+1.28*Q7</f>
        <v>3.8406541598257746</v>
      </c>
      <c r="T7" s="11">
        <f>EXP(P7)</f>
        <v>14.39414328652996</v>
      </c>
      <c r="U7" s="11">
        <f t="shared" si="6"/>
        <v>4.4503763046641849</v>
      </c>
      <c r="V7" s="11">
        <f t="shared" si="6"/>
        <v>46.555919492922463</v>
      </c>
    </row>
    <row r="8" spans="1:22" s="12" customFormat="1" x14ac:dyDescent="0.25">
      <c r="A8" s="10" t="s">
        <v>15</v>
      </c>
      <c r="B8" s="10" t="s">
        <v>50</v>
      </c>
      <c r="C8" s="10">
        <v>2.6504195770932202</v>
      </c>
      <c r="D8" s="10">
        <v>0.11188305174794801</v>
      </c>
      <c r="E8" s="10">
        <v>2.2186743669807201</v>
      </c>
      <c r="F8" s="10">
        <v>3.0821647872057198</v>
      </c>
      <c r="G8" s="10">
        <v>18.24934233994</v>
      </c>
      <c r="H8" s="10">
        <v>0.30651011558828101</v>
      </c>
      <c r="I8" s="10">
        <v>21</v>
      </c>
      <c r="J8" s="5">
        <f t="shared" si="0"/>
        <v>0.5247780291757157</v>
      </c>
      <c r="K8" s="5">
        <f t="shared" si="1"/>
        <v>2.0256779252272747</v>
      </c>
      <c r="L8" s="5">
        <f t="shared" si="2"/>
        <v>3.369109679917107</v>
      </c>
      <c r="M8" s="11">
        <f t="shared" si="3"/>
        <v>2.6973938025721909</v>
      </c>
      <c r="N8" s="11">
        <f t="shared" si="4"/>
        <v>14.841002695994186</v>
      </c>
      <c r="O8" s="11">
        <f t="shared" si="5"/>
        <v>5.5555555555555552E-2</v>
      </c>
      <c r="P8" s="5" cm="1">
        <f t="array" ref="P8">SUM($M$4:$M$21*$O$4:$O$21)</f>
        <v>2.6668214076372858</v>
      </c>
      <c r="Q8" s="24">
        <f t="shared" si="7"/>
        <v>0.91705683764725676</v>
      </c>
      <c r="R8" s="5">
        <f>P8-1.28*Q8</f>
        <v>1.4929886554487972</v>
      </c>
      <c r="S8" s="5">
        <f>P8+1.28*Q8</f>
        <v>3.8406541598257746</v>
      </c>
      <c r="T8" s="11">
        <f>EXP(P8)</f>
        <v>14.39414328652996</v>
      </c>
      <c r="U8" s="11">
        <f t="shared" si="6"/>
        <v>4.4503763046641849</v>
      </c>
      <c r="V8" s="11">
        <f t="shared" si="6"/>
        <v>46.555919492922463</v>
      </c>
    </row>
    <row r="9" spans="1:22" s="12" customFormat="1" x14ac:dyDescent="0.25">
      <c r="A9" s="10" t="s">
        <v>16</v>
      </c>
      <c r="B9" s="10" t="s">
        <v>51</v>
      </c>
      <c r="C9" s="10">
        <v>2.5393843432496102</v>
      </c>
      <c r="D9" s="10">
        <v>0.123305978416517</v>
      </c>
      <c r="E9" s="10">
        <v>2.0840676791358401</v>
      </c>
      <c r="F9" s="10">
        <v>2.99470100736339</v>
      </c>
      <c r="G9" s="10">
        <v>20.5045221172401</v>
      </c>
      <c r="H9" s="10">
        <v>0.321254508518384</v>
      </c>
      <c r="I9" s="10">
        <v>21</v>
      </c>
      <c r="J9" s="5">
        <f t="shared" si="0"/>
        <v>0.57835630444527897</v>
      </c>
      <c r="K9" s="5">
        <f t="shared" si="1"/>
        <v>1.850690503181347</v>
      </c>
      <c r="L9" s="5">
        <f t="shared" si="2"/>
        <v>3.3312826425612614</v>
      </c>
      <c r="M9" s="11">
        <f t="shared" si="3"/>
        <v>2.5909865728713042</v>
      </c>
      <c r="N9" s="11">
        <f t="shared" si="4"/>
        <v>13.342928883480869</v>
      </c>
      <c r="O9" s="11">
        <f t="shared" si="5"/>
        <v>5.5555555555555552E-2</v>
      </c>
      <c r="P9" s="5" cm="1">
        <f t="array" ref="P9">SUM($M$4:$M$21*$O$4:$O$21)</f>
        <v>2.6668214076372858</v>
      </c>
      <c r="Q9" s="24">
        <f t="shared" si="7"/>
        <v>0.91705683764725676</v>
      </c>
      <c r="R9" s="5">
        <f>P9-1.28*Q9</f>
        <v>1.4929886554487972</v>
      </c>
      <c r="S9" s="5">
        <f>P9+1.28*Q9</f>
        <v>3.8406541598257746</v>
      </c>
      <c r="T9" s="11">
        <f>EXP(P9)</f>
        <v>14.39414328652996</v>
      </c>
      <c r="U9" s="11">
        <f t="shared" si="6"/>
        <v>4.4503763046641849</v>
      </c>
      <c r="V9" s="11">
        <f t="shared" si="6"/>
        <v>46.555919492922463</v>
      </c>
    </row>
    <row r="10" spans="1:22" s="12" customFormat="1" x14ac:dyDescent="0.25">
      <c r="A10" s="10" t="s">
        <v>17</v>
      </c>
      <c r="B10" s="10" t="s">
        <v>28</v>
      </c>
      <c r="C10" s="10">
        <v>2.7138878682679901</v>
      </c>
      <c r="D10" s="10">
        <v>0.116236475115194</v>
      </c>
      <c r="E10" s="10">
        <v>2.2625801589129599</v>
      </c>
      <c r="F10" s="10">
        <v>3.1651955776230198</v>
      </c>
      <c r="G10" s="10">
        <v>20.415407861198901</v>
      </c>
      <c r="H10" s="10">
        <v>0.32065863772629999</v>
      </c>
      <c r="I10" s="10">
        <v>21</v>
      </c>
      <c r="J10" s="5">
        <f t="shared" si="0"/>
        <v>0.54519739474662987</v>
      </c>
      <c r="K10" s="5">
        <f t="shared" si="1"/>
        <v>2.0674461839665472</v>
      </c>
      <c r="L10" s="5">
        <f t="shared" si="2"/>
        <v>3.4631515145179197</v>
      </c>
      <c r="M10" s="11">
        <f t="shared" si="3"/>
        <v>2.7652988492422335</v>
      </c>
      <c r="N10" s="11">
        <f t="shared" si="4"/>
        <v>15.883786138838479</v>
      </c>
      <c r="O10" s="11">
        <f t="shared" si="5"/>
        <v>5.5555555555555552E-2</v>
      </c>
      <c r="P10" s="5" cm="1">
        <f t="array" ref="P10">SUM($M$4:$M$21*$O$4:$O$21)</f>
        <v>2.6668214076372858</v>
      </c>
      <c r="Q10" s="24">
        <f t="shared" si="7"/>
        <v>0.91705683764725676</v>
      </c>
      <c r="R10" s="5">
        <f>P10-1.28*Q10</f>
        <v>1.4929886554487972</v>
      </c>
      <c r="S10" s="5">
        <f>P10+1.28*Q10</f>
        <v>3.8406541598257746</v>
      </c>
      <c r="T10" s="11">
        <f>EXP(P10)</f>
        <v>14.39414328652996</v>
      </c>
      <c r="U10" s="11">
        <f t="shared" si="6"/>
        <v>4.4503763046641849</v>
      </c>
      <c r="V10" s="11">
        <f t="shared" si="6"/>
        <v>46.555919492922463</v>
      </c>
    </row>
    <row r="11" spans="1:22" s="12" customFormat="1" x14ac:dyDescent="0.25">
      <c r="A11" s="10" t="s">
        <v>18</v>
      </c>
      <c r="B11" s="10" t="s">
        <v>26</v>
      </c>
      <c r="C11" s="10">
        <v>2.5580070352160198</v>
      </c>
      <c r="D11" s="10">
        <v>0.13473500058198201</v>
      </c>
      <c r="E11" s="10">
        <v>2.0609997140662202</v>
      </c>
      <c r="F11" s="10">
        <v>3.0550143563658199</v>
      </c>
      <c r="G11" s="10">
        <v>24.702591764837099</v>
      </c>
      <c r="H11" s="10">
        <v>0.35061664767110801</v>
      </c>
      <c r="I11" s="10">
        <v>21</v>
      </c>
      <c r="J11" s="5">
        <f t="shared" si="0"/>
        <v>0.63196317012954739</v>
      </c>
      <c r="K11" s="5">
        <f t="shared" si="1"/>
        <v>1.8105601942622622</v>
      </c>
      <c r="L11" s="5">
        <f t="shared" si="2"/>
        <v>3.4283859097939038</v>
      </c>
      <c r="M11" s="11">
        <f t="shared" si="3"/>
        <v>2.6194730520280829</v>
      </c>
      <c r="N11" s="11">
        <f t="shared" si="4"/>
        <v>13.728487480084819</v>
      </c>
      <c r="O11" s="11">
        <f t="shared" si="5"/>
        <v>5.5555555555555552E-2</v>
      </c>
      <c r="P11" s="5" cm="1">
        <f t="array" ref="P11">SUM($M$4:$M$21*$O$4:$O$21)</f>
        <v>2.6668214076372858</v>
      </c>
      <c r="Q11" s="24">
        <f t="shared" si="7"/>
        <v>0.91705683764725676</v>
      </c>
      <c r="R11" s="5">
        <f>P11-1.28*Q11</f>
        <v>1.4929886554487972</v>
      </c>
      <c r="S11" s="5">
        <f>P11+1.28*Q11</f>
        <v>3.8406541598257746</v>
      </c>
      <c r="T11" s="11">
        <f>EXP(P11)</f>
        <v>14.39414328652996</v>
      </c>
      <c r="U11" s="11">
        <f t="shared" si="6"/>
        <v>4.4503763046641849</v>
      </c>
      <c r="V11" s="11">
        <f t="shared" si="6"/>
        <v>46.555919492922463</v>
      </c>
    </row>
    <row r="12" spans="1:22" s="12" customFormat="1" x14ac:dyDescent="0.25">
      <c r="A12" s="10" t="s">
        <v>20</v>
      </c>
      <c r="B12" s="10" t="s">
        <v>52</v>
      </c>
      <c r="C12" s="10">
        <v>2.60994658164616</v>
      </c>
      <c r="D12" s="10">
        <v>0.121509429065568</v>
      </c>
      <c r="E12" s="10">
        <v>2.1471482776181698</v>
      </c>
      <c r="F12" s="10">
        <v>3.0727448856741599</v>
      </c>
      <c r="G12" s="10">
        <v>21.498294998145401</v>
      </c>
      <c r="H12" s="10">
        <v>0.32797496265278497</v>
      </c>
      <c r="I12" s="10">
        <v>21</v>
      </c>
      <c r="J12" s="5">
        <f t="shared" si="0"/>
        <v>0.56992974105628724</v>
      </c>
      <c r="K12" s="5">
        <f t="shared" si="1"/>
        <v>1.9342203011576602</v>
      </c>
      <c r="L12" s="5">
        <f t="shared" si="2"/>
        <v>3.3932404382617554</v>
      </c>
      <c r="M12" s="11">
        <f t="shared" si="3"/>
        <v>2.6637303697097079</v>
      </c>
      <c r="N12" s="11">
        <f t="shared" si="4"/>
        <v>14.349719137432116</v>
      </c>
      <c r="O12" s="11">
        <f t="shared" si="5"/>
        <v>5.5555555555555552E-2</v>
      </c>
      <c r="P12" s="5" cm="1">
        <f t="array" ref="P12">SUM($M$4:$M$21*$O$4:$O$21)</f>
        <v>2.6668214076372858</v>
      </c>
      <c r="Q12" s="24">
        <f t="shared" si="7"/>
        <v>0.91705683764725676</v>
      </c>
      <c r="R12" s="5">
        <f>P12-1.28*Q12</f>
        <v>1.4929886554487972</v>
      </c>
      <c r="S12" s="5">
        <f>P12+1.28*Q12</f>
        <v>3.8406541598257746</v>
      </c>
      <c r="T12" s="11">
        <f>EXP(P12)</f>
        <v>14.39414328652996</v>
      </c>
      <c r="U12" s="11">
        <f t="shared" si="6"/>
        <v>4.4503763046641849</v>
      </c>
      <c r="V12" s="11">
        <f t="shared" si="6"/>
        <v>46.555919492922463</v>
      </c>
    </row>
    <row r="13" spans="1:22" s="12" customFormat="1" x14ac:dyDescent="0.25">
      <c r="A13" s="10" t="s">
        <v>21</v>
      </c>
      <c r="B13" s="10" t="s">
        <v>30</v>
      </c>
      <c r="C13" s="10">
        <v>2.5531881165961701</v>
      </c>
      <c r="D13" s="10">
        <v>0.12919986115821699</v>
      </c>
      <c r="E13" s="10">
        <v>2.0752175950568401</v>
      </c>
      <c r="F13" s="10">
        <v>3.0311586381355</v>
      </c>
      <c r="G13" s="10">
        <v>22.848361400411299</v>
      </c>
      <c r="H13" s="10">
        <v>0.33733066648645499</v>
      </c>
      <c r="I13" s="10">
        <v>21</v>
      </c>
      <c r="J13" s="5">
        <f t="shared" si="0"/>
        <v>0.60600106494350003</v>
      </c>
      <c r="K13" s="5">
        <f t="shared" si="1"/>
        <v>1.8344027427445879</v>
      </c>
      <c r="L13" s="5">
        <f t="shared" si="2"/>
        <v>3.3857654689999479</v>
      </c>
      <c r="M13" s="11">
        <f t="shared" si="3"/>
        <v>2.6100841058722679</v>
      </c>
      <c r="N13" s="11">
        <f t="shared" si="4"/>
        <v>13.60019465996465</v>
      </c>
      <c r="O13" s="11">
        <f t="shared" si="5"/>
        <v>5.5555555555555552E-2</v>
      </c>
      <c r="P13" s="5" cm="1">
        <f t="array" ref="P13">SUM($M$4:$M$21*$O$4:$O$21)</f>
        <v>2.6668214076372858</v>
      </c>
      <c r="Q13" s="24">
        <f t="shared" si="7"/>
        <v>0.91705683764725676</v>
      </c>
      <c r="R13" s="5">
        <f>P13-1.28*Q13</f>
        <v>1.4929886554487972</v>
      </c>
      <c r="S13" s="5">
        <f>P13+1.28*Q13</f>
        <v>3.8406541598257746</v>
      </c>
      <c r="T13" s="11">
        <f>EXP(P13)</f>
        <v>14.39414328652996</v>
      </c>
      <c r="U13" s="11">
        <f t="shared" si="6"/>
        <v>4.4503763046641849</v>
      </c>
      <c r="V13" s="11">
        <f t="shared" si="6"/>
        <v>46.555919492922463</v>
      </c>
    </row>
    <row r="14" spans="1:22" s="12" customFormat="1" x14ac:dyDescent="0.25">
      <c r="A14" s="10" t="s">
        <v>22</v>
      </c>
      <c r="B14" s="10" t="s">
        <v>33</v>
      </c>
      <c r="C14" s="10">
        <v>2.7371373131121599</v>
      </c>
      <c r="D14" s="10">
        <v>0.11516458341726001</v>
      </c>
      <c r="E14" s="10">
        <v>2.2904752900972598</v>
      </c>
      <c r="F14" s="10">
        <v>3.18379933612706</v>
      </c>
      <c r="G14" s="10">
        <v>19.911905597260901</v>
      </c>
      <c r="H14" s="10">
        <v>0.31731262698919899</v>
      </c>
      <c r="I14" s="10">
        <v>21</v>
      </c>
      <c r="J14" s="5">
        <f t="shared" si="0"/>
        <v>0.5401697770338163</v>
      </c>
      <c r="K14" s="5">
        <f t="shared" si="1"/>
        <v>2.096063650132268</v>
      </c>
      <c r="L14" s="5">
        <f t="shared" si="2"/>
        <v>3.4788982793388383</v>
      </c>
      <c r="M14" s="11">
        <f t="shared" si="3"/>
        <v>2.7874809647355532</v>
      </c>
      <c r="N14" s="11">
        <f t="shared" si="4"/>
        <v>16.240058951339822</v>
      </c>
      <c r="O14" s="11">
        <f t="shared" si="5"/>
        <v>5.5555555555555552E-2</v>
      </c>
      <c r="P14" s="5" cm="1">
        <f t="array" ref="P14">SUM($M$4:$M$21*$O$4:$O$21)</f>
        <v>2.6668214076372858</v>
      </c>
      <c r="Q14" s="24">
        <f t="shared" si="7"/>
        <v>0.91705683764725676</v>
      </c>
      <c r="R14" s="5">
        <f>P14-1.28*Q14</f>
        <v>1.4929886554487972</v>
      </c>
      <c r="S14" s="5">
        <f>P14+1.28*Q14</f>
        <v>3.8406541598257746</v>
      </c>
      <c r="T14" s="11">
        <f>EXP(P14)</f>
        <v>14.39414328652996</v>
      </c>
      <c r="U14" s="11">
        <f t="shared" si="6"/>
        <v>4.4503763046641849</v>
      </c>
      <c r="V14" s="11">
        <f t="shared" si="6"/>
        <v>46.555919492922463</v>
      </c>
    </row>
    <row r="15" spans="1:22" s="12" customFormat="1" x14ac:dyDescent="0.25">
      <c r="A15" s="10" t="s">
        <v>23</v>
      </c>
      <c r="B15" s="10" t="s">
        <v>31</v>
      </c>
      <c r="C15" s="10">
        <v>2.5184974031289702</v>
      </c>
      <c r="D15" s="10">
        <v>0.132890863474177</v>
      </c>
      <c r="E15" s="10">
        <v>2.03754414923853</v>
      </c>
      <c r="F15" s="10">
        <v>2.9994506570194202</v>
      </c>
      <c r="G15" s="10">
        <v>22.988473029164499</v>
      </c>
      <c r="H15" s="10">
        <v>0.33831677060788501</v>
      </c>
      <c r="I15" s="10">
        <v>21</v>
      </c>
      <c r="J15" s="5">
        <f t="shared" si="0"/>
        <v>0.62331340037582361</v>
      </c>
      <c r="K15" s="5">
        <f t="shared" si="1"/>
        <v>1.7778853692851901</v>
      </c>
      <c r="L15" s="5">
        <f t="shared" si="2"/>
        <v>3.3735676742472984</v>
      </c>
      <c r="M15" s="11">
        <f t="shared" si="3"/>
        <v>2.5757265217662444</v>
      </c>
      <c r="N15" s="11">
        <f t="shared" si="4"/>
        <v>13.140860812641563</v>
      </c>
      <c r="O15" s="11">
        <f t="shared" si="5"/>
        <v>5.5555555555555552E-2</v>
      </c>
      <c r="P15" s="5" cm="1">
        <f t="array" ref="P15">SUM($M$4:$M$21*$O$4:$O$21)</f>
        <v>2.6668214076372858</v>
      </c>
      <c r="Q15" s="24">
        <f t="shared" si="7"/>
        <v>0.91705683764725676</v>
      </c>
      <c r="R15" s="5">
        <f>P15-1.28*Q15</f>
        <v>1.4929886554487972</v>
      </c>
      <c r="S15" s="5">
        <f>P15+1.28*Q15</f>
        <v>3.8406541598257746</v>
      </c>
      <c r="T15" s="11">
        <f>EXP(P15)</f>
        <v>14.39414328652996</v>
      </c>
      <c r="U15" s="11">
        <f t="shared" si="6"/>
        <v>4.4503763046641849</v>
      </c>
      <c r="V15" s="11">
        <f t="shared" si="6"/>
        <v>46.555919492922463</v>
      </c>
    </row>
    <row r="16" spans="1:22" s="12" customFormat="1" x14ac:dyDescent="0.25">
      <c r="A16" s="10" t="s">
        <v>24</v>
      </c>
      <c r="B16" s="10" t="s">
        <v>53</v>
      </c>
      <c r="C16" s="10">
        <v>2.6128083611622901</v>
      </c>
      <c r="D16" s="10">
        <v>0.116001556394472</v>
      </c>
      <c r="E16" s="10">
        <v>2.1697796526502802</v>
      </c>
      <c r="F16" s="10">
        <v>3.0558370696743</v>
      </c>
      <c r="G16" s="10">
        <v>19.420711041616801</v>
      </c>
      <c r="H16" s="10">
        <v>0.31408205486646901</v>
      </c>
      <c r="I16" s="10">
        <v>21</v>
      </c>
      <c r="J16" s="5">
        <f t="shared" si="0"/>
        <v>0.54409552827667784</v>
      </c>
      <c r="K16" s="5">
        <f t="shared" si="1"/>
        <v>1.9656898535627141</v>
      </c>
      <c r="L16" s="5">
        <f t="shared" si="2"/>
        <v>3.3585744059510096</v>
      </c>
      <c r="M16" s="11">
        <f t="shared" si="3"/>
        <v>2.6621321297568619</v>
      </c>
      <c r="N16" s="11">
        <f t="shared" si="4"/>
        <v>14.326803160487501</v>
      </c>
      <c r="O16" s="11">
        <f t="shared" si="5"/>
        <v>5.5555555555555552E-2</v>
      </c>
      <c r="P16" s="5" cm="1">
        <f t="array" ref="P16">SUM($M$4:$M$21*$O$4:$O$21)</f>
        <v>2.6668214076372858</v>
      </c>
      <c r="Q16" s="24">
        <f t="shared" si="7"/>
        <v>0.91705683764725676</v>
      </c>
      <c r="R16" s="5">
        <f>P16-1.28*Q16</f>
        <v>1.4929886554487972</v>
      </c>
      <c r="S16" s="5">
        <f>P16+1.28*Q16</f>
        <v>3.8406541598257746</v>
      </c>
      <c r="T16" s="11">
        <f>EXP(P16)</f>
        <v>14.39414328652996</v>
      </c>
      <c r="U16" s="11">
        <f t="shared" si="6"/>
        <v>4.4503763046641849</v>
      </c>
      <c r="V16" s="11">
        <f t="shared" si="6"/>
        <v>46.555919492922463</v>
      </c>
    </row>
    <row r="17" spans="1:22" s="12" customFormat="1" x14ac:dyDescent="0.25">
      <c r="A17" s="10" t="s">
        <v>25</v>
      </c>
      <c r="B17" s="10" t="s">
        <v>34</v>
      </c>
      <c r="C17" s="10">
        <v>2.5240955955253601</v>
      </c>
      <c r="D17" s="10">
        <v>0.126581688335445</v>
      </c>
      <c r="E17" s="10">
        <v>2.0615565465416399</v>
      </c>
      <c r="F17" s="10">
        <v>2.9866346445090799</v>
      </c>
      <c r="G17" s="10">
        <v>21.184921958577299</v>
      </c>
      <c r="H17" s="10">
        <v>0.325840718075184</v>
      </c>
      <c r="I17" s="10">
        <v>21</v>
      </c>
      <c r="J17" s="5">
        <f t="shared" si="0"/>
        <v>0.59372074587362889</v>
      </c>
      <c r="K17" s="5">
        <f t="shared" si="1"/>
        <v>1.8172191275849912</v>
      </c>
      <c r="L17" s="5">
        <f t="shared" si="2"/>
        <v>3.337144237021481</v>
      </c>
      <c r="M17" s="11">
        <f t="shared" si="3"/>
        <v>2.5771816823032361</v>
      </c>
      <c r="N17" s="11">
        <f t="shared" si="4"/>
        <v>13.159996794304204</v>
      </c>
      <c r="O17" s="11">
        <f t="shared" si="5"/>
        <v>5.5555555555555552E-2</v>
      </c>
      <c r="P17" s="5" cm="1">
        <f t="array" ref="P17">SUM($M$4:$M$21*$O$4:$O$21)</f>
        <v>2.6668214076372858</v>
      </c>
      <c r="Q17" s="24">
        <f t="shared" si="7"/>
        <v>0.91705683764725676</v>
      </c>
      <c r="R17" s="5">
        <f>P17-1.28*Q17</f>
        <v>1.4929886554487972</v>
      </c>
      <c r="S17" s="5">
        <f>P17+1.28*Q17</f>
        <v>3.8406541598257746</v>
      </c>
      <c r="T17" s="11">
        <f>EXP(P17)</f>
        <v>14.39414328652996</v>
      </c>
      <c r="U17" s="11">
        <f t="shared" si="6"/>
        <v>4.4503763046641849</v>
      </c>
      <c r="V17" s="11">
        <f t="shared" si="6"/>
        <v>46.555919492922463</v>
      </c>
    </row>
    <row r="18" spans="1:22" s="12" customFormat="1" x14ac:dyDescent="0.25">
      <c r="A18" s="10" t="s">
        <v>27</v>
      </c>
      <c r="B18" s="10" t="s">
        <v>36</v>
      </c>
      <c r="C18" s="10">
        <v>2.6989494625960999</v>
      </c>
      <c r="D18" s="10">
        <v>0.119750209412352</v>
      </c>
      <c r="E18" s="10">
        <v>2.2341520142601698</v>
      </c>
      <c r="F18" s="10">
        <v>3.1637469109320202</v>
      </c>
      <c r="G18" s="10">
        <v>21.827043900782801</v>
      </c>
      <c r="H18" s="10">
        <v>0.33022895191096902</v>
      </c>
      <c r="I18" s="10">
        <v>21</v>
      </c>
      <c r="J18" s="5">
        <f t="shared" si="0"/>
        <v>0.56167826946985178</v>
      </c>
      <c r="K18" s="5">
        <f t="shared" si="1"/>
        <v>2.0345268580147979</v>
      </c>
      <c r="L18" s="5">
        <f t="shared" si="2"/>
        <v>3.4724232278576186</v>
      </c>
      <c r="M18" s="11">
        <f t="shared" si="3"/>
        <v>2.7534750429362083</v>
      </c>
      <c r="N18" s="11">
        <f t="shared" si="4"/>
        <v>15.697085260733896</v>
      </c>
      <c r="O18" s="11">
        <f t="shared" si="5"/>
        <v>5.5555555555555552E-2</v>
      </c>
      <c r="P18" s="5" cm="1">
        <f t="array" ref="P18">SUM($M$4:$M$21*$O$4:$O$21)</f>
        <v>2.6668214076372858</v>
      </c>
      <c r="Q18" s="24">
        <f t="shared" si="7"/>
        <v>0.91705683764725676</v>
      </c>
      <c r="R18" s="5">
        <f>P18-1.28*Q18</f>
        <v>1.4929886554487972</v>
      </c>
      <c r="S18" s="5">
        <f>P18+1.28*Q18</f>
        <v>3.8406541598257746</v>
      </c>
      <c r="T18" s="11">
        <f>EXP(P18)</f>
        <v>14.39414328652996</v>
      </c>
      <c r="U18" s="11">
        <f t="shared" si="6"/>
        <v>4.4503763046641849</v>
      </c>
      <c r="V18" s="11">
        <f t="shared" si="6"/>
        <v>46.555919492922463</v>
      </c>
    </row>
    <row r="19" spans="1:22" s="12" customFormat="1" x14ac:dyDescent="0.25">
      <c r="A19" s="10" t="s">
        <v>29</v>
      </c>
      <c r="B19" s="10" t="s">
        <v>35</v>
      </c>
      <c r="C19" s="10">
        <v>2.5089656712296899</v>
      </c>
      <c r="D19" s="10">
        <v>0.13842659259898801</v>
      </c>
      <c r="E19" s="10">
        <v>2.0141561311451199</v>
      </c>
      <c r="F19" s="10">
        <v>3.00377521131426</v>
      </c>
      <c r="G19" s="10">
        <v>24.2585765916815</v>
      </c>
      <c r="H19" s="10">
        <v>0.347388287543894</v>
      </c>
      <c r="I19" s="10">
        <v>21</v>
      </c>
      <c r="J19" s="5">
        <f t="shared" si="0"/>
        <v>0.64927827150495077</v>
      </c>
      <c r="K19" s="5">
        <f t="shared" si="1"/>
        <v>1.7382287948646926</v>
      </c>
      <c r="L19" s="5">
        <f t="shared" si="2"/>
        <v>3.4003811699173667</v>
      </c>
      <c r="M19" s="11">
        <f t="shared" si="3"/>
        <v>2.5693049823910297</v>
      </c>
      <c r="N19" s="11">
        <f t="shared" si="4"/>
        <v>13.056746617861258</v>
      </c>
      <c r="O19" s="11">
        <f t="shared" si="5"/>
        <v>5.5555555555555552E-2</v>
      </c>
      <c r="P19" s="5" cm="1">
        <f t="array" ref="P19">SUM($M$4:$M$21*$O$4:$O$21)</f>
        <v>2.6668214076372858</v>
      </c>
      <c r="Q19" s="24">
        <f t="shared" si="7"/>
        <v>0.91705683764725676</v>
      </c>
      <c r="R19" s="5">
        <f>P19-1.28*Q19</f>
        <v>1.4929886554487972</v>
      </c>
      <c r="S19" s="5">
        <f>P19+1.28*Q19</f>
        <v>3.8406541598257746</v>
      </c>
      <c r="T19" s="11">
        <f>EXP(P19)</f>
        <v>14.39414328652996</v>
      </c>
      <c r="U19" s="11">
        <f t="shared" si="6"/>
        <v>4.4503763046641849</v>
      </c>
      <c r="V19" s="11">
        <f t="shared" si="6"/>
        <v>46.555919492922463</v>
      </c>
    </row>
    <row r="20" spans="1:22" s="12" customFormat="1" x14ac:dyDescent="0.25">
      <c r="A20" s="10" t="s">
        <v>45</v>
      </c>
      <c r="B20" s="10" t="s">
        <v>54</v>
      </c>
      <c r="C20" s="10">
        <v>2.5777637471507902</v>
      </c>
      <c r="D20" s="10">
        <v>0.121730579834074</v>
      </c>
      <c r="E20" s="10">
        <v>2.11988242940751</v>
      </c>
      <c r="F20" s="10">
        <v>3.0356450648940698</v>
      </c>
      <c r="G20" s="10">
        <v>20.9020558919851</v>
      </c>
      <c r="H20" s="10">
        <v>0.32392617148823999</v>
      </c>
      <c r="I20" s="10">
        <v>21</v>
      </c>
      <c r="J20" s="5">
        <f t="shared" si="0"/>
        <v>0.57096703010618488</v>
      </c>
      <c r="K20" s="5">
        <f t="shared" si="1"/>
        <v>1.8993900309023877</v>
      </c>
      <c r="L20" s="5">
        <f t="shared" si="2"/>
        <v>3.361065627974221</v>
      </c>
      <c r="M20" s="11">
        <f t="shared" si="3"/>
        <v>2.6302278294383044</v>
      </c>
      <c r="N20" s="11">
        <f t="shared" si="4"/>
        <v>13.876931115428922</v>
      </c>
      <c r="O20" s="11">
        <f t="shared" si="5"/>
        <v>5.5555555555555552E-2</v>
      </c>
      <c r="P20" s="5" cm="1">
        <f t="array" ref="P20">SUM($M$4:$M$21*$O$4:$O$21)</f>
        <v>2.6668214076372858</v>
      </c>
      <c r="Q20" s="24">
        <f t="shared" si="7"/>
        <v>0.91705683764725676</v>
      </c>
      <c r="R20" s="5">
        <f>P20-1.28*Q20</f>
        <v>1.4929886554487972</v>
      </c>
      <c r="S20" s="5">
        <f>P20+1.28*Q20</f>
        <v>3.8406541598257746</v>
      </c>
      <c r="T20" s="11">
        <f>EXP(P20)</f>
        <v>14.39414328652996</v>
      </c>
      <c r="U20" s="11">
        <f t="shared" si="6"/>
        <v>4.4503763046641849</v>
      </c>
      <c r="V20" s="11">
        <f t="shared" si="6"/>
        <v>46.555919492922463</v>
      </c>
    </row>
    <row r="21" spans="1:22" s="12" customFormat="1" x14ac:dyDescent="0.25">
      <c r="A21" s="10" t="s">
        <v>32</v>
      </c>
      <c r="B21" s="10" t="s">
        <v>55</v>
      </c>
      <c r="C21" s="10">
        <v>2.5082725565817801</v>
      </c>
      <c r="D21" s="10">
        <v>0.13302777595200199</v>
      </c>
      <c r="E21" s="10">
        <v>2.0295935622507102</v>
      </c>
      <c r="F21" s="10">
        <v>2.9869515509128401</v>
      </c>
      <c r="G21" s="10">
        <v>22.717943772146199</v>
      </c>
      <c r="H21" s="10">
        <v>0.33641537162928398</v>
      </c>
      <c r="I21" s="10">
        <v>21</v>
      </c>
      <c r="J21" s="5">
        <f t="shared" si="0"/>
        <v>0.6239555768195304</v>
      </c>
      <c r="K21" s="5">
        <f t="shared" si="1"/>
        <v>1.7661970693870157</v>
      </c>
      <c r="L21" s="5">
        <f t="shared" si="2"/>
        <v>3.3635233460450134</v>
      </c>
      <c r="M21" s="11">
        <f t="shared" si="3"/>
        <v>2.5648602077160145</v>
      </c>
      <c r="N21" s="11">
        <f t="shared" si="4"/>
        <v>12.998841104966578</v>
      </c>
      <c r="O21" s="11">
        <f t="shared" si="5"/>
        <v>5.5555555555555552E-2</v>
      </c>
      <c r="P21" s="5" cm="1">
        <f t="array" ref="P21">SUM($M$4:$M$21*$O$4:$O$21)</f>
        <v>2.6668214076372858</v>
      </c>
      <c r="Q21" s="24">
        <f t="shared" si="7"/>
        <v>0.91705683764725676</v>
      </c>
      <c r="R21" s="5">
        <f>P21-1.28*Q21</f>
        <v>1.4929886554487972</v>
      </c>
      <c r="S21" s="5">
        <f>P21+1.28*Q21</f>
        <v>3.8406541598257746</v>
      </c>
      <c r="T21" s="11">
        <f>EXP(P21)</f>
        <v>14.39414328652996</v>
      </c>
      <c r="U21" s="11">
        <f t="shared" si="6"/>
        <v>4.4503763046641849</v>
      </c>
      <c r="V21" s="11">
        <f t="shared" si="6"/>
        <v>46.555919492922463</v>
      </c>
    </row>
    <row r="26" spans="1:22" x14ac:dyDescent="0.25">
      <c r="A26" s="6" t="s">
        <v>66</v>
      </c>
    </row>
    <row r="27" spans="1:22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22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U28" s="1">
        <f>15.6-14.3</f>
        <v>1.2999999999999989</v>
      </c>
    </row>
    <row r="29" spans="1:22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53" t="s">
        <v>37</v>
      </c>
      <c r="I29" s="53"/>
      <c r="J29" s="53"/>
      <c r="K29" s="53"/>
      <c r="L29" s="53"/>
    </row>
    <row r="30" spans="1:22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2.804006846625537</v>
      </c>
      <c r="I30" s="5">
        <f>EXP(G30)*EXP(0.5*H4*H4)</f>
        <v>16.510670132929508</v>
      </c>
      <c r="J30" s="21">
        <f>EXP(H30)</f>
        <v>16.510670132929508</v>
      </c>
      <c r="K30" s="5">
        <f>LN(I30)</f>
        <v>2.804006846625537</v>
      </c>
      <c r="L30" s="5">
        <f>EXP(C30+C31*B28+0.5*H4*H4)</f>
        <v>16.510670132929508</v>
      </c>
    </row>
    <row r="31" spans="1:22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</row>
    <row r="32" spans="1:22" x14ac:dyDescent="0.25">
      <c r="A32" s="7"/>
      <c r="B32" s="7"/>
      <c r="C32" s="7"/>
      <c r="D32" s="7"/>
      <c r="E32" s="7"/>
      <c r="F32" s="7"/>
      <c r="G32" s="7"/>
      <c r="H32" s="7"/>
      <c r="I32" s="7"/>
      <c r="J32" s="22"/>
      <c r="K32" s="7"/>
      <c r="L32" s="7"/>
    </row>
  </sheetData>
  <mergeCells count="5">
    <mergeCell ref="C2:I2"/>
    <mergeCell ref="K2:L2"/>
    <mergeCell ref="R2:S2"/>
    <mergeCell ref="U2:V2"/>
    <mergeCell ref="H29:L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3CB-DA4B-42B2-A9C1-274ED7AAC755}">
  <dimension ref="A1:AF24"/>
  <sheetViews>
    <sheetView topLeftCell="E1" workbookViewId="0">
      <selection activeCell="Y29" sqref="Y29"/>
    </sheetView>
  </sheetViews>
  <sheetFormatPr defaultRowHeight="15" x14ac:dyDescent="0.25"/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t="s">
        <v>82</v>
      </c>
      <c r="AA1" t="s">
        <v>83</v>
      </c>
      <c r="AB1" t="s">
        <v>5</v>
      </c>
      <c r="AC1" t="s">
        <v>64</v>
      </c>
      <c r="AD1" t="s">
        <v>6</v>
      </c>
      <c r="AE1" t="s">
        <v>59</v>
      </c>
    </row>
    <row r="2" spans="1:32" x14ac:dyDescent="0.25">
      <c r="A2" t="s">
        <v>10</v>
      </c>
      <c r="B2">
        <v>3.4028901409660999</v>
      </c>
      <c r="C2">
        <v>4.7546295602239104</v>
      </c>
      <c r="D2">
        <v>3.0240587113652002</v>
      </c>
      <c r="E2">
        <v>3.9410029671037701</v>
      </c>
      <c r="F2">
        <v>3.5707813427210602</v>
      </c>
      <c r="G2">
        <v>3.5320372192391498</v>
      </c>
      <c r="H2">
        <v>3.6611842975121802</v>
      </c>
      <c r="I2">
        <v>4.0141863114584897</v>
      </c>
      <c r="J2">
        <v>3.21347442616565</v>
      </c>
      <c r="K2">
        <v>3.4459391670571198</v>
      </c>
      <c r="L2">
        <v>2.8389478991738399</v>
      </c>
      <c r="M2">
        <v>3.3340116992204898</v>
      </c>
      <c r="N2">
        <v>3.33831660182959</v>
      </c>
      <c r="O2">
        <v>4.1045892662496204</v>
      </c>
      <c r="P2">
        <v>2.9853145878832801</v>
      </c>
      <c r="Q2">
        <v>3.8506000123126398</v>
      </c>
      <c r="R2">
        <v>3.2565234522566602</v>
      </c>
      <c r="S2">
        <v>3.97113728536748</v>
      </c>
      <c r="T2">
        <v>3.3899754331388001</v>
      </c>
      <c r="U2">
        <v>4.2079069288680504</v>
      </c>
      <c r="V2">
        <v>2.4859458852275398</v>
      </c>
      <c r="W2">
        <v>2.8389478991738399</v>
      </c>
      <c r="X2">
        <v>2.8260331913465402</v>
      </c>
      <c r="Y2">
        <v>3.2597531003995202</v>
      </c>
      <c r="Z2">
        <v>0.61211279736583502</v>
      </c>
      <c r="AA2">
        <v>0.59448156088246396</v>
      </c>
      <c r="AB2">
        <v>32.5560578916457</v>
      </c>
      <c r="AC2" s="57">
        <v>6.2703785280254899E-6</v>
      </c>
      <c r="AD2">
        <v>0.428621240788846</v>
      </c>
      <c r="AE2" t="s">
        <v>11</v>
      </c>
      <c r="AF2">
        <f>1/18</f>
        <v>5.5555555555555552E-2</v>
      </c>
    </row>
    <row r="3" spans="1:32" x14ac:dyDescent="0.25">
      <c r="A3" t="s">
        <v>19</v>
      </c>
      <c r="B3">
        <v>3.2750167295775499</v>
      </c>
      <c r="C3">
        <v>4.7551331992035903</v>
      </c>
      <c r="D3">
        <v>3.2432479302176098</v>
      </c>
      <c r="E3">
        <v>4.1756646113059199</v>
      </c>
      <c r="F3">
        <v>3.6078154091029302</v>
      </c>
      <c r="G3">
        <v>4.0277958507399898</v>
      </c>
      <c r="H3">
        <v>3.5527692389502801</v>
      </c>
      <c r="I3">
        <v>3.94296047679105</v>
      </c>
      <c r="J3">
        <v>2.5345482424701502</v>
      </c>
      <c r="K3">
        <v>3.6192170210279899</v>
      </c>
      <c r="L3">
        <v>2.8196174799421199</v>
      </c>
      <c r="M3">
        <v>3.9626485931556799</v>
      </c>
      <c r="N3">
        <v>3.15529557494887</v>
      </c>
      <c r="O3">
        <v>4.0351594974070197</v>
      </c>
      <c r="P3">
        <v>3.1462419731437499</v>
      </c>
      <c r="Q3">
        <v>4.2370019487499304</v>
      </c>
      <c r="R3">
        <v>3.3550457015200301</v>
      </c>
      <c r="S3">
        <v>4.0134310289300803</v>
      </c>
      <c r="T3">
        <v>3.07393602559261</v>
      </c>
      <c r="U3">
        <v>3.67838786240769</v>
      </c>
      <c r="V3">
        <v>2.6262411142718398</v>
      </c>
      <c r="W3">
        <v>2.8258321003949298</v>
      </c>
      <c r="X3">
        <v>2.2565600820444001</v>
      </c>
      <c r="Y3">
        <v>3.3286196943644999</v>
      </c>
      <c r="Z3">
        <v>0.82556403432231296</v>
      </c>
      <c r="AA3">
        <v>0.80895108521015202</v>
      </c>
      <c r="AB3">
        <v>16.281556239917101</v>
      </c>
      <c r="AC3" s="57">
        <v>1.0893773850337101E-8</v>
      </c>
      <c r="AD3">
        <v>0.29419864858496603</v>
      </c>
      <c r="AE3" t="s">
        <v>12</v>
      </c>
      <c r="AF3">
        <f t="shared" ref="AF3:AF21" si="0">1/18</f>
        <v>5.5555555555555552E-2</v>
      </c>
    </row>
    <row r="4" spans="1:32" x14ac:dyDescent="0.25">
      <c r="A4" t="s">
        <v>48</v>
      </c>
      <c r="B4">
        <v>3.4306012460926301</v>
      </c>
      <c r="C4">
        <v>4.8081416430497397</v>
      </c>
      <c r="D4">
        <v>3.28740705028541</v>
      </c>
      <c r="E4">
        <v>4.1041729817110397</v>
      </c>
      <c r="F4">
        <v>3.9528252402590498</v>
      </c>
      <c r="G4">
        <v>4.0657050659371397</v>
      </c>
      <c r="H4">
        <v>3.6207196071527501</v>
      </c>
      <c r="I4">
        <v>3.91834368918982</v>
      </c>
      <c r="J4">
        <v>2.7539748842268001</v>
      </c>
      <c r="K4">
        <v>3.6228818269506702</v>
      </c>
      <c r="L4">
        <v>2.98764826698081</v>
      </c>
      <c r="M4">
        <v>3.6706158430619298</v>
      </c>
      <c r="N4">
        <v>3.4379724594093801</v>
      </c>
      <c r="O4">
        <v>4.0075176917312998</v>
      </c>
      <c r="P4">
        <v>3.03278761933458</v>
      </c>
      <c r="Q4">
        <v>4.1225597372072897</v>
      </c>
      <c r="R4">
        <v>3.59610171156277</v>
      </c>
      <c r="S4">
        <v>3.7663983925959501</v>
      </c>
      <c r="T4">
        <v>2.7929853180818101</v>
      </c>
      <c r="U4">
        <v>3.6990353261704501</v>
      </c>
      <c r="V4">
        <v>2.3135615318116902</v>
      </c>
      <c r="W4">
        <v>2.8263071299242202</v>
      </c>
      <c r="X4">
        <v>2.4351846057498499</v>
      </c>
      <c r="Y4">
        <v>2.99473851778342</v>
      </c>
      <c r="Z4">
        <v>0.80789859700326305</v>
      </c>
      <c r="AA4">
        <v>0.78960322528928795</v>
      </c>
      <c r="AB4">
        <v>18.5967320268565</v>
      </c>
      <c r="AC4" s="57">
        <v>2.9996503546788802E-8</v>
      </c>
      <c r="AD4">
        <v>0.308736463333391</v>
      </c>
      <c r="AE4" t="s">
        <v>13</v>
      </c>
      <c r="AF4">
        <f t="shared" si="0"/>
        <v>5.5555555555555552E-2</v>
      </c>
    </row>
    <row r="5" spans="1:32" x14ac:dyDescent="0.25">
      <c r="A5" t="s">
        <v>49</v>
      </c>
      <c r="B5">
        <v>3.2672411022781702</v>
      </c>
      <c r="C5">
        <v>4.8333751009797901</v>
      </c>
      <c r="D5">
        <v>3.3957041410170499</v>
      </c>
      <c r="E5">
        <v>4.0222088142846504</v>
      </c>
      <c r="F5">
        <v>3.8727466713973899</v>
      </c>
      <c r="G5">
        <v>3.9129295686052301</v>
      </c>
      <c r="H5">
        <v>3.6194128878791498</v>
      </c>
      <c r="I5">
        <v>3.7684971030454499</v>
      </c>
      <c r="J5">
        <v>2.7934813238210698</v>
      </c>
      <c r="K5">
        <v>3.4505558530472</v>
      </c>
      <c r="L5">
        <v>2.91292034791684</v>
      </c>
      <c r="M5">
        <v>3.8447539238008801</v>
      </c>
      <c r="N5">
        <v>3.3478903424845599</v>
      </c>
      <c r="O5">
        <v>4.2218468039603803</v>
      </c>
      <c r="P5">
        <v>3.0392324372849702</v>
      </c>
      <c r="Q5">
        <v>4.1661206389229104</v>
      </c>
      <c r="R5">
        <v>3.30050270294335</v>
      </c>
      <c r="S5">
        <v>3.92712597377635</v>
      </c>
      <c r="T5">
        <v>3.0070805041475199</v>
      </c>
      <c r="U5">
        <v>3.69980081731959</v>
      </c>
      <c r="V5">
        <v>2.4720442424039502</v>
      </c>
      <c r="W5">
        <v>2.7533466578835499</v>
      </c>
      <c r="X5">
        <v>2.4658305700328902</v>
      </c>
      <c r="Y5">
        <v>3.1535388570276002</v>
      </c>
      <c r="Z5">
        <v>0.76412276400789503</v>
      </c>
      <c r="AA5">
        <v>0.74165826534198098</v>
      </c>
      <c r="AB5">
        <v>23.523646666590999</v>
      </c>
      <c r="AC5" s="57">
        <v>2.5894248756639397E-7</v>
      </c>
      <c r="AD5">
        <v>0.34210992328034301</v>
      </c>
      <c r="AE5" t="s">
        <v>14</v>
      </c>
      <c r="AF5">
        <f t="shared" si="0"/>
        <v>5.5555555555555552E-2</v>
      </c>
    </row>
    <row r="6" spans="1:32" x14ac:dyDescent="0.25">
      <c r="A6" t="s">
        <v>50</v>
      </c>
      <c r="B6">
        <v>3.4410857159178199</v>
      </c>
      <c r="C6">
        <v>4.7914418542896202</v>
      </c>
      <c r="D6">
        <v>3.2705064957585899</v>
      </c>
      <c r="E6">
        <v>4.0778118256330602</v>
      </c>
      <c r="F6">
        <v>3.87939003845027</v>
      </c>
      <c r="G6">
        <v>4.0929124743156402</v>
      </c>
      <c r="H6">
        <v>3.5897167478625098</v>
      </c>
      <c r="I6">
        <v>3.9240335638736799</v>
      </c>
      <c r="J6">
        <v>2.7756112002533699</v>
      </c>
      <c r="K6">
        <v>3.4943766282753002</v>
      </c>
      <c r="L6">
        <v>2.9841391810108</v>
      </c>
      <c r="M6">
        <v>3.7707727784812102</v>
      </c>
      <c r="N6">
        <v>3.4975061685098598</v>
      </c>
      <c r="O6">
        <v>4.0407570735112497</v>
      </c>
      <c r="P6">
        <v>2.99742223661731</v>
      </c>
      <c r="Q6">
        <v>4.1375500845143804</v>
      </c>
      <c r="R6">
        <v>3.4812759234988602</v>
      </c>
      <c r="S6">
        <v>3.9776891778913002</v>
      </c>
      <c r="T6">
        <v>2.8171074397682299</v>
      </c>
      <c r="U6">
        <v>3.54622647966618</v>
      </c>
      <c r="V6">
        <v>2.3289827858743699</v>
      </c>
      <c r="W6">
        <v>2.8023300861731499</v>
      </c>
      <c r="X6">
        <v>2.3922448627737198</v>
      </c>
      <c r="Y6">
        <v>3.13729656334004</v>
      </c>
      <c r="Z6">
        <v>0.810659155119546</v>
      </c>
      <c r="AA6">
        <v>0.79262669370236005</v>
      </c>
      <c r="AB6">
        <v>18.24934233994</v>
      </c>
      <c r="AC6" s="57">
        <v>2.5767083355124901E-8</v>
      </c>
      <c r="AD6">
        <v>0.30651011558828101</v>
      </c>
      <c r="AE6" t="s">
        <v>15</v>
      </c>
      <c r="AF6">
        <f t="shared" si="0"/>
        <v>5.5555555555555552E-2</v>
      </c>
    </row>
    <row r="7" spans="1:32" x14ac:dyDescent="0.25">
      <c r="A7" t="s">
        <v>51</v>
      </c>
      <c r="B7">
        <v>3.3355667812487901</v>
      </c>
      <c r="C7">
        <v>4.7797922892758198</v>
      </c>
      <c r="D7">
        <v>3.32832922337874</v>
      </c>
      <c r="E7">
        <v>4.0373981847981604</v>
      </c>
      <c r="F7">
        <v>3.8612237186604998</v>
      </c>
      <c r="G7">
        <v>3.99178156707955</v>
      </c>
      <c r="H7">
        <v>3.5828244989654099</v>
      </c>
      <c r="I7">
        <v>3.8030322702052</v>
      </c>
      <c r="J7">
        <v>2.7862441953666299</v>
      </c>
      <c r="K7">
        <v>3.4616053580378998</v>
      </c>
      <c r="L7">
        <v>2.9359071748970802</v>
      </c>
      <c r="M7">
        <v>3.8580120329891798</v>
      </c>
      <c r="N7">
        <v>3.4587144594627901</v>
      </c>
      <c r="O7">
        <v>4.1962685052142898</v>
      </c>
      <c r="P7">
        <v>3.0548563685773198</v>
      </c>
      <c r="Q7">
        <v>4.1688771487767102</v>
      </c>
      <c r="R7">
        <v>3.3792792992547298</v>
      </c>
      <c r="S7">
        <v>3.9970699647985599</v>
      </c>
      <c r="T7">
        <v>2.94357244889542</v>
      </c>
      <c r="U7">
        <v>3.5910037952595202</v>
      </c>
      <c r="V7">
        <v>2.3956231322748298</v>
      </c>
      <c r="W7">
        <v>2.75750400724128</v>
      </c>
      <c r="X7">
        <v>2.3707568268777801</v>
      </c>
      <c r="Y7">
        <v>3.1729441347242999</v>
      </c>
      <c r="Z7">
        <v>0.79200487810787401</v>
      </c>
      <c r="AA7">
        <v>0.77219581888005295</v>
      </c>
      <c r="AB7">
        <v>20.5045221172401</v>
      </c>
      <c r="AC7" s="57">
        <v>6.9112733552834796E-8</v>
      </c>
      <c r="AD7">
        <v>0.321254508518384</v>
      </c>
      <c r="AE7" t="s">
        <v>16</v>
      </c>
      <c r="AF7">
        <f t="shared" si="0"/>
        <v>5.5555555555555552E-2</v>
      </c>
    </row>
    <row r="8" spans="1:32" x14ac:dyDescent="0.25">
      <c r="A8" t="s">
        <v>28</v>
      </c>
      <c r="B8">
        <v>3.4776580124415499</v>
      </c>
      <c r="C8">
        <v>4.9157995618325296</v>
      </c>
      <c r="D8">
        <v>3.3891378791401201</v>
      </c>
      <c r="E8">
        <v>4.1012341705979596</v>
      </c>
      <c r="F8">
        <v>3.8965301337862601</v>
      </c>
      <c r="G8">
        <v>3.94389722764386</v>
      </c>
      <c r="H8">
        <v>3.6611810091730099</v>
      </c>
      <c r="I8">
        <v>3.9720244091277301</v>
      </c>
      <c r="J8">
        <v>2.67181966772994</v>
      </c>
      <c r="K8">
        <v>3.59941016580833</v>
      </c>
      <c r="L8">
        <v>3.0132908989997</v>
      </c>
      <c r="M8">
        <v>3.64134334766683</v>
      </c>
      <c r="N8">
        <v>3.3265868933607901</v>
      </c>
      <c r="O8">
        <v>4.0017550166572198</v>
      </c>
      <c r="P8">
        <v>3.0746501005489</v>
      </c>
      <c r="Q8">
        <v>4.03784264470114</v>
      </c>
      <c r="R8">
        <v>3.5761881731371901</v>
      </c>
      <c r="S8">
        <v>3.76611995984263</v>
      </c>
      <c r="T8">
        <v>2.9029784340338001</v>
      </c>
      <c r="U8">
        <v>3.6594518735132402</v>
      </c>
      <c r="V8">
        <v>2.31955455261657</v>
      </c>
      <c r="W8">
        <v>2.85760915155078</v>
      </c>
      <c r="X8">
        <v>2.47647985375519</v>
      </c>
      <c r="Y8">
        <v>2.9656442485952401</v>
      </c>
      <c r="Z8">
        <v>0.79277575149900303</v>
      </c>
      <c r="AA8">
        <v>0.77304010878462204</v>
      </c>
      <c r="AB8">
        <v>20.415407861198901</v>
      </c>
      <c r="AC8" s="57">
        <v>6.6470052238844698E-8</v>
      </c>
      <c r="AD8">
        <v>0.32065863772629999</v>
      </c>
      <c r="AE8" t="s">
        <v>17</v>
      </c>
      <c r="AF8">
        <f t="shared" si="0"/>
        <v>5.5555555555555552E-2</v>
      </c>
    </row>
    <row r="9" spans="1:32" x14ac:dyDescent="0.25">
      <c r="A9" t="s">
        <v>26</v>
      </c>
      <c r="B9">
        <v>3.2943704589007798</v>
      </c>
      <c r="C9">
        <v>4.8968677778184997</v>
      </c>
      <c r="D9">
        <v>3.3643648312797301</v>
      </c>
      <c r="E9">
        <v>4.0227331983731496</v>
      </c>
      <c r="F9">
        <v>3.7659188735993299</v>
      </c>
      <c r="G9">
        <v>3.81469593375741</v>
      </c>
      <c r="H9">
        <v>3.6626526934680501</v>
      </c>
      <c r="I9">
        <v>3.8097481653522198</v>
      </c>
      <c r="J9">
        <v>2.7479664619934399</v>
      </c>
      <c r="K9">
        <v>3.3847549719820198</v>
      </c>
      <c r="L9">
        <v>3.0006286185917199</v>
      </c>
      <c r="M9">
        <v>3.7928561384575099</v>
      </c>
      <c r="N9">
        <v>3.3664369689563798</v>
      </c>
      <c r="O9">
        <v>4.2285565169813601</v>
      </c>
      <c r="P9">
        <v>3.0215859926175002</v>
      </c>
      <c r="Q9">
        <v>4.2051015802863096</v>
      </c>
      <c r="R9">
        <v>3.3010988554986702</v>
      </c>
      <c r="S9">
        <v>3.94084981726026</v>
      </c>
      <c r="T9">
        <v>3.1102372344393898</v>
      </c>
      <c r="U9">
        <v>3.6370548461654901</v>
      </c>
      <c r="V9">
        <v>2.4857079084218001</v>
      </c>
      <c r="W9">
        <v>2.8028731141370198</v>
      </c>
      <c r="X9">
        <v>2.49217636682461</v>
      </c>
      <c r="Y9">
        <v>3.0989500610978702</v>
      </c>
      <c r="Z9">
        <v>0.75224652592000196</v>
      </c>
      <c r="AA9">
        <v>0.72865095696000204</v>
      </c>
      <c r="AB9">
        <v>24.702591764837099</v>
      </c>
      <c r="AC9" s="57">
        <v>4.3371796030292202E-7</v>
      </c>
      <c r="AD9">
        <v>0.35061664767110801</v>
      </c>
      <c r="AE9" t="s">
        <v>18</v>
      </c>
      <c r="AF9">
        <f t="shared" si="0"/>
        <v>5.5555555555555552E-2</v>
      </c>
    </row>
    <row r="10" spans="1:32" x14ac:dyDescent="0.25">
      <c r="A10" t="s">
        <v>52</v>
      </c>
      <c r="B10">
        <v>3.4800459246385902</v>
      </c>
      <c r="C10">
        <v>4.8900093557946898</v>
      </c>
      <c r="D10">
        <v>3.30576966045418</v>
      </c>
      <c r="E10">
        <v>4.0677663141668097</v>
      </c>
      <c r="F10">
        <v>3.7797951038575301</v>
      </c>
      <c r="G10">
        <v>3.9728087391462701</v>
      </c>
      <c r="H10">
        <v>3.6603929423279999</v>
      </c>
      <c r="I10">
        <v>3.9831039476985999</v>
      </c>
      <c r="J10">
        <v>2.7902587705723798</v>
      </c>
      <c r="K10">
        <v>3.43518427868023</v>
      </c>
      <c r="L10">
        <v>3.0506397684600701</v>
      </c>
      <c r="M10">
        <v>3.70792053435542</v>
      </c>
      <c r="N10">
        <v>3.44607359890019</v>
      </c>
      <c r="O10">
        <v>4.0267134068669597</v>
      </c>
      <c r="P10">
        <v>3.0640856405485501</v>
      </c>
      <c r="Q10">
        <v>4.1031927923065101</v>
      </c>
      <c r="R10">
        <v>3.4764795447136301</v>
      </c>
      <c r="S10">
        <v>3.9686886406759201</v>
      </c>
      <c r="T10">
        <v>2.97631300366645</v>
      </c>
      <c r="U10">
        <v>3.4873116490215601</v>
      </c>
      <c r="V10">
        <v>2.3327490765491499</v>
      </c>
      <c r="W10">
        <v>2.7740139878818399</v>
      </c>
      <c r="X10">
        <v>2.4283529415258198</v>
      </c>
      <c r="Y10">
        <v>3.04051776345116</v>
      </c>
      <c r="Z10">
        <v>0.783211585311134</v>
      </c>
      <c r="AA10">
        <v>0.76256506962647996</v>
      </c>
      <c r="AB10">
        <v>21.498294998145401</v>
      </c>
      <c r="AC10" s="57">
        <v>1.0675266603550699E-7</v>
      </c>
      <c r="AD10">
        <v>0.32797496265278497</v>
      </c>
      <c r="AE10" t="s">
        <v>20</v>
      </c>
      <c r="AF10">
        <f t="shared" si="0"/>
        <v>5.5555555555555552E-2</v>
      </c>
    </row>
    <row r="11" spans="1:32" x14ac:dyDescent="0.25">
      <c r="A11" t="s">
        <v>30</v>
      </c>
      <c r="B11">
        <v>3.3592503244314398</v>
      </c>
      <c r="C11">
        <v>4.8551297929292296</v>
      </c>
      <c r="D11">
        <v>3.3115048808768202</v>
      </c>
      <c r="E11">
        <v>4.03231107511946</v>
      </c>
      <c r="F11">
        <v>3.74477206116073</v>
      </c>
      <c r="G11">
        <v>3.87712163735885</v>
      </c>
      <c r="H11">
        <v>3.62376129695161</v>
      </c>
      <c r="I11">
        <v>3.8459453254102498</v>
      </c>
      <c r="J11">
        <v>2.7742719387010899</v>
      </c>
      <c r="K11">
        <v>3.39332948702378</v>
      </c>
      <c r="L11">
        <v>3.0407361495459502</v>
      </c>
      <c r="M11">
        <v>3.7951715779611899</v>
      </c>
      <c r="N11">
        <v>3.45360341934559</v>
      </c>
      <c r="O11">
        <v>4.2098406905432597</v>
      </c>
      <c r="P11">
        <v>3.0605477072140101</v>
      </c>
      <c r="Q11">
        <v>4.1948852218436201</v>
      </c>
      <c r="R11">
        <v>3.3717658420528598</v>
      </c>
      <c r="S11">
        <v>4.0012104609419898</v>
      </c>
      <c r="T11">
        <v>3.06778102063531</v>
      </c>
      <c r="U11">
        <v>3.5444134262167002</v>
      </c>
      <c r="V11">
        <v>2.4167727567752602</v>
      </c>
      <c r="W11">
        <v>2.77288324000458</v>
      </c>
      <c r="X11">
        <v>2.4029053247911398</v>
      </c>
      <c r="Y11">
        <v>3.0982727284257701</v>
      </c>
      <c r="Z11">
        <v>0.77066711435895197</v>
      </c>
      <c r="AA11">
        <v>0.74882588715504295</v>
      </c>
      <c r="AB11">
        <v>22.848361400411299</v>
      </c>
      <c r="AC11" s="57">
        <v>1.9270657155576599E-7</v>
      </c>
      <c r="AD11">
        <v>0.33733066648645499</v>
      </c>
      <c r="AE11" t="s">
        <v>21</v>
      </c>
      <c r="AF11">
        <f t="shared" si="0"/>
        <v>5.5555555555555552E-2</v>
      </c>
    </row>
    <row r="12" spans="1:32" x14ac:dyDescent="0.25">
      <c r="A12" t="s">
        <v>33</v>
      </c>
      <c r="B12">
        <v>3.4608334401680199</v>
      </c>
      <c r="C12">
        <v>4.8039890010495903</v>
      </c>
      <c r="D12">
        <v>3.31090385410308</v>
      </c>
      <c r="E12">
        <v>4.0913534500958502</v>
      </c>
      <c r="F12">
        <v>3.91872583662995</v>
      </c>
      <c r="G12">
        <v>3.98484680270299</v>
      </c>
      <c r="H12">
        <v>3.6523808710735599</v>
      </c>
      <c r="I12">
        <v>3.9064246965725502</v>
      </c>
      <c r="J12">
        <v>2.8275562100517702</v>
      </c>
      <c r="K12">
        <v>3.6555157594747998</v>
      </c>
      <c r="L12">
        <v>3.0304814222908201</v>
      </c>
      <c r="M12">
        <v>3.6704333372220699</v>
      </c>
      <c r="N12">
        <v>3.40294098321076</v>
      </c>
      <c r="O12">
        <v>4.0563126590212697</v>
      </c>
      <c r="P12">
        <v>3.04884116540285</v>
      </c>
      <c r="Q12">
        <v>4.1055573150337601</v>
      </c>
      <c r="R12">
        <v>3.60656552444265</v>
      </c>
      <c r="S12">
        <v>3.7557670138817101</v>
      </c>
      <c r="T12">
        <v>2.8185019732611298</v>
      </c>
      <c r="U12">
        <v>3.70389153636282</v>
      </c>
      <c r="V12">
        <v>2.3081755527860701</v>
      </c>
      <c r="W12">
        <v>2.7783403216723399</v>
      </c>
      <c r="X12">
        <v>2.4081611538457</v>
      </c>
      <c r="Y12">
        <v>2.9416875059043699</v>
      </c>
      <c r="Z12">
        <v>0.79707787759038595</v>
      </c>
      <c r="AA12">
        <v>0.777751961170423</v>
      </c>
      <c r="AB12">
        <v>19.911905597260901</v>
      </c>
      <c r="AC12" s="57">
        <v>5.3328412862496498E-8</v>
      </c>
      <c r="AD12">
        <v>0.31731262698919899</v>
      </c>
      <c r="AE12" t="s">
        <v>22</v>
      </c>
      <c r="AF12">
        <f t="shared" si="0"/>
        <v>5.5555555555555552E-2</v>
      </c>
    </row>
    <row r="13" spans="1:32" x14ac:dyDescent="0.25">
      <c r="A13" t="s">
        <v>31</v>
      </c>
      <c r="B13">
        <v>3.3277631017468399</v>
      </c>
      <c r="C13">
        <v>4.7915407833319401</v>
      </c>
      <c r="D13">
        <v>3.3982704619675901</v>
      </c>
      <c r="E13">
        <v>4.0249599453453699</v>
      </c>
      <c r="F13">
        <v>3.8441021308644698</v>
      </c>
      <c r="G13">
        <v>3.8762893843567099</v>
      </c>
      <c r="H13">
        <v>3.6651489725417399</v>
      </c>
      <c r="I13">
        <v>3.8109955437431702</v>
      </c>
      <c r="J13">
        <v>2.8700869885647</v>
      </c>
      <c r="K13">
        <v>3.50064701830786</v>
      </c>
      <c r="L13">
        <v>2.9877572733683602</v>
      </c>
      <c r="M13">
        <v>3.84069006260088</v>
      </c>
      <c r="N13">
        <v>3.3671825561735198</v>
      </c>
      <c r="O13">
        <v>4.2295330439568204</v>
      </c>
      <c r="P13">
        <v>3.0420887874111702</v>
      </c>
      <c r="Q13">
        <v>4.1697707803231703</v>
      </c>
      <c r="R13">
        <v>3.3246450727214398</v>
      </c>
      <c r="S13">
        <v>3.9155180043597602</v>
      </c>
      <c r="T13">
        <v>2.9771525975103499</v>
      </c>
      <c r="U13">
        <v>3.6713982283725701</v>
      </c>
      <c r="V13">
        <v>2.4578095645363902</v>
      </c>
      <c r="W13">
        <v>2.7018153153545201</v>
      </c>
      <c r="X13">
        <v>2.3640081823723702</v>
      </c>
      <c r="Y13">
        <v>3.0890135864288002</v>
      </c>
      <c r="Z13">
        <v>0.76932435683487399</v>
      </c>
      <c r="AA13">
        <v>0.74735524796200503</v>
      </c>
      <c r="AB13">
        <v>22.988473029164499</v>
      </c>
      <c r="AC13" s="57">
        <v>2.0488882499612501E-7</v>
      </c>
      <c r="AD13">
        <v>0.33831677060788501</v>
      </c>
      <c r="AE13" t="s">
        <v>23</v>
      </c>
      <c r="AF13">
        <f t="shared" si="0"/>
        <v>5.5555555555555552E-2</v>
      </c>
    </row>
    <row r="14" spans="1:32" x14ac:dyDescent="0.25">
      <c r="A14" t="s">
        <v>53</v>
      </c>
      <c r="B14">
        <v>3.4785223897908399</v>
      </c>
      <c r="C14">
        <v>4.7740636987782201</v>
      </c>
      <c r="D14">
        <v>3.2965431052534999</v>
      </c>
      <c r="E14">
        <v>4.0607988566666497</v>
      </c>
      <c r="F14">
        <v>3.85314451716039</v>
      </c>
      <c r="G14">
        <v>4.0110750191856903</v>
      </c>
      <c r="H14">
        <v>3.6558734920626699</v>
      </c>
      <c r="I14">
        <v>3.93981485601569</v>
      </c>
      <c r="J14">
        <v>2.8464017026784298</v>
      </c>
      <c r="K14">
        <v>3.5446550481159198</v>
      </c>
      <c r="L14">
        <v>3.0580565971521598</v>
      </c>
      <c r="M14">
        <v>3.73379665856003</v>
      </c>
      <c r="N14">
        <v>3.4890458261425401</v>
      </c>
      <c r="O14">
        <v>4.0717111024358301</v>
      </c>
      <c r="P14">
        <v>3.0105965290198702</v>
      </c>
      <c r="Q14">
        <v>4.1084483947108099</v>
      </c>
      <c r="R14">
        <v>3.50104554341421</v>
      </c>
      <c r="S14">
        <v>3.96844247282456</v>
      </c>
      <c r="T14">
        <v>2.84124458905226</v>
      </c>
      <c r="U14">
        <v>3.54416559513027</v>
      </c>
      <c r="V14">
        <v>2.30530124043127</v>
      </c>
      <c r="W14">
        <v>2.7588136230450102</v>
      </c>
      <c r="X14">
        <v>2.340980669985</v>
      </c>
      <c r="Y14">
        <v>3.0556458586486799</v>
      </c>
      <c r="Z14">
        <v>0.80118875993889305</v>
      </c>
      <c r="AA14">
        <v>0.78225435612354999</v>
      </c>
      <c r="AB14">
        <v>19.420711041616801</v>
      </c>
      <c r="AC14" s="57">
        <v>4.3015978744927902E-8</v>
      </c>
      <c r="AD14">
        <v>0.31408205486646901</v>
      </c>
      <c r="AE14" t="s">
        <v>24</v>
      </c>
      <c r="AF14">
        <f t="shared" si="0"/>
        <v>5.5555555555555552E-2</v>
      </c>
    </row>
    <row r="15" spans="1:32" x14ac:dyDescent="0.25">
      <c r="A15" t="s">
        <v>34</v>
      </c>
      <c r="B15">
        <v>3.3811726410721401</v>
      </c>
      <c r="C15">
        <v>4.7509134593562798</v>
      </c>
      <c r="D15">
        <v>3.3348731857218801</v>
      </c>
      <c r="E15">
        <v>4.0221062142572999</v>
      </c>
      <c r="F15">
        <v>3.8236958043086999</v>
      </c>
      <c r="G15">
        <v>3.9241978670843101</v>
      </c>
      <c r="H15">
        <v>3.6315450443199699</v>
      </c>
      <c r="I15">
        <v>3.8458440016066899</v>
      </c>
      <c r="J15">
        <v>2.86687879701083</v>
      </c>
      <c r="K15">
        <v>3.50516597818892</v>
      </c>
      <c r="L15">
        <v>3.0108656986205702</v>
      </c>
      <c r="M15">
        <v>3.83568732108029</v>
      </c>
      <c r="N15">
        <v>3.4639679727227701</v>
      </c>
      <c r="O15">
        <v>4.2108119408022997</v>
      </c>
      <c r="P15">
        <v>3.0688497885078001</v>
      </c>
      <c r="Q15">
        <v>4.1604999067808803</v>
      </c>
      <c r="R15">
        <v>3.3964936431828598</v>
      </c>
      <c r="S15">
        <v>3.9906360018156999</v>
      </c>
      <c r="T15">
        <v>2.9520367480548102</v>
      </c>
      <c r="U15">
        <v>3.58279698825524</v>
      </c>
      <c r="V15">
        <v>2.3762842138789999</v>
      </c>
      <c r="W15">
        <v>2.7078713183624199</v>
      </c>
      <c r="X15">
        <v>2.30805746214426</v>
      </c>
      <c r="Y15">
        <v>3.0969353891245901</v>
      </c>
      <c r="Z15">
        <v>0.78602383712702495</v>
      </c>
      <c r="AA15">
        <v>0.76564515494864704</v>
      </c>
      <c r="AB15">
        <v>21.184921958577299</v>
      </c>
      <c r="AC15" s="57">
        <v>9.3075772693109299E-8</v>
      </c>
      <c r="AD15">
        <v>0.325840718075184</v>
      </c>
      <c r="AE15" t="s">
        <v>25</v>
      </c>
      <c r="AF15">
        <f t="shared" si="0"/>
        <v>5.5555555555555552E-2</v>
      </c>
    </row>
    <row r="16" spans="1:32" x14ac:dyDescent="0.25">
      <c r="A16" t="s">
        <v>36</v>
      </c>
      <c r="B16">
        <v>3.4349856955736899</v>
      </c>
      <c r="C16">
        <v>4.7601739801370799</v>
      </c>
      <c r="D16">
        <v>3.3101552042667501</v>
      </c>
      <c r="E16">
        <v>4.1243447561316096</v>
      </c>
      <c r="F16">
        <v>3.94962060375626</v>
      </c>
      <c r="G16">
        <v>3.9743204115320099</v>
      </c>
      <c r="H16">
        <v>3.6514616382594398</v>
      </c>
      <c r="I16">
        <v>3.8815682978755799</v>
      </c>
      <c r="J16">
        <v>2.8896680879261001</v>
      </c>
      <c r="K16">
        <v>3.6184643354678001</v>
      </c>
      <c r="L16">
        <v>3.0063196554610201</v>
      </c>
      <c r="M16">
        <v>3.6491149220541899</v>
      </c>
      <c r="N16">
        <v>3.45394963441862</v>
      </c>
      <c r="O16">
        <v>4.0903643024415599</v>
      </c>
      <c r="P16">
        <v>3.0795273263904401</v>
      </c>
      <c r="Q16">
        <v>4.1153704185976796</v>
      </c>
      <c r="R16">
        <v>3.4579884569189701</v>
      </c>
      <c r="S16">
        <v>3.8202028989455101</v>
      </c>
      <c r="T16">
        <v>2.81415075380546</v>
      </c>
      <c r="U16">
        <v>3.70996404285947</v>
      </c>
      <c r="V16">
        <v>2.3506668530914401</v>
      </c>
      <c r="W16">
        <v>2.72138875987828</v>
      </c>
      <c r="X16">
        <v>2.43729033107146</v>
      </c>
      <c r="Y16">
        <v>2.9471260194000601</v>
      </c>
      <c r="Z16">
        <v>0.78022161421660996</v>
      </c>
      <c r="AA16">
        <v>0.75929033938009705</v>
      </c>
      <c r="AB16">
        <v>21.827043900782801</v>
      </c>
      <c r="AC16" s="57">
        <v>1.23265710242749E-7</v>
      </c>
      <c r="AD16">
        <v>0.33022895191096902</v>
      </c>
      <c r="AE16" t="s">
        <v>27</v>
      </c>
      <c r="AF16">
        <f t="shared" si="0"/>
        <v>5.5555555555555552E-2</v>
      </c>
    </row>
    <row r="17" spans="1:32" x14ac:dyDescent="0.25">
      <c r="A17" t="s">
        <v>35</v>
      </c>
      <c r="B17">
        <v>3.3514428871236701</v>
      </c>
      <c r="C17">
        <v>4.7800836029666103</v>
      </c>
      <c r="D17">
        <v>3.4106400183774701</v>
      </c>
      <c r="E17">
        <v>4.0756339207279604</v>
      </c>
      <c r="F17">
        <v>3.8910675386125302</v>
      </c>
      <c r="G17">
        <v>3.87811627933461</v>
      </c>
      <c r="H17">
        <v>3.67379508443201</v>
      </c>
      <c r="I17">
        <v>3.78329056498383</v>
      </c>
      <c r="J17">
        <v>2.9313458297880599</v>
      </c>
      <c r="K17">
        <v>3.50276177151658</v>
      </c>
      <c r="L17">
        <v>2.9566867305541602</v>
      </c>
      <c r="M17">
        <v>3.7744994744004399</v>
      </c>
      <c r="N17">
        <v>3.3885411391250799</v>
      </c>
      <c r="O17">
        <v>4.2166415653022602</v>
      </c>
      <c r="P17">
        <v>3.08385862222358</v>
      </c>
      <c r="Q17">
        <v>4.1130281257234804</v>
      </c>
      <c r="R17">
        <v>3.2319253890366002</v>
      </c>
      <c r="S17">
        <v>3.8960482591816801</v>
      </c>
      <c r="T17">
        <v>2.9707847828992899</v>
      </c>
      <c r="U17">
        <v>3.7179221704736598</v>
      </c>
      <c r="V17">
        <v>2.4721259644676499</v>
      </c>
      <c r="W17">
        <v>2.6505109872605299</v>
      </c>
      <c r="X17">
        <v>2.3808415899800801</v>
      </c>
      <c r="Y17">
        <v>3.1165950877686899</v>
      </c>
      <c r="Z17">
        <v>0.756787982381803</v>
      </c>
      <c r="AA17">
        <v>0.73362493308483201</v>
      </c>
      <c r="AB17">
        <v>24.2585765916815</v>
      </c>
      <c r="AC17" s="57">
        <v>3.5714355776477098E-7</v>
      </c>
      <c r="AD17">
        <v>0.347388287543894</v>
      </c>
      <c r="AE17" t="s">
        <v>29</v>
      </c>
      <c r="AF17">
        <f t="shared" si="0"/>
        <v>5.5555555555555552E-2</v>
      </c>
    </row>
    <row r="18" spans="1:32" x14ac:dyDescent="0.25">
      <c r="A18" t="s">
        <v>54</v>
      </c>
      <c r="B18">
        <v>3.4640748668539998</v>
      </c>
      <c r="C18">
        <v>4.7364930703472803</v>
      </c>
      <c r="D18">
        <v>3.3157145346480998</v>
      </c>
      <c r="E18">
        <v>4.09976695921402</v>
      </c>
      <c r="F18">
        <v>3.8917451515602401</v>
      </c>
      <c r="G18">
        <v>3.9926200001902301</v>
      </c>
      <c r="H18">
        <v>3.6624929446066199</v>
      </c>
      <c r="I18">
        <v>3.8796337858616199</v>
      </c>
      <c r="J18">
        <v>2.8802015832638799</v>
      </c>
      <c r="K18">
        <v>3.5239302208218701</v>
      </c>
      <c r="L18">
        <v>3.0211426904994299</v>
      </c>
      <c r="M18">
        <v>3.7163670059606502</v>
      </c>
      <c r="N18">
        <v>3.5143426474640198</v>
      </c>
      <c r="O18">
        <v>4.1049727377479099</v>
      </c>
      <c r="P18">
        <v>3.04924299229635</v>
      </c>
      <c r="Q18">
        <v>4.11779499135314</v>
      </c>
      <c r="R18">
        <v>3.37168894663529</v>
      </c>
      <c r="S18">
        <v>3.98967613772282</v>
      </c>
      <c r="T18">
        <v>2.8395375325550498</v>
      </c>
      <c r="U18">
        <v>3.5910755474134399</v>
      </c>
      <c r="V18">
        <v>2.34481886051725</v>
      </c>
      <c r="W18">
        <v>2.7180819179394899</v>
      </c>
      <c r="X18">
        <v>2.3598707171022899</v>
      </c>
      <c r="Y18">
        <v>3.0629015436854998</v>
      </c>
      <c r="Z18">
        <v>0.78853097491426205</v>
      </c>
      <c r="AA18">
        <v>0.76839106776323896</v>
      </c>
      <c r="AB18">
        <v>20.9020558919851</v>
      </c>
      <c r="AC18" s="57">
        <v>8.2241498074161104E-8</v>
      </c>
      <c r="AD18">
        <v>0.32392617148823999</v>
      </c>
      <c r="AE18" t="s">
        <v>45</v>
      </c>
      <c r="AF18">
        <f t="shared" si="0"/>
        <v>5.5555555555555552E-2</v>
      </c>
    </row>
    <row r="19" spans="1:32" x14ac:dyDescent="0.25">
      <c r="A19" t="s">
        <v>55</v>
      </c>
      <c r="B19">
        <v>3.39999245166246</v>
      </c>
      <c r="C19">
        <v>4.7398164464139496</v>
      </c>
      <c r="D19">
        <v>3.3533449472696399</v>
      </c>
      <c r="E19">
        <v>4.0744788954762301</v>
      </c>
      <c r="F19">
        <v>3.87454180526283</v>
      </c>
      <c r="G19">
        <v>3.9172325907619601</v>
      </c>
      <c r="H19">
        <v>3.6491635042741701</v>
      </c>
      <c r="I19">
        <v>3.80470357592209</v>
      </c>
      <c r="J19">
        <v>2.9247868545750499</v>
      </c>
      <c r="K19">
        <v>3.5022105933209802</v>
      </c>
      <c r="L19">
        <v>2.9747890511864501</v>
      </c>
      <c r="M19">
        <v>3.7795790793535802</v>
      </c>
      <c r="N19">
        <v>3.48576776875296</v>
      </c>
      <c r="O19">
        <v>4.2023080125501497</v>
      </c>
      <c r="P19">
        <v>3.10209317347074</v>
      </c>
      <c r="Q19">
        <v>4.1199818989840002</v>
      </c>
      <c r="R19">
        <v>3.2902371388885099</v>
      </c>
      <c r="S19">
        <v>3.9701047792961202</v>
      </c>
      <c r="T19">
        <v>2.9433296583016499</v>
      </c>
      <c r="U19">
        <v>3.6351216722022799</v>
      </c>
      <c r="V19">
        <v>2.40246475366818</v>
      </c>
      <c r="W19">
        <v>2.6589104800005101</v>
      </c>
      <c r="X19">
        <v>2.3338637579671602</v>
      </c>
      <c r="Y19">
        <v>3.1093644966988498</v>
      </c>
      <c r="Z19">
        <v>0.77190994494730003</v>
      </c>
      <c r="AA19">
        <v>0.75018708256132904</v>
      </c>
      <c r="AB19">
        <v>22.717943772146199</v>
      </c>
      <c r="AC19" s="57">
        <v>1.82018979570442E-7</v>
      </c>
      <c r="AD19">
        <v>0.33641537162928398</v>
      </c>
      <c r="AE19" t="s">
        <v>32</v>
      </c>
      <c r="AF19">
        <f t="shared" si="0"/>
        <v>5.5555555555555552E-2</v>
      </c>
    </row>
    <row r="20" spans="1:32" x14ac:dyDescent="0.25">
      <c r="B20">
        <v>42.5</v>
      </c>
      <c r="C20">
        <v>77.8</v>
      </c>
      <c r="D20">
        <v>20.3</v>
      </c>
      <c r="E20">
        <v>67</v>
      </c>
      <c r="F20">
        <v>45.3</v>
      </c>
      <c r="G20">
        <v>52.5</v>
      </c>
      <c r="H20">
        <v>45.3</v>
      </c>
      <c r="I20">
        <v>59.1</v>
      </c>
      <c r="J20">
        <v>11.6</v>
      </c>
      <c r="K20">
        <v>44.8</v>
      </c>
      <c r="L20">
        <v>15.9</v>
      </c>
      <c r="M20">
        <v>38</v>
      </c>
      <c r="N20">
        <v>24</v>
      </c>
      <c r="O20">
        <v>58.9</v>
      </c>
      <c r="P20">
        <v>21.3</v>
      </c>
      <c r="Q20">
        <v>94.7</v>
      </c>
      <c r="R20">
        <v>37.200000000000003</v>
      </c>
      <c r="S20">
        <v>35.1</v>
      </c>
      <c r="T20">
        <v>18.399999999999999</v>
      </c>
      <c r="U20">
        <v>34.700000000000003</v>
      </c>
      <c r="V20">
        <v>8.1</v>
      </c>
      <c r="W20">
        <v>21.1</v>
      </c>
      <c r="X20">
        <v>8.0679429999999996</v>
      </c>
      <c r="Y20">
        <v>48.4</v>
      </c>
    </row>
    <row r="21" spans="1:32" x14ac:dyDescent="0.25">
      <c r="Z21" t="s">
        <v>8</v>
      </c>
    </row>
    <row r="23" spans="1:32" x14ac:dyDescent="0.25">
      <c r="U23" cm="1">
        <f t="array" ref="U23">SUM(U2:U19*$AF$2:$AF$19)</f>
        <v>3.6614960436487896</v>
      </c>
      <c r="V23" cm="1">
        <f t="array" ref="V23">SUM(V2:V19*$AF$2:$AF$19)</f>
        <v>2.3997127772002358</v>
      </c>
      <c r="W23" cm="1">
        <f t="array" ref="W23">SUM(W2:W19*$AF$2:$AF$19)</f>
        <v>2.7615211165487938</v>
      </c>
      <c r="X23" cm="1">
        <f t="array" ref="X23">SUM(X2:X19*$AF$2:$AF$19)</f>
        <v>2.4155332494550144</v>
      </c>
      <c r="Y23" cm="1">
        <f t="array" ref="Y23">SUM(Y2:Y19*$AF$2:$AF$19)</f>
        <v>3.0927525087149421</v>
      </c>
    </row>
    <row r="24" spans="1:32" x14ac:dyDescent="0.25">
      <c r="U24">
        <f>(LN(U20)-U23)^2</f>
        <v>1.3169021402134115E-2</v>
      </c>
      <c r="V24">
        <f t="shared" ref="V24:Y24" si="1">(LN(V20)-V23)^2</f>
        <v>9.477083164844835E-2</v>
      </c>
      <c r="W24">
        <f t="shared" si="1"/>
        <v>8.2801169727273596E-2</v>
      </c>
      <c r="X24">
        <f t="shared" si="1"/>
        <v>0.10734449293261041</v>
      </c>
      <c r="Y24">
        <f t="shared" si="1"/>
        <v>0.61897132193679028</v>
      </c>
      <c r="Z24">
        <f>SUM(U24:Y24)</f>
        <v>0.91705683764725676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4BA-6BDE-42A2-9778-368C24BD5CC2}">
  <dimension ref="A1:Z32"/>
  <sheetViews>
    <sheetView topLeftCell="K1" workbookViewId="0">
      <selection activeCell="Q4" sqref="Q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13.42578125" style="1" customWidth="1"/>
    <col min="12" max="12" width="17.42578125" style="1" customWidth="1"/>
    <col min="13" max="13" width="19" style="1" bestFit="1" customWidth="1"/>
    <col min="14" max="15" width="19" style="1" customWidth="1"/>
    <col min="16" max="16" width="32.7109375" style="1" bestFit="1" customWidth="1"/>
    <col min="17" max="17" width="21.7109375" style="1" bestFit="1" customWidth="1"/>
    <col min="18" max="19" width="9.140625" style="1"/>
    <col min="20" max="20" width="12" style="1" bestFit="1" customWidth="1"/>
    <col min="21" max="21" width="9.140625" style="1"/>
    <col min="22" max="22" width="22.28515625" style="1" customWidth="1"/>
    <col min="23" max="23" width="35.140625" style="1" customWidth="1"/>
    <col min="24" max="24" width="5.5703125" style="1" bestFit="1" customWidth="1"/>
    <col min="25" max="25" width="19.140625" style="1" customWidth="1"/>
    <col min="26" max="26" width="24.7109375" style="1" customWidth="1"/>
  </cols>
  <sheetData>
    <row r="1" spans="1:26" ht="45" x14ac:dyDescent="0.25">
      <c r="A1" s="27" t="s">
        <v>79</v>
      </c>
      <c r="B1" s="2" t="s">
        <v>57</v>
      </c>
    </row>
    <row r="2" spans="1:26" x14ac:dyDescent="0.25">
      <c r="C2" s="52" t="s">
        <v>56</v>
      </c>
      <c r="D2" s="52"/>
      <c r="E2" s="52"/>
      <c r="F2" s="52"/>
      <c r="G2" s="52"/>
      <c r="H2" s="52"/>
      <c r="I2" s="52"/>
      <c r="K2" s="52" t="s">
        <v>46</v>
      </c>
      <c r="L2" s="52"/>
      <c r="P2" s="26"/>
      <c r="R2" s="52" t="s">
        <v>43</v>
      </c>
      <c r="S2" s="52"/>
      <c r="T2" s="52"/>
      <c r="U2" s="52"/>
      <c r="V2" s="52" t="s">
        <v>47</v>
      </c>
      <c r="W2" s="52"/>
      <c r="Y2" s="52" t="s">
        <v>47</v>
      </c>
      <c r="Z2" s="52"/>
    </row>
    <row r="3" spans="1:26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41</v>
      </c>
      <c r="L3" s="3" t="s">
        <v>42</v>
      </c>
      <c r="M3" s="3" t="s">
        <v>37</v>
      </c>
      <c r="N3" s="3" t="s">
        <v>37</v>
      </c>
      <c r="O3" s="3" t="s">
        <v>68</v>
      </c>
      <c r="P3" s="3" t="s">
        <v>69</v>
      </c>
      <c r="Q3" s="3" t="s">
        <v>38</v>
      </c>
      <c r="R3" s="3" t="s">
        <v>9</v>
      </c>
      <c r="S3" s="3" t="s">
        <v>39</v>
      </c>
      <c r="T3" s="3" t="s">
        <v>40</v>
      </c>
      <c r="U3" s="3" t="s">
        <v>70</v>
      </c>
      <c r="V3" s="3" t="s">
        <v>41</v>
      </c>
      <c r="W3" s="3" t="s">
        <v>42</v>
      </c>
      <c r="X3" s="3" t="s">
        <v>1</v>
      </c>
      <c r="Y3" s="3" t="s">
        <v>41</v>
      </c>
      <c r="Z3" s="3" t="s">
        <v>42</v>
      </c>
    </row>
    <row r="4" spans="1:26" s="16" customFormat="1" x14ac:dyDescent="0.25">
      <c r="A4" s="13" t="s">
        <v>11</v>
      </c>
      <c r="B4" s="13" t="s">
        <v>10</v>
      </c>
      <c r="C4" s="13">
        <v>2.7121487673036202</v>
      </c>
      <c r="D4" s="13">
        <v>0.15537120085078801</v>
      </c>
      <c r="E4" s="13">
        <v>2.1097801743561302</v>
      </c>
      <c r="F4" s="13">
        <v>3.3145173602511102</v>
      </c>
      <c r="G4" s="13">
        <v>32.5560578916457</v>
      </c>
      <c r="H4" s="13">
        <v>0.428621240788846</v>
      </c>
      <c r="I4" s="13">
        <v>22</v>
      </c>
      <c r="J4" s="14">
        <f>D4*SQRT(I4+1)</f>
        <v>0.74513410285516113</v>
      </c>
      <c r="K4" s="14">
        <f>M4-(1.28*J4)</f>
        <v>1.8502351996766988</v>
      </c>
      <c r="L4" s="14">
        <f>M4+(1.28*J4)</f>
        <v>3.7577785029859117</v>
      </c>
      <c r="M4" s="15">
        <f>C4+((H4*H4)/2)</f>
        <v>2.8040068513313052</v>
      </c>
      <c r="N4" s="15">
        <f>EXP(M4)</f>
        <v>16.510670210624895</v>
      </c>
      <c r="O4" s="14">
        <v>2.1449226569063198</v>
      </c>
      <c r="P4" s="11">
        <f>O4/SUM($O$4:$O$21)</f>
        <v>3.2376280823721328E-2</v>
      </c>
      <c r="Q4" s="14" cm="1">
        <f t="array" ref="Q4">SUM($M$4:$M$21*$P$4:$P$21)</f>
        <v>2.6604553832464659</v>
      </c>
      <c r="R4" s="14">
        <f>J4*J4</f>
        <v>0.55522483123776589</v>
      </c>
      <c r="S4" s="14">
        <f>R4+((M4-Q4)^2)</f>
        <v>0.57583185522707858</v>
      </c>
      <c r="T4" s="14">
        <f>SQRT(S4)*P4</f>
        <v>2.4568282748983105E-2</v>
      </c>
      <c r="U4" s="23">
        <f>SUM($T$4:$T$21)</f>
        <v>0.58716838341651756</v>
      </c>
      <c r="V4" s="14">
        <f t="shared" ref="V4:V21" si="0">Q4-1.28*U4</f>
        <v>1.9088798524733233</v>
      </c>
      <c r="W4" s="14">
        <f t="shared" ref="W4:W21" si="1">Q4+1.28*U4</f>
        <v>3.4120309140196086</v>
      </c>
      <c r="X4" s="15">
        <f t="shared" ref="X4:X11" si="2">EXP(Q4)</f>
        <v>14.302800871783429</v>
      </c>
      <c r="Y4" s="15">
        <f>EXP(V4)</f>
        <v>6.7455285778879137</v>
      </c>
      <c r="Z4" s="15">
        <f>EXP(W4)</f>
        <v>30.32677282673993</v>
      </c>
    </row>
    <row r="5" spans="1:26" s="12" customFormat="1" x14ac:dyDescent="0.25">
      <c r="A5" s="10" t="s">
        <v>12</v>
      </c>
      <c r="B5" s="10" t="s">
        <v>19</v>
      </c>
      <c r="C5" s="10">
        <v>2.7027208960742302</v>
      </c>
      <c r="D5" s="10">
        <v>0.106660481348756</v>
      </c>
      <c r="E5" s="10">
        <v>2.2886470081110502</v>
      </c>
      <c r="F5" s="10">
        <v>3.1167947840374</v>
      </c>
      <c r="G5" s="10">
        <v>16.281556239917101</v>
      </c>
      <c r="H5" s="10">
        <v>0.29419864858496603</v>
      </c>
      <c r="I5" s="10">
        <v>21</v>
      </c>
      <c r="J5" s="5">
        <f t="shared" ref="J5:J21" si="3">D5*SQRT(I5+1)</f>
        <v>0.50028200266855816</v>
      </c>
      <c r="K5" s="5">
        <f t="shared" ref="K5:K21" si="4">M5-(1.28*J5)</f>
        <v>2.1056363550730857</v>
      </c>
      <c r="L5" s="5">
        <f t="shared" ref="L5:L21" si="5">M5+(1.28*J5)</f>
        <v>3.3863582819045948</v>
      </c>
      <c r="M5" s="11">
        <f t="shared" ref="M5:M21" si="6">C5+((H5*H5)/2)</f>
        <v>2.7459973184888402</v>
      </c>
      <c r="N5" s="11">
        <f t="shared" ref="N5:N21" si="7">EXP(M5)</f>
        <v>15.580144552630969</v>
      </c>
      <c r="O5" s="5">
        <v>4.6784321024388804</v>
      </c>
      <c r="P5" s="11">
        <f t="shared" ref="P5:P21" si="8">O5/SUM($O$4:$O$21)</f>
        <v>7.0618038872200556E-2</v>
      </c>
      <c r="Q5" s="5" cm="1">
        <f t="array" ref="Q5">SUM($M$4:$M$21*$P$4:$P$21)</f>
        <v>2.6604553832464659</v>
      </c>
      <c r="R5" s="5">
        <f t="shared" ref="R5:R21" si="9">J5*J5</f>
        <v>0.25028208219406323</v>
      </c>
      <c r="S5" s="5">
        <f>R5+((M5-Q5)^2)</f>
        <v>0.25759950487907379</v>
      </c>
      <c r="T5" s="5">
        <f t="shared" ref="T5:T21" si="10">SQRT(S5)*P5</f>
        <v>3.5841664034532102E-2</v>
      </c>
      <c r="U5" s="24">
        <f t="shared" ref="U5:U21" si="11">SUM($T$4:$T$21)</f>
        <v>0.58716838341651756</v>
      </c>
      <c r="V5" s="14">
        <f t="shared" si="0"/>
        <v>1.9088798524733233</v>
      </c>
      <c r="W5" s="14">
        <f t="shared" si="1"/>
        <v>3.4120309140196086</v>
      </c>
      <c r="X5" s="11">
        <f t="shared" si="2"/>
        <v>14.302800871783429</v>
      </c>
      <c r="Y5" s="11">
        <f t="shared" ref="Y5:Z21" si="12">EXP(V5)</f>
        <v>6.7455285778879137</v>
      </c>
      <c r="Z5" s="11">
        <f t="shared" si="12"/>
        <v>30.32677282673993</v>
      </c>
    </row>
    <row r="6" spans="1:26" s="12" customFormat="1" x14ac:dyDescent="0.25">
      <c r="A6" s="10" t="s">
        <v>13</v>
      </c>
      <c r="B6" s="10" t="s">
        <v>48</v>
      </c>
      <c r="C6" s="10">
        <v>2.7495991174469698</v>
      </c>
      <c r="D6" s="10">
        <v>0.112206475902042</v>
      </c>
      <c r="E6" s="10">
        <v>2.3149394593798398</v>
      </c>
      <c r="F6" s="10">
        <v>3.1842587755140999</v>
      </c>
      <c r="G6" s="10">
        <v>18.5967320268565</v>
      </c>
      <c r="H6" s="10">
        <v>0.308736463333391</v>
      </c>
      <c r="I6" s="10">
        <v>21</v>
      </c>
      <c r="J6" s="5">
        <f t="shared" si="3"/>
        <v>0.52629502292518571</v>
      </c>
      <c r="K6" s="5">
        <f t="shared" si="4"/>
        <v>2.1236005899985373</v>
      </c>
      <c r="L6" s="5">
        <f t="shared" si="5"/>
        <v>3.4709158486870124</v>
      </c>
      <c r="M6" s="11">
        <f t="shared" si="6"/>
        <v>2.7972582193427749</v>
      </c>
      <c r="N6" s="11">
        <f t="shared" si="7"/>
        <v>16.399620910388439</v>
      </c>
      <c r="O6" s="5">
        <v>3.4674896011506302</v>
      </c>
      <c r="P6" s="11">
        <f t="shared" si="8"/>
        <v>5.2339610810073815E-2</v>
      </c>
      <c r="Q6" s="5" cm="1">
        <f t="array" ref="Q6">SUM($M$4:$M$21*$P$4:$P$21)</f>
        <v>2.6604553832464659</v>
      </c>
      <c r="R6" s="5">
        <f t="shared" si="9"/>
        <v>0.27698645115582177</v>
      </c>
      <c r="S6" s="5">
        <f t="shared" ref="S6:S21" si="13">R6+((M6-Q6)^2)</f>
        <v>0.29570146711981532</v>
      </c>
      <c r="T6" s="5">
        <f t="shared" si="10"/>
        <v>2.8461463544716726E-2</v>
      </c>
      <c r="U6" s="24">
        <f t="shared" si="11"/>
        <v>0.58716838341651756</v>
      </c>
      <c r="V6" s="14">
        <f t="shared" si="0"/>
        <v>1.9088798524733233</v>
      </c>
      <c r="W6" s="14">
        <f t="shared" si="1"/>
        <v>3.4120309140196086</v>
      </c>
      <c r="X6" s="11">
        <f t="shared" si="2"/>
        <v>14.302800871783429</v>
      </c>
      <c r="Y6" s="11">
        <f t="shared" si="12"/>
        <v>6.7455285778879137</v>
      </c>
      <c r="Z6" s="11">
        <f t="shared" si="12"/>
        <v>30.32677282673993</v>
      </c>
    </row>
    <row r="7" spans="1:26" s="12" customFormat="1" x14ac:dyDescent="0.25">
      <c r="A7" s="10" t="s">
        <v>14</v>
      </c>
      <c r="B7" s="10" t="s">
        <v>49</v>
      </c>
      <c r="C7" s="10">
        <v>2.5296472351655499</v>
      </c>
      <c r="D7" s="10">
        <v>0.133566394858191</v>
      </c>
      <c r="E7" s="10">
        <v>2.0436945647353499</v>
      </c>
      <c r="F7" s="10">
        <v>3.0155999055957401</v>
      </c>
      <c r="G7" s="10">
        <v>23.523646666590999</v>
      </c>
      <c r="H7" s="10">
        <v>0.34210992328034301</v>
      </c>
      <c r="I7" s="10">
        <v>21</v>
      </c>
      <c r="J7" s="5">
        <f t="shared" si="3"/>
        <v>0.62648192342565812</v>
      </c>
      <c r="K7" s="5">
        <f t="shared" si="4"/>
        <v>1.7862699729841487</v>
      </c>
      <c r="L7" s="5">
        <f t="shared" si="5"/>
        <v>3.3900636969538334</v>
      </c>
      <c r="M7" s="11">
        <f t="shared" si="6"/>
        <v>2.588166834968991</v>
      </c>
      <c r="N7" s="11">
        <f t="shared" si="7"/>
        <v>13.305358315650695</v>
      </c>
      <c r="O7" s="5">
        <v>3.7001315659269198</v>
      </c>
      <c r="P7" s="11">
        <f t="shared" si="8"/>
        <v>5.5851197374152152E-2</v>
      </c>
      <c r="Q7" s="5" cm="1">
        <f t="array" ref="Q7">SUM($M$4:$M$21*$P$4:$P$21)</f>
        <v>2.6604553832464659</v>
      </c>
      <c r="R7" s="5">
        <f t="shared" si="9"/>
        <v>0.39247960037911217</v>
      </c>
      <c r="S7" s="5">
        <f t="shared" si="13"/>
        <v>0.39770523459117701</v>
      </c>
      <c r="T7" s="5">
        <f t="shared" si="10"/>
        <v>3.5221929368429029E-2</v>
      </c>
      <c r="U7" s="24">
        <f t="shared" si="11"/>
        <v>0.58716838341651756</v>
      </c>
      <c r="V7" s="14">
        <f t="shared" si="0"/>
        <v>1.9088798524733233</v>
      </c>
      <c r="W7" s="14">
        <f t="shared" si="1"/>
        <v>3.4120309140196086</v>
      </c>
      <c r="X7" s="11">
        <f t="shared" si="2"/>
        <v>14.302800871783429</v>
      </c>
      <c r="Y7" s="11">
        <f t="shared" si="12"/>
        <v>6.7455285778879137</v>
      </c>
      <c r="Z7" s="11">
        <f t="shared" si="12"/>
        <v>30.32677282673993</v>
      </c>
    </row>
    <row r="8" spans="1:26" s="12" customFormat="1" x14ac:dyDescent="0.25">
      <c r="A8" s="10" t="s">
        <v>15</v>
      </c>
      <c r="B8" s="10" t="s">
        <v>50</v>
      </c>
      <c r="C8" s="10">
        <v>2.6504195770932202</v>
      </c>
      <c r="D8" s="10">
        <v>0.11188305174794801</v>
      </c>
      <c r="E8" s="10">
        <v>2.2186743669807201</v>
      </c>
      <c r="F8" s="10">
        <v>3.0821647872057198</v>
      </c>
      <c r="G8" s="10">
        <v>18.24934233994</v>
      </c>
      <c r="H8" s="10">
        <v>0.30651011558828101</v>
      </c>
      <c r="I8" s="10">
        <v>21</v>
      </c>
      <c r="J8" s="5">
        <f t="shared" si="3"/>
        <v>0.5247780291757157</v>
      </c>
      <c r="K8" s="5">
        <f t="shared" si="4"/>
        <v>2.0256779252272747</v>
      </c>
      <c r="L8" s="5">
        <f t="shared" si="5"/>
        <v>3.369109679917107</v>
      </c>
      <c r="M8" s="11">
        <f t="shared" si="6"/>
        <v>2.6973938025721909</v>
      </c>
      <c r="N8" s="11">
        <f t="shared" si="7"/>
        <v>14.841002695994186</v>
      </c>
      <c r="O8" s="5">
        <v>4.6784592024509699</v>
      </c>
      <c r="P8" s="11">
        <f t="shared" si="8"/>
        <v>7.0618447930121078E-2</v>
      </c>
      <c r="Q8" s="5" cm="1">
        <f t="array" ref="Q8">SUM($M$4:$M$21*$P$4:$P$21)</f>
        <v>2.6604553832464659</v>
      </c>
      <c r="R8" s="5">
        <f t="shared" si="9"/>
        <v>0.27539197990554831</v>
      </c>
      <c r="S8" s="5">
        <f t="shared" si="13"/>
        <v>0.27675642672783141</v>
      </c>
      <c r="T8" s="5">
        <f t="shared" si="10"/>
        <v>3.715070208843109E-2</v>
      </c>
      <c r="U8" s="24">
        <f t="shared" si="11"/>
        <v>0.58716838341651756</v>
      </c>
      <c r="V8" s="14">
        <f t="shared" si="0"/>
        <v>1.9088798524733233</v>
      </c>
      <c r="W8" s="14">
        <f t="shared" si="1"/>
        <v>3.4120309140196086</v>
      </c>
      <c r="X8" s="11">
        <f t="shared" si="2"/>
        <v>14.302800871783429</v>
      </c>
      <c r="Y8" s="11">
        <f t="shared" si="12"/>
        <v>6.7455285778879137</v>
      </c>
      <c r="Z8" s="11">
        <f t="shared" si="12"/>
        <v>30.32677282673993</v>
      </c>
    </row>
    <row r="9" spans="1:26" s="12" customFormat="1" x14ac:dyDescent="0.25">
      <c r="A9" s="10" t="s">
        <v>16</v>
      </c>
      <c r="B9" s="10" t="s">
        <v>51</v>
      </c>
      <c r="C9" s="10">
        <v>2.5393843432496102</v>
      </c>
      <c r="D9" s="10">
        <v>0.123305978416517</v>
      </c>
      <c r="E9" s="10">
        <v>2.0840676791358401</v>
      </c>
      <c r="F9" s="10">
        <v>2.99470100736339</v>
      </c>
      <c r="G9" s="10">
        <v>20.5045221172401</v>
      </c>
      <c r="H9" s="10">
        <v>0.321254508518384</v>
      </c>
      <c r="I9" s="10">
        <v>21</v>
      </c>
      <c r="J9" s="5">
        <f t="shared" si="3"/>
        <v>0.57835630444527897</v>
      </c>
      <c r="K9" s="5">
        <f t="shared" si="4"/>
        <v>1.850690503181347</v>
      </c>
      <c r="L9" s="5">
        <f t="shared" si="5"/>
        <v>3.3312826425612614</v>
      </c>
      <c r="M9" s="11">
        <f t="shared" si="6"/>
        <v>2.5909865728713042</v>
      </c>
      <c r="N9" s="11">
        <f t="shared" si="7"/>
        <v>13.342928883480869</v>
      </c>
      <c r="O9" s="5">
        <v>4.6209605313109003</v>
      </c>
      <c r="P9" s="11">
        <f t="shared" si="8"/>
        <v>6.9750541053466272E-2</v>
      </c>
      <c r="Q9" s="5" cm="1">
        <f t="array" ref="Q9">SUM($M$4:$M$21*$P$4:$P$21)</f>
        <v>2.6604553832464659</v>
      </c>
      <c r="R9" s="5">
        <f t="shared" si="9"/>
        <v>0.33449601489160019</v>
      </c>
      <c r="S9" s="5">
        <f t="shared" si="13"/>
        <v>0.33932193050654036</v>
      </c>
      <c r="T9" s="5">
        <f t="shared" si="10"/>
        <v>4.0630628971523322E-2</v>
      </c>
      <c r="U9" s="24">
        <f t="shared" si="11"/>
        <v>0.58716838341651756</v>
      </c>
      <c r="V9" s="14">
        <f t="shared" si="0"/>
        <v>1.9088798524733233</v>
      </c>
      <c r="W9" s="14">
        <f t="shared" si="1"/>
        <v>3.4120309140196086</v>
      </c>
      <c r="X9" s="11">
        <f t="shared" si="2"/>
        <v>14.302800871783429</v>
      </c>
      <c r="Y9" s="11">
        <f t="shared" si="12"/>
        <v>6.7455285778879137</v>
      </c>
      <c r="Z9" s="11">
        <f t="shared" si="12"/>
        <v>30.32677282673993</v>
      </c>
    </row>
    <row r="10" spans="1:26" s="12" customFormat="1" x14ac:dyDescent="0.25">
      <c r="A10" s="10" t="s">
        <v>17</v>
      </c>
      <c r="B10" s="10" t="s">
        <v>28</v>
      </c>
      <c r="C10" s="10">
        <v>2.7138878682679901</v>
      </c>
      <c r="D10" s="10">
        <v>0.116236475115194</v>
      </c>
      <c r="E10" s="10">
        <v>2.2625801589129599</v>
      </c>
      <c r="F10" s="10">
        <v>3.1651955776230198</v>
      </c>
      <c r="G10" s="10">
        <v>20.415407861198901</v>
      </c>
      <c r="H10" s="10">
        <v>0.32065863772629999</v>
      </c>
      <c r="I10" s="10">
        <v>21</v>
      </c>
      <c r="J10" s="5">
        <f t="shared" si="3"/>
        <v>0.54519739474662987</v>
      </c>
      <c r="K10" s="5">
        <f t="shared" si="4"/>
        <v>2.0674461839665472</v>
      </c>
      <c r="L10" s="5">
        <f t="shared" si="5"/>
        <v>3.4631515145179197</v>
      </c>
      <c r="M10" s="11">
        <f t="shared" si="6"/>
        <v>2.7652988492422335</v>
      </c>
      <c r="N10" s="11">
        <f t="shared" si="7"/>
        <v>15.883786138838479</v>
      </c>
      <c r="O10" s="5">
        <v>3.23714501330107</v>
      </c>
      <c r="P10" s="11">
        <f t="shared" si="8"/>
        <v>4.886270172972583E-2</v>
      </c>
      <c r="Q10" s="5" cm="1">
        <f t="array" ref="Q10">SUM($M$4:$M$21*$P$4:$P$21)</f>
        <v>2.6604553832464659</v>
      </c>
      <c r="R10" s="5">
        <f t="shared" si="9"/>
        <v>0.29724019923851258</v>
      </c>
      <c r="S10" s="5">
        <f t="shared" si="13"/>
        <v>0.30823235160051826</v>
      </c>
      <c r="T10" s="5">
        <f t="shared" si="10"/>
        <v>2.7127925635580641E-2</v>
      </c>
      <c r="U10" s="24">
        <f t="shared" si="11"/>
        <v>0.58716838341651756</v>
      </c>
      <c r="V10" s="14">
        <f t="shared" si="0"/>
        <v>1.9088798524733233</v>
      </c>
      <c r="W10" s="14">
        <f t="shared" si="1"/>
        <v>3.4120309140196086</v>
      </c>
      <c r="X10" s="11">
        <f t="shared" si="2"/>
        <v>14.302800871783429</v>
      </c>
      <c r="Y10" s="11">
        <f t="shared" si="12"/>
        <v>6.7455285778879137</v>
      </c>
      <c r="Z10" s="11">
        <f t="shared" si="12"/>
        <v>30.32677282673993</v>
      </c>
    </row>
    <row r="11" spans="1:26" s="12" customFormat="1" x14ac:dyDescent="0.25">
      <c r="A11" s="10" t="s">
        <v>18</v>
      </c>
      <c r="B11" s="10" t="s">
        <v>26</v>
      </c>
      <c r="C11" s="10">
        <v>2.5580070352160198</v>
      </c>
      <c r="D11" s="10">
        <v>0.13473500058198201</v>
      </c>
      <c r="E11" s="10">
        <v>2.0609997140662202</v>
      </c>
      <c r="F11" s="10">
        <v>3.0550143563658199</v>
      </c>
      <c r="G11" s="10">
        <v>24.702591764837099</v>
      </c>
      <c r="H11" s="10">
        <v>0.35061664767110801</v>
      </c>
      <c r="I11" s="10">
        <v>21</v>
      </c>
      <c r="J11" s="5">
        <f t="shared" si="3"/>
        <v>0.63196317012954739</v>
      </c>
      <c r="K11" s="5">
        <f t="shared" si="4"/>
        <v>1.8105601942622622</v>
      </c>
      <c r="L11" s="5">
        <f t="shared" si="5"/>
        <v>3.4283859097939038</v>
      </c>
      <c r="M11" s="11">
        <f t="shared" si="6"/>
        <v>2.6194730520280829</v>
      </c>
      <c r="N11" s="11">
        <f t="shared" si="7"/>
        <v>13.728487480084819</v>
      </c>
      <c r="O11" s="5">
        <v>3.4477957405731101</v>
      </c>
      <c r="P11" s="11">
        <f t="shared" si="8"/>
        <v>5.2042344165746109E-2</v>
      </c>
      <c r="Q11" s="5" cm="1">
        <f t="array" ref="Q11">SUM($M$4:$M$21*$P$4:$P$21)</f>
        <v>2.6604553832464659</v>
      </c>
      <c r="R11" s="5">
        <f t="shared" si="9"/>
        <v>0.39937744840018724</v>
      </c>
      <c r="S11" s="5">
        <f t="shared" si="13"/>
        <v>0.4010569998722805</v>
      </c>
      <c r="T11" s="5">
        <f t="shared" si="10"/>
        <v>3.2957928012318283E-2</v>
      </c>
      <c r="U11" s="24">
        <f t="shared" si="11"/>
        <v>0.58716838341651756</v>
      </c>
      <c r="V11" s="14">
        <f t="shared" si="0"/>
        <v>1.9088798524733233</v>
      </c>
      <c r="W11" s="14">
        <f t="shared" si="1"/>
        <v>3.4120309140196086</v>
      </c>
      <c r="X11" s="11">
        <f t="shared" si="2"/>
        <v>14.302800871783429</v>
      </c>
      <c r="Y11" s="11">
        <f t="shared" si="12"/>
        <v>6.7455285778879137</v>
      </c>
      <c r="Z11" s="11">
        <f t="shared" si="12"/>
        <v>30.32677282673993</v>
      </c>
    </row>
    <row r="12" spans="1:26" s="12" customFormat="1" x14ac:dyDescent="0.25">
      <c r="A12" s="10" t="s">
        <v>20</v>
      </c>
      <c r="B12" s="10" t="s">
        <v>52</v>
      </c>
      <c r="C12" s="10">
        <v>2.60994658164616</v>
      </c>
      <c r="D12" s="10">
        <v>0.121509429065568</v>
      </c>
      <c r="E12" s="10">
        <v>2.1471482776181698</v>
      </c>
      <c r="F12" s="10">
        <v>3.0727448856741599</v>
      </c>
      <c r="G12" s="10">
        <v>21.498294998145401</v>
      </c>
      <c r="H12" s="10">
        <v>0.32797496265278497</v>
      </c>
      <c r="I12" s="10">
        <v>21</v>
      </c>
      <c r="J12" s="5">
        <f t="shared" si="3"/>
        <v>0.56992974105628724</v>
      </c>
      <c r="K12" s="5">
        <f t="shared" si="4"/>
        <v>1.9342203011576602</v>
      </c>
      <c r="L12" s="5">
        <f t="shared" si="5"/>
        <v>3.3932404382617554</v>
      </c>
      <c r="M12" s="11">
        <f t="shared" si="6"/>
        <v>2.6637303697097079</v>
      </c>
      <c r="N12" s="11">
        <f t="shared" si="7"/>
        <v>14.349719137432116</v>
      </c>
      <c r="O12" s="5">
        <v>3.5572286328104301</v>
      </c>
      <c r="P12" s="11">
        <f t="shared" si="8"/>
        <v>5.3694165987395251E-2</v>
      </c>
      <c r="Q12" s="5" cm="1">
        <f t="array" ref="Q12">SUM($M$4:$M$21*$P$4:$P$21)</f>
        <v>2.6604553832464659</v>
      </c>
      <c r="R12" s="5">
        <f t="shared" si="9"/>
        <v>0.32481990974048663</v>
      </c>
      <c r="S12" s="5">
        <f t="shared" si="13"/>
        <v>0.32483063527682104</v>
      </c>
      <c r="T12" s="5">
        <f t="shared" si="10"/>
        <v>3.0602407349857971E-2</v>
      </c>
      <c r="U12" s="24">
        <f t="shared" si="11"/>
        <v>0.58716838341651756</v>
      </c>
      <c r="V12" s="14">
        <f t="shared" si="0"/>
        <v>1.9088798524733233</v>
      </c>
      <c r="W12" s="14">
        <f t="shared" si="1"/>
        <v>3.4120309140196086</v>
      </c>
      <c r="X12" s="11">
        <f t="shared" ref="X12:X21" si="14">EXP(Q12)</f>
        <v>14.302800871783429</v>
      </c>
      <c r="Y12" s="11">
        <f t="shared" si="12"/>
        <v>6.7455285778879137</v>
      </c>
      <c r="Z12" s="11">
        <f t="shared" si="12"/>
        <v>30.32677282673993</v>
      </c>
    </row>
    <row r="13" spans="1:26" s="12" customFormat="1" x14ac:dyDescent="0.25">
      <c r="A13" s="10" t="s">
        <v>21</v>
      </c>
      <c r="B13" s="10" t="s">
        <v>30</v>
      </c>
      <c r="C13" s="10">
        <v>2.5531881165961701</v>
      </c>
      <c r="D13" s="10">
        <v>0.12919986115821699</v>
      </c>
      <c r="E13" s="10">
        <v>2.0752175950568401</v>
      </c>
      <c r="F13" s="10">
        <v>3.0311586381355</v>
      </c>
      <c r="G13" s="10">
        <v>22.848361400411299</v>
      </c>
      <c r="H13" s="10">
        <v>0.33733066648645499</v>
      </c>
      <c r="I13" s="10">
        <v>21</v>
      </c>
      <c r="J13" s="5">
        <f t="shared" si="3"/>
        <v>0.60600106494350003</v>
      </c>
      <c r="K13" s="5">
        <f t="shared" si="4"/>
        <v>1.8344027427445879</v>
      </c>
      <c r="L13" s="5">
        <f t="shared" si="5"/>
        <v>3.3857654689999479</v>
      </c>
      <c r="M13" s="11">
        <f t="shared" si="6"/>
        <v>2.6100841058722679</v>
      </c>
      <c r="N13" s="11">
        <f t="shared" si="7"/>
        <v>13.60019465996465</v>
      </c>
      <c r="O13" s="5">
        <v>3.9194931835373898</v>
      </c>
      <c r="P13" s="11">
        <f t="shared" si="8"/>
        <v>5.916232531195198E-2</v>
      </c>
      <c r="Q13" s="5" cm="1">
        <f t="array" ref="Q13">SUM($M$4:$M$21*$P$4:$P$21)</f>
        <v>2.6604553832464659</v>
      </c>
      <c r="R13" s="5">
        <f t="shared" si="9"/>
        <v>0.36723729071265615</v>
      </c>
      <c r="S13" s="5">
        <f t="shared" si="13"/>
        <v>0.36977455629696454</v>
      </c>
      <c r="T13" s="5">
        <f t="shared" si="10"/>
        <v>3.5976072308284125E-2</v>
      </c>
      <c r="U13" s="24">
        <f t="shared" si="11"/>
        <v>0.58716838341651756</v>
      </c>
      <c r="V13" s="14">
        <f t="shared" si="0"/>
        <v>1.9088798524733233</v>
      </c>
      <c r="W13" s="14">
        <f t="shared" si="1"/>
        <v>3.4120309140196086</v>
      </c>
      <c r="X13" s="11">
        <f t="shared" si="14"/>
        <v>14.302800871783429</v>
      </c>
      <c r="Y13" s="11">
        <f t="shared" si="12"/>
        <v>6.7455285778879137</v>
      </c>
      <c r="Z13" s="11">
        <f t="shared" si="12"/>
        <v>30.32677282673993</v>
      </c>
    </row>
    <row r="14" spans="1:26" s="12" customFormat="1" x14ac:dyDescent="0.25">
      <c r="A14" s="10" t="s">
        <v>22</v>
      </c>
      <c r="B14" s="10" t="s">
        <v>33</v>
      </c>
      <c r="C14" s="10">
        <v>2.7371373131121599</v>
      </c>
      <c r="D14" s="10">
        <v>0.11516458341726001</v>
      </c>
      <c r="E14" s="10">
        <v>2.2904752900972598</v>
      </c>
      <c r="F14" s="10">
        <v>3.18379933612706</v>
      </c>
      <c r="G14" s="10">
        <v>19.911905597260901</v>
      </c>
      <c r="H14" s="10">
        <v>0.31731262698919899</v>
      </c>
      <c r="I14" s="10">
        <v>21</v>
      </c>
      <c r="J14" s="5">
        <f t="shared" si="3"/>
        <v>0.5401697770338163</v>
      </c>
      <c r="K14" s="5">
        <f t="shared" si="4"/>
        <v>2.096063650132268</v>
      </c>
      <c r="L14" s="5">
        <f t="shared" si="5"/>
        <v>3.4788982793388383</v>
      </c>
      <c r="M14" s="11">
        <f t="shared" si="6"/>
        <v>2.7874809647355532</v>
      </c>
      <c r="N14" s="11">
        <f t="shared" si="7"/>
        <v>16.240058951339822</v>
      </c>
      <c r="O14" s="5">
        <v>3.0735306603852699</v>
      </c>
      <c r="P14" s="11">
        <f t="shared" si="8"/>
        <v>4.6393044271571267E-2</v>
      </c>
      <c r="Q14" s="5" cm="1">
        <f t="array" ref="Q14">SUM($M$4:$M$21*$P$4:$P$21)</f>
        <v>2.6604553832464659</v>
      </c>
      <c r="R14" s="5">
        <f t="shared" si="9"/>
        <v>0.29178338802076281</v>
      </c>
      <c r="S14" s="5">
        <f t="shared" si="13"/>
        <v>0.30791888637340359</v>
      </c>
      <c r="T14" s="5">
        <f t="shared" si="10"/>
        <v>2.5743704112854197E-2</v>
      </c>
      <c r="U14" s="24">
        <f t="shared" si="11"/>
        <v>0.58716838341651756</v>
      </c>
      <c r="V14" s="14">
        <f t="shared" si="0"/>
        <v>1.9088798524733233</v>
      </c>
      <c r="W14" s="14">
        <f t="shared" si="1"/>
        <v>3.4120309140196086</v>
      </c>
      <c r="X14" s="11">
        <f t="shared" si="14"/>
        <v>14.302800871783429</v>
      </c>
      <c r="Y14" s="11">
        <f t="shared" si="12"/>
        <v>6.7455285778879137</v>
      </c>
      <c r="Z14" s="11">
        <f t="shared" si="12"/>
        <v>30.32677282673993</v>
      </c>
    </row>
    <row r="15" spans="1:26" s="12" customFormat="1" x14ac:dyDescent="0.25">
      <c r="A15" s="10" t="s">
        <v>23</v>
      </c>
      <c r="B15" s="10" t="s">
        <v>31</v>
      </c>
      <c r="C15" s="10">
        <v>2.5184974031289702</v>
      </c>
      <c r="D15" s="10">
        <v>0.132890863474177</v>
      </c>
      <c r="E15" s="10">
        <v>2.03754414923853</v>
      </c>
      <c r="F15" s="10">
        <v>2.9994506570194202</v>
      </c>
      <c r="G15" s="10">
        <v>22.988473029164499</v>
      </c>
      <c r="H15" s="10">
        <v>0.33831677060788501</v>
      </c>
      <c r="I15" s="10">
        <v>21</v>
      </c>
      <c r="J15" s="5">
        <f t="shared" si="3"/>
        <v>0.62331340037582361</v>
      </c>
      <c r="K15" s="5">
        <f t="shared" si="4"/>
        <v>1.7778853692851901</v>
      </c>
      <c r="L15" s="5">
        <f t="shared" si="5"/>
        <v>3.3735676742472984</v>
      </c>
      <c r="M15" s="11">
        <f t="shared" si="6"/>
        <v>2.5757265217662444</v>
      </c>
      <c r="N15" s="11">
        <f t="shared" si="7"/>
        <v>13.140860812641563</v>
      </c>
      <c r="O15" s="5">
        <v>3.6079473613497002</v>
      </c>
      <c r="P15" s="11">
        <f t="shared" si="8"/>
        <v>5.4459733824035995E-2</v>
      </c>
      <c r="Q15" s="5" cm="1">
        <f t="array" ref="Q15">SUM($M$4:$M$21*$P$4:$P$21)</f>
        <v>2.6604553832464659</v>
      </c>
      <c r="R15" s="5">
        <f t="shared" si="9"/>
        <v>0.38851959508807177</v>
      </c>
      <c r="S15" s="5">
        <f t="shared" si="13"/>
        <v>0.39569857505580636</v>
      </c>
      <c r="T15" s="5">
        <f t="shared" si="10"/>
        <v>3.4257664950636119E-2</v>
      </c>
      <c r="U15" s="24">
        <f t="shared" si="11"/>
        <v>0.58716838341651756</v>
      </c>
      <c r="V15" s="14">
        <f t="shared" si="0"/>
        <v>1.9088798524733233</v>
      </c>
      <c r="W15" s="14">
        <f t="shared" si="1"/>
        <v>3.4120309140196086</v>
      </c>
      <c r="X15" s="11">
        <f t="shared" si="14"/>
        <v>14.302800871783429</v>
      </c>
      <c r="Y15" s="11">
        <f t="shared" si="12"/>
        <v>6.7455285778879137</v>
      </c>
      <c r="Z15" s="11">
        <f t="shared" si="12"/>
        <v>30.32677282673993</v>
      </c>
    </row>
    <row r="16" spans="1:26" s="12" customFormat="1" x14ac:dyDescent="0.25">
      <c r="A16" s="10" t="s">
        <v>24</v>
      </c>
      <c r="B16" s="10" t="s">
        <v>53</v>
      </c>
      <c r="C16" s="10">
        <v>2.6128083611622901</v>
      </c>
      <c r="D16" s="10">
        <v>0.116001556394472</v>
      </c>
      <c r="E16" s="10">
        <v>2.1697796526502802</v>
      </c>
      <c r="F16" s="10">
        <v>3.0558370696743</v>
      </c>
      <c r="G16" s="10">
        <v>19.420711041616801</v>
      </c>
      <c r="H16" s="10">
        <v>0.31408205486646901</v>
      </c>
      <c r="I16" s="10">
        <v>21</v>
      </c>
      <c r="J16" s="5">
        <f t="shared" si="3"/>
        <v>0.54409552827667784</v>
      </c>
      <c r="K16" s="5">
        <f t="shared" si="4"/>
        <v>1.9656898535627141</v>
      </c>
      <c r="L16" s="5">
        <f t="shared" si="5"/>
        <v>3.3585744059510096</v>
      </c>
      <c r="M16" s="11">
        <f t="shared" si="6"/>
        <v>2.6621321297568619</v>
      </c>
      <c r="N16" s="11">
        <f t="shared" si="7"/>
        <v>14.326803160487501</v>
      </c>
      <c r="O16" s="5">
        <v>4.01487714156114</v>
      </c>
      <c r="P16" s="11">
        <f t="shared" si="8"/>
        <v>6.060208716122497E-2</v>
      </c>
      <c r="Q16" s="5" cm="1">
        <f t="array" ref="Q16">SUM($M$4:$M$21*$P$4:$P$21)</f>
        <v>2.6604553832464659</v>
      </c>
      <c r="R16" s="5">
        <f t="shared" si="9"/>
        <v>0.29603994389067712</v>
      </c>
      <c r="S16" s="5">
        <f t="shared" si="13"/>
        <v>0.29604275536953722</v>
      </c>
      <c r="T16" s="5">
        <f t="shared" si="10"/>
        <v>3.2973481201420823E-2</v>
      </c>
      <c r="U16" s="24">
        <f t="shared" si="11"/>
        <v>0.58716838341651756</v>
      </c>
      <c r="V16" s="14">
        <f t="shared" si="0"/>
        <v>1.9088798524733233</v>
      </c>
      <c r="W16" s="14">
        <f t="shared" si="1"/>
        <v>3.4120309140196086</v>
      </c>
      <c r="X16" s="11">
        <f t="shared" si="14"/>
        <v>14.302800871783429</v>
      </c>
      <c r="Y16" s="11">
        <f t="shared" si="12"/>
        <v>6.7455285778879137</v>
      </c>
      <c r="Z16" s="11">
        <f t="shared" si="12"/>
        <v>30.32677282673993</v>
      </c>
    </row>
    <row r="17" spans="1:26" s="12" customFormat="1" x14ac:dyDescent="0.25">
      <c r="A17" s="10" t="s">
        <v>25</v>
      </c>
      <c r="B17" s="10" t="s">
        <v>34</v>
      </c>
      <c r="C17" s="10">
        <v>2.5240955955253601</v>
      </c>
      <c r="D17" s="10">
        <v>0.126581688335445</v>
      </c>
      <c r="E17" s="10">
        <v>2.0615565465416399</v>
      </c>
      <c r="F17" s="10">
        <v>2.9866346445090799</v>
      </c>
      <c r="G17" s="10">
        <v>21.184921958577299</v>
      </c>
      <c r="H17" s="10">
        <v>0.325840718075184</v>
      </c>
      <c r="I17" s="10">
        <v>21</v>
      </c>
      <c r="J17" s="5">
        <f t="shared" si="3"/>
        <v>0.59372074587362889</v>
      </c>
      <c r="K17" s="5">
        <f t="shared" si="4"/>
        <v>1.8172191275849912</v>
      </c>
      <c r="L17" s="5">
        <f t="shared" si="5"/>
        <v>3.337144237021481</v>
      </c>
      <c r="M17" s="11">
        <f t="shared" si="6"/>
        <v>2.5771816823032361</v>
      </c>
      <c r="N17" s="11">
        <f t="shared" si="7"/>
        <v>13.159996794304204</v>
      </c>
      <c r="O17" s="5">
        <v>4.0871761226603098</v>
      </c>
      <c r="P17" s="11">
        <f t="shared" si="8"/>
        <v>6.1693395562392124E-2</v>
      </c>
      <c r="Q17" s="5" cm="1">
        <f t="array" ref="Q17">SUM($M$4:$M$21*$P$4:$P$21)</f>
        <v>2.6604553832464659</v>
      </c>
      <c r="R17" s="5">
        <f t="shared" si="9"/>
        <v>0.35250432408073823</v>
      </c>
      <c r="S17" s="5">
        <f t="shared" si="13"/>
        <v>0.3594388333495207</v>
      </c>
      <c r="T17" s="5">
        <f t="shared" si="10"/>
        <v>3.6987175855636018E-2</v>
      </c>
      <c r="U17" s="24">
        <f t="shared" si="11"/>
        <v>0.58716838341651756</v>
      </c>
      <c r="V17" s="14">
        <f t="shared" si="0"/>
        <v>1.9088798524733233</v>
      </c>
      <c r="W17" s="14">
        <f t="shared" si="1"/>
        <v>3.4120309140196086</v>
      </c>
      <c r="X17" s="11">
        <f t="shared" si="14"/>
        <v>14.302800871783429</v>
      </c>
      <c r="Y17" s="11">
        <f t="shared" si="12"/>
        <v>6.7455285778879137</v>
      </c>
      <c r="Z17" s="11">
        <f t="shared" si="12"/>
        <v>30.32677282673993</v>
      </c>
    </row>
    <row r="18" spans="1:26" s="12" customFormat="1" x14ac:dyDescent="0.25">
      <c r="A18" s="10" t="s">
        <v>27</v>
      </c>
      <c r="B18" s="10" t="s">
        <v>36</v>
      </c>
      <c r="C18" s="10">
        <v>2.6989494625960999</v>
      </c>
      <c r="D18" s="10">
        <v>0.119750209412352</v>
      </c>
      <c r="E18" s="10">
        <v>2.2341520142601698</v>
      </c>
      <c r="F18" s="10">
        <v>3.1637469109320202</v>
      </c>
      <c r="G18" s="10">
        <v>21.827043900782801</v>
      </c>
      <c r="H18" s="10">
        <v>0.33022895191096902</v>
      </c>
      <c r="I18" s="10">
        <v>21</v>
      </c>
      <c r="J18" s="5">
        <f t="shared" si="3"/>
        <v>0.56167826946985178</v>
      </c>
      <c r="K18" s="5">
        <f t="shared" si="4"/>
        <v>2.0345268580147979</v>
      </c>
      <c r="L18" s="5">
        <f t="shared" si="5"/>
        <v>3.4724232278576186</v>
      </c>
      <c r="M18" s="11">
        <f t="shared" si="6"/>
        <v>2.7534750429362083</v>
      </c>
      <c r="N18" s="11">
        <f t="shared" si="7"/>
        <v>15.697085260733896</v>
      </c>
      <c r="O18" s="5">
        <v>2.8796772075716901</v>
      </c>
      <c r="P18" s="11">
        <f t="shared" si="8"/>
        <v>4.3466946304014299E-2</v>
      </c>
      <c r="Q18" s="5" cm="1">
        <f t="array" ref="Q18">SUM($M$4:$M$21*$P$4:$P$21)</f>
        <v>2.6604553832464659</v>
      </c>
      <c r="R18" s="5">
        <f t="shared" si="9"/>
        <v>0.31548247839464744</v>
      </c>
      <c r="S18" s="5">
        <f t="shared" si="13"/>
        <v>0.32413513548344292</v>
      </c>
      <c r="T18" s="5">
        <f t="shared" si="10"/>
        <v>2.4746978766379657E-2</v>
      </c>
      <c r="U18" s="24">
        <f t="shared" si="11"/>
        <v>0.58716838341651756</v>
      </c>
      <c r="V18" s="14">
        <f t="shared" si="0"/>
        <v>1.9088798524733233</v>
      </c>
      <c r="W18" s="14">
        <f t="shared" si="1"/>
        <v>3.4120309140196086</v>
      </c>
      <c r="X18" s="11">
        <f t="shared" si="14"/>
        <v>14.302800871783429</v>
      </c>
      <c r="Y18" s="11">
        <f t="shared" si="12"/>
        <v>6.7455285778879137</v>
      </c>
      <c r="Z18" s="11">
        <f t="shared" si="12"/>
        <v>30.32677282673993</v>
      </c>
    </row>
    <row r="19" spans="1:26" s="12" customFormat="1" x14ac:dyDescent="0.25">
      <c r="A19" s="10" t="s">
        <v>29</v>
      </c>
      <c r="B19" s="10" t="s">
        <v>35</v>
      </c>
      <c r="C19" s="10">
        <v>2.5089656712296899</v>
      </c>
      <c r="D19" s="10">
        <v>0.13842659259898801</v>
      </c>
      <c r="E19" s="10">
        <v>2.0141561311451199</v>
      </c>
      <c r="F19" s="10">
        <v>3.00377521131426</v>
      </c>
      <c r="G19" s="10">
        <v>24.2585765916815</v>
      </c>
      <c r="H19" s="10">
        <v>0.347388287543894</v>
      </c>
      <c r="I19" s="10">
        <v>21</v>
      </c>
      <c r="J19" s="5">
        <f t="shared" si="3"/>
        <v>0.64927827150495077</v>
      </c>
      <c r="K19" s="5">
        <f t="shared" si="4"/>
        <v>1.7382287948646926</v>
      </c>
      <c r="L19" s="5">
        <f t="shared" si="5"/>
        <v>3.4003811699173667</v>
      </c>
      <c r="M19" s="11">
        <f t="shared" si="6"/>
        <v>2.5693049823910297</v>
      </c>
      <c r="N19" s="11">
        <f t="shared" si="7"/>
        <v>13.056746617861258</v>
      </c>
      <c r="O19" s="5">
        <v>3.46111989940534</v>
      </c>
      <c r="P19" s="11">
        <f t="shared" si="8"/>
        <v>5.2243464102030596E-2</v>
      </c>
      <c r="Q19" s="5" cm="1">
        <f t="array" ref="Q19">SUM($M$4:$M$21*$P$4:$P$21)</f>
        <v>2.6604553832464659</v>
      </c>
      <c r="R19" s="5">
        <f t="shared" si="9"/>
        <v>0.42156227384845657</v>
      </c>
      <c r="S19" s="5">
        <f t="shared" si="13"/>
        <v>0.42987066942456326</v>
      </c>
      <c r="T19" s="5">
        <f t="shared" si="10"/>
        <v>3.4253178108998826E-2</v>
      </c>
      <c r="U19" s="24">
        <f t="shared" si="11"/>
        <v>0.58716838341651756</v>
      </c>
      <c r="V19" s="14">
        <f t="shared" si="0"/>
        <v>1.9088798524733233</v>
      </c>
      <c r="W19" s="14">
        <f t="shared" si="1"/>
        <v>3.4120309140196086</v>
      </c>
      <c r="X19" s="11">
        <f t="shared" si="14"/>
        <v>14.302800871783429</v>
      </c>
      <c r="Y19" s="11">
        <f t="shared" si="12"/>
        <v>6.7455285778879137</v>
      </c>
      <c r="Z19" s="11">
        <f t="shared" si="12"/>
        <v>30.32677282673993</v>
      </c>
    </row>
    <row r="20" spans="1:26" s="12" customFormat="1" x14ac:dyDescent="0.25">
      <c r="A20" s="10" t="s">
        <v>45</v>
      </c>
      <c r="B20" s="10" t="s">
        <v>54</v>
      </c>
      <c r="C20" s="10">
        <v>2.5777637471507902</v>
      </c>
      <c r="D20" s="10">
        <v>0.121730579834074</v>
      </c>
      <c r="E20" s="10">
        <v>2.11988242940751</v>
      </c>
      <c r="F20" s="10">
        <v>3.0356450648940698</v>
      </c>
      <c r="G20" s="10">
        <v>20.9020558919851</v>
      </c>
      <c r="H20" s="10">
        <v>0.32392617148823999</v>
      </c>
      <c r="I20" s="10">
        <v>21</v>
      </c>
      <c r="J20" s="5">
        <f t="shared" si="3"/>
        <v>0.57096703010618488</v>
      </c>
      <c r="K20" s="5">
        <f t="shared" si="4"/>
        <v>1.8993900309023877</v>
      </c>
      <c r="L20" s="5">
        <f t="shared" si="5"/>
        <v>3.361065627974221</v>
      </c>
      <c r="M20" s="11">
        <f t="shared" si="6"/>
        <v>2.6302278294383044</v>
      </c>
      <c r="N20" s="11">
        <f t="shared" si="7"/>
        <v>13.876931115428922</v>
      </c>
      <c r="O20" s="5">
        <v>3.83905779520755</v>
      </c>
      <c r="P20" s="11">
        <f t="shared" si="8"/>
        <v>5.7948202876186357E-2</v>
      </c>
      <c r="Q20" s="5" cm="1">
        <f t="array" ref="Q20">SUM($M$4:$M$21*$P$4:$P$21)</f>
        <v>2.6604553832464659</v>
      </c>
      <c r="R20" s="5">
        <f t="shared" si="9"/>
        <v>0.32600334946827703</v>
      </c>
      <c r="S20" s="5">
        <f t="shared" si="13"/>
        <v>0.32691705447750236</v>
      </c>
      <c r="T20" s="5">
        <f t="shared" si="10"/>
        <v>3.313284742120285E-2</v>
      </c>
      <c r="U20" s="24">
        <f t="shared" si="11"/>
        <v>0.58716838341651756</v>
      </c>
      <c r="V20" s="14">
        <f t="shared" si="0"/>
        <v>1.9088798524733233</v>
      </c>
      <c r="W20" s="14">
        <f t="shared" si="1"/>
        <v>3.4120309140196086</v>
      </c>
      <c r="X20" s="11">
        <f t="shared" si="14"/>
        <v>14.302800871783429</v>
      </c>
      <c r="Y20" s="11">
        <f t="shared" si="12"/>
        <v>6.7455285778879137</v>
      </c>
      <c r="Z20" s="11">
        <f t="shared" si="12"/>
        <v>30.32677282673993</v>
      </c>
    </row>
    <row r="21" spans="1:26" s="20" customFormat="1" x14ac:dyDescent="0.25">
      <c r="A21" s="17" t="s">
        <v>32</v>
      </c>
      <c r="B21" s="17" t="s">
        <v>55</v>
      </c>
      <c r="C21" s="17">
        <v>2.5082725565817801</v>
      </c>
      <c r="D21" s="17">
        <v>0.13302777595200199</v>
      </c>
      <c r="E21" s="17">
        <v>2.0295935622507102</v>
      </c>
      <c r="F21" s="17">
        <v>2.9869515509128401</v>
      </c>
      <c r="G21" s="17">
        <v>22.717943772146199</v>
      </c>
      <c r="H21" s="17">
        <v>0.33641537162928398</v>
      </c>
      <c r="I21" s="17">
        <v>21</v>
      </c>
      <c r="J21" s="18">
        <f t="shared" si="3"/>
        <v>0.6239555768195304</v>
      </c>
      <c r="K21" s="18">
        <f t="shared" si="4"/>
        <v>1.7661970693870157</v>
      </c>
      <c r="L21" s="18">
        <f t="shared" si="5"/>
        <v>3.3635233460450134</v>
      </c>
      <c r="M21" s="19">
        <f t="shared" si="6"/>
        <v>2.5648602077160145</v>
      </c>
      <c r="N21" s="19">
        <f t="shared" si="7"/>
        <v>12.998841104966578</v>
      </c>
      <c r="O21" s="18">
        <v>3.8343718770531399</v>
      </c>
      <c r="P21" s="11">
        <f t="shared" si="8"/>
        <v>5.7877471839989938E-2</v>
      </c>
      <c r="Q21" s="18" cm="1">
        <f t="array" ref="Q21">SUM($M$4:$M$21*$P$4:$P$21)</f>
        <v>2.6604553832464659</v>
      </c>
      <c r="R21" s="18">
        <f t="shared" si="9"/>
        <v>0.38932056184419289</v>
      </c>
      <c r="S21" s="18">
        <f t="shared" si="13"/>
        <v>0.39845899942889068</v>
      </c>
      <c r="T21" s="18">
        <f t="shared" si="10"/>
        <v>3.6534348936732609E-2</v>
      </c>
      <c r="U21" s="25">
        <f t="shared" si="11"/>
        <v>0.58716838341651756</v>
      </c>
      <c r="V21" s="14">
        <f t="shared" si="0"/>
        <v>1.9088798524733233</v>
      </c>
      <c r="W21" s="14">
        <f t="shared" si="1"/>
        <v>3.4120309140196086</v>
      </c>
      <c r="X21" s="19">
        <f t="shared" si="14"/>
        <v>14.302800871783429</v>
      </c>
      <c r="Y21" s="19">
        <f t="shared" si="12"/>
        <v>6.7455285778879137</v>
      </c>
      <c r="Z21" s="19">
        <f t="shared" si="12"/>
        <v>30.32677282673993</v>
      </c>
    </row>
    <row r="26" spans="1:26" x14ac:dyDescent="0.25">
      <c r="A26" s="6" t="s">
        <v>66</v>
      </c>
    </row>
    <row r="27" spans="1:26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26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Y28" s="1">
        <f>15.6-14.3</f>
        <v>1.2999999999999989</v>
      </c>
    </row>
    <row r="29" spans="1:26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53" t="s">
        <v>37</v>
      </c>
      <c r="I29" s="53"/>
      <c r="J29" s="53"/>
      <c r="K29" s="53"/>
      <c r="L29" s="53"/>
    </row>
    <row r="30" spans="1:26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2.804006846625537</v>
      </c>
      <c r="I30" s="5">
        <f>EXP(G30)*EXP(0.5*H4*H4)</f>
        <v>16.510670132929508</v>
      </c>
      <c r="J30" s="21">
        <f>EXP(H30)</f>
        <v>16.510670132929508</v>
      </c>
      <c r="K30" s="5">
        <f>LN(I30)</f>
        <v>2.804006846625537</v>
      </c>
      <c r="L30" s="5">
        <f>EXP(C30+C31*B28+0.5*H4*H4)</f>
        <v>16.510670132929508</v>
      </c>
    </row>
    <row r="31" spans="1:26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22"/>
      <c r="K32" s="7"/>
      <c r="L32" s="7"/>
    </row>
  </sheetData>
  <mergeCells count="6">
    <mergeCell ref="Y2:Z2"/>
    <mergeCell ref="H29:L29"/>
    <mergeCell ref="C2:I2"/>
    <mergeCell ref="K2:L2"/>
    <mergeCell ref="R2:U2"/>
    <mergeCell ref="V2:W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7E02-2AED-4FFD-8D29-37094AAF286D}">
  <dimension ref="A1:F52"/>
  <sheetViews>
    <sheetView topLeftCell="A19" workbookViewId="0">
      <selection activeCell="H19" sqref="H19"/>
    </sheetView>
  </sheetViews>
  <sheetFormatPr defaultRowHeight="15" x14ac:dyDescent="0.25"/>
  <cols>
    <col min="1" max="1" width="13.7109375" customWidth="1"/>
    <col min="2" max="2" width="28.140625" style="1" customWidth="1"/>
    <col min="3" max="3" width="13.7109375" style="1" customWidth="1"/>
    <col min="4" max="4" width="17.5703125" style="32" customWidth="1"/>
    <col min="5" max="5" width="29.7109375" style="32" customWidth="1"/>
  </cols>
  <sheetData>
    <row r="1" spans="1:5" ht="15.75" x14ac:dyDescent="0.25">
      <c r="B1" s="34" t="s">
        <v>74</v>
      </c>
      <c r="D1" s="31" t="s">
        <v>71</v>
      </c>
      <c r="E1" s="39" t="s">
        <v>72</v>
      </c>
    </row>
    <row r="2" spans="1:5" ht="15.75" x14ac:dyDescent="0.25">
      <c r="A2" s="29" t="s">
        <v>73</v>
      </c>
      <c r="B2" s="3" t="s">
        <v>75</v>
      </c>
      <c r="C2" s="35" t="s">
        <v>76</v>
      </c>
      <c r="D2" s="40" t="s">
        <v>77</v>
      </c>
      <c r="E2" s="41" t="s">
        <v>77</v>
      </c>
    </row>
    <row r="3" spans="1:5" ht="15.75" x14ac:dyDescent="0.25">
      <c r="A3">
        <v>1998</v>
      </c>
      <c r="B3" s="1">
        <v>42.5</v>
      </c>
      <c r="C3" s="1">
        <f>LN(B3)</f>
        <v>3.7495040759303713</v>
      </c>
      <c r="D3" s="42"/>
      <c r="E3" s="43"/>
    </row>
    <row r="4" spans="1:5" ht="15.75" x14ac:dyDescent="0.25">
      <c r="A4">
        <v>1999</v>
      </c>
      <c r="B4" s="1">
        <v>77.8</v>
      </c>
      <c r="C4" s="1">
        <f t="shared" ref="C4:C26" si="0">LN(B4)</f>
        <v>4.3541414311843463</v>
      </c>
      <c r="D4" s="42"/>
      <c r="E4" s="43"/>
    </row>
    <row r="5" spans="1:5" ht="15.75" x14ac:dyDescent="0.25">
      <c r="A5">
        <v>2000</v>
      </c>
      <c r="B5" s="1">
        <v>20.3</v>
      </c>
      <c r="C5" s="1">
        <f t="shared" si="0"/>
        <v>3.0106208860477417</v>
      </c>
      <c r="D5" s="42"/>
      <c r="E5" s="43"/>
    </row>
    <row r="6" spans="1:5" ht="15.75" x14ac:dyDescent="0.25">
      <c r="A6">
        <v>2001</v>
      </c>
      <c r="B6" s="1">
        <v>67</v>
      </c>
      <c r="C6" s="1">
        <f t="shared" si="0"/>
        <v>4.2046926193909657</v>
      </c>
      <c r="D6" s="42"/>
      <c r="E6" s="43"/>
    </row>
    <row r="7" spans="1:5" ht="15.75" x14ac:dyDescent="0.25">
      <c r="A7">
        <v>2002</v>
      </c>
      <c r="B7" s="1">
        <v>45.3</v>
      </c>
      <c r="C7" s="1">
        <f t="shared" si="0"/>
        <v>3.8133070324889884</v>
      </c>
      <c r="D7" s="42"/>
      <c r="E7" s="43"/>
    </row>
    <row r="8" spans="1:5" ht="15.75" x14ac:dyDescent="0.25">
      <c r="A8">
        <v>2003</v>
      </c>
      <c r="B8" s="1">
        <v>52.5</v>
      </c>
      <c r="C8" s="1">
        <f t="shared" si="0"/>
        <v>3.9608131695975781</v>
      </c>
      <c r="D8" s="42"/>
      <c r="E8" s="43"/>
    </row>
    <row r="9" spans="1:5" ht="15.75" x14ac:dyDescent="0.25">
      <c r="A9">
        <v>2004</v>
      </c>
      <c r="B9" s="1">
        <v>45.3</v>
      </c>
      <c r="C9" s="1">
        <f t="shared" si="0"/>
        <v>3.8133070324889884</v>
      </c>
      <c r="D9" s="42"/>
      <c r="E9" s="43"/>
    </row>
    <row r="10" spans="1:5" ht="15.75" x14ac:dyDescent="0.25">
      <c r="A10">
        <v>2005</v>
      </c>
      <c r="B10" s="1">
        <v>59.1</v>
      </c>
      <c r="C10" s="1">
        <f t="shared" si="0"/>
        <v>4.0792309244120526</v>
      </c>
      <c r="D10" s="44"/>
      <c r="E10" s="45"/>
    </row>
    <row r="11" spans="1:5" ht="15.75" x14ac:dyDescent="0.25">
      <c r="A11">
        <v>2006</v>
      </c>
      <c r="B11" s="1">
        <v>11.6</v>
      </c>
      <c r="C11" s="1">
        <f t="shared" si="0"/>
        <v>2.451005098112319</v>
      </c>
      <c r="D11" s="44"/>
      <c r="E11" s="45"/>
    </row>
    <row r="12" spans="1:5" ht="15.75" x14ac:dyDescent="0.25">
      <c r="A12">
        <v>2007</v>
      </c>
      <c r="B12" s="1">
        <v>44.8</v>
      </c>
      <c r="C12" s="1">
        <f t="shared" si="0"/>
        <v>3.8022081394209395</v>
      </c>
      <c r="D12" s="44"/>
      <c r="E12" s="45"/>
    </row>
    <row r="13" spans="1:5" ht="15.75" x14ac:dyDescent="0.25">
      <c r="A13">
        <v>2008</v>
      </c>
      <c r="B13" s="1">
        <v>15.9</v>
      </c>
      <c r="C13" s="1">
        <f t="shared" si="0"/>
        <v>2.7663191092261861</v>
      </c>
      <c r="D13" s="46"/>
      <c r="E13" s="45"/>
    </row>
    <row r="14" spans="1:5" ht="15.75" x14ac:dyDescent="0.25">
      <c r="A14">
        <v>2009</v>
      </c>
      <c r="B14" s="1">
        <v>38</v>
      </c>
      <c r="C14" s="1">
        <f t="shared" si="0"/>
        <v>3.6375861597263857</v>
      </c>
      <c r="D14" s="46"/>
      <c r="E14" s="45"/>
    </row>
    <row r="15" spans="1:5" ht="15.75" x14ac:dyDescent="0.25">
      <c r="A15">
        <v>2010</v>
      </c>
      <c r="B15" s="1">
        <v>24</v>
      </c>
      <c r="C15" s="1">
        <f t="shared" si="0"/>
        <v>3.1780538303479458</v>
      </c>
      <c r="D15" s="46"/>
      <c r="E15" s="45"/>
    </row>
    <row r="16" spans="1:5" ht="15.75" x14ac:dyDescent="0.25">
      <c r="A16">
        <v>2011</v>
      </c>
      <c r="B16" s="1">
        <v>58.9</v>
      </c>
      <c r="C16" s="1">
        <f t="shared" si="0"/>
        <v>4.0758410906575406</v>
      </c>
      <c r="D16" s="46"/>
      <c r="E16" s="45"/>
    </row>
    <row r="17" spans="1:6" ht="15.75" x14ac:dyDescent="0.25">
      <c r="A17">
        <v>2012</v>
      </c>
      <c r="B17" s="1">
        <v>21.3</v>
      </c>
      <c r="C17" s="1">
        <f t="shared" si="0"/>
        <v>3.0587070727153796</v>
      </c>
      <c r="D17" s="46"/>
      <c r="E17" s="45"/>
    </row>
    <row r="18" spans="1:6" ht="15.75" x14ac:dyDescent="0.25">
      <c r="A18">
        <v>2013</v>
      </c>
      <c r="B18" s="1">
        <v>94.7</v>
      </c>
      <c r="C18" s="1">
        <f t="shared" si="0"/>
        <v>4.5507140001920323</v>
      </c>
      <c r="D18" s="46"/>
      <c r="E18" s="45"/>
    </row>
    <row r="19" spans="1:6" ht="15.75" x14ac:dyDescent="0.25">
      <c r="A19">
        <v>2014</v>
      </c>
      <c r="B19" s="1">
        <v>37.200000000000003</v>
      </c>
      <c r="C19" s="1">
        <f t="shared" si="0"/>
        <v>3.6163087612791012</v>
      </c>
      <c r="D19" s="46"/>
      <c r="E19" s="45"/>
    </row>
    <row r="20" spans="1:6" ht="15.75" x14ac:dyDescent="0.25">
      <c r="A20">
        <v>2015</v>
      </c>
      <c r="B20" s="1">
        <v>35.1</v>
      </c>
      <c r="C20" s="1">
        <f t="shared" si="0"/>
        <v>3.55820113047182</v>
      </c>
      <c r="D20" s="46"/>
      <c r="E20" s="45"/>
    </row>
    <row r="21" spans="1:6" ht="15.75" x14ac:dyDescent="0.25">
      <c r="A21">
        <v>2016</v>
      </c>
      <c r="B21" s="1">
        <v>18.399999999999999</v>
      </c>
      <c r="C21" s="1">
        <f t="shared" si="0"/>
        <v>2.91235066461494</v>
      </c>
      <c r="D21" s="46"/>
      <c r="E21" s="45"/>
    </row>
    <row r="22" spans="1:6" ht="15.75" x14ac:dyDescent="0.25">
      <c r="A22">
        <v>2017</v>
      </c>
      <c r="B22" s="1">
        <v>34.700000000000003</v>
      </c>
      <c r="C22" s="56">
        <f t="shared" si="0"/>
        <v>3.5467396869528134</v>
      </c>
      <c r="D22" s="54">
        <v>4.2252450000000001</v>
      </c>
      <c r="E22" s="50">
        <f>(C22-D22)^2</f>
        <v>0.46036945983326089</v>
      </c>
      <c r="F22" s="55">
        <f>EXP(D22)</f>
        <v>68.391257354184916</v>
      </c>
    </row>
    <row r="23" spans="1:6" ht="15.75" x14ac:dyDescent="0.25">
      <c r="A23">
        <v>2018</v>
      </c>
      <c r="B23" s="1">
        <v>8.1</v>
      </c>
      <c r="C23" s="56">
        <f t="shared" si="0"/>
        <v>2.0918640616783932</v>
      </c>
      <c r="D23" s="54">
        <v>2.6665740000000002</v>
      </c>
      <c r="E23" s="50">
        <f t="shared" ref="E23:E26" si="1">(C23-D23)^2</f>
        <v>0.33029151320562533</v>
      </c>
      <c r="F23" s="55">
        <f t="shared" ref="F23:F26" si="2">EXP(D23)</f>
        <v>14.390582506048997</v>
      </c>
    </row>
    <row r="24" spans="1:6" ht="15.75" x14ac:dyDescent="0.25">
      <c r="A24">
        <v>2019</v>
      </c>
      <c r="B24" s="1">
        <v>21.1</v>
      </c>
      <c r="C24" s="56">
        <f t="shared" si="0"/>
        <v>3.0492730404820207</v>
      </c>
      <c r="D24" s="54">
        <v>2.8611759999999999</v>
      </c>
      <c r="E24" s="50">
        <f t="shared" si="1"/>
        <v>3.5380496638094977E-2</v>
      </c>
      <c r="F24" s="55">
        <f t="shared" si="2"/>
        <v>17.482073771428318</v>
      </c>
    </row>
    <row r="25" spans="1:6" ht="15.75" x14ac:dyDescent="0.25">
      <c r="A25">
        <v>2020</v>
      </c>
      <c r="B25" s="1">
        <v>8.0679429999999996</v>
      </c>
      <c r="C25" s="56">
        <f t="shared" si="0"/>
        <v>2.0878985551190659</v>
      </c>
      <c r="D25" s="54">
        <v>2.8718490000000001</v>
      </c>
      <c r="E25" s="50">
        <f t="shared" si="1"/>
        <v>0.6145783000290147</v>
      </c>
      <c r="F25" s="55">
        <f t="shared" si="2"/>
        <v>17.66965921380681</v>
      </c>
    </row>
    <row r="26" spans="1:6" ht="15.75" x14ac:dyDescent="0.25">
      <c r="A26">
        <v>2021</v>
      </c>
      <c r="B26" s="1">
        <v>48.4</v>
      </c>
      <c r="C26" s="56">
        <f t="shared" si="0"/>
        <v>3.8794998137225858</v>
      </c>
      <c r="D26" s="54">
        <v>3.2281559999999998</v>
      </c>
      <c r="E26" s="50">
        <f t="shared" si="1"/>
        <v>0.42424876367468278</v>
      </c>
      <c r="F26" s="55">
        <f t="shared" si="2"/>
        <v>25.233084236766274</v>
      </c>
    </row>
    <row r="27" spans="1:6" ht="15.75" x14ac:dyDescent="0.25">
      <c r="A27">
        <v>2022</v>
      </c>
      <c r="D27" s="1"/>
      <c r="E27" s="51">
        <f>SUM(E22:E26)</f>
        <v>1.8648685333806787</v>
      </c>
    </row>
    <row r="28" spans="1:6" ht="15.75" x14ac:dyDescent="0.25">
      <c r="D28" s="1"/>
      <c r="E28" s="48">
        <f>SUM(E22:E26)/(COUNT(E22:E26)-1)</f>
        <v>0.46621713334516968</v>
      </c>
    </row>
    <row r="29" spans="1:6" ht="15.75" x14ac:dyDescent="0.25">
      <c r="D29" s="1"/>
      <c r="E29" s="49">
        <f>1/E28</f>
        <v>2.1449233167920441</v>
      </c>
    </row>
    <row r="30" spans="1:6" ht="15.75" x14ac:dyDescent="0.25">
      <c r="E30" s="47"/>
    </row>
    <row r="31" spans="1:6" ht="15.75" x14ac:dyDescent="0.25">
      <c r="B31" s="36"/>
      <c r="C31" s="36"/>
      <c r="D31" s="33"/>
    </row>
    <row r="32" spans="1:6" ht="15.75" x14ac:dyDescent="0.25">
      <c r="B32" s="36"/>
      <c r="C32" s="36"/>
    </row>
    <row r="33" spans="1:4" ht="15.75" x14ac:dyDescent="0.25">
      <c r="B33" s="36"/>
      <c r="C33" s="36"/>
    </row>
    <row r="35" spans="1:4" ht="15.75" x14ac:dyDescent="0.25">
      <c r="B35" s="37"/>
    </row>
    <row r="36" spans="1:4" ht="15.75" x14ac:dyDescent="0.25">
      <c r="B36" s="36"/>
    </row>
    <row r="37" spans="1:4" ht="15.75" x14ac:dyDescent="0.25">
      <c r="B37" s="36"/>
      <c r="D37" s="33"/>
    </row>
    <row r="39" spans="1:4" ht="15.75" x14ac:dyDescent="0.25">
      <c r="B39" s="37"/>
    </row>
    <row r="40" spans="1:4" ht="15.75" x14ac:dyDescent="0.25">
      <c r="B40" s="36"/>
    </row>
    <row r="41" spans="1:4" ht="15.75" x14ac:dyDescent="0.25">
      <c r="B41" s="36"/>
    </row>
    <row r="42" spans="1:4" ht="15.75" x14ac:dyDescent="0.25">
      <c r="B42" s="36"/>
    </row>
    <row r="45" spans="1:4" ht="15.75" x14ac:dyDescent="0.25">
      <c r="B45" s="37"/>
    </row>
    <row r="46" spans="1:4" ht="15.75" x14ac:dyDescent="0.25">
      <c r="A46" s="30">
        <v>1</v>
      </c>
      <c r="B46" s="36"/>
    </row>
    <row r="47" spans="1:4" ht="15.75" x14ac:dyDescent="0.25">
      <c r="A47" s="30">
        <v>2</v>
      </c>
      <c r="B47" s="38"/>
    </row>
    <row r="48" spans="1:4" ht="15.75" x14ac:dyDescent="0.25">
      <c r="A48" s="30">
        <v>3</v>
      </c>
      <c r="B48" s="38"/>
      <c r="C48" s="36"/>
    </row>
    <row r="49" spans="1:2" ht="15.75" x14ac:dyDescent="0.25">
      <c r="A49" s="30">
        <v>4</v>
      </c>
      <c r="B49" s="36"/>
    </row>
    <row r="50" spans="1:2" ht="15.75" x14ac:dyDescent="0.25">
      <c r="A50" s="30">
        <v>5</v>
      </c>
      <c r="B50" s="36"/>
    </row>
    <row r="51" spans="1:2" ht="15.75" x14ac:dyDescent="0.25">
      <c r="A51" s="30">
        <v>6</v>
      </c>
      <c r="B51" s="36"/>
    </row>
    <row r="52" spans="1:2" ht="15.75" x14ac:dyDescent="0.25">
      <c r="B52" s="36"/>
    </row>
  </sheetData>
  <conditionalFormatting sqref="E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equal-weighting--2008 CI</vt:lpstr>
      <vt:lpstr>hindcasts</vt:lpstr>
      <vt:lpstr>inverse variance-Buckland CI</vt:lpstr>
      <vt:lpstr>inverse 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2022-02-26T01:22:45Z</dcterms:modified>
</cp:coreProperties>
</file>