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pivotTables/pivotTable1.xml" ContentType="application/vnd.openxmlformats-officedocument.spreadsheetml.pivot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pivotTables/pivotTable2.xml" ContentType="application/vnd.openxmlformats-officedocument.spreadsheetml.pivot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do/Projects/junk/projects/skoolie/"/>
    </mc:Choice>
  </mc:AlternateContent>
  <xr:revisionPtr revIDLastSave="0" documentId="13_ncr:1_{0A3E2A4D-51A4-954C-BA1D-2C0AAC96BBAE}" xr6:coauthVersionLast="43" xr6:coauthVersionMax="43" xr10:uidLastSave="{00000000-0000-0000-0000-000000000000}"/>
  <bookViews>
    <workbookView xWindow="0" yWindow="460" windowWidth="24580" windowHeight="20540" xr2:uid="{B8C61D06-9C6E-D644-8F1A-9F5B72422D34}"/>
  </bookViews>
  <sheets>
    <sheet name="weight" sheetId="1" r:id="rId1"/>
    <sheet name="trash" sheetId="2" r:id="rId2"/>
    <sheet name="costs" sheetId="3" r:id="rId3"/>
    <sheet name="externalized costs" sheetId="5" r:id="rId4"/>
    <sheet name="time log" sheetId="6" r:id="rId5"/>
    <sheet name="water log" sheetId="9" r:id="rId6"/>
    <sheet name="gas log" sheetId="7" r:id="rId7"/>
    <sheet name="maintenance log" sheetId="8" r:id="rId8"/>
  </sheets>
  <calcPr calcId="191029"/>
  <pivotCaches>
    <pivotCache cacheId="0" r:id="rId9"/>
    <pivotCache cacheId="4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2" i="7" l="1"/>
  <c r="H22" i="7"/>
  <c r="G21" i="7"/>
  <c r="H21" i="7"/>
  <c r="G20" i="7"/>
  <c r="H20" i="7"/>
  <c r="G19" i="7"/>
  <c r="H19" i="7"/>
  <c r="C235" i="3" l="1"/>
  <c r="C234" i="3"/>
  <c r="C233" i="3"/>
  <c r="C232" i="3"/>
  <c r="C231" i="3"/>
  <c r="C230" i="3"/>
  <c r="C229" i="3"/>
  <c r="C228" i="3"/>
  <c r="C227" i="3"/>
  <c r="C225" i="3"/>
  <c r="C224" i="3"/>
  <c r="C223" i="3"/>
  <c r="C222" i="3"/>
  <c r="C221" i="3"/>
  <c r="C220" i="3"/>
  <c r="C219" i="3"/>
  <c r="C218" i="3"/>
  <c r="C217" i="3"/>
  <c r="C216" i="3"/>
  <c r="C215" i="3"/>
  <c r="D13" i="7"/>
  <c r="G18" i="7"/>
  <c r="H18" i="7"/>
  <c r="G17" i="7"/>
  <c r="H17" i="7"/>
  <c r="G16" i="7"/>
  <c r="H16" i="7"/>
  <c r="C137" i="3" l="1"/>
  <c r="C136" i="3"/>
  <c r="C135" i="3"/>
  <c r="C134" i="3"/>
  <c r="C133" i="3"/>
  <c r="C148" i="3"/>
  <c r="C147" i="3"/>
  <c r="C152" i="3"/>
  <c r="E13" i="7"/>
  <c r="C146" i="3"/>
  <c r="C145" i="3"/>
  <c r="C144" i="3"/>
  <c r="C143" i="3"/>
  <c r="C142" i="3"/>
  <c r="C141" i="3"/>
  <c r="C140" i="3"/>
  <c r="C138" i="3"/>
  <c r="G15" i="7"/>
  <c r="H15" i="7"/>
  <c r="C151" i="3"/>
  <c r="C150" i="3"/>
  <c r="C149" i="3"/>
  <c r="C318" i="6" l="1"/>
  <c r="C324" i="6"/>
  <c r="C325" i="6"/>
  <c r="G14" i="7"/>
  <c r="H14" i="7"/>
  <c r="G13" i="7"/>
  <c r="H13" i="7"/>
  <c r="G12" i="7"/>
  <c r="H12" i="7"/>
  <c r="G11" i="7"/>
  <c r="H11" i="7"/>
  <c r="C132" i="3" l="1"/>
  <c r="C124" i="3"/>
  <c r="C123" i="3"/>
  <c r="C122" i="3"/>
  <c r="C121" i="3"/>
  <c r="G10" i="7"/>
  <c r="G9" i="7"/>
  <c r="H10" i="7"/>
  <c r="B11" i="2" l="1"/>
  <c r="C109" i="3"/>
  <c r="C110" i="3"/>
  <c r="C108" i="3"/>
  <c r="C107" i="3"/>
  <c r="C112" i="3"/>
  <c r="C111" i="3"/>
  <c r="C34" i="3" l="1"/>
  <c r="C33" i="3"/>
  <c r="C32" i="3"/>
  <c r="C31" i="3"/>
  <c r="C30" i="3"/>
  <c r="C29" i="3"/>
  <c r="C28" i="3"/>
  <c r="C65" i="3"/>
  <c r="C68" i="3"/>
  <c r="C67" i="3"/>
  <c r="C81" i="3"/>
  <c r="C38" i="3"/>
  <c r="C39" i="3"/>
  <c r="C85" i="3"/>
  <c r="C84" i="3"/>
  <c r="C83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77" i="3"/>
  <c r="C75" i="3"/>
  <c r="C73" i="3"/>
  <c r="C76" i="3"/>
  <c r="C74" i="3"/>
  <c r="H3" i="7" l="1"/>
  <c r="H4" i="7"/>
  <c r="H5" i="7"/>
  <c r="H6" i="7"/>
  <c r="H7" i="7"/>
  <c r="H8" i="7"/>
  <c r="H9" i="7"/>
  <c r="G8" i="7"/>
  <c r="G7" i="7"/>
  <c r="G6" i="7"/>
  <c r="G5" i="7"/>
  <c r="G4" i="7"/>
  <c r="G3" i="7"/>
  <c r="F10" i="1"/>
  <c r="G10" i="1"/>
  <c r="G2" i="1" l="1"/>
  <c r="G3" i="1"/>
  <c r="G4" i="1"/>
  <c r="G5" i="1"/>
  <c r="G6" i="1"/>
  <c r="G7" i="1"/>
  <c r="F2" i="1"/>
  <c r="F3" i="1"/>
  <c r="F4" i="1"/>
  <c r="F5" i="1"/>
  <c r="F6" i="1"/>
  <c r="F7" i="1"/>
  <c r="J25" i="1"/>
  <c r="P24" i="1" l="1"/>
  <c r="A8" i="1" s="1"/>
  <c r="G9" i="1" l="1"/>
  <c r="F9" i="1"/>
  <c r="G8" i="1"/>
  <c r="F8" i="1"/>
  <c r="J26" i="1"/>
  <c r="J9" i="1" l="1"/>
  <c r="K4" i="1" s="1"/>
  <c r="J8" i="1"/>
  <c r="J7" i="1"/>
  <c r="K2" i="1" s="1"/>
  <c r="K3" i="1" l="1"/>
  <c r="M3" i="1" s="1"/>
  <c r="J10" i="1"/>
  <c r="L4" i="1"/>
  <c r="M4" i="1"/>
  <c r="L2" i="1"/>
  <c r="M2" i="1"/>
  <c r="L3" i="1" l="1"/>
</calcChain>
</file>

<file path=xl/sharedStrings.xml><?xml version="1.0" encoding="utf-8"?>
<sst xmlns="http://schemas.openxmlformats.org/spreadsheetml/2006/main" count="1703" uniqueCount="921">
  <si>
    <t>bus</t>
  </si>
  <si>
    <t>fuel</t>
  </si>
  <si>
    <t>me</t>
  </si>
  <si>
    <t>extension</t>
  </si>
  <si>
    <t>garbage</t>
  </si>
  <si>
    <t>cooler</t>
  </si>
  <si>
    <t>backpack</t>
  </si>
  <si>
    <t>blanket</t>
  </si>
  <si>
    <t>cable + lugs</t>
  </si>
  <si>
    <t>flooring</t>
  </si>
  <si>
    <t>leftover</t>
  </si>
  <si>
    <t>scraps</t>
  </si>
  <si>
    <t>underlayment</t>
  </si>
  <si>
    <t xml:space="preserve"> First aid + fire extinguisher + hand san</t>
  </si>
  <si>
    <t>Description</t>
  </si>
  <si>
    <t>Aux Fuel Tank</t>
  </si>
  <si>
    <t>extension cord</t>
  </si>
  <si>
    <t>empty</t>
  </si>
  <si>
    <t>Empty/Full</t>
  </si>
  <si>
    <t>full</t>
  </si>
  <si>
    <t>mexico blanket</t>
  </si>
  <si>
    <t>Type</t>
  </si>
  <si>
    <t>envelope</t>
  </si>
  <si>
    <t>personal item</t>
  </si>
  <si>
    <t>electrical</t>
  </si>
  <si>
    <t>food</t>
  </si>
  <si>
    <t>HVAC</t>
  </si>
  <si>
    <t>base</t>
  </si>
  <si>
    <t>passanger</t>
  </si>
  <si>
    <t>Total</t>
  </si>
  <si>
    <t>Front Axle</t>
  </si>
  <si>
    <t>Rear Axle</t>
  </si>
  <si>
    <t>Limits (lb)</t>
  </si>
  <si>
    <t>Weight (lb)</t>
  </si>
  <si>
    <t>Actual (lb)</t>
  </si>
  <si>
    <t>Location (% Front)</t>
  </si>
  <si>
    <t>Front Weight</t>
  </si>
  <si>
    <t>Rear Weight</t>
  </si>
  <si>
    <t>Percentage of Limit</t>
  </si>
  <si>
    <t>Available</t>
  </si>
  <si>
    <t>Tare (lb)</t>
  </si>
  <si>
    <t>NOTE: Front Axle + Rear Axle Limits DO NOT add up to Total</t>
  </si>
  <si>
    <t>spare tile</t>
  </si>
  <si>
    <t>sears 5 ton bottle jack</t>
  </si>
  <si>
    <t>tool</t>
  </si>
  <si>
    <t>kijiji</t>
  </si>
  <si>
    <t>white ash raw lumber 8/4 10' x 7"</t>
  </si>
  <si>
    <t>materials</t>
  </si>
  <si>
    <t>langevin forest</t>
  </si>
  <si>
    <t>key fob deposit</t>
  </si>
  <si>
    <t>makerspace</t>
  </si>
  <si>
    <t>LESPACEMAKER</t>
  </si>
  <si>
    <t>membership</t>
  </si>
  <si>
    <t>metal shop and mig welding training</t>
  </si>
  <si>
    <t>project space rental (days)</t>
  </si>
  <si>
    <t>rubber seal (ft)</t>
  </si>
  <si>
    <t>mcmaster-carr</t>
  </si>
  <si>
    <t>rent deposit</t>
  </si>
  <si>
    <t>wood shop consumables fee</t>
  </si>
  <si>
    <t>wood shop planer, jointer and router training</t>
  </si>
  <si>
    <t>wood shop training</t>
  </si>
  <si>
    <t>floor bolt washers -  Grade 9 Steel Washer Zinc Yellow-Chromate Plated, 1/2" Screw Size, 1.092" OD</t>
  </si>
  <si>
    <t>1" hook and loop tape (ft)</t>
  </si>
  <si>
    <t>20x20 Furnace Filter rated merv 9</t>
  </si>
  <si>
    <t>consumables</t>
  </si>
  <si>
    <t>floor bolts -  High-Strength Grade 8 Steel Hex Head Screw Zinc-Aluminum Coated, 1/2"-13 Thread Size, 4-3/4" Long</t>
  </si>
  <si>
    <t>how to build with gridbeam E-book</t>
  </si>
  <si>
    <t>new society publishing</t>
  </si>
  <si>
    <t>23 month MTO license plate sticker</t>
  </si>
  <si>
    <t>vehicle</t>
  </si>
  <si>
    <t>other</t>
  </si>
  <si>
    <t>wheelchair lift</t>
  </si>
  <si>
    <t>circa 1850 stripper</t>
  </si>
  <si>
    <t>peintures cite</t>
  </si>
  <si>
    <t>corroseal 1 gal</t>
  </si>
  <si>
    <t>paint roller</t>
  </si>
  <si>
    <t>paint tray</t>
  </si>
  <si>
    <t>paint tray liner</t>
  </si>
  <si>
    <t>rubber stripping gloves</t>
  </si>
  <si>
    <t>diesel heater fuel line priming syringe</t>
  </si>
  <si>
    <t>pharma prix</t>
  </si>
  <si>
    <t>1/2" socket adapter</t>
  </si>
  <si>
    <t>princess auto</t>
  </si>
  <si>
    <t>20 ton bottle jacks</t>
  </si>
  <si>
    <t>40/40/60/80 sanding wheels</t>
  </si>
  <si>
    <t>cutting wheel</t>
  </si>
  <si>
    <t>tuck tape</t>
  </si>
  <si>
    <t>wheel chocks</t>
  </si>
  <si>
    <t>cardboard moving boxes</t>
  </si>
  <si>
    <t>air filter</t>
  </si>
  <si>
    <t>rock auto</t>
  </si>
  <si>
    <t>fuel filter</t>
  </si>
  <si>
    <t>oil filters</t>
  </si>
  <si>
    <t>5 mil nitrile gloves</t>
  </si>
  <si>
    <t>rona</t>
  </si>
  <si>
    <t>abbrasion resistant work gloves</t>
  </si>
  <si>
    <t>knee pads</t>
  </si>
  <si>
    <t>work gloves</t>
  </si>
  <si>
    <t>safety inspection</t>
  </si>
  <si>
    <t>tool box auto shop</t>
  </si>
  <si>
    <t>rear tire road force balancing</t>
  </si>
  <si>
    <t>tires + balancing</t>
  </si>
  <si>
    <t>cork underlayment 80x3ftx2ft</t>
  </si>
  <si>
    <t>lithium battery</t>
  </si>
  <si>
    <t>mixed lot of fasteners</t>
  </si>
  <si>
    <t>description</t>
  </si>
  <si>
    <t>quantity</t>
  </si>
  <si>
    <t>amount</t>
  </si>
  <si>
    <t>category</t>
  </si>
  <si>
    <t>vendor</t>
  </si>
  <si>
    <t>date</t>
  </si>
  <si>
    <t>url</t>
  </si>
  <si>
    <t>action</t>
  </si>
  <si>
    <t>wipers</t>
  </si>
  <si>
    <t>canadian tire</t>
  </si>
  <si>
    <t>3M 2097 P100 Particulate Filter with Organic Vapor Relief</t>
  </si>
  <si>
    <t>amazon</t>
  </si>
  <si>
    <t>https://www.amazon.ca/gp/product/B079X5C3QP</t>
  </si>
  <si>
    <t>3M Multi Gas/Vapor Cartridge/Filter 60926, P100 Respiratory Protection</t>
  </si>
  <si>
    <t>https://www.amazon.ca/gp/product/B009POHLRC</t>
  </si>
  <si>
    <t>3M Peltor Optime 101 Over-The-Head Earmuffs H7A</t>
  </si>
  <si>
    <t>https://www.amazon.ca/gp/product/B000J05EZW</t>
  </si>
  <si>
    <t xml:space="preserve">Bosch CO21B 21 Pc. Cobalt M42 Drill Bit Set </t>
  </si>
  <si>
    <t>https://www.amazon.ca/gp/product/B07Q64LTFB</t>
  </si>
  <si>
    <t>40 grit sanding wheel</t>
  </si>
  <si>
    <t>3M Particulate Filter 2097</t>
  </si>
  <si>
    <t>https://www.amazon.ca/gp/product/B07PY3X2P8</t>
  </si>
  <si>
    <t>Paint Stripper, 5Pcs 100mm Poly Strip Wheel Disc Paint Rust Removal Tool for Angel Grinders</t>
  </si>
  <si>
    <t>https://www.amazon.ca/gp/product/B0989Q3CVM</t>
  </si>
  <si>
    <t xml:space="preserve">North by Honeywell Silver Shield 14.5" Chemical-Resistant Pv/Evoh Gloves, 2.7 Mil, Size 11 (RWS-57038) </t>
  </si>
  <si>
    <t>https://www.amazon.ca/gp/product/B0719S4PJ2</t>
  </si>
  <si>
    <t>Wooster Brush Q3108-2 Softip Paintbrush, 2-Inch</t>
  </si>
  <si>
    <t>https://www.amazon.ca/gp/product/B000ZZUKY6</t>
  </si>
  <si>
    <t xml:space="preserve">Scotch-Brite Clean and Strip XT Pro Disc – Rust and Paint Stripping Disc – 4.5” diam. x 5/8-11 Quick Change Thread – Extra Coarse Silicon Carbide – Pack of 1 </t>
  </si>
  <si>
    <t>https://www.amazon.ca/gp/product/B07L1CXBRZ</t>
  </si>
  <si>
    <t xml:space="preserve">5PCS 100mm 60# Poly Strip Wheel Disc Abrasive Angel Grinders Clean Tool for Rust/Paint/Flaking Materials Removal - Purple&amp;Gold </t>
  </si>
  <si>
    <t>https://www.amazon.ca/gp/product/B07K19L38B</t>
  </si>
  <si>
    <t xml:space="preserve">Vastar Universal Smartphone Tripod Adapter Cell Phone Holder Mount Adapter, Fits iPhone, Samsung, and All Phones, Rotates Vertical and Horizontal, Adjustable Clamp </t>
  </si>
  <si>
    <t>https://www.amazon.ca/gp/product/B01L3B5PBI</t>
  </si>
  <si>
    <t xml:space="preserve">SafeGuard Disposable Nitrile Gloves. 5 mil Single-use XLarge Black Powder-free Latex-free Ambidextrous Disposable Nitrile Gloves </t>
  </si>
  <si>
    <t>https://www.amazon.ca/gp/product/B00RTZZCSO</t>
  </si>
  <si>
    <t>SmallRig Clamp Mount with Ball Head Mount Hot Shoe Adapter and Cool Clamp - 1124</t>
  </si>
  <si>
    <t>https://www.amazon.ca/gp/product/B00DOMVJ92</t>
  </si>
  <si>
    <t>Tseipoaoi 12V 5000W Parking Heater Diesel Air Heater 10L Tank With LCD Monitor Control Remote Control Parking Fan Heater Defroster for Car/Motor-Home/Boat/Bus(Suitable for high altitude areas</t>
  </si>
  <si>
    <t>https://www.amazon.ca/gp/product/B07VT24CLK</t>
  </si>
  <si>
    <t>silicone</t>
  </si>
  <si>
    <t xml:space="preserve">Self Adhesive Cork Squares, MOTASOM 4 x 4 Inch Strong Cork Adhesive Sheets, Reusable Cork Board Cork Backing Sheets, Mini Wall Cork Tiles Mat for Coasters and DIY Crafts (120Pcs) </t>
  </si>
  <si>
    <t>https://www.amazon.ca/gp/product/B087841MVP</t>
  </si>
  <si>
    <t>mr. buddy propane heater</t>
  </si>
  <si>
    <t>Blueair Blue Pure 411 Auto Small Room Air Purifier with Auto Mode for Allergies, Pollen, Dust, Smoke, Pet Dander, Viruses and Bacteria with HEPASilent Technology and Washable Pre-Filter</t>
  </si>
  <si>
    <t>https://www.amazon.ca/gp/product/B08FCX8Z52</t>
  </si>
  <si>
    <t>First Alert PRC710A-6 Slim Series Photoelectric Smoke &amp; Carbon Monoxide Detector</t>
  </si>
  <si>
    <t>safety</t>
  </si>
  <si>
    <t>https://www.amazon.ca/gp/product/B0813DQJHV</t>
  </si>
  <si>
    <t>LED Flashlight USB Rechargeable Flashlight High Power COB Workshop Flashlights (Including 18650 Battery) Small Lightweight Walking Powerful Tactical Camping Flashlights for Outdoor Hiking Sports(2 Pack</t>
  </si>
  <si>
    <t>https://www.amazon.ca/gp/product/B083W9SKND</t>
  </si>
  <si>
    <t>MTI 40-442-P-WT Industris 12 Volt Flush Mount White Propane Gas Detector</t>
  </si>
  <si>
    <t>https://www.amazon.ca/gp/product/B000AMBHGE</t>
  </si>
  <si>
    <t>OTYTY 2 COB 30W 1500LM LED Work Light, Rechargeable Portable Waterproof LED Flood Lights for Outdoor Camping Hiking Emergency Car Repairing and Job Site Lighting (2 Pack)</t>
  </si>
  <si>
    <t>https://www.amazon.ca/gp/product/B07GCBHMZ8</t>
  </si>
  <si>
    <t xml:space="preserve">Supa Ant Eco-Friendly (1500֯F) Fire Blanket, High Visibility CE Certified Emergency Fire Blanket for Home, Kitchen, Car, Van, RV, Office, Reusable (39.3x39.3 in) (2 Fire Blankets + 2Hooks) </t>
  </si>
  <si>
    <t>https://www.amazon.ca/gp/product/B08LDGTG88</t>
  </si>
  <si>
    <t>Uxcell US-SA-AJD-144156 50ft 0.1mm AWG38 Nichrome Resistance Heating Coils Resistor Wire</t>
  </si>
  <si>
    <t>https://www.amazon.ca/gp/product/B019MNNRN2</t>
  </si>
  <si>
    <t>XINGYHENG 400W DC-DC High Power Boost Converter Adjustable Step Up Constant Voltage Constant Current Power Supply Module LED Drive Notebook Battery Charging with Short Circuit Protection</t>
  </si>
  <si>
    <t>https://www.amazon.ca/gp/product/B08XNM22YV</t>
  </si>
  <si>
    <t xml:space="preserve">Digital Clamp Meter DC AMP Meter AP-570C-APP 4000 Counts Bluetooth Clamp Meter with Temp Testing, Measures Current, Voltage, Resistance, Capacitance, Temperature, Frequency, Duty Cycle, Clamp on Ampmeter </t>
  </si>
  <si>
    <t>https://www.amazon.ca/gp/product/B08BZCHSJR</t>
  </si>
  <si>
    <t>breakdown</t>
  </si>
  <si>
    <t>250pcs Heat Shrink Wire Connectors, Sopoby Marine Electrical Terminals Kit, Waterproof Automotive Ring Set with Case</t>
  </si>
  <si>
    <t>4 Pack 120mm Computer Fan Filter Grills with Screws, Ultra Fine Aluminum Mesh, Black Color</t>
  </si>
  <si>
    <t>Blue Sea Systems 5005, 35 to 300 Amp Anl Fuse Block with Insulating Cover</t>
  </si>
  <si>
    <t>https://www.amazon.ca/Blue-Sea-Systems-5005-Insulating/dp/B000K2K7TW</t>
  </si>
  <si>
    <t xml:space="preserve">Blue Sea Systems 5127, 150 Amp Anl Fuse </t>
  </si>
  <si>
    <t>https://www.amazon.ca/gp/product/B000K2K6Q6</t>
  </si>
  <si>
    <t xml:space="preserve">Blue Sea Systems ANL Fuse 50 AMP </t>
  </si>
  <si>
    <t>https://www.amazon.ca/gp/product/B000THQSB4</t>
  </si>
  <si>
    <t>Blue Sea Systems ANL Fuse 60 AMP</t>
  </si>
  <si>
    <t>https://www.amazon.ca/gp/product/B000THT1SG</t>
  </si>
  <si>
    <t>Blue Sea Systems m-Series Battery Switch</t>
  </si>
  <si>
    <t>https://www.amazon.ca/gp/product/B00445KFZ2</t>
  </si>
  <si>
    <t xml:space="preserve">BlueFire Upgraded 12 Way Blade Fuse Box Fuse Holder Standard Circuit Fuse Holder Box Block with LED Indicator, Fuses &amp; Protection Cover for Car Boat Marine Truck Vehicle SUV Yacht RV </t>
  </si>
  <si>
    <t>Leviton GFNT1-E Self-Test SmartlockPro Slim GFCI Non-Tamper-Resistant Receptacle with LED Indicator, 15 Amp, Black</t>
  </si>
  <si>
    <t>Noctua NF-S12B redux-700, Ultra Quiet Silent Fan, 3-Pin, 700 RPM (120mm, Grey)</t>
  </si>
  <si>
    <t>PowMr 15A M-C-4 Waterproof in-Line Holder w/Fuse, Black</t>
  </si>
  <si>
    <t>RockDIG 50 pcs AWG 8/6/4/2 Heavy Duty Bare Copper Lugs, Closed End Tubular Ring Terminals, Battery Electrical Cable Wire Connectors Assortment Kit(with 50 pcs Heat Shrink Tubings)</t>
  </si>
  <si>
    <t>Titan 11477 Ratcheting Wire Terminal Crimper</t>
  </si>
  <si>
    <t>https://www.amazon.ca/gp/product/B0069TRKJ0</t>
  </si>
  <si>
    <t xml:space="preserve">Extech 480172 AC Line Splitter </t>
  </si>
  <si>
    <t>https://www.amazon.ca/gp/product/B0000YHN9W</t>
  </si>
  <si>
    <t>IP68 Waterproof Solar Cable Entry Gland</t>
  </si>
  <si>
    <t>https://www.amazon.ca/gp/product/B07WL7D9V6</t>
  </si>
  <si>
    <t xml:space="preserve">Mssoomm Copper Flat Bar 5mm x 50mm x 1000mm, C110 Copper Bus Bar 99% Copper T2 Cu Metal </t>
  </si>
  <si>
    <t>Ruikarhop MC4 Connectors Y Branch 1 to 2 Parallel Adapter Cable Wire Plug,MC4 Assembly Tool and 5 Pair MC4 Male/Female Solar Panel Cable Connectors</t>
  </si>
  <si>
    <t>https://www.amazon.ca/gp/product/B07S8VZZ2D</t>
  </si>
  <si>
    <t>batteries dixon</t>
  </si>
  <si>
    <t>2p DC 250V Miniature Circuit Breaker</t>
  </si>
  <si>
    <t>https://www.amazon.ca/gp/product/B07HG5TYPT</t>
  </si>
  <si>
    <t xml:space="preserve">Hfs (R) 16 Ton Hydraulic Wire Terminal Crimper Battery Cable Lug Crimping Tool W/Dies </t>
  </si>
  <si>
    <t>https://www.amazon.ca/gp/product/B0761HR9V5</t>
  </si>
  <si>
    <t>home depot</t>
  </si>
  <si>
    <t>cooking pot, cork place mat</t>
  </si>
  <si>
    <t>kitchen</t>
  </si>
  <si>
    <t>LIBRARIE RENAISSANCE thrift</t>
  </si>
  <si>
    <t>1/4 threaded rod 36", 8ft aluminum 1"x1" L bar, 3M electrical tape</t>
  </si>
  <si>
    <t>connector bolts, weld nuts, t nuts, loctite, dowel nuts, brad point drill bits, lock nuts, routing eye bolt, u bolt, vibration damping sandwitch mount, 1/2 steel washers)</t>
  </si>
  <si>
    <t>rent</t>
  </si>
  <si>
    <t>add up recent rent</t>
  </si>
  <si>
    <t>aerogel insulation</t>
  </si>
  <si>
    <t>aerogel</t>
  </si>
  <si>
    <t>sensors</t>
  </si>
  <si>
    <t>smart</t>
  </si>
  <si>
    <t>adafruit</t>
  </si>
  <si>
    <t>painting supplies (tremclad paint, tray liner, brush, roller)</t>
  </si>
  <si>
    <t>paid brother to remove remaining vinyl</t>
  </si>
  <si>
    <t>20x20 3M Furnace Air Filter rated 1000</t>
  </si>
  <si>
    <t>volts energies</t>
  </si>
  <si>
    <t>incomplete socket set</t>
  </si>
  <si>
    <t>eco depot</t>
  </si>
  <si>
    <t>large drill bit</t>
  </si>
  <si>
    <t>roll of insulation</t>
  </si>
  <si>
    <t>bus + dealer registration fee</t>
  </si>
  <si>
    <t>first student canada</t>
  </si>
  <si>
    <t>OEM Girardin window latches</t>
  </si>
  <si>
    <t>girardin</t>
  </si>
  <si>
    <t>vinegar</t>
  </si>
  <si>
    <t>3/8-16x1" galvanized hex bolts</t>
  </si>
  <si>
    <t>box of stainless 3/8-16 nuts</t>
  </si>
  <si>
    <t>floor bolt nuts</t>
  </si>
  <si>
    <t>20" box fan</t>
  </si>
  <si>
    <t>3M 6900 respirator</t>
  </si>
  <si>
    <t>cork flooring (sqft)</t>
  </si>
  <si>
    <t>Electrical Breaker Box Plastic Transparent Cover Power Distribution Protection Box for 3-4 Ways Circuit Breaker Indoor on The Wall</t>
  </si>
  <si>
    <t>Leviton 80301-SE 1-Gang Decora Plus Wallplate Screwless Snap-On Mount (Black)</t>
  </si>
  <si>
    <t xml:space="preserve">Lincoln Electric KH538 Lug/Cable Crimping Tool </t>
  </si>
  <si>
    <t>https://www.amazon.ca/gp/product/B00F0SLLFA</t>
  </si>
  <si>
    <t>MGI SpeedWare Power Junction Posts, Stainless Steel Studs Red + Black (5/16")</t>
  </si>
  <si>
    <t>NOCO GCP1 15 Amp 125V AC Port Plug Power Inlet with 16-Inch Integrated Extension Cord</t>
  </si>
  <si>
    <t>Q230 30-Amp Double Pole Type QP Circuit Breaker</t>
  </si>
  <si>
    <t>https://www.amazon.ca/gp/product/B00002N5HJ</t>
  </si>
  <si>
    <t xml:space="preserve">T Tocas 300A Bus Bars Heavy Duty Module Design Power Distribution Block Busbar Box with 4X M10(3/8") Terminal Studs </t>
  </si>
  <si>
    <t>Blue Sea Systems 5131, 250 Amp Anl Fuse</t>
  </si>
  <si>
    <t>plastic</t>
  </si>
  <si>
    <t>fiberglass</t>
  </si>
  <si>
    <t>fabrics/foams/polystyrene</t>
  </si>
  <si>
    <t>linoleum</t>
  </si>
  <si>
    <t>plywood</t>
  </si>
  <si>
    <t>steel</t>
  </si>
  <si>
    <t>aluminum</t>
  </si>
  <si>
    <t>tag</t>
  </si>
  <si>
    <t>gutting</t>
  </si>
  <si>
    <t>weight (lbs)</t>
  </si>
  <si>
    <t>recycling</t>
  </si>
  <si>
    <t>Garbage</t>
  </si>
  <si>
    <t>Recycling</t>
  </si>
  <si>
    <t>paper towel</t>
  </si>
  <si>
    <t>2 wiper blades</t>
  </si>
  <si>
    <t>razor blades</t>
  </si>
  <si>
    <t>broken glass</t>
  </si>
  <si>
    <t>tape</t>
  </si>
  <si>
    <t>box air filters</t>
  </si>
  <si>
    <t>respirator filters</t>
  </si>
  <si>
    <t>n95 masks</t>
  </si>
  <si>
    <t>cable shroud</t>
  </si>
  <si>
    <t>Not Accounted</t>
  </si>
  <si>
    <t>wheelchair anchors and straps</t>
  </si>
  <si>
    <t>wheelchair anchor plates</t>
  </si>
  <si>
    <t>plastic bits</t>
  </si>
  <si>
    <t>stickers, vinyl</t>
  </si>
  <si>
    <t>garbage found in bus on purchase</t>
  </si>
  <si>
    <t>buffing pads</t>
  </si>
  <si>
    <t>rusty metal bits</t>
  </si>
  <si>
    <t>sawdust</t>
  </si>
  <si>
    <t>paint</t>
  </si>
  <si>
    <t>particulates/dust - rust, wood, paint, metal, insulation</t>
  </si>
  <si>
    <t>cardboard</t>
  </si>
  <si>
    <t>packaging</t>
  </si>
  <si>
    <t>Weight Log</t>
  </si>
  <si>
    <t>5 tires</t>
  </si>
  <si>
    <t>Water Pollutants</t>
  </si>
  <si>
    <t>windex</t>
  </si>
  <si>
    <t>wd40</t>
  </si>
  <si>
    <t>acetone</t>
  </si>
  <si>
    <t>goo gone</t>
  </si>
  <si>
    <t>dawn dish soap</t>
  </si>
  <si>
    <t>plastic car trim spray</t>
  </si>
  <si>
    <t>tire shine spray</t>
  </si>
  <si>
    <t>green stuff organic cleaner</t>
  </si>
  <si>
    <t xml:space="preserve">interior car cleaner </t>
  </si>
  <si>
    <t>interior car polish</t>
  </si>
  <si>
    <t>exterior car polish/wax</t>
  </si>
  <si>
    <t>barkeepers friend</t>
  </si>
  <si>
    <t>vinegar bath with rust + paint from cleaning steel</t>
  </si>
  <si>
    <t>washing the paint brush down the sink</t>
  </si>
  <si>
    <t>grinding metal/paint/glue outside</t>
  </si>
  <si>
    <t>scraping caulking outside</t>
  </si>
  <si>
    <t>nitrile gloves</t>
  </si>
  <si>
    <t>angle grinder wheels</t>
  </si>
  <si>
    <t>paint trays</t>
  </si>
  <si>
    <t>spare cork flooring tile</t>
  </si>
  <si>
    <t>cork flooring</t>
  </si>
  <si>
    <t>cork underlayment</t>
  </si>
  <si>
    <t>Materials Leftover</t>
  </si>
  <si>
    <t>paint rolls</t>
  </si>
  <si>
    <t>desription</t>
  </si>
  <si>
    <t>measuring tape</t>
  </si>
  <si>
    <t>used in</t>
  </si>
  <si>
    <t>source</t>
  </si>
  <si>
    <t>pre-owned</t>
  </si>
  <si>
    <t>all</t>
  </si>
  <si>
    <t>Time Log</t>
  </si>
  <si>
    <t>hours</t>
  </si>
  <si>
    <t>installed insulation</t>
  </si>
  <si>
    <t>upgraded logs to excel, maintained and updated with new data</t>
  </si>
  <si>
    <t>cost</t>
  </si>
  <si>
    <t>liters</t>
  </si>
  <si>
    <t>km</t>
  </si>
  <si>
    <t>L/100km</t>
  </si>
  <si>
    <t>$/L</t>
  </si>
  <si>
    <t>#</t>
  </si>
  <si>
    <t>Values</t>
  </si>
  <si>
    <t># of Fillups</t>
  </si>
  <si>
    <t>Total Fuel</t>
  </si>
  <si>
    <t>Total Mileage</t>
  </si>
  <si>
    <t>Total Cost</t>
  </si>
  <si>
    <t>Non-Weighted Average Cost per Litre</t>
  </si>
  <si>
    <t>Average Mileage</t>
  </si>
  <si>
    <t>steamer</t>
  </si>
  <si>
    <t>various scrapers</t>
  </si>
  <si>
    <t>pressure washer</t>
  </si>
  <si>
    <t>buffing machine</t>
  </si>
  <si>
    <t>short ladder</t>
  </si>
  <si>
    <t>OBD reader</t>
  </si>
  <si>
    <t>multimeter</t>
  </si>
  <si>
    <t>socket set</t>
  </si>
  <si>
    <t>screwdriver set</t>
  </si>
  <si>
    <t>wire snippers</t>
  </si>
  <si>
    <t>pliers</t>
  </si>
  <si>
    <t>headlamp</t>
  </si>
  <si>
    <t>creeper</t>
  </si>
  <si>
    <t>forklift</t>
  </si>
  <si>
    <t>angle grinder</t>
  </si>
  <si>
    <t>compressor</t>
  </si>
  <si>
    <t>air chisel</t>
  </si>
  <si>
    <t>pry bars</t>
  </si>
  <si>
    <t>mallet</t>
  </si>
  <si>
    <t>hammer</t>
  </si>
  <si>
    <t>vise grips</t>
  </si>
  <si>
    <t>circular saw</t>
  </si>
  <si>
    <t>milling machine</t>
  </si>
  <si>
    <t>thickness planer</t>
  </si>
  <si>
    <t>jointer</t>
  </si>
  <si>
    <t>table saw</t>
  </si>
  <si>
    <t>clamps</t>
  </si>
  <si>
    <t>buckets</t>
  </si>
  <si>
    <t>caulking applicator</t>
  </si>
  <si>
    <t>laptop</t>
  </si>
  <si>
    <t>phone</t>
  </si>
  <si>
    <t>phone gimbal</t>
  </si>
  <si>
    <t>family</t>
  </si>
  <si>
    <t>removing decals</t>
  </si>
  <si>
    <t>detailing</t>
  </si>
  <si>
    <t>vehicle maintenance</t>
  </si>
  <si>
    <t>under vehicle</t>
  </si>
  <si>
    <t>wheelchair lift removal</t>
  </si>
  <si>
    <t xml:space="preserve">hand drill </t>
  </si>
  <si>
    <t>painting</t>
  </si>
  <si>
    <t>girlfriend</t>
  </si>
  <si>
    <t>pre-owned, makerspace</t>
  </si>
  <si>
    <t>girlfriend, makerspace</t>
  </si>
  <si>
    <t>removing rivets</t>
  </si>
  <si>
    <t>gutting, floor installation</t>
  </si>
  <si>
    <t>gridbeam</t>
  </si>
  <si>
    <t>all, removing radiator</t>
  </si>
  <si>
    <t>level</t>
  </si>
  <si>
    <t>installing flooring</t>
  </si>
  <si>
    <t>cutter</t>
  </si>
  <si>
    <t>speed square</t>
  </si>
  <si>
    <t>all, installing flooring</t>
  </si>
  <si>
    <t>mig welder</t>
  </si>
  <si>
    <t>chop saw</t>
  </si>
  <si>
    <t>metal grinder</t>
  </si>
  <si>
    <t>pullbar</t>
  </si>
  <si>
    <t>!pullbar</t>
  </si>
  <si>
    <t>built</t>
  </si>
  <si>
    <t>pokey tool</t>
  </si>
  <si>
    <t>belt sander</t>
  </si>
  <si>
    <t>bandsaw</t>
  </si>
  <si>
    <t>file</t>
  </si>
  <si>
    <t>sandpaper</t>
  </si>
  <si>
    <t>paintbrush</t>
  </si>
  <si>
    <t>replacing window latches</t>
  </si>
  <si>
    <t>upgrading window latches</t>
  </si>
  <si>
    <t>!pullbar, upgrading window latches</t>
  </si>
  <si>
    <t>upgrading window latches, gridbeam</t>
  </si>
  <si>
    <t>upgrading window latches, painting metal surfaces</t>
  </si>
  <si>
    <t>bought</t>
  </si>
  <si>
    <t>free</t>
  </si>
  <si>
    <t>family, makerspace, bought</t>
  </si>
  <si>
    <t>T Square</t>
  </si>
  <si>
    <t>Engineers Square</t>
  </si>
  <si>
    <t>Calipers</t>
  </si>
  <si>
    <t>Cutting cork underlay, aerogel</t>
  </si>
  <si>
    <t>water</t>
  </si>
  <si>
    <t>internet</t>
  </si>
  <si>
    <t>electricity</t>
  </si>
  <si>
    <t>floodlight</t>
  </si>
  <si>
    <t>consumable</t>
  </si>
  <si>
    <t>windshield washer fluid</t>
  </si>
  <si>
    <t>microfiber cloths</t>
  </si>
  <si>
    <t>bar keepers friend (cleaner)</t>
  </si>
  <si>
    <t>drop sheet</t>
  </si>
  <si>
    <t>duct tape</t>
  </si>
  <si>
    <t>shackle</t>
  </si>
  <si>
    <t>door latch</t>
  </si>
  <si>
    <t>car emergency kit</t>
  </si>
  <si>
    <t>windshield sun shade</t>
  </si>
  <si>
    <t>self tapping hex head screws</t>
  </si>
  <si>
    <t>foam weatherstrip</t>
  </si>
  <si>
    <t>material</t>
  </si>
  <si>
    <t>fire extinguisher</t>
  </si>
  <si>
    <t>wheel chonks</t>
  </si>
  <si>
    <t>phone stand</t>
  </si>
  <si>
    <t>family, makerspace</t>
  </si>
  <si>
    <t>family, pre-owned</t>
  </si>
  <si>
    <t>family, free, makerspace</t>
  </si>
  <si>
    <t>came with vehicle</t>
  </si>
  <si>
    <t>family, bought</t>
  </si>
  <si>
    <t>did a bunch of research - years + months of more intense reseach</t>
  </si>
  <si>
    <t>inspected 6 different buses</t>
  </si>
  <si>
    <t>got vehicle pre-purchase safety inspection</t>
  </si>
  <si>
    <t>got bank draft</t>
  </si>
  <si>
    <t>picked up bus</t>
  </si>
  <si>
    <t>picked up cork underlayment</t>
  </si>
  <si>
    <t>disconnected bus door exterior emergency latch</t>
  </si>
  <si>
    <t>bought an furnace air filter</t>
  </si>
  <si>
    <t>picked up cork flooring</t>
  </si>
  <si>
    <t>installed rear door lock</t>
  </si>
  <si>
    <t>took measurements of the bus cleaned a window</t>
  </si>
  <si>
    <t>got new tires installed</t>
  </si>
  <si>
    <t>bought and installed new wipers</t>
  </si>
  <si>
    <t>got safety inspection certificated</t>
  </si>
  <si>
    <t>rebalanced front tires</t>
  </si>
  <si>
    <t>removed Zonar inspection system tags</t>
  </si>
  <si>
    <t>removed stickers</t>
  </si>
  <si>
    <t>vaccummed</t>
  </si>
  <si>
    <t>tested actual consumption of box fan</t>
  </si>
  <si>
    <t>threw out garbage</t>
  </si>
  <si>
    <t>removed cable tie downs</t>
  </si>
  <si>
    <t>disabled rear door lock alarm</t>
  </si>
  <si>
    <t>zip-tied accessibility door handle to wheelchair lift</t>
  </si>
  <si>
    <t>cleaned windows and mirrors</t>
  </si>
  <si>
    <t>road force balanced rear tires</t>
  </si>
  <si>
    <t>removed rusty fire extinguisher holder</t>
  </si>
  <si>
    <t>cleaned dashboard</t>
  </si>
  <si>
    <t>cleaned cab floor</t>
  </si>
  <si>
    <t>cleaned cab door</t>
  </si>
  <si>
    <t>removed stickers and decals</t>
  </si>
  <si>
    <t>removed decals</t>
  </si>
  <si>
    <t>cleaned and detailed</t>
  </si>
  <si>
    <t>added lock to the rear side door</t>
  </si>
  <si>
    <t>project management and documentation</t>
  </si>
  <si>
    <t>cleaned glue off back of bus</t>
  </si>
  <si>
    <t>added weather stripping to windows</t>
  </si>
  <si>
    <t>organized stuff inside</t>
  </si>
  <si>
    <t>removed stairs flooring</t>
  </si>
  <si>
    <t>cleaned outside and glue</t>
  </si>
  <si>
    <t>cleaned</t>
  </si>
  <si>
    <t>removed passanger side divider</t>
  </si>
  <si>
    <t>removed left/right wiring conduits</t>
  </si>
  <si>
    <t>removed ceiling rivets</t>
  </si>
  <si>
    <t>went to princess auto to buy stuff</t>
  </si>
  <si>
    <t>removed tape from underlayment</t>
  </si>
  <si>
    <t>planning</t>
  </si>
  <si>
    <t>removed driver side divider</t>
  </si>
  <si>
    <t>removed chair</t>
  </si>
  <si>
    <t>removed rivets</t>
  </si>
  <si>
    <t>removed ceiling</t>
  </si>
  <si>
    <t>removed driver side wall and insulation</t>
  </si>
  <si>
    <t>removed rear wall and insulation</t>
  </si>
  <si>
    <t>snipped wire conduit holes</t>
  </si>
  <si>
    <t>removed screws in flooring</t>
  </si>
  <si>
    <t>scraped insulation off ceiling</t>
  </si>
  <si>
    <t>removed wheelchair lift 2 bolts</t>
  </si>
  <si>
    <t>read instructions for respirator and filters</t>
  </si>
  <si>
    <t>removed plywood from front of bus and cleaned up large rust</t>
  </si>
  <si>
    <t>removed Q'straint pucks (15/32)</t>
  </si>
  <si>
    <t>removed linoleum floor</t>
  </si>
  <si>
    <t>removed rear door overhead plastic</t>
  </si>
  <si>
    <t>removed rivets and insulation from wire conduit</t>
  </si>
  <si>
    <t>cleaning</t>
  </si>
  <si>
    <t>documentation</t>
  </si>
  <si>
    <t>removed Q'straint pucks (14/32)</t>
  </si>
  <si>
    <t>removed 1/4 of plywood front-passanger side</t>
  </si>
  <si>
    <t>removed rust and goo around plywood</t>
  </si>
  <si>
    <t>removed removed bolts and screws</t>
  </si>
  <si>
    <t>removed Q'straint pucks (3/32)</t>
  </si>
  <si>
    <t>removed and sold lift</t>
  </si>
  <si>
    <t>removed plywood</t>
  </si>
  <si>
    <t>sorted garbage</t>
  </si>
  <si>
    <t>removed cables running under bus from wheelchair lift</t>
  </si>
  <si>
    <t>removed remaining plywood</t>
  </si>
  <si>
    <t>removed metal wall panels</t>
  </si>
  <si>
    <t>removed cable conduits</t>
  </si>
  <si>
    <t>packed garbage in the bus</t>
  </si>
  <si>
    <t>tallied up garbage weights</t>
  </si>
  <si>
    <t>planning and research</t>
  </si>
  <si>
    <t>cleaned fiberglass bits off the walls</t>
  </si>
  <si>
    <t>did some research</t>
  </si>
  <si>
    <t>did some research and purchases</t>
  </si>
  <si>
    <t>did some research and made purchases</t>
  </si>
  <si>
    <t>CAD and design</t>
  </si>
  <si>
    <t>cleaned up the wiring</t>
  </si>
  <si>
    <t>stripped paint and gunk</t>
  </si>
  <si>
    <t>cleaned up wiring</t>
  </si>
  <si>
    <t>stripped the floor and door</t>
  </si>
  <si>
    <t>prepared bus and materials for stripping and painting</t>
  </si>
  <si>
    <t>stripped the floor</t>
  </si>
  <si>
    <t>removed radiator</t>
  </si>
  <si>
    <t>removed seats</t>
  </si>
  <si>
    <t>cleaned for painting</t>
  </si>
  <si>
    <t>painted floor</t>
  </si>
  <si>
    <t>second coat of paint</t>
  </si>
  <si>
    <t>cleaned radiator</t>
  </si>
  <si>
    <t>removed drivers seat</t>
  </si>
  <si>
    <t>removed rivets and glue</t>
  </si>
  <si>
    <t>deep clean</t>
  </si>
  <si>
    <t>painted with corroseal</t>
  </si>
  <si>
    <t>second coat of corroseal</t>
  </si>
  <si>
    <t>bought painting supplies</t>
  </si>
  <si>
    <t>prepped surface for painting</t>
  </si>
  <si>
    <t>painted first coat of black paint</t>
  </si>
  <si>
    <t>setup and tear down</t>
  </si>
  <si>
    <t>prepped and painted second coat in the front area</t>
  </si>
  <si>
    <t>stripped drivers chair of rust and chipped paint</t>
  </si>
  <si>
    <t>installed cork underlay</t>
  </si>
  <si>
    <t>caulked main door window back into place</t>
  </si>
  <si>
    <t>taped up passenger seat holes</t>
  </si>
  <si>
    <t>installed flooring</t>
  </si>
  <si>
    <t>removed flooring and relayed underlayment</t>
  </si>
  <si>
    <t>installed and leveled flooring</t>
  </si>
  <si>
    <t>purchased battery</t>
  </si>
  <si>
    <t>replaced and reinforced window latches</t>
  </si>
  <si>
    <t>moved stuff into studio</t>
  </si>
  <si>
    <t>purchased mr buddy heater</t>
  </si>
  <si>
    <t>researched propane</t>
  </si>
  <si>
    <t>project planning</t>
  </si>
  <si>
    <t>purchased electrical components</t>
  </si>
  <si>
    <t>picked up solar panels</t>
  </si>
  <si>
    <t>researched where to weigh bus</t>
  </si>
  <si>
    <t>picked up stuff from Vivs closet</t>
  </si>
  <si>
    <t>tested LED remote and lights</t>
  </si>
  <si>
    <t>tested DeWalt Drill + Driver</t>
  </si>
  <si>
    <t>sanded and painted window latches</t>
  </si>
  <si>
    <t>smashed and cleaned window</t>
  </si>
  <si>
    <t>read manual for Inverter/Charger</t>
  </si>
  <si>
    <t>researched and made purchases for electrical</t>
  </si>
  <si>
    <t>installed latches</t>
  </si>
  <si>
    <t>cleaned limescale off window</t>
  </si>
  <si>
    <t>unloaded bus</t>
  </si>
  <si>
    <t>researched electrical and made schematic</t>
  </si>
  <si>
    <t>finished schematic</t>
  </si>
  <si>
    <t>designing utilities/bed</t>
  </si>
  <si>
    <t>picked up free cable</t>
  </si>
  <si>
    <t>tared bus</t>
  </si>
  <si>
    <t>picked up 4/0 AWG cable and lugs</t>
  </si>
  <si>
    <t>measured undercarriage</t>
  </si>
  <si>
    <t>made a weight log</t>
  </si>
  <si>
    <t>research fuel tank aux line</t>
  </si>
  <si>
    <t>research passanger seat</t>
  </si>
  <si>
    <t>moved stuff from my apartment and into makerspace</t>
  </si>
  <si>
    <t>made a pile of stuff to give away</t>
  </si>
  <si>
    <t>covered bus windows with garbage bags</t>
  </si>
  <si>
    <t>put out stuff for people to take</t>
  </si>
  <si>
    <t>cut bus bars</t>
  </si>
  <si>
    <t>took out garbage</t>
  </si>
  <si>
    <t>ordered crimper</t>
  </si>
  <si>
    <t>moved stuff out of my room</t>
  </si>
  <si>
    <t>picked up packages</t>
  </si>
  <si>
    <t>organized the space</t>
  </si>
  <si>
    <t>took inventory of pantry</t>
  </si>
  <si>
    <t>made wishlist for pantry</t>
  </si>
  <si>
    <t>investigated pantry container options</t>
  </si>
  <si>
    <t>traded stuff on bunz</t>
  </si>
  <si>
    <t>logged hours</t>
  </si>
  <si>
    <t>organized todos</t>
  </si>
  <si>
    <t>assembled and tested diesel heater</t>
  </si>
  <si>
    <t>brought inside materials from the bus</t>
  </si>
  <si>
    <t>unloaded wood from the bus</t>
  </si>
  <si>
    <t>sorted and went through hardware</t>
  </si>
  <si>
    <t>looked into gridbeam some more</t>
  </si>
  <si>
    <t>research</t>
  </si>
  <si>
    <t>picking up supplies</t>
  </si>
  <si>
    <t>online shopping</t>
  </si>
  <si>
    <t>learning about wood and finishes</t>
  </si>
  <si>
    <t>making 8ft aluminum L bar gridbeam jig</t>
  </si>
  <si>
    <t>making gridbeam</t>
  </si>
  <si>
    <t>made some super precise gridbeam for a jig idea</t>
  </si>
  <si>
    <t>calculated allowable tolerance based on ideal and real bolt and hole sizes</t>
  </si>
  <si>
    <t>planed the remaining wood</t>
  </si>
  <si>
    <t>cut raw lumber into blanks</t>
  </si>
  <si>
    <t>took an inventory of all the wood</t>
  </si>
  <si>
    <t>measured out all cuts on raw lumber</t>
  </si>
  <si>
    <t>organized bus</t>
  </si>
  <si>
    <t>thought about electrical layout</t>
  </si>
  <si>
    <t>prototyped bed structure</t>
  </si>
  <si>
    <t>data entry and organization</t>
  </si>
  <si>
    <t>descriptioon</t>
  </si>
  <si>
    <t>finished registration, got license plate sticker</t>
  </si>
  <si>
    <t>cleaned up trash, removed most stickers</t>
  </si>
  <si>
    <t>removed all wheelchair straps, seatbelts and storage pouches</t>
  </si>
  <si>
    <t>went shopping for materials, tools</t>
  </si>
  <si>
    <t>cleaned chairs, floor and door seals</t>
  </si>
  <si>
    <t>mock install of insulation, window dressing</t>
  </si>
  <si>
    <t>removed passanger side wall, insulation</t>
  </si>
  <si>
    <t>explored option to build BeamCNC, collected parts</t>
  </si>
  <si>
    <t>removed center ceiling, partial</t>
  </si>
  <si>
    <t>pulled out bulkhead panels, plastic, etc</t>
  </si>
  <si>
    <t>picked up bottle jack fan, respirator</t>
  </si>
  <si>
    <t>took garbage to eco centre, weighed it and threw it out</t>
  </si>
  <si>
    <t>cleaned up rust, glue, paint</t>
  </si>
  <si>
    <t>designed interior space, organized tasks and systems level architecture</t>
  </si>
  <si>
    <t>shopping for lumber, picking up orders</t>
  </si>
  <si>
    <t>moved everything (flooring, underlayment, insulation, junk, etc) out of the bus and into my home</t>
  </si>
  <si>
    <t>project planning, organization</t>
  </si>
  <si>
    <t>scouted for deals online, did research and made appointments</t>
  </si>
  <si>
    <t>making aluminum short gridBeam jig, doing tests</t>
  </si>
  <si>
    <t>organized the studio space, parts and components</t>
  </si>
  <si>
    <t>researched furniture construction, woodworking and gridbeam method</t>
  </si>
  <si>
    <t>did a lot of research on electrical systems, propane, found a battery</t>
  </si>
  <si>
    <t>stripped floor, doors and cleaned</t>
  </si>
  <si>
    <t>researched, designed and purchased for Electrical, HVAC, Sensors</t>
  </si>
  <si>
    <t>got insurance policy - took 3 weeks, then 3 days once I got angry</t>
  </si>
  <si>
    <t>removed unecessary wiring</t>
  </si>
  <si>
    <t>moved stuff from bus to workshop, cleaned up, wrapped up mattress</t>
  </si>
  <si>
    <t>bought sewing supplies, washed fabric</t>
  </si>
  <si>
    <t>bought supplies</t>
  </si>
  <si>
    <t>cut wood to rough gridbeam blanks</t>
  </si>
  <si>
    <t>cut insulation to size</t>
  </si>
  <si>
    <t>cut and sanded aluminum floor trim</t>
  </si>
  <si>
    <t>cleaned and organized</t>
  </si>
  <si>
    <t>aluminum trim</t>
  </si>
  <si>
    <t>floor trim</t>
  </si>
  <si>
    <t>cab carpet</t>
  </si>
  <si>
    <t>cab rubber matt</t>
  </si>
  <si>
    <t>Sum of hours</t>
  </si>
  <si>
    <t>inspected seals on body</t>
  </si>
  <si>
    <t>organized tasks</t>
  </si>
  <si>
    <t>folding table</t>
  </si>
  <si>
    <t>1/4" bolts</t>
  </si>
  <si>
    <t>6 64L transparent storage bins (19.99+tax), 3 64L black bins (~$10)</t>
  </si>
  <si>
    <t xml:space="preserve">1.5" x 1.5" x 6' pine </t>
  </si>
  <si>
    <t>sand paper 9 x 11 sheets various</t>
  </si>
  <si>
    <t>aluminum duct 4" x 8'</t>
  </si>
  <si>
    <t>GPS 2" insulation 4x8</t>
  </si>
  <si>
    <t>GPS 1" insulation 4x8</t>
  </si>
  <si>
    <t>3" to 4" duct converter</t>
  </si>
  <si>
    <t>4" aluminum duct connector</t>
  </si>
  <si>
    <t>4"  hose clamps</t>
  </si>
  <si>
    <t>20L bucket</t>
  </si>
  <si>
    <t>20L bucket lid</t>
  </si>
  <si>
    <t>rubber steps</t>
  </si>
  <si>
    <t>mattress bag</t>
  </si>
  <si>
    <t>expanding foam</t>
  </si>
  <si>
    <t xml:space="preserve">3/8" baltic birtch 29 3/4" x 60" </t>
  </si>
  <si>
    <t>5/16" wood dowel 48"</t>
  </si>
  <si>
    <t>sand paper 600 grit</t>
  </si>
  <si>
    <t>sand paper 1200 grit</t>
  </si>
  <si>
    <t>sand paper 2000 grit</t>
  </si>
  <si>
    <t>scouring pad</t>
  </si>
  <si>
    <t>incra T precision ruler</t>
  </si>
  <si>
    <t>4" air duct closing door</t>
  </si>
  <si>
    <t>https://www.canadiantire.ca/en/pdp/mastercraft-spring-clamp-set-14-pc-0572724p.html</t>
  </si>
  <si>
    <t>mastercraft clamp set</t>
  </si>
  <si>
    <t>https://www.canadiantire.ca/en/pdp/maximum-mixed-hex-bit-carabiner-clip-set-10-pc-0543782p.html</t>
  </si>
  <si>
    <t xml:space="preserve">MAXIMUM Mixed Hex Bit Carabiner Clip Set, 10-pc </t>
  </si>
  <si>
    <t>https://www.canadiantire.ca/en/pdp/mastercraft-c-type-clamp-0572610p.html</t>
  </si>
  <si>
    <t>mastercraft C-type clamp</t>
  </si>
  <si>
    <t>https://www.canadiantire.ca/en/pdp/dewalt-dck240c2-20v-max-cordless-drill-impact-driver-combo-kit-1-3ah-0542320p.html</t>
  </si>
  <si>
    <t xml:space="preserve"> DEWALT DCK240C2 20V MAX Cordless Drill &amp; Impact Driver Combo Kit, 1.3Ah </t>
  </si>
  <si>
    <t>propane cannister</t>
  </si>
  <si>
    <t>clear silicone tube</t>
  </si>
  <si>
    <t>CAT Scale</t>
  </si>
  <si>
    <t>Groupe Re Inc.</t>
  </si>
  <si>
    <t>4/0 AWG Cable 2 meters</t>
  </si>
  <si>
    <t>4/0 AWG Cable Lugs, 5/16"</t>
  </si>
  <si>
    <t>2/0 lug nuts</t>
  </si>
  <si>
    <t>Victron Energy SmartSollar MPPT 150/60-TR</t>
  </si>
  <si>
    <t>Victron Energy VE.Bus Smart Dongle</t>
  </si>
  <si>
    <t>Victron Energy Orion-Tr 12/12-30A DC-DC Charger</t>
  </si>
  <si>
    <t>Victron Energy MultiPlus 12/3000/120-50 Inverter/Charger</t>
  </si>
  <si>
    <t>Victron Energy Temp Sensor</t>
  </si>
  <si>
    <t>Victron Energy 500A Smart Shunt</t>
  </si>
  <si>
    <t>Peimar SM400M BF Solar Panel 400W</t>
  </si>
  <si>
    <t>added in costs to log</t>
  </si>
  <si>
    <t>sewing supplies - needles and thread</t>
  </si>
  <si>
    <t>J &amp; L Coupons</t>
  </si>
  <si>
    <t>cut 5ft x 8 gridbeam blanks</t>
  </si>
  <si>
    <t>taped up floor layout for heater</t>
  </si>
  <si>
    <t>drilled hole in anchor rail, tried out installation</t>
  </si>
  <si>
    <t>64L black bins</t>
  </si>
  <si>
    <t>milk crate</t>
  </si>
  <si>
    <t>5L 0W40 Shell Rotella T6 Engine Oil</t>
  </si>
  <si>
    <t>Diesel Kleen Flo Fuel Conditioner 1L</t>
  </si>
  <si>
    <t>Tuck Tape</t>
  </si>
  <si>
    <t>Mass Air Flow  Sensor Cleaner</t>
  </si>
  <si>
    <t>sorted and threw out trash</t>
  </si>
  <si>
    <t>cut gridbeam blanks</t>
  </si>
  <si>
    <t>cut blanks to length and QC for straightness</t>
  </si>
  <si>
    <t>sanded 2ft pieces</t>
  </si>
  <si>
    <t>cut, taped and installed insulation</t>
  </si>
  <si>
    <t>cleanup and garbage weighing</t>
  </si>
  <si>
    <t>unknown</t>
  </si>
  <si>
    <t>went shopping for supplies</t>
  </si>
  <si>
    <t>contacrted metal laser cutters for a quote</t>
  </si>
  <si>
    <t>cardboard + plastic mix</t>
  </si>
  <si>
    <t>cardboard packaging</t>
  </si>
  <si>
    <t>foam packaging</t>
  </si>
  <si>
    <t>move stuff in, settled into new work space</t>
  </si>
  <si>
    <t>made orders for supplies</t>
  </si>
  <si>
    <t>requested quotes for gridbeam steel parts</t>
  </si>
  <si>
    <t>went through gridbeam BOM to think through possible issues</t>
  </si>
  <si>
    <t>moved stuff out of lespacemaker, drove to parents house</t>
  </si>
  <si>
    <t>changed oil, oil filter, drained fuel water separator, cleaned mass airflow sensor</t>
  </si>
  <si>
    <t>setup 3d print for gridbeam</t>
  </si>
  <si>
    <t>got quotes for steel L bar and waterjet cut for gridbeam template</t>
  </si>
  <si>
    <t>1 roll tuck tape</t>
  </si>
  <si>
    <t>CNC power supply</t>
  </si>
  <si>
    <t>6.5-Amp 1.25 HP Compact Router with Fixed Base, 5 Trim Router Bits, Variable Speed, Edge Guide, Roller Guide and Dust Hood, Avid Power MW104</t>
  </si>
  <si>
    <t>Usongshine 5pcs 17HS4401 High Torque Bipolar Stepper Motor Nema 17, 0.46Nm Low Noise 42 DC Step Motor Kit, 1.8°2-Phrase Universal Electric Motor DC Motor for 3D Printer Laser Engraving</t>
  </si>
  <si>
    <t>LLPT Hook and Loop Tape Roll 1 Inch x 33 Feet Nylon Fabric without Adhesive Strong Hook Loop Strip for Sewing Indoor Outdoor on DIY Cloth Shoe Curtain Bag Sport Gears (NHTW33)</t>
  </si>
  <si>
    <t>20 Pack608-2RS Ball Bearings – Bearing Steel and Double Rubber Sealed Miniature Deep Groove Ball Bearings for Skateboards, Inline Skates, Scooters (8mm x 22mm x 7mm)</t>
  </si>
  <si>
    <t>KeeYees GT2 Timing Belt Pulley 16 Teeth 5mm Bore with Allen Wrench for 6mm Width 3D Printer Belt</t>
  </si>
  <si>
    <t>Eiechip CNC 3D Printer Kit for Arduino Mega 2560 R3 + RAMPS 1.4 Controller + LCD 2004 + 6X Limit Switch Endstop + 5 A4988 Stepper Driver 3D Printer Interface &amp; Driver Modules</t>
  </si>
  <si>
    <t>cnc</t>
  </si>
  <si>
    <t>Naler Cotton Tape, Bias Tape for Sewing Bunting Tape Twill Webbing Tape Apron DIY Craft Dressmaking Sewing Home Decor (15m x 2.5cm, White)</t>
  </si>
  <si>
    <t>Hot Rolled Angle 1.500 x 1.500 x 0.125 x 96</t>
  </si>
  <si>
    <t>metal supermarkets</t>
  </si>
  <si>
    <t>Car Seat - Bucket with manual rail and built in seat belt</t>
  </si>
  <si>
    <t>kenny u-pull</t>
  </si>
  <si>
    <t>(Multiple Items)</t>
  </si>
  <si>
    <t>cut and installed insulation</t>
  </si>
  <si>
    <t>organization</t>
  </si>
  <si>
    <t>Shopping</t>
  </si>
  <si>
    <t>CNC machine</t>
  </si>
  <si>
    <t>sanded aluminum pieces</t>
  </si>
  <si>
    <t>aerogel sewing attempt</t>
  </si>
  <si>
    <t>aerogel sewing attempt by professionals</t>
  </si>
  <si>
    <t>picked up and delivered metal to waterjet cutters</t>
  </si>
  <si>
    <t>picked up some tape</t>
  </si>
  <si>
    <t>finished interior wall insulation job</t>
  </si>
  <si>
    <t>CNC machine - tested electronics, 3d prints</t>
  </si>
  <si>
    <t>picked up seat from junkyard</t>
  </si>
  <si>
    <t>cleaned seat</t>
  </si>
  <si>
    <t>engine oil</t>
  </si>
  <si>
    <t>engine coolant</t>
  </si>
  <si>
    <t>diesel</t>
  </si>
  <si>
    <t>diesel oil covered paper towel, gloves</t>
  </si>
  <si>
    <t>cleaned and oiled up rusty anchor plates</t>
  </si>
  <si>
    <t>RMC Waterjet Services</t>
  </si>
  <si>
    <t>Steel WaterJet cutting</t>
  </si>
  <si>
    <t>GE Silicone White</t>
  </si>
  <si>
    <t>Sanding Disks Various Size</t>
  </si>
  <si>
    <t>1/8 4 x 8 Hardboard</t>
  </si>
  <si>
    <t>Twill tape 3"</t>
  </si>
  <si>
    <t>EverBilt Industrial 4.5" Door Hinges</t>
  </si>
  <si>
    <t>10' Superstrut Channel</t>
  </si>
  <si>
    <t>Hockey Pucks</t>
  </si>
  <si>
    <t>sportchek</t>
  </si>
  <si>
    <t>CNC</t>
  </si>
  <si>
    <t>checked seat mounting options</t>
  </si>
  <si>
    <t>Seal Exterior Envelope</t>
  </si>
  <si>
    <t>Sewing/sealing window covers</t>
  </si>
  <si>
    <t>closing in rear wall with angle</t>
  </si>
  <si>
    <t>changed fuel filters, added diesel kleen, "fixed" hazard lights, cut lumber for lifting bus</t>
  </si>
  <si>
    <t>Sanded 5 plywood boards for oiling</t>
  </si>
  <si>
    <t>went to talk to pros about gluing/sewing aerogel</t>
  </si>
  <si>
    <t>mineral deposit window cleaning attempt</t>
  </si>
  <si>
    <t>insulated ceiling</t>
  </si>
  <si>
    <t>picked up waterjet pieces</t>
  </si>
  <si>
    <t>logs</t>
  </si>
  <si>
    <t>parents house</t>
  </si>
  <si>
    <t>wood waste</t>
  </si>
  <si>
    <t>metal</t>
  </si>
  <si>
    <t>oiled wood</t>
  </si>
  <si>
    <t>wrote gcode, setup endstops, tested (cnc)</t>
  </si>
  <si>
    <t>cleaned up wiring in the back or the bus</t>
  </si>
  <si>
    <t>cleaned window</t>
  </si>
  <si>
    <t>aerogel edges</t>
  </si>
  <si>
    <t>framed rear of bus</t>
  </si>
  <si>
    <t>cleaning and organization</t>
  </si>
  <si>
    <t>shopping</t>
  </si>
  <si>
    <t>insulation framing</t>
  </si>
  <si>
    <t>closing back wall</t>
  </si>
  <si>
    <t>sanding wood</t>
  </si>
  <si>
    <t>oiling wood</t>
  </si>
  <si>
    <t>insulation retaining bars</t>
  </si>
  <si>
    <t>cleanup</t>
  </si>
  <si>
    <t>building bedframe</t>
  </si>
  <si>
    <t>rear wall framing</t>
  </si>
  <si>
    <t>mounting solar panels (2 people)</t>
  </si>
  <si>
    <t>finished insulation framing</t>
  </si>
  <si>
    <t>sanding and oiling wood</t>
  </si>
  <si>
    <t>clean up</t>
  </si>
  <si>
    <t>packing for trip</t>
  </si>
  <si>
    <t>rear wall</t>
  </si>
  <si>
    <t>bed install, cutting wood</t>
  </si>
  <si>
    <t>electrical, furniture, rear wall, cleanup</t>
  </si>
  <si>
    <t>heater install</t>
  </si>
  <si>
    <t>other shit</t>
  </si>
  <si>
    <t>electrical (wired up distribution panel, DCDC charger)</t>
  </si>
  <si>
    <t>installed chair</t>
  </si>
  <si>
    <t>installed electrical (wired up bus bars)</t>
  </si>
  <si>
    <t>velcro / aerogel</t>
  </si>
  <si>
    <t>cut window sills</t>
  </si>
  <si>
    <t>go to home depot to pick up supplies</t>
  </si>
  <si>
    <t>researched and bought new batteries</t>
  </si>
  <si>
    <t>20L Diesel Jerry Can</t>
  </si>
  <si>
    <t>Dessicant</t>
  </si>
  <si>
    <t>RD34/78 Optima Red Top AGM Battery 800CCA</t>
  </si>
  <si>
    <t>Laundry Hamper</t>
  </si>
  <si>
    <t>household</t>
  </si>
  <si>
    <t>dolarama</t>
  </si>
  <si>
    <t>Baking soda</t>
  </si>
  <si>
    <t>Dishpan</t>
  </si>
  <si>
    <t>small plastic box</t>
  </si>
  <si>
    <t>container</t>
  </si>
  <si>
    <t>dish scrubber with handle</t>
  </si>
  <si>
    <t>ziplock bags small</t>
  </si>
  <si>
    <t>ziplock bags medium</t>
  </si>
  <si>
    <t>shower curtain</t>
  </si>
  <si>
    <t>Reflex Allseason Washer Fluid 1 Gal</t>
  </si>
  <si>
    <t>Washer Fluid 1 Gal</t>
  </si>
  <si>
    <t>gas station</t>
  </si>
  <si>
    <t>Dustpan</t>
  </si>
  <si>
    <t>returned</t>
  </si>
  <si>
    <t>ikea</t>
  </si>
  <si>
    <t>FJÄLLARNIKA Duvet</t>
  </si>
  <si>
    <t>VILDKORN Pillow</t>
  </si>
  <si>
    <t>BERGPALM duvet cover and pillowcase(s)</t>
  </si>
  <si>
    <t>NÄVLINGE LED wall/clamp spotlight</t>
  </si>
  <si>
    <t>SÖMNTUTA fitted sheet</t>
  </si>
  <si>
    <t>Date</t>
  </si>
  <si>
    <t>Mileage</t>
  </si>
  <si>
    <t>Action</t>
  </si>
  <si>
    <t>changed engine oil and filter</t>
  </si>
  <si>
    <t>cleaned MAF (mass airflow sensor)</t>
  </si>
  <si>
    <t>changed fuel filters</t>
  </si>
  <si>
    <t>changed tires</t>
  </si>
  <si>
    <t>changed wipers</t>
  </si>
  <si>
    <t>tires road force balanced</t>
  </si>
  <si>
    <t>location</t>
  </si>
  <si>
    <t>Moosomin, SK</t>
  </si>
  <si>
    <t>Calgary, AB</t>
  </si>
  <si>
    <t>Revelstoke, BC</t>
  </si>
  <si>
    <t>Steinbach, MB</t>
  </si>
  <si>
    <t>Lac Des Mill, ON</t>
  </si>
  <si>
    <t>Wawa, ON</t>
  </si>
  <si>
    <t>Mississauga, ON</t>
  </si>
  <si>
    <t>Sudbury, ON</t>
  </si>
  <si>
    <t>Swift Current, SK</t>
  </si>
  <si>
    <t>First Aid Kit</t>
  </si>
  <si>
    <t>Isopropyl Alcohol 99%</t>
  </si>
  <si>
    <t>pharmasave</t>
  </si>
  <si>
    <t>Diesel 911</t>
  </si>
  <si>
    <t>lee valley</t>
  </si>
  <si>
    <t>1/4" Carbide Router Bit</t>
  </si>
  <si>
    <t>5/16" Carbide Router Bit</t>
  </si>
  <si>
    <t>5/16" Carbide Straight Plunge Router Bit</t>
  </si>
  <si>
    <t>ez mix 1/2 pint container</t>
  </si>
  <si>
    <t>ez mix 1 pint container</t>
  </si>
  <si>
    <t>1L ligna biosupra natural oil</t>
  </si>
  <si>
    <t>exotic woods burlington</t>
  </si>
  <si>
    <t>walmart</t>
  </si>
  <si>
    <t>Mono 83ml silicone</t>
  </si>
  <si>
    <t>Varathane 3X Triple Thick spray</t>
  </si>
  <si>
    <t>M8-1.25x30 bolts</t>
  </si>
  <si>
    <t>Compost Bin</t>
  </si>
  <si>
    <t>Cutting wheel</t>
  </si>
  <si>
    <t>1/2" lock nuts</t>
  </si>
  <si>
    <t>1/2" 1.5" bolts</t>
  </si>
  <si>
    <t>3 GE silicone tubes</t>
  </si>
  <si>
    <t>1 cable cutter</t>
  </si>
  <si>
    <t>Montreal, QC</t>
  </si>
  <si>
    <t>Cobourg, ON</t>
  </si>
  <si>
    <t>Ingleside, ON</t>
  </si>
  <si>
    <t>replaced front right turn signal bulb</t>
  </si>
  <si>
    <t>replaced FOH, heated mirror fuses</t>
  </si>
  <si>
    <t>retorqued wheel lugs</t>
  </si>
  <si>
    <t>set tire pressure to weight spec</t>
  </si>
  <si>
    <t>changed front right wheel hub</t>
  </si>
  <si>
    <t>fixed hanging coolant line, replaced turn signal bulb, cleaned windows/mirrors, inspected fluids</t>
  </si>
  <si>
    <t>cleaned bus</t>
  </si>
  <si>
    <t>quantity (L)</t>
  </si>
  <si>
    <t>paper/cardboard</t>
  </si>
  <si>
    <t>on the road</t>
  </si>
  <si>
    <t>cans</t>
  </si>
  <si>
    <t>batteries</t>
  </si>
  <si>
    <t>propane tanks</t>
  </si>
  <si>
    <t>trash</t>
  </si>
  <si>
    <t>plastic bags</t>
  </si>
  <si>
    <t>changed air filter</t>
  </si>
  <si>
    <t>fixed bent rear bumper</t>
  </si>
  <si>
    <t>siliconed velcro</t>
  </si>
  <si>
    <t>wiring solar</t>
  </si>
  <si>
    <t>wiring inverter</t>
  </si>
  <si>
    <t>reorganizing bus</t>
  </si>
  <si>
    <t>buying stuff</t>
  </si>
  <si>
    <t>setting up remote controlled door</t>
  </si>
  <si>
    <t>programming inverter and setting up bluetooth dongle</t>
  </si>
  <si>
    <t>mounting camera</t>
  </si>
  <si>
    <t>wiring up router and 12v socket</t>
  </si>
  <si>
    <t>setting up OpenWRT and Security camera</t>
  </si>
  <si>
    <t>designing software and smart systems</t>
  </si>
  <si>
    <t>setting up OpenWRT WWLAN</t>
  </si>
  <si>
    <t>setting up OpenWRT FTP Server</t>
  </si>
  <si>
    <t>wiring up solar system</t>
  </si>
  <si>
    <t>wired venusOS Raspberry Pi</t>
  </si>
  <si>
    <t>setup LED lights</t>
  </si>
  <si>
    <t>CAT SCALE WEIGHT:</t>
  </si>
  <si>
    <t>5010KG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</si>
</sst>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[$-F800]dddd\,\ mmmm\ dd\,\ yyyy"/>
  </numFmts>
  <fonts count="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 (Body)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rgb="FF8EA9DB"/>
      </right>
      <top style="thin">
        <color rgb="FF8EA9DB"/>
      </top>
      <bottom/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9" fontId="0" fillId="0" borderId="0" xfId="2" applyFont="1"/>
    <xf numFmtId="164" fontId="0" fillId="0" borderId="0" xfId="1" applyNumberFormat="1" applyFont="1"/>
    <xf numFmtId="164" fontId="0" fillId="0" borderId="0" xfId="0" applyNumberFormat="1"/>
    <xf numFmtId="44" fontId="0" fillId="0" borderId="0" xfId="3" applyFont="1" applyAlignment="1">
      <alignment horizontal="center"/>
    </xf>
    <xf numFmtId="0" fontId="0" fillId="0" borderId="0" xfId="0" applyBorder="1"/>
    <xf numFmtId="15" fontId="0" fillId="0" borderId="0" xfId="0" applyNumberFormat="1"/>
    <xf numFmtId="15" fontId="0" fillId="0" borderId="0" xfId="0" applyNumberFormat="1" applyBorder="1"/>
    <xf numFmtId="15" fontId="2" fillId="0" borderId="0" xfId="0" applyNumberFormat="1" applyFont="1" applyBorder="1"/>
    <xf numFmtId="0" fontId="3" fillId="0" borderId="0" xfId="4"/>
    <xf numFmtId="0" fontId="0" fillId="0" borderId="0" xfId="0" applyAlignment="1">
      <alignment wrapText="1"/>
    </xf>
    <xf numFmtId="44" fontId="0" fillId="0" borderId="0" xfId="3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2" fontId="0" fillId="0" borderId="0" xfId="0" applyNumberFormat="1"/>
    <xf numFmtId="165" fontId="0" fillId="0" borderId="0" xfId="0" applyNumberFormat="1"/>
    <xf numFmtId="0" fontId="0" fillId="0" borderId="0" xfId="0" applyNumberFormat="1"/>
    <xf numFmtId="2" fontId="2" fillId="0" borderId="0" xfId="0" applyNumberFormat="1" applyFont="1"/>
    <xf numFmtId="44" fontId="0" fillId="0" borderId="0" xfId="3" applyFont="1"/>
    <xf numFmtId="44" fontId="0" fillId="0" borderId="0" xfId="0" applyNumberFormat="1"/>
    <xf numFmtId="1" fontId="0" fillId="0" borderId="0" xfId="0" applyNumberFormat="1"/>
    <xf numFmtId="0" fontId="2" fillId="0" borderId="2" xfId="0" applyFont="1" applyBorder="1"/>
    <xf numFmtId="0" fontId="2" fillId="0" borderId="3" xfId="0" applyFont="1" applyBorder="1"/>
    <xf numFmtId="166" fontId="0" fillId="0" borderId="0" xfId="0" applyNumberFormat="1"/>
    <xf numFmtId="1" fontId="0" fillId="0" borderId="0" xfId="3" applyNumberFormat="1" applyFont="1"/>
    <xf numFmtId="165" fontId="0" fillId="0" borderId="0" xfId="0" applyNumberFormat="1" applyAlignment="1">
      <alignment horizontal="right"/>
    </xf>
    <xf numFmtId="2" fontId="0" fillId="0" borderId="0" xfId="0" applyNumberFormat="1" applyBorder="1"/>
    <xf numFmtId="2" fontId="6" fillId="0" borderId="0" xfId="0" applyNumberFormat="1" applyFont="1"/>
    <xf numFmtId="15" fontId="0" fillId="0" borderId="1" xfId="0" applyNumberFormat="1" applyBorder="1"/>
    <xf numFmtId="15" fontId="2" fillId="0" borderId="1" xfId="0" applyNumberFormat="1" applyFont="1" applyBorder="1"/>
    <xf numFmtId="14" fontId="0" fillId="0" borderId="0" xfId="0" applyNumberFormat="1"/>
    <xf numFmtId="14" fontId="0" fillId="0" borderId="0" xfId="3" applyNumberFormat="1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4" fontId="2" fillId="0" borderId="4" xfId="0" applyNumberFormat="1" applyFont="1" applyBorder="1"/>
  </cellXfs>
  <cellStyles count="5">
    <cellStyle name="Comma" xfId="1" builtinId="3"/>
    <cellStyle name="Currency" xfId="3" builtinId="4"/>
    <cellStyle name="Hyperlink" xfId="4" builtinId="8"/>
    <cellStyle name="Normal" xfId="0" builtinId="0"/>
    <cellStyle name="Percent" xfId="2" builtinId="5"/>
  </cellStyles>
  <dxfs count="18">
    <dxf>
      <numFmt numFmtId="2" formatCode="0.00"/>
    </dxf>
    <dxf>
      <numFmt numFmtId="166" formatCode="[$-F800]dddd\,\ mmmm\ dd\,\ yyyy"/>
    </dxf>
    <dxf>
      <numFmt numFmtId="1" formatCode="0"/>
    </dxf>
    <dxf>
      <numFmt numFmtId="19" formatCode="yyyy/mm/dd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165" formatCode="0.0"/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</dxf>
    <dxf>
      <numFmt numFmtId="2" formatCode="0.00"/>
    </dxf>
    <dxf>
      <numFmt numFmtId="19" formatCode="yyyy/mm/dd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</dxf>
    <dxf>
      <numFmt numFmtId="165" formatCode="0.0"/>
    </dxf>
    <dxf>
      <numFmt numFmtId="165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62.901897916665" createdVersion="6" refreshedVersion="6" minRefreshableVersion="3" recordCount="354" xr:uid="{B82B8F58-5988-014D-BDEC-A6776417F2F3}">
  <cacheSource type="worksheet">
    <worksheetSource name="Table11"/>
  </cacheSource>
  <cacheFields count="3">
    <cacheField name="date" numFmtId="166">
      <sharedItems containsSemiMixedTypes="0" containsNonDate="0" containsDate="1" containsString="0" minDate="2021-07-13T00:00:00" maxDate="2021-12-30T00:00:00"/>
    </cacheField>
    <cacheField name="descriptioon" numFmtId="0">
      <sharedItems/>
    </cacheField>
    <cacheField name="hours" numFmtId="2">
      <sharedItems containsString="0" containsBlank="1" containsNumber="1" minValue="0.1" maxValue="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rosoft Office User" refreshedDate="44632.899855439813" createdVersion="6" refreshedVersion="6" minRefreshableVersion="3" recordCount="20" xr:uid="{DB5FF1EC-A915-2042-96AD-BA2D6761C3AE}">
  <cacheSource type="worksheet">
    <worksheetSource name="Table12"/>
  </cacheSource>
  <cacheFields count="8">
    <cacheField name="#" numFmtId="1">
      <sharedItems containsSemiMixedTypes="0" containsString="0" containsNumber="1" containsInteger="1" minValue="1" maxValue="20"/>
    </cacheField>
    <cacheField name="date" numFmtId="14">
      <sharedItems containsNonDate="0" containsDate="1" containsString="0" containsBlank="1" minDate="2021-07-19T00:00:00" maxDate="2022-01-09T00:00:00"/>
    </cacheField>
    <cacheField name="location" numFmtId="14">
      <sharedItems containsBlank="1"/>
    </cacheField>
    <cacheField name="cost" numFmtId="44">
      <sharedItems containsString="0" containsBlank="1" containsNumber="1" minValue="146.77000000000001" maxValue="223.83"/>
    </cacheField>
    <cacheField name="liters" numFmtId="165">
      <sharedItems containsString="0" containsBlank="1" containsNumber="1" minValue="101.419" maxValue="139.97999999999999"/>
    </cacheField>
    <cacheField name="km" numFmtId="165">
      <sharedItems containsString="0" containsBlank="1" containsNumber="1" minValue="381.4" maxValue="736.1"/>
    </cacheField>
    <cacheField name="L/100km" numFmtId="2">
      <sharedItems containsMixedTypes="1" containsNumber="1" minValue="0" maxValue="32.732564237021499" count="21">
        <n v="19.830397912589692"/>
        <n v="22.96455844918739"/>
        <n v="20.20455768885699"/>
        <n v="19.790964261631828"/>
        <n v="16.818367069691615"/>
        <n v="17.021625544267053"/>
        <e v="#DIV/0!"/>
        <n v="20.123344370860927"/>
        <n v="24.299065420560748"/>
        <n v="17.950265486725662"/>
        <n v="24.819148936170212"/>
        <n v="32.732564237021499"/>
        <n v="27.265968810083315"/>
        <n v="21.878485687903968"/>
        <n v="25.898344651952463"/>
        <n v="20.190576923076922"/>
        <n v="0"/>
        <n v="22.909731740747993" u="1"/>
        <n v="24.822695035460995" u="1"/>
        <n v="17.024673439767781" u="1"/>
        <n v="17.950442477876106" u="1"/>
      </sharedItems>
    </cacheField>
    <cacheField name="$/L" numFmtId="44">
      <sharedItems containsMixedTypes="1" containsNumber="1" minValue="1.2384868421052633" maxValue="1.59901414487783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4">
  <r>
    <d v="2021-07-13T00:00:00"/>
    <s v="inspected 6 different buses"/>
    <n v="6.5"/>
  </r>
  <r>
    <d v="2021-07-13T00:00:00"/>
    <s v="picked up bus"/>
    <n v="2.5"/>
  </r>
  <r>
    <d v="2021-07-13T00:00:00"/>
    <s v="got vehicle pre-purchase safety inspection"/>
    <n v="0.5"/>
  </r>
  <r>
    <d v="2021-07-13T00:00:00"/>
    <s v="got bank draft"/>
    <n v="0.5"/>
  </r>
  <r>
    <d v="2021-07-13T00:00:00"/>
    <s v="cleaned up trash, removed most stickers"/>
    <n v="0.5"/>
  </r>
  <r>
    <d v="2021-07-13T00:00:00"/>
    <s v="picked up cork underlayment"/>
    <n v="0.5"/>
  </r>
  <r>
    <d v="2021-07-13T00:00:00"/>
    <s v="did a bunch of research - years + months of more intense reseach"/>
    <m/>
  </r>
  <r>
    <d v="2021-07-13T00:00:00"/>
    <s v="got insurance policy - took 3 weeks, then 3 days once I got angry"/>
    <m/>
  </r>
  <r>
    <d v="2021-07-14T00:00:00"/>
    <s v="scouted for deals online, did research and made appointments"/>
    <n v="5"/>
  </r>
  <r>
    <d v="2021-07-14T00:00:00"/>
    <s v="picked up cork flooring"/>
    <n v="2.5"/>
  </r>
  <r>
    <d v="2021-07-14T00:00:00"/>
    <s v="bought an furnace air filter"/>
    <n v="0.75"/>
  </r>
  <r>
    <d v="2021-07-14T00:00:00"/>
    <s v="disconnected bus door exterior emergency latch"/>
    <n v="0.5"/>
  </r>
  <r>
    <d v="2021-07-14T00:00:00"/>
    <s v="removed all wheelchair straps, seatbelts and storage pouches"/>
    <n v="0.5"/>
  </r>
  <r>
    <d v="2021-07-14T00:00:00"/>
    <s v="installed rear door lock"/>
    <n v="0.2"/>
  </r>
  <r>
    <d v="2021-07-15T00:00:00"/>
    <s v="picked up bottle jack fan, respirator"/>
    <n v="3"/>
  </r>
  <r>
    <d v="2021-07-15T00:00:00"/>
    <s v="got new tires installed"/>
    <n v="1"/>
  </r>
  <r>
    <d v="2021-07-15T00:00:00"/>
    <s v="took measurements of the bus cleaned a window"/>
    <n v="0.5"/>
  </r>
  <r>
    <d v="2021-07-15T00:00:00"/>
    <s v="bought and installed new wipers"/>
    <n v="0.5"/>
  </r>
  <r>
    <d v="2021-07-16T00:00:00"/>
    <s v="got safety inspection certificated"/>
    <n v="2.75"/>
  </r>
  <r>
    <d v="2021-07-16T00:00:00"/>
    <s v="removed stickers"/>
    <n v="1"/>
  </r>
  <r>
    <d v="2021-07-16T00:00:00"/>
    <s v="cleaned windows and mirrors"/>
    <n v="1"/>
  </r>
  <r>
    <d v="2021-07-16T00:00:00"/>
    <s v="rebalanced front tires"/>
    <n v="0.5"/>
  </r>
  <r>
    <d v="2021-07-16T00:00:00"/>
    <s v="removed Zonar inspection system tags"/>
    <n v="0.25"/>
  </r>
  <r>
    <d v="2021-07-16T00:00:00"/>
    <s v="vaccummed"/>
    <n v="0.25"/>
  </r>
  <r>
    <d v="2021-07-16T00:00:00"/>
    <s v="disabled rear door lock alarm"/>
    <n v="0.25"/>
  </r>
  <r>
    <d v="2021-07-16T00:00:00"/>
    <s v="tested actual consumption of box fan"/>
    <n v="0.15"/>
  </r>
  <r>
    <d v="2021-07-16T00:00:00"/>
    <s v="threw out garbage"/>
    <n v="0.15"/>
  </r>
  <r>
    <d v="2021-07-16T00:00:00"/>
    <s v="removed cable tie downs"/>
    <n v="0.15"/>
  </r>
  <r>
    <d v="2021-07-16T00:00:00"/>
    <s v="zip-tied accessibility door handle to wheelchair lift"/>
    <n v="0.15"/>
  </r>
  <r>
    <d v="2021-07-17T00:00:00"/>
    <s v="removed stickers and decals"/>
    <n v="2"/>
  </r>
  <r>
    <d v="2021-07-17T00:00:00"/>
    <s v="road force balanced rear tires"/>
    <n v="1.5"/>
  </r>
  <r>
    <d v="2021-07-17T00:00:00"/>
    <s v="cleaned dashboard"/>
    <n v="0.5"/>
  </r>
  <r>
    <d v="2021-07-17T00:00:00"/>
    <s v="cleaned cab floor"/>
    <n v="0.5"/>
  </r>
  <r>
    <d v="2021-07-17T00:00:00"/>
    <s v="cleaned cab door"/>
    <n v="0.5"/>
  </r>
  <r>
    <d v="2021-07-17T00:00:00"/>
    <s v="removed rusty fire extinguisher holder"/>
    <n v="0.25"/>
  </r>
  <r>
    <d v="2021-07-18T00:00:00"/>
    <s v="removed decals"/>
    <n v="10"/>
  </r>
  <r>
    <d v="2021-07-18T00:00:00"/>
    <s v="cleaned and detailed"/>
    <n v="10"/>
  </r>
  <r>
    <d v="2021-07-18T00:00:00"/>
    <s v="added lock to the rear side door"/>
    <n v="0.5"/>
  </r>
  <r>
    <d v="2021-07-19T00:00:00"/>
    <s v="finished registration, got license plate sticker"/>
    <n v="1"/>
  </r>
  <r>
    <d v="2021-07-20T00:00:00"/>
    <s v="project management and documentation"/>
    <n v="2"/>
  </r>
  <r>
    <d v="2021-08-11T00:00:00"/>
    <s v="organized stuff inside"/>
    <n v="2"/>
  </r>
  <r>
    <d v="2021-08-11T00:00:00"/>
    <s v="added weather stripping to windows"/>
    <n v="1"/>
  </r>
  <r>
    <d v="2021-08-11T00:00:00"/>
    <s v="cleaned glue off back of bus"/>
    <n v="0.5"/>
  </r>
  <r>
    <d v="2021-08-12T00:00:00"/>
    <s v="cleaned outside and glue"/>
    <n v="0.75"/>
  </r>
  <r>
    <d v="2021-08-12T00:00:00"/>
    <s v="removed stairs flooring"/>
    <n v="0.5"/>
  </r>
  <r>
    <d v="2021-08-12T00:00:00"/>
    <s v="cleaned"/>
    <n v="0.5"/>
  </r>
  <r>
    <d v="2021-08-20T00:00:00"/>
    <s v="removed center ceiling, partial"/>
    <n v="1.25"/>
  </r>
  <r>
    <d v="2021-08-20T00:00:00"/>
    <s v="removed passanger side wall, insulation"/>
    <n v="1"/>
  </r>
  <r>
    <d v="2021-08-20T00:00:00"/>
    <s v="removed passanger side divider"/>
    <n v="1"/>
  </r>
  <r>
    <d v="2021-08-20T00:00:00"/>
    <s v="removed ceiling rivets"/>
    <n v="1"/>
  </r>
  <r>
    <d v="2021-08-20T00:00:00"/>
    <s v="cleaned"/>
    <n v="0.5"/>
  </r>
  <r>
    <d v="2021-08-20T00:00:00"/>
    <s v="removed left/right wiring conduits"/>
    <n v="0.25"/>
  </r>
  <r>
    <d v="2021-08-21T00:00:00"/>
    <s v="moved everything (flooring, underlayment, insulation, junk, etc) out of the bus and into my home"/>
    <n v="4"/>
  </r>
  <r>
    <d v="2021-08-22T00:00:00"/>
    <s v="went to princess auto to buy stuff"/>
    <n v="4"/>
  </r>
  <r>
    <d v="2021-08-23T00:00:00"/>
    <s v="removed tape from underlayment"/>
    <n v="4"/>
  </r>
  <r>
    <d v="2021-08-23T00:00:00"/>
    <s v="planning"/>
    <n v="2"/>
  </r>
  <r>
    <d v="2021-08-27T00:00:00"/>
    <s v="removed driver side divider"/>
    <n v="2"/>
  </r>
  <r>
    <d v="2021-08-27T00:00:00"/>
    <s v="removed chair"/>
    <n v="2"/>
  </r>
  <r>
    <d v="2021-08-27T00:00:00"/>
    <s v="removed rivets"/>
    <n v="1"/>
  </r>
  <r>
    <d v="2021-08-27T00:00:00"/>
    <s v="cleaned"/>
    <n v="0.5"/>
  </r>
  <r>
    <d v="2021-08-28T00:00:00"/>
    <s v="removed ceiling"/>
    <n v="5"/>
  </r>
  <r>
    <d v="2021-08-28T00:00:00"/>
    <s v="removed driver side wall and insulation"/>
    <n v="3"/>
  </r>
  <r>
    <d v="2021-08-28T00:00:00"/>
    <s v="removed chair"/>
    <n v="2"/>
  </r>
  <r>
    <d v="2021-08-28T00:00:00"/>
    <s v="removed rear wall and insulation"/>
    <n v="1"/>
  </r>
  <r>
    <d v="2021-08-28T00:00:00"/>
    <s v="scraped insulation off ceiling"/>
    <n v="0.5"/>
  </r>
  <r>
    <d v="2021-08-28T00:00:00"/>
    <s v="cleaned"/>
    <n v="0.5"/>
  </r>
  <r>
    <d v="2021-08-28T00:00:00"/>
    <s v="planning"/>
    <n v="0.5"/>
  </r>
  <r>
    <d v="2021-08-28T00:00:00"/>
    <s v="snipped wire conduit holes"/>
    <n v="0.25"/>
  </r>
  <r>
    <d v="2021-08-28T00:00:00"/>
    <s v="removed screws in flooring"/>
    <n v="0.25"/>
  </r>
  <r>
    <d v="2021-08-28T00:00:00"/>
    <s v="removed wheelchair lift 2 bolts"/>
    <n v="0.25"/>
  </r>
  <r>
    <d v="2021-08-29T00:00:00"/>
    <s v="removed Q'straint pucks (15/32)"/>
    <n v="2.5"/>
  </r>
  <r>
    <d v="2021-08-29T00:00:00"/>
    <s v="removed linoleum floor"/>
    <n v="1"/>
  </r>
  <r>
    <d v="2021-08-29T00:00:00"/>
    <s v="removed plywood from front of bus and cleaned up large rust"/>
    <n v="0.5"/>
  </r>
  <r>
    <d v="2021-08-29T00:00:00"/>
    <s v="removed rivets and insulation from wire conduit"/>
    <n v="0.5"/>
  </r>
  <r>
    <d v="2021-08-29T00:00:00"/>
    <s v="cleaning"/>
    <n v="0.5"/>
  </r>
  <r>
    <d v="2021-08-29T00:00:00"/>
    <s v="read instructions for respirator and filters"/>
    <n v="0.25"/>
  </r>
  <r>
    <d v="2021-08-29T00:00:00"/>
    <s v="removed rear door overhead plastic"/>
    <n v="0.25"/>
  </r>
  <r>
    <d v="2021-08-30T00:00:00"/>
    <s v="removed Q'straint pucks (14/32)"/>
    <n v="4"/>
  </r>
  <r>
    <d v="2021-08-30T00:00:00"/>
    <s v="removed rust and goo around plywood"/>
    <n v="0.5"/>
  </r>
  <r>
    <d v="2021-08-30T00:00:00"/>
    <s v="documentation"/>
    <n v="0.33"/>
  </r>
  <r>
    <d v="2021-08-30T00:00:00"/>
    <s v="removed 1/4 of plywood front-passanger side"/>
    <n v="0.25"/>
  </r>
  <r>
    <d v="2021-08-30T00:00:00"/>
    <s v="removed removed bolts and screws"/>
    <n v="0.25"/>
  </r>
  <r>
    <d v="2021-08-31T00:00:00"/>
    <s v="removed and sold lift"/>
    <n v="2"/>
  </r>
  <r>
    <d v="2021-08-31T00:00:00"/>
    <s v="removed plywood"/>
    <n v="1.5"/>
  </r>
  <r>
    <d v="2021-08-31T00:00:00"/>
    <s v="removed Q'straint pucks (3/32)"/>
    <n v="1"/>
  </r>
  <r>
    <d v="2021-08-31T00:00:00"/>
    <s v="sorted garbage"/>
    <n v="1"/>
  </r>
  <r>
    <d v="2021-08-31T00:00:00"/>
    <s v="documentation"/>
    <n v="0.33300000000000002"/>
  </r>
  <r>
    <d v="2021-09-01T00:00:00"/>
    <s v="removed cables running under bus from wheelchair lift"/>
    <n v="1.5"/>
  </r>
  <r>
    <d v="2021-09-01T00:00:00"/>
    <s v="packed garbage in the bus"/>
    <n v="1"/>
  </r>
  <r>
    <d v="2021-09-01T00:00:00"/>
    <s v="removed remaining plywood"/>
    <n v="0.5"/>
  </r>
  <r>
    <d v="2021-09-01T00:00:00"/>
    <s v="removed metal wall panels"/>
    <n v="0.5"/>
  </r>
  <r>
    <d v="2021-09-01T00:00:00"/>
    <s v="removed cable conduits"/>
    <n v="0.5"/>
  </r>
  <r>
    <d v="2021-09-02T00:00:00"/>
    <s v="took garbage to eco centre, weighed it and threw it out"/>
    <n v="3"/>
  </r>
  <r>
    <d v="2021-09-02T00:00:00"/>
    <s v="went shopping for materials, tools"/>
    <n v="0.5"/>
  </r>
  <r>
    <d v="2021-09-03T00:00:00"/>
    <s v="went shopping for materials, tools"/>
    <n v="0.5"/>
  </r>
  <r>
    <d v="2021-09-03T00:00:00"/>
    <s v="tallied up garbage weights"/>
    <n v="0.15"/>
  </r>
  <r>
    <d v="2021-09-06T00:00:00"/>
    <s v="cleaned up rust, glue, paint"/>
    <n v="6"/>
  </r>
  <r>
    <d v="2021-09-06T00:00:00"/>
    <s v="planning and research"/>
    <n v="2"/>
  </r>
  <r>
    <d v="2021-09-06T00:00:00"/>
    <s v="documentation"/>
    <n v="0.2"/>
  </r>
  <r>
    <d v="2021-09-07T00:00:00"/>
    <s v="cleaned up rust, glue, paint"/>
    <n v="3"/>
  </r>
  <r>
    <d v="2021-09-07T00:00:00"/>
    <s v="did some research"/>
    <n v="3"/>
  </r>
  <r>
    <d v="2021-09-07T00:00:00"/>
    <s v="pulled out bulkhead panels, plastic, etc"/>
    <n v="2"/>
  </r>
  <r>
    <d v="2021-09-07T00:00:00"/>
    <s v="cleaned fiberglass bits off the walls"/>
    <n v="1"/>
  </r>
  <r>
    <d v="2021-09-08T00:00:00"/>
    <s v="did some research and purchases"/>
    <n v="3"/>
  </r>
  <r>
    <d v="2021-09-09T00:00:00"/>
    <s v="did some research and made purchases"/>
    <n v="9"/>
  </r>
  <r>
    <d v="2021-09-09T00:00:00"/>
    <s v="documentation"/>
    <n v="1"/>
  </r>
  <r>
    <d v="2021-09-12T00:00:00"/>
    <s v="CAD and design"/>
    <n v="2"/>
  </r>
  <r>
    <d v="2021-09-13T00:00:00"/>
    <s v="cleaned up the wiring"/>
    <n v="4"/>
  </r>
  <r>
    <d v="2021-09-13T00:00:00"/>
    <s v="CAD and design"/>
    <n v="3"/>
  </r>
  <r>
    <d v="2021-09-13T00:00:00"/>
    <s v="stripped paint and gunk"/>
    <n v="2"/>
  </r>
  <r>
    <d v="2021-09-14T00:00:00"/>
    <s v="CAD and design"/>
    <n v="3"/>
  </r>
  <r>
    <d v="2021-09-15T00:00:00"/>
    <s v="cleaned up the wiring"/>
    <n v="4"/>
  </r>
  <r>
    <d v="2021-09-22T00:00:00"/>
    <s v="stripped floor, doors and cleaned"/>
    <n v="9"/>
  </r>
  <r>
    <d v="2021-09-22T00:00:00"/>
    <s v="cleaned up wiring"/>
    <n v="0.5"/>
  </r>
  <r>
    <d v="2021-09-23T00:00:00"/>
    <s v="stripped the floor and door"/>
    <n v="4"/>
  </r>
  <r>
    <d v="2021-09-27T00:00:00"/>
    <s v="stripped the floor"/>
    <n v="4"/>
  </r>
  <r>
    <d v="2021-09-27T00:00:00"/>
    <s v="prepared bus and materials for stripping and painting"/>
    <n v="1.5"/>
  </r>
  <r>
    <d v="2021-09-28T00:00:00"/>
    <s v="stripped the floor"/>
    <n v="6"/>
  </r>
  <r>
    <d v="2021-09-28T00:00:00"/>
    <s v="cleaned for painting"/>
    <n v="1"/>
  </r>
  <r>
    <d v="2021-09-28T00:00:00"/>
    <s v="painted floor"/>
    <n v="1"/>
  </r>
  <r>
    <d v="2021-09-28T00:00:00"/>
    <s v="removed radiator"/>
    <n v="0.75"/>
  </r>
  <r>
    <d v="2021-09-28T00:00:00"/>
    <s v="removed seats"/>
    <n v="0.25"/>
  </r>
  <r>
    <d v="2021-09-29T00:00:00"/>
    <s v="second coat of paint"/>
    <n v="0.5"/>
  </r>
  <r>
    <d v="2021-09-29T00:00:00"/>
    <s v="cleaned radiator"/>
    <n v="0.25"/>
  </r>
  <r>
    <d v="2021-09-29T00:00:00"/>
    <s v="finished registration, got license plate sticker"/>
    <n v="0.25"/>
  </r>
  <r>
    <d v="2021-10-01T00:00:00"/>
    <s v="designing utilities/bed"/>
    <n v="2"/>
  </r>
  <r>
    <d v="2021-10-01T00:00:00"/>
    <s v="moved stuff out of my room"/>
    <n v="2"/>
  </r>
  <r>
    <d v="2021-10-01T00:00:00"/>
    <s v="ordered crimper"/>
    <n v="0.5"/>
  </r>
  <r>
    <d v="2021-10-01T00:00:00"/>
    <s v="picked up packages"/>
    <n v="0.5"/>
  </r>
  <r>
    <d v="2021-10-02T00:00:00"/>
    <s v="traded stuff on bunz"/>
    <n v="3"/>
  </r>
  <r>
    <d v="2021-10-02T00:00:00"/>
    <s v="organized the space"/>
    <n v="1"/>
  </r>
  <r>
    <d v="2021-10-02T00:00:00"/>
    <s v="took inventory of pantry"/>
    <n v="1"/>
  </r>
  <r>
    <d v="2021-10-02T00:00:00"/>
    <s v="made wishlist for pantry"/>
    <n v="1"/>
  </r>
  <r>
    <d v="2021-10-02T00:00:00"/>
    <s v="investigated pantry container options"/>
    <n v="0.5"/>
  </r>
  <r>
    <d v="2021-10-03T00:00:00"/>
    <s v="assembled and tested diesel heater"/>
    <n v="4"/>
  </r>
  <r>
    <d v="2021-10-03T00:00:00"/>
    <s v="organized todos"/>
    <n v="1"/>
  </r>
  <r>
    <d v="2021-10-03T00:00:00"/>
    <s v="brought inside materials from the bus"/>
    <n v="0.5"/>
  </r>
  <r>
    <d v="2021-10-03T00:00:00"/>
    <s v="logged hours"/>
    <n v="0.25"/>
  </r>
  <r>
    <d v="2021-10-04T00:00:00"/>
    <s v="researched furniture construction, woodworking and gridbeam method"/>
    <n v="8"/>
  </r>
  <r>
    <d v="2021-10-04T00:00:00"/>
    <s v="removed rivets and glue"/>
    <n v="5"/>
  </r>
  <r>
    <d v="2021-10-04T00:00:00"/>
    <s v="deep clean"/>
    <n v="3"/>
  </r>
  <r>
    <d v="2021-10-04T00:00:00"/>
    <s v="designed interior space, organized tasks and systems level architecture"/>
    <n v="3"/>
  </r>
  <r>
    <d v="2021-10-04T00:00:00"/>
    <s v="painted with corroseal"/>
    <n v="2"/>
  </r>
  <r>
    <d v="2021-10-04T00:00:00"/>
    <s v="removed drivers seat"/>
    <n v="1"/>
  </r>
  <r>
    <d v="2021-10-05T00:00:00"/>
    <s v="second coat of corroseal"/>
    <n v="2"/>
  </r>
  <r>
    <d v="2021-10-05T00:00:00"/>
    <s v="research"/>
    <n v="2"/>
  </r>
  <r>
    <d v="2021-10-05T00:00:00"/>
    <s v="sorted and went through hardware"/>
    <n v="1"/>
  </r>
  <r>
    <d v="2021-10-05T00:00:00"/>
    <s v="looked into gridbeam some more"/>
    <n v="1"/>
  </r>
  <r>
    <d v="2021-10-05T00:00:00"/>
    <s v="unloaded wood from the bus"/>
    <n v="0.25"/>
  </r>
  <r>
    <d v="2021-10-06T00:00:00"/>
    <s v="making aluminum short gridBeam jig, doing tests"/>
    <n v="5"/>
  </r>
  <r>
    <d v="2021-10-06T00:00:00"/>
    <s v="picking up supplies"/>
    <n v="4"/>
  </r>
  <r>
    <d v="2021-10-06T00:00:00"/>
    <s v="setup and tear down"/>
    <n v="3"/>
  </r>
  <r>
    <d v="2021-10-06T00:00:00"/>
    <s v="painted first coat of black paint"/>
    <n v="1.5"/>
  </r>
  <r>
    <d v="2021-10-06T00:00:00"/>
    <s v="prepped surface for painting"/>
    <n v="1"/>
  </r>
  <r>
    <d v="2021-10-06T00:00:00"/>
    <s v="bought painting supplies"/>
    <n v="0.5"/>
  </r>
  <r>
    <d v="2021-10-07T00:00:00"/>
    <s v="prepped and painted second coat in the front area"/>
    <n v="3"/>
  </r>
  <r>
    <d v="2021-10-07T00:00:00"/>
    <s v="online shopping"/>
    <n v="3"/>
  </r>
  <r>
    <d v="2021-10-07T00:00:00"/>
    <s v="planning"/>
    <n v="2"/>
  </r>
  <r>
    <d v="2021-10-07T00:00:00"/>
    <s v="cleaned chairs, floor and door seals"/>
    <n v="0.5"/>
  </r>
  <r>
    <d v="2021-10-08T00:00:00"/>
    <s v="installed cork underlay"/>
    <n v="4"/>
  </r>
  <r>
    <d v="2021-10-08T00:00:00"/>
    <s v="making 8ft aluminum L bar gridbeam jig"/>
    <n v="3.5"/>
  </r>
  <r>
    <d v="2021-10-08T00:00:00"/>
    <s v="shopping for lumber, picking up orders"/>
    <n v="3"/>
  </r>
  <r>
    <d v="2021-10-08T00:00:00"/>
    <s v="making gridbeam"/>
    <n v="3"/>
  </r>
  <r>
    <d v="2021-10-08T00:00:00"/>
    <s v="learning about wood and finishes"/>
    <n v="2"/>
  </r>
  <r>
    <d v="2021-10-08T00:00:00"/>
    <s v="caulked main door window back into place"/>
    <n v="1"/>
  </r>
  <r>
    <d v="2021-10-08T00:00:00"/>
    <s v="stripped drivers chair of rust and chipped paint"/>
    <n v="0.5"/>
  </r>
  <r>
    <d v="2021-10-09T00:00:00"/>
    <s v="making gridbeam"/>
    <n v="10"/>
  </r>
  <r>
    <d v="2021-10-09T00:00:00"/>
    <s v="project planning, organization"/>
    <n v="4"/>
  </r>
  <r>
    <d v="2021-10-10T00:00:00"/>
    <s v="making gridbeam"/>
    <n v="10"/>
  </r>
  <r>
    <d v="2021-10-11T00:00:00"/>
    <s v="making gridbeam"/>
    <n v="10"/>
  </r>
  <r>
    <d v="2021-10-12T00:00:00"/>
    <s v="installed flooring"/>
    <n v="6"/>
  </r>
  <r>
    <d v="2021-10-12T00:00:00"/>
    <s v="taped up passenger seat holes"/>
    <n v="0.25"/>
  </r>
  <r>
    <d v="2021-10-14T00:00:00"/>
    <s v="made some super precise gridbeam for a jig idea"/>
    <n v="3"/>
  </r>
  <r>
    <d v="2021-10-14T00:00:00"/>
    <s v="planed the remaining wood"/>
    <n v="1.5"/>
  </r>
  <r>
    <d v="2021-10-14T00:00:00"/>
    <s v="cut raw lumber into blanks"/>
    <n v="1"/>
  </r>
  <r>
    <d v="2021-10-14T00:00:00"/>
    <s v="calculated allowable tolerance based on ideal and real bolt and hole sizes"/>
    <n v="0.5"/>
  </r>
  <r>
    <d v="2021-10-15T00:00:00"/>
    <s v="removed flooring and relayed underlayment"/>
    <n v="6"/>
  </r>
  <r>
    <d v="2021-10-15T00:00:00"/>
    <s v="took an inventory of all the wood"/>
    <n v="1.5"/>
  </r>
  <r>
    <d v="2021-10-15T00:00:00"/>
    <s v="explored option to build BeamCNC, collected parts"/>
    <n v="1"/>
  </r>
  <r>
    <d v="2021-10-15T00:00:00"/>
    <s v="measured out all cuts on raw lumber"/>
    <n v="1"/>
  </r>
  <r>
    <d v="2021-10-15T00:00:00"/>
    <s v="organized bus"/>
    <n v="1"/>
  </r>
  <r>
    <d v="2021-10-15T00:00:00"/>
    <s v="prototyped bed structure"/>
    <n v="0.5"/>
  </r>
  <r>
    <d v="2021-10-15T00:00:00"/>
    <s v="mock install of insulation, window dressing"/>
    <n v="0.5"/>
  </r>
  <r>
    <d v="2021-10-15T00:00:00"/>
    <s v="thought about electrical layout"/>
    <n v="0.25"/>
  </r>
  <r>
    <d v="2021-10-16T00:00:00"/>
    <s v="data entry and organization"/>
    <n v="2"/>
  </r>
  <r>
    <d v="2021-10-17T00:00:00"/>
    <s v="project planning, organization"/>
    <n v="4"/>
  </r>
  <r>
    <d v="2021-10-18T00:00:00"/>
    <s v="installed and leveled flooring"/>
    <n v="7"/>
  </r>
  <r>
    <d v="2021-10-19T00:00:00"/>
    <s v="did a lot of research on electrical systems, propane, found a battery"/>
    <n v="8"/>
  </r>
  <r>
    <d v="2021-10-19T00:00:00"/>
    <s v="project planning, organization"/>
    <n v="4"/>
  </r>
  <r>
    <d v="2021-10-20T00:00:00"/>
    <s v="purchased battery"/>
    <n v="3"/>
  </r>
  <r>
    <d v="2021-10-20T00:00:00"/>
    <s v="replaced and reinforced window latches"/>
    <n v="2"/>
  </r>
  <r>
    <d v="2021-10-20T00:00:00"/>
    <s v="moved stuff into studio"/>
    <n v="2"/>
  </r>
  <r>
    <d v="2021-10-20T00:00:00"/>
    <s v="researched propane"/>
    <n v="2"/>
  </r>
  <r>
    <d v="2021-10-20T00:00:00"/>
    <s v="project planning"/>
    <n v="1"/>
  </r>
  <r>
    <d v="2021-10-20T00:00:00"/>
    <s v="purchased mr buddy heater"/>
    <n v="0.5"/>
  </r>
  <r>
    <d v="2021-10-21T00:00:00"/>
    <s v="project planning"/>
    <n v="10"/>
  </r>
  <r>
    <d v="2021-10-21T00:00:00"/>
    <s v="researched propane"/>
    <n v="2"/>
  </r>
  <r>
    <d v="2021-10-21T00:00:00"/>
    <s v="purchased electrical components"/>
    <n v="2"/>
  </r>
  <r>
    <d v="2021-10-22T00:00:00"/>
    <s v="researched, designed and purchased for Electrical, HVAC, Sensors"/>
    <n v="14"/>
  </r>
  <r>
    <d v="2021-10-23T00:00:00"/>
    <s v="researched, designed and purchased for Electrical, HVAC, Sensors"/>
    <n v="14"/>
  </r>
  <r>
    <d v="2021-10-24T00:00:00"/>
    <s v="researched, designed and purchased for Electrical, HVAC, Sensors"/>
    <n v="12"/>
  </r>
  <r>
    <d v="2021-10-25T00:00:00"/>
    <s v="picked up solar panels"/>
    <n v="3"/>
  </r>
  <r>
    <d v="2021-10-25T00:00:00"/>
    <s v="researched where to weigh bus"/>
    <n v="1"/>
  </r>
  <r>
    <d v="2021-10-25T00:00:00"/>
    <s v="picked up stuff from Vivs closet"/>
    <n v="0.5"/>
  </r>
  <r>
    <d v="2021-10-25T00:00:00"/>
    <s v="tested LED remote and lights"/>
    <n v="0.25"/>
  </r>
  <r>
    <d v="2021-10-25T00:00:00"/>
    <s v="sanded and painted window latches"/>
    <n v="0.2"/>
  </r>
  <r>
    <d v="2021-10-25T00:00:00"/>
    <s v="tested DeWalt Drill + Driver"/>
    <n v="0.1"/>
  </r>
  <r>
    <d v="2021-10-26T00:00:00"/>
    <s v="researched and made purchases for electrical"/>
    <n v="8"/>
  </r>
  <r>
    <d v="2021-10-26T00:00:00"/>
    <s v="read manual for Inverter/Charger"/>
    <n v="3"/>
  </r>
  <r>
    <d v="2021-10-26T00:00:00"/>
    <s v="smashed and cleaned window"/>
    <n v="2"/>
  </r>
  <r>
    <d v="2021-10-27T00:00:00"/>
    <s v="researched electrical and made schematic"/>
    <n v="4"/>
  </r>
  <r>
    <d v="2021-10-27T00:00:00"/>
    <s v="unloaded bus"/>
    <n v="0.5"/>
  </r>
  <r>
    <d v="2021-10-27T00:00:00"/>
    <s v="installed latches"/>
    <n v="0.25"/>
  </r>
  <r>
    <d v="2021-10-27T00:00:00"/>
    <s v="cleaned limescale off window"/>
    <n v="0.25"/>
  </r>
  <r>
    <d v="2021-10-28T00:00:00"/>
    <s v="designing utilities/bed"/>
    <n v="6"/>
  </r>
  <r>
    <d v="2021-10-28T00:00:00"/>
    <s v="finished schematic"/>
    <n v="2"/>
  </r>
  <r>
    <d v="2021-10-28T00:00:00"/>
    <s v="picked up free cable"/>
    <n v="1"/>
  </r>
  <r>
    <d v="2021-10-29T00:00:00"/>
    <s v="designing utilities/bed"/>
    <n v="4"/>
  </r>
  <r>
    <d v="2021-10-29T00:00:00"/>
    <s v="tared bus"/>
    <n v="3"/>
  </r>
  <r>
    <d v="2021-10-29T00:00:00"/>
    <s v="picked up 4/0 AWG cable and lugs"/>
    <n v="0.75"/>
  </r>
  <r>
    <d v="2021-10-29T00:00:00"/>
    <s v="measured undercarriage"/>
    <n v="0.75"/>
  </r>
  <r>
    <d v="2021-10-29T00:00:00"/>
    <s v="made a weight log"/>
    <n v="0.5"/>
  </r>
  <r>
    <d v="2021-10-29T00:00:00"/>
    <s v="research fuel tank aux line"/>
    <n v="0.25"/>
  </r>
  <r>
    <d v="2021-10-29T00:00:00"/>
    <s v="research passanger seat"/>
    <n v="0.25"/>
  </r>
  <r>
    <d v="2021-10-30T00:00:00"/>
    <s v="designing utilities/bed"/>
    <n v="4"/>
  </r>
  <r>
    <d v="2021-10-30T00:00:00"/>
    <s v="moved stuff from my apartment and into makerspace"/>
    <n v="2"/>
  </r>
  <r>
    <d v="2021-10-30T00:00:00"/>
    <s v="made a pile of stuff to give away"/>
    <n v="2"/>
  </r>
  <r>
    <d v="2021-10-30T00:00:00"/>
    <s v="covered bus windows with garbage bags"/>
    <n v="2"/>
  </r>
  <r>
    <d v="2021-10-31T00:00:00"/>
    <s v="organized the studio space, parts and components"/>
    <n v="6"/>
  </r>
  <r>
    <d v="2021-10-31T00:00:00"/>
    <s v="designing utilities/bed"/>
    <n v="2"/>
  </r>
  <r>
    <d v="2021-10-31T00:00:00"/>
    <s v="put out stuff for people to take"/>
    <n v="2"/>
  </r>
  <r>
    <d v="2021-10-31T00:00:00"/>
    <s v="cut bus bars"/>
    <n v="1"/>
  </r>
  <r>
    <d v="2021-10-31T00:00:00"/>
    <s v="took out garbage"/>
    <n v="0.5"/>
  </r>
  <r>
    <d v="2021-11-22T00:00:00"/>
    <s v="installed insulation"/>
    <n v="6.5"/>
  </r>
  <r>
    <d v="2021-11-22T00:00:00"/>
    <s v="upgraded logs to excel, maintained and updated with new data"/>
    <n v="3"/>
  </r>
  <r>
    <d v="2021-11-24T00:00:00"/>
    <s v="removed unecessary wiring"/>
    <n v="0.5"/>
  </r>
  <r>
    <d v="2021-11-25T00:00:00"/>
    <s v="cut and sanded aluminum floor trim"/>
    <n v="2"/>
  </r>
  <r>
    <d v="2021-11-25T00:00:00"/>
    <s v="cut wood to rough gridbeam blanks"/>
    <n v="1.5"/>
  </r>
  <r>
    <d v="2021-11-25T00:00:00"/>
    <s v="cut insulation to size"/>
    <n v="0.3"/>
  </r>
  <r>
    <d v="2021-11-26T00:00:00"/>
    <s v="bought supplies"/>
    <n v="4"/>
  </r>
  <r>
    <d v="2021-11-26T00:00:00"/>
    <s v="cleaned and organized"/>
    <n v="3"/>
  </r>
  <r>
    <d v="2021-11-27T00:00:00"/>
    <s v="bought sewing supplies, washed fabric"/>
    <n v="2"/>
  </r>
  <r>
    <d v="2021-11-28T00:00:00"/>
    <s v="drilled hole in anchor rail, tried out installation"/>
    <n v="2.15"/>
  </r>
  <r>
    <d v="2021-11-28T00:00:00"/>
    <s v="cut 5ft x 8 gridbeam blanks"/>
    <n v="2"/>
  </r>
  <r>
    <d v="2021-11-28T00:00:00"/>
    <s v="added in costs to log"/>
    <n v="0.93333333299999999"/>
  </r>
  <r>
    <d v="2021-11-28T00:00:00"/>
    <s v="organized tasks"/>
    <n v="0.75"/>
  </r>
  <r>
    <d v="2021-11-28T00:00:00"/>
    <s v="moved stuff from bus to workshop, cleaned up, wrapped up mattress"/>
    <n v="0.5"/>
  </r>
  <r>
    <d v="2021-11-28T00:00:00"/>
    <s v="inspected seals on body"/>
    <n v="0.5"/>
  </r>
  <r>
    <d v="2021-11-28T00:00:00"/>
    <s v="taped up floor layout for heater"/>
    <n v="0.33"/>
  </r>
  <r>
    <d v="2021-11-29T00:00:00"/>
    <s v="cut gridbeam blanks"/>
    <n v="2.8166666669999998"/>
  </r>
  <r>
    <d v="2021-11-29T00:00:00"/>
    <s v="sorted and threw out trash"/>
    <n v="1.0660000000000001"/>
  </r>
  <r>
    <d v="2021-11-30T00:00:00"/>
    <s v="cut, taped and installed insulation"/>
    <n v="2.75"/>
  </r>
  <r>
    <d v="2021-11-30T00:00:00"/>
    <s v="cut blanks to length and QC for straightness"/>
    <n v="1.92"/>
  </r>
  <r>
    <d v="2021-11-30T00:00:00"/>
    <s v="sanded 2ft pieces"/>
    <n v="0.5"/>
  </r>
  <r>
    <d v="2021-12-01T00:00:00"/>
    <s v="cut, taped and installed insulation"/>
    <n v="2"/>
  </r>
  <r>
    <d v="2021-12-01T00:00:00"/>
    <s v="unknown"/>
    <n v="2"/>
  </r>
  <r>
    <d v="2021-12-01T00:00:00"/>
    <s v="cleanup and garbage weighing"/>
    <n v="1.5"/>
  </r>
  <r>
    <d v="2021-12-02T00:00:00"/>
    <s v="cut, taped and installed insulation"/>
    <n v="2.75"/>
  </r>
  <r>
    <d v="2021-12-02T00:00:00"/>
    <s v="contacrted metal laser cutters for a quote"/>
    <n v="0.33300000000000002"/>
  </r>
  <r>
    <d v="2021-12-02T00:00:00"/>
    <s v="went shopping for supplies"/>
    <n v="0.33"/>
  </r>
  <r>
    <d v="2021-12-04T00:00:00"/>
    <s v="changed oil, oil filter, drained fuel water separator, cleaned mass airflow sensor"/>
    <n v="6"/>
  </r>
  <r>
    <d v="2021-12-05T00:00:00"/>
    <s v="moved stuff out of lespacemaker, drove to parents house"/>
    <n v="14"/>
  </r>
  <r>
    <d v="2021-12-06T00:00:00"/>
    <s v="move stuff in, settled into new work space"/>
    <n v="6"/>
  </r>
  <r>
    <d v="2021-12-06T00:00:00"/>
    <s v="requested quotes for gridbeam steel parts"/>
    <n v="2"/>
  </r>
  <r>
    <d v="2021-12-06T00:00:00"/>
    <s v="setup 3d print for gridbeam"/>
    <n v="2"/>
  </r>
  <r>
    <d v="2021-12-07T00:00:00"/>
    <s v="cut and installed insulation"/>
    <n v="8"/>
  </r>
  <r>
    <d v="2021-12-07T00:00:00"/>
    <s v="made orders for supplies"/>
    <n v="2"/>
  </r>
  <r>
    <d v="2021-12-07T00:00:00"/>
    <s v="went through gridbeam BOM to think through possible issues"/>
    <n v="2"/>
  </r>
  <r>
    <d v="2021-12-07T00:00:00"/>
    <s v="organized tasks"/>
    <n v="1"/>
  </r>
  <r>
    <d v="2021-12-07T00:00:00"/>
    <s v="cleaned and oiled up rusty anchor plates"/>
    <n v="1"/>
  </r>
  <r>
    <d v="2021-12-07T00:00:00"/>
    <s v="got quotes for steel L bar and waterjet cut for gridbeam template"/>
    <n v="0.2"/>
  </r>
  <r>
    <d v="2021-12-08T00:00:00"/>
    <s v="cut and installed insulation"/>
    <n v="6"/>
  </r>
  <r>
    <d v="2021-12-08T00:00:00"/>
    <s v="CNC machine"/>
    <n v="5"/>
  </r>
  <r>
    <d v="2021-12-08T00:00:00"/>
    <s v="organization"/>
    <n v="2"/>
  </r>
  <r>
    <d v="2021-12-08T00:00:00"/>
    <s v="Shopping"/>
    <n v="1.5"/>
  </r>
  <r>
    <d v="2021-12-08T00:00:00"/>
    <s v="sanded aluminum pieces"/>
    <n v="1"/>
  </r>
  <r>
    <d v="2021-12-08T00:00:00"/>
    <s v="aerogel sewing attempt by professionals"/>
    <n v="1"/>
  </r>
  <r>
    <d v="2021-12-08T00:00:00"/>
    <s v="aerogel sewing attempt"/>
    <n v="0.5"/>
  </r>
  <r>
    <d v="2021-12-09T00:00:00"/>
    <s v="finished interior wall insulation job"/>
    <n v="3"/>
  </r>
  <r>
    <d v="2021-12-09T00:00:00"/>
    <s v="picked up seat from junkyard"/>
    <n v="3"/>
  </r>
  <r>
    <d v="2021-12-09T00:00:00"/>
    <s v="CNC machine - tested electronics, 3d prints"/>
    <n v="2"/>
  </r>
  <r>
    <d v="2021-12-09T00:00:00"/>
    <s v="picked up and delivered metal to waterjet cutters"/>
    <n v="1.5"/>
  </r>
  <r>
    <d v="2021-12-09T00:00:00"/>
    <s v="cleaned seat"/>
    <n v="1"/>
  </r>
  <r>
    <d v="2021-12-09T00:00:00"/>
    <s v="picked up some tape"/>
    <n v="0.2"/>
  </r>
  <r>
    <d v="2021-12-10T00:00:00"/>
    <s v="insulated ceiling"/>
    <n v="7"/>
  </r>
  <r>
    <d v="2021-12-10T00:00:00"/>
    <s v="picked up waterjet pieces"/>
    <n v="1.25"/>
  </r>
  <r>
    <d v="2021-12-10T00:00:00"/>
    <s v="went to talk to pros about gluing/sewing aerogel"/>
    <n v="1"/>
  </r>
  <r>
    <d v="2021-12-10T00:00:00"/>
    <s v="organization"/>
    <n v="1"/>
  </r>
  <r>
    <d v="2021-12-10T00:00:00"/>
    <s v="CNC"/>
    <n v="8"/>
  </r>
  <r>
    <d v="2021-12-11T00:00:00"/>
    <s v="CNC"/>
    <n v="10"/>
  </r>
  <r>
    <d v="2021-12-11T00:00:00"/>
    <s v="Seal Exterior Envelope"/>
    <n v="3"/>
  </r>
  <r>
    <d v="2021-12-11T00:00:00"/>
    <s v="changed fuel filters, added diesel kleen, &quot;fixed&quot; hazard lights, cut lumber for lifting bus"/>
    <n v="2.5"/>
  </r>
  <r>
    <d v="2021-12-11T00:00:00"/>
    <s v="organization"/>
    <n v="1"/>
  </r>
  <r>
    <d v="2021-12-12T00:00:00"/>
    <s v="CNC"/>
    <n v="8"/>
  </r>
  <r>
    <d v="2021-12-12T00:00:00"/>
    <s v="closing in rear wall with angle"/>
    <n v="5"/>
  </r>
  <r>
    <d v="2021-12-12T00:00:00"/>
    <s v="Seal Exterior Envelope"/>
    <n v="3"/>
  </r>
  <r>
    <d v="2021-12-12T00:00:00"/>
    <s v="Sewing/sealing window covers"/>
    <n v="3"/>
  </r>
  <r>
    <d v="2021-12-12T00:00:00"/>
    <s v="went shopping for supplies"/>
    <n v="2"/>
  </r>
  <r>
    <d v="2021-12-12T00:00:00"/>
    <s v="organization"/>
    <n v="2"/>
  </r>
  <r>
    <d v="2021-12-12T00:00:00"/>
    <s v="Sanded 5 plywood boards for oiling"/>
    <n v="1.5"/>
  </r>
  <r>
    <d v="2021-12-12T00:00:00"/>
    <s v="checked seat mounting options"/>
    <n v="0.5"/>
  </r>
  <r>
    <d v="2021-12-12T00:00:00"/>
    <s v="mineral deposit window cleaning attempt"/>
    <n v="0.5"/>
  </r>
  <r>
    <d v="2021-12-13T00:00:00"/>
    <s v="CNC"/>
    <n v="0.5"/>
  </r>
  <r>
    <d v="2021-12-13T00:00:00"/>
    <s v="logs"/>
    <n v="1"/>
  </r>
  <r>
    <d v="2021-12-14T00:00:00"/>
    <s v="oiled wood"/>
    <m/>
  </r>
  <r>
    <d v="2021-12-14T00:00:00"/>
    <s v="wrote gcode, setup endstops, tested (cnc)"/>
    <m/>
  </r>
  <r>
    <d v="2021-12-14T00:00:00"/>
    <s v="cleaned up wiring in the back or the bus"/>
    <m/>
  </r>
  <r>
    <d v="2021-12-14T00:00:00"/>
    <s v="cleaned window"/>
    <m/>
  </r>
  <r>
    <d v="2021-12-14T00:00:00"/>
    <s v="aerogel edges"/>
    <m/>
  </r>
  <r>
    <d v="2021-12-14T00:00:00"/>
    <s v="framed rear of bus"/>
    <m/>
  </r>
  <r>
    <d v="2021-12-14T00:00:00"/>
    <s v="cleaning and organization"/>
    <m/>
  </r>
  <r>
    <d v="2021-12-15T00:00:00"/>
    <s v="organization"/>
    <m/>
  </r>
  <r>
    <d v="2021-12-15T00:00:00"/>
    <s v="shopping"/>
    <m/>
  </r>
  <r>
    <d v="2021-12-15T00:00:00"/>
    <s v="CNC"/>
    <m/>
  </r>
  <r>
    <d v="2021-12-15T00:00:00"/>
    <s v="insulation framing"/>
    <m/>
  </r>
  <r>
    <d v="2021-12-16T00:00:00"/>
    <s v="cleanup and garbage weighing"/>
    <n v="0.16666666666666666"/>
  </r>
  <r>
    <d v="2021-12-16T00:00:00"/>
    <s v="closing back wall"/>
    <n v="6.5"/>
  </r>
  <r>
    <d v="2021-12-16T00:00:00"/>
    <s v="sanding wood"/>
    <n v="1.5"/>
  </r>
  <r>
    <d v="2021-12-16T00:00:00"/>
    <s v="oiling wood"/>
    <n v="0.5"/>
  </r>
  <r>
    <d v="2021-12-16T00:00:00"/>
    <s v="aerogel"/>
    <n v="2"/>
  </r>
  <r>
    <d v="2021-12-16T00:00:00"/>
    <s v="insulation retaining bars"/>
    <n v="4"/>
  </r>
  <r>
    <d v="2021-12-16T00:00:00"/>
    <s v="cnc"/>
    <n v="0.33333333333333331"/>
  </r>
  <r>
    <d v="2021-12-16T00:00:00"/>
    <s v="cleanup"/>
    <n v="0.16666666666666666"/>
  </r>
  <r>
    <d v="2021-12-17T00:00:00"/>
    <s v="building bedframe"/>
    <n v="14"/>
  </r>
  <r>
    <d v="2021-12-17T00:00:00"/>
    <s v="cnc"/>
    <n v="1"/>
  </r>
  <r>
    <d v="2021-12-17T00:00:00"/>
    <s v="aerogel"/>
    <n v="1"/>
  </r>
  <r>
    <d v="2021-12-17T00:00:00"/>
    <s v="insulation framing"/>
    <n v="3"/>
  </r>
  <r>
    <d v="2021-12-17T00:00:00"/>
    <s v="rear wall framing"/>
    <n v="2"/>
  </r>
  <r>
    <d v="2021-12-18T00:00:00"/>
    <s v="sanding wood"/>
    <n v="2"/>
  </r>
  <r>
    <d v="2021-12-18T00:00:00"/>
    <s v="aerogel"/>
    <n v="2"/>
  </r>
  <r>
    <d v="2021-12-18T00:00:00"/>
    <s v="mounting solar panels (2 people)"/>
    <n v="13"/>
  </r>
  <r>
    <d v="2021-12-19T00:00:00"/>
    <s v="finished insulation framing"/>
    <n v="3"/>
  </r>
  <r>
    <d v="2021-12-19T00:00:00"/>
    <s v="sanding and oiling wood"/>
    <n v="6"/>
  </r>
  <r>
    <d v="2021-12-19T00:00:00"/>
    <s v="clean up"/>
    <n v="1"/>
  </r>
  <r>
    <d v="2021-12-20T00:00:00"/>
    <s v="packing for trip"/>
    <n v="8"/>
  </r>
  <r>
    <d v="2021-12-20T00:00:00"/>
    <s v="rear wall"/>
    <n v="4"/>
  </r>
  <r>
    <d v="2021-12-20T00:00:00"/>
    <s v="oiling wood"/>
    <n v="4"/>
  </r>
  <r>
    <d v="2021-12-21T00:00:00"/>
    <s v="packing for trip"/>
    <n v="3"/>
  </r>
  <r>
    <d v="2021-12-21T00:00:00"/>
    <s v="oiled wood"/>
    <n v="2"/>
  </r>
  <r>
    <d v="2021-12-22T00:00:00"/>
    <s v="rear wall"/>
    <n v="2"/>
  </r>
  <r>
    <d v="2021-12-23T00:00:00"/>
    <s v="rear wall"/>
    <n v="2"/>
  </r>
  <r>
    <d v="2021-12-23T00:00:00"/>
    <s v="electrical"/>
    <n v="2"/>
  </r>
  <r>
    <d v="2021-12-24T00:00:00"/>
    <s v="bed install, cutting wood"/>
    <n v="8"/>
  </r>
  <r>
    <d v="2021-12-25T00:00:00"/>
    <s v="electrical, furniture, rear wall, cleanup"/>
    <n v="16"/>
  </r>
  <r>
    <d v="2021-12-26T00:00:00"/>
    <s v="clean up"/>
    <n v="2"/>
  </r>
  <r>
    <d v="2021-12-26T00:00:00"/>
    <s v="heater install"/>
    <n v="3"/>
  </r>
  <r>
    <d v="2021-12-26T00:00:00"/>
    <s v="rear wall"/>
    <n v="1"/>
  </r>
  <r>
    <d v="2021-12-26T00:00:00"/>
    <s v="other shit"/>
    <n v="3"/>
  </r>
  <r>
    <d v="2021-12-27T00:00:00"/>
    <s v="heater install"/>
    <n v="9"/>
  </r>
  <r>
    <d v="2021-12-28T00:00:00"/>
    <s v="installed chair"/>
    <n v="3"/>
  </r>
  <r>
    <d v="2021-12-29T00:00:00"/>
    <s v="electrical (wired up distribution panel, DCDC charger)"/>
    <n v="4"/>
  </r>
  <r>
    <d v="2021-12-28T00:00:00"/>
    <s v="installed electrical (wired up bus bars)"/>
    <n v="3"/>
  </r>
  <r>
    <d v="2021-12-27T00:00:00"/>
    <s v="velcro / aerogel"/>
    <n v="1"/>
  </r>
  <r>
    <d v="2021-12-28T00:00:00"/>
    <s v="velcro / aerogel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"/>
    <m/>
    <m/>
    <n v="150.6"/>
    <n v="121.6"/>
    <n v="613.20000000000005"/>
    <x v="0"/>
    <n v="1.2384868421052633"/>
  </r>
  <r>
    <n v="2"/>
    <d v="2021-07-19T00:00:00"/>
    <s v="Montreal, QC"/>
    <n v="150"/>
    <n v="117.28"/>
    <n v="510.7"/>
    <x v="1"/>
    <n v="1.2789904502046385"/>
  </r>
  <r>
    <n v="3"/>
    <d v="2021-08-24T00:00:00"/>
    <s v="Ingleside, ON"/>
    <n v="146.77000000000001"/>
    <n v="112.6"/>
    <n v="557.29999999999995"/>
    <x v="2"/>
    <n v="1.3034635879218475"/>
  </r>
  <r>
    <n v="4"/>
    <d v="2021-09-15T00:00:00"/>
    <s v="Montreal, QC"/>
    <n v="152.51"/>
    <n v="117.4"/>
    <n v="593.20000000000005"/>
    <x v="3"/>
    <n v="1.2990630323679726"/>
  </r>
  <r>
    <n v="5"/>
    <d v="2021-09-17T00:00:00"/>
    <s v="Cobourg, ON"/>
    <n v="159.6"/>
    <n v="123.8"/>
    <n v="736.1"/>
    <x v="4"/>
    <n v="1.2891760904684975"/>
  </r>
  <r>
    <n v="6"/>
    <d v="2021-09-21T00:00:00"/>
    <s v="Montreal, QC"/>
    <n v="150"/>
    <n v="117.279"/>
    <n v="689"/>
    <x v="5"/>
    <n v="1.279001355741437"/>
  </r>
  <r>
    <n v="7"/>
    <d v="2021-10-20T00:00:00"/>
    <s v="Montreal, QC"/>
    <n v="180.56"/>
    <n v="123.8"/>
    <m/>
    <x v="6"/>
    <n v="1.458481421647819"/>
  </r>
  <r>
    <n v="8"/>
    <d v="2021-12-09T00:00:00"/>
    <s v="Mississauga, ON"/>
    <n v="168.83"/>
    <n v="121.545"/>
    <n v="604"/>
    <x v="7"/>
    <n v="1.3890328684849234"/>
  </r>
  <r>
    <n v="9"/>
    <d v="2021-12-29T00:00:00"/>
    <s v="Sudbury, ON"/>
    <n v="173.24"/>
    <n v="130"/>
    <n v="535"/>
    <x v="8"/>
    <n v="1.3326153846153848"/>
  </r>
  <r>
    <n v="10"/>
    <d v="2021-12-30T00:00:00"/>
    <s v="Wawa, ON"/>
    <n v="150"/>
    <n v="101.419"/>
    <n v="565"/>
    <x v="9"/>
    <n v="1.4790128082509195"/>
  </r>
  <r>
    <n v="11"/>
    <d v="2021-12-31T00:00:00"/>
    <s v="Lac Des Mill, ON"/>
    <n v="223.83"/>
    <n v="139.97999999999999"/>
    <n v="564"/>
    <x v="10"/>
    <n v="1.5990141448778399"/>
  </r>
  <r>
    <n v="12"/>
    <d v="2022-01-01T00:00:00"/>
    <s v="Steinbach, MB"/>
    <n v="173.41"/>
    <n v="124.842"/>
    <n v="381.4"/>
    <x v="11"/>
    <n v="1.3890357411768475"/>
  </r>
  <r>
    <n v="13"/>
    <d v="2022-01-01T00:00:00"/>
    <s v="Moosomin, SK"/>
    <n v="174.73"/>
    <n v="127.63200000000001"/>
    <n v="468.1"/>
    <x v="12"/>
    <n v="1.3690140403660522"/>
  </r>
  <r>
    <n v="14"/>
    <d v="2022-01-02T00:00:00"/>
    <s v="Swift Current, SK"/>
    <n v="169.3"/>
    <n v="118.47199999999999"/>
    <n v="541.5"/>
    <x v="13"/>
    <n v="1.4290296441353232"/>
  </r>
  <r>
    <n v="15"/>
    <d v="2022-01-03T00:00:00"/>
    <s v="Calgary, AB"/>
    <n v="167.06"/>
    <n v="122.033"/>
    <n v="471.2"/>
    <x v="14"/>
    <n v="1.3689739660583613"/>
  </r>
  <r>
    <n v="16"/>
    <d v="2022-01-08T00:00:00"/>
    <s v="Revelstoke, BC"/>
    <n v="165.78"/>
    <n v="104.991"/>
    <n v="520"/>
    <x v="15"/>
    <n v="1.5789924850701489"/>
  </r>
  <r>
    <n v="17"/>
    <m/>
    <m/>
    <m/>
    <m/>
    <n v="570"/>
    <x v="16"/>
    <e v="#DIV/0!"/>
  </r>
  <r>
    <n v="18"/>
    <m/>
    <m/>
    <m/>
    <m/>
    <n v="453"/>
    <x v="16"/>
    <e v="#DIV/0!"/>
  </r>
  <r>
    <n v="19"/>
    <m/>
    <m/>
    <m/>
    <m/>
    <n v="421.1"/>
    <x v="16"/>
    <e v="#DIV/0!"/>
  </r>
  <r>
    <n v="20"/>
    <m/>
    <m/>
    <m/>
    <m/>
    <m/>
    <x v="6"/>
    <e v="#DIV/0!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18FCC2-B2C1-C74B-8B14-594573BCF36A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3:F4" firstHeaderRow="1" firstDataRow="1" firstDataCol="0"/>
  <pivotFields count="3">
    <pivotField numFmtId="166" showAll="0"/>
    <pivotField showAll="0"/>
    <pivotField dataField="1" showAll="0"/>
  </pivotFields>
  <rowItems count="1">
    <i/>
  </rowItems>
  <colItems count="1">
    <i/>
  </colItems>
  <dataFields count="1">
    <dataField name="Sum of hour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720848-CD70-1B4C-BADC-C6CC542819D2}" name="PivotTable2" cacheId="4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3:L9" firstHeaderRow="1" firstDataRow="1" firstDataCol="1" rowPageCount="1" colPageCount="1"/>
  <pivotFields count="8">
    <pivotField dataField="1" numFmtId="1" showAll="0"/>
    <pivotField showAll="0"/>
    <pivotField showAll="0"/>
    <pivotField dataField="1" numFmtId="44" showAll="0"/>
    <pivotField dataField="1" numFmtId="165" showAll="0"/>
    <pivotField dataField="1" showAll="0"/>
    <pivotField axis="axisPage" dataField="1" multipleItemSelectionAllowed="1" showAll="0">
      <items count="22">
        <item x="4"/>
        <item m="1" x="19"/>
        <item x="3"/>
        <item x="0"/>
        <item x="2"/>
        <item m="1" x="17"/>
        <item h="1" x="6"/>
        <item x="7"/>
        <item x="8"/>
        <item m="1" x="20"/>
        <item m="1" x="18"/>
        <item x="10"/>
        <item h="1" x="1"/>
        <item h="1" x="5"/>
        <item h="1" x="9"/>
        <item h="1" x="11"/>
        <item h="1" x="12"/>
        <item h="1" x="13"/>
        <item h="1" x="14"/>
        <item h="1" x="15"/>
        <item h="1" x="16"/>
        <item t="default"/>
      </items>
    </pivotField>
    <pivotField dataField="1" numFmtId="44" showAll="0"/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Items count="1">
    <i/>
  </colItems>
  <pageFields count="1">
    <pageField fld="6" hier="-1"/>
  </pageFields>
  <dataFields count="6">
    <dataField name="# of Fillups" fld="0" subtotal="count" baseField="0" baseItem="0"/>
    <dataField name="Total Fuel" fld="4" baseField="0" baseItem="0"/>
    <dataField name="Total Mileage" fld="5" baseField="0" baseItem="0"/>
    <dataField name="Total Cost" fld="3" baseField="0" baseItem="0"/>
    <dataField name="Non-Weighted Average Cost per Litre" fld="7" subtotal="average" baseField="0" baseItem="0"/>
    <dataField name="Average Mileage" fld="6" subtotal="average" baseField="0" baseItem="0"/>
  </dataFields>
  <formats count="1">
    <format dxfId="12">
      <pivotArea collapsedLevelsAreSubtotals="1" fieldPosition="0">
        <references count="1">
          <reference field="4294967294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5D09A9-4344-E34B-9D0F-DED7A3AAD4C3}" name="Table1" displayName="Table1" ref="A1:G10" totalsRowShown="0">
  <autoFilter ref="A1:G10" xr:uid="{02AC566B-26C3-BC49-BDF9-683ED52EEDFA}"/>
  <sortState ref="A2:E9">
    <sortCondition descending="1" ref="A1:A9"/>
  </sortState>
  <tableColumns count="7">
    <tableColumn id="1" xr3:uid="{B424D09A-8FE5-454E-91CA-B1EE8926EC88}" name="Weight (lb)"/>
    <tableColumn id="2" xr3:uid="{C7B60B4A-9B78-F04D-9748-86AC80ABAB33}" name="Description"/>
    <tableColumn id="3" xr3:uid="{1A240438-9C2F-6F42-A917-E853E2215794}" name="Empty/Full"/>
    <tableColumn id="4" xr3:uid="{905BA66D-6CBB-2F4B-894B-9F54EDAE20D0}" name="Type"/>
    <tableColumn id="5" xr3:uid="{B524E3EF-F941-1640-929D-D270CDE7E54C}" name="Location (% Front)" dataCellStyle="Percent"/>
    <tableColumn id="6" xr3:uid="{53E74F92-5963-5741-862C-756C74433AAD}" name="Front Weight" dataDxfId="17">
      <calculatedColumnFormula>Table1[[#This Row],[Weight (lb)]]*Table1[[#This Row],[Location (% Front)]]</calculatedColumnFormula>
    </tableColumn>
    <tableColumn id="7" xr3:uid="{330B29CA-E1BE-F94C-A8E6-E0037186A906}" name="Rear Weight" dataDxfId="16">
      <calculatedColumnFormula>Table1[[#This Row],[Weight (lb)]]*(1-Table1[[#This Row],[Location (% Front)]])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2E53DEE-F51C-AF4F-8EDE-A8F61E2B6C82}" name="Table11" displayName="Table11" ref="A2:C382" totalsRowShown="0">
  <autoFilter ref="A2:C382" xr:uid="{D63DA352-28CC-8F4A-B91C-61F170D3AAEE}"/>
  <sortState ref="A3:C306">
    <sortCondition ref="A2:A306"/>
  </sortState>
  <tableColumns count="3">
    <tableColumn id="1" xr3:uid="{8331D400-F15A-7044-8ECF-A4A6C1692B4F}" name="date" dataDxfId="1"/>
    <tableColumn id="2" xr3:uid="{6166CAD6-CE88-D24D-AE71-B036BA3AB996}" name="descriptioon"/>
    <tableColumn id="3" xr3:uid="{90F64F97-8C7B-3649-8C6B-A736E55C2EB0}" name="hours" dataDxfId="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C06D899-4570-0E4E-A3E8-A458B0193C4D}" name="Table14" displayName="Table14" ref="A1:B8" totalsRowShown="0">
  <autoFilter ref="A1:B8" xr:uid="{B96F9453-0737-9E43-BF25-B5A86CEBC54D}"/>
  <tableColumns count="2">
    <tableColumn id="1" xr3:uid="{66ABC6E3-E936-5E4A-9468-B773CCF7E661}" name="date" dataDxfId="13"/>
    <tableColumn id="2" xr3:uid="{B58BD958-6C68-C748-922D-446DB16FEAED}" name="quantity (L)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1AF6DEE-A14D-AC4F-B958-2061D38FC954}" name="Table12" displayName="Table12" ref="A2:H22" totalsRowShown="0">
  <autoFilter ref="A2:H22" xr:uid="{211B9BFA-E037-A74F-9B0F-C3BC6FE807F5}"/>
  <tableColumns count="8">
    <tableColumn id="8" xr3:uid="{0F811C4E-CC09-174C-8107-36078853BF65}" name="#" dataDxfId="11" dataCellStyle="Currency"/>
    <tableColumn id="1" xr3:uid="{8BAAD92B-A3E0-0A4A-BD7D-7395F2C5D0EC}" name="date" dataDxfId="10" dataCellStyle="Currency"/>
    <tableColumn id="6" xr3:uid="{690E2375-ECF9-554C-B059-3A5FF1C0633C}" name="location" dataDxfId="9" dataCellStyle="Currency"/>
    <tableColumn id="7" xr3:uid="{2587D060-2C09-FA49-B5D8-53361E081176}" name="cost" dataDxfId="8" dataCellStyle="Currency"/>
    <tableColumn id="2" xr3:uid="{950FDF05-4A49-E54E-A5DD-86CDD9DCD343}" name="liters" dataDxfId="7"/>
    <tableColumn id="3" xr3:uid="{33DD5B7D-F727-0E4D-89C6-A4E716277A49}" name="km" dataDxfId="6"/>
    <tableColumn id="4" xr3:uid="{A35C4C25-B85D-AA42-8C57-B74DD7131092}" name="L/100km" dataDxfId="5">
      <calculatedColumnFormula>Table12[[#This Row],[liters]]/(Table12[[#This Row],[km]]/100)</calculatedColumnFormula>
    </tableColumn>
    <tableColumn id="5" xr3:uid="{DC55CE8B-91D0-CE49-8035-1D82577301DE}" name="$/L" dataDxfId="4">
      <calculatedColumnFormula>Table12[[#This Row],[cost]]/Table12[[#This Row],[liters]]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D991959-DA9E-7149-856C-7049618BD3B5}" name="Table4" displayName="Table4" ref="A1:C14" totalsRowShown="0">
  <autoFilter ref="A1:C14" xr:uid="{26C80A69-520B-4647-B52D-8E1648C40853}"/>
  <tableColumns count="3">
    <tableColumn id="1" xr3:uid="{AF8BEBFB-B9AE-C94B-AB9B-5A1CB7FACFF6}" name="Date" dataDxfId="3"/>
    <tableColumn id="2" xr3:uid="{66248BFF-7C63-0E4A-A3E6-8A4D2BF011D9}" name="Mileage" dataDxfId="2"/>
    <tableColumn id="3" xr3:uid="{2C1F47DD-2CCA-4E41-9322-6389AAA7342E}" name="Ac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5E267D-B612-404A-9C10-9A23D4469063}" name="Table3" displayName="Table3" ref="A2:C34" totalsRowShown="0">
  <autoFilter ref="A2:C34" xr:uid="{5F49EEA2-B0BC-6941-9C75-5E3A7251982D}"/>
  <sortState ref="A3:C12">
    <sortCondition ref="C2:C12"/>
  </sortState>
  <tableColumns count="3">
    <tableColumn id="1" xr3:uid="{58F0FD32-15B1-A942-B3E1-7D445ACA20F2}" name="description"/>
    <tableColumn id="3" xr3:uid="{5B9C13D3-32A3-B84E-B2E2-5CE961C9219C}" name="weight (lbs)"/>
    <tableColumn id="4" xr3:uid="{385925A4-7A5C-D04F-9579-3EC0739F052F}" name="tag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BB19087-9CD4-564E-9A1B-3EF3A92890BB}" name="Table5" displayName="Table5" ref="E2:E25" totalsRowShown="0">
  <autoFilter ref="E2:E25" xr:uid="{A5368249-6044-E042-84B2-CD5CBC2711EE}"/>
  <tableColumns count="1">
    <tableColumn id="1" xr3:uid="{AC9FAB1A-8C0D-E847-A17D-BAE937BB1990}" name="descrip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279168D-4F6F-F44E-9685-0FD387355DC6}" name="Table6" displayName="Table6" ref="G2:G5" totalsRowShown="0">
  <autoFilter ref="G2:G5" xr:uid="{7264FF18-4E71-9948-8085-AE0E095320DF}"/>
  <tableColumns count="1">
    <tableColumn id="1" xr3:uid="{62703D7B-54B4-EC42-AD16-BBF24228E5D7}" name="descripti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93023E0-474A-0544-AED6-BC84211BAD5D}" name="Table7" displayName="Table7" ref="K2:K5" totalsRowShown="0">
  <autoFilter ref="K2:K5" xr:uid="{F01F743C-B438-5246-B738-8A0A82AC4D2F}"/>
  <tableColumns count="1">
    <tableColumn id="1" xr3:uid="{79D4E4A1-078B-A242-B1B6-4F68FD63302B}" name="descriptio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10C6A4E-F74B-0345-BC9C-BC755D6A0082}" name="Table8" displayName="Table8" ref="I2:I21" totalsRowShown="0">
  <autoFilter ref="I2:I21" xr:uid="{AC0BDD7C-5376-B545-964B-96AD26210DD9}"/>
  <tableColumns count="1">
    <tableColumn id="1" xr3:uid="{3EECA288-657D-844F-855F-AA3A34EE24F3}" name="description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04B49EB-7BA6-2148-BE2F-2BE15B18F2E8}" name="Table9" displayName="Table9" ref="M2:N3" totalsRowShown="0">
  <autoFilter ref="M2:N3" xr:uid="{5996DDD7-2FD3-B749-83C2-4DCDA7CCD900}"/>
  <tableColumns count="2">
    <tableColumn id="1" xr3:uid="{4AB610A2-91DB-F44F-A619-3D8AE975A73D}" name="description"/>
    <tableColumn id="2" xr3:uid="{D5F5642E-5139-C94D-94B4-99055B47A062}" name="weight (lbs)" dataDxfId="1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81E039-9881-174D-A306-2E141153BD77}" name="Table13" displayName="Table13" ref="A1:H235" totalsRowShown="0">
  <autoFilter ref="A1:H235" xr:uid="{0CCADCBC-3B6C-BF48-9576-3D0CA44DF44E}"/>
  <sortState ref="A2:H152">
    <sortCondition ref="F1:F214"/>
  </sortState>
  <tableColumns count="8">
    <tableColumn id="1" xr3:uid="{5797CD55-A43E-7D49-8FCB-2C9EDCB00C97}" name="description"/>
    <tableColumn id="3" xr3:uid="{8B08963F-7A7D-C74E-85B1-3A4EF408FFF0}" name="quantity"/>
    <tableColumn id="2" xr3:uid="{6E1E97AA-39C6-B149-BAB0-05CB12956F15}" name="amount" dataDxfId="14" dataCellStyle="Currency"/>
    <tableColumn id="4" xr3:uid="{D6EB1FC0-B6C1-3B4A-BF05-DA5D009F029E}" name="category"/>
    <tableColumn id="5" xr3:uid="{C13F04BC-BB04-0A4B-BEB2-A58F1CBD2800}" name="vendor"/>
    <tableColumn id="6" xr3:uid="{17E4E872-E0BF-3247-B618-CBCF51BDA801}" name="date"/>
    <tableColumn id="7" xr3:uid="{460077FD-D425-E448-9CA0-7AE33F2299C8}" name="url"/>
    <tableColumn id="8" xr3:uid="{581B1F5F-6421-F740-BB50-42B35FBA911C}" name="action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8422902-DFC0-DF48-9356-ED7C5B8371F1}" name="Table10" displayName="Table10" ref="A1:D91" totalsRowShown="0">
  <autoFilter ref="A1:D91" xr:uid="{37FA8415-9888-8F4B-A072-F0487FD16B75}"/>
  <tableColumns count="4">
    <tableColumn id="1" xr3:uid="{1C4516B6-57A8-984E-8CA8-EF54FF501D71}" name="desription"/>
    <tableColumn id="2" xr3:uid="{367A7245-214A-D44E-BD4B-2EA47D05742B}" name="category"/>
    <tableColumn id="3" xr3:uid="{3D430CA4-D9A0-8443-A85C-E1EF4C90AAA1}" name="used in"/>
    <tableColumn id="4" xr3:uid="{C98E8B2A-FD77-294D-9084-7BDB689F2C31}" name="sour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mazon.ca/gp/product/B01L3B5PBI" TargetMode="External"/><Relationship Id="rId18" Type="http://schemas.openxmlformats.org/officeDocument/2006/relationships/hyperlink" Target="https://www.amazon.ca/gp/product/B000THT1SG" TargetMode="External"/><Relationship Id="rId26" Type="http://schemas.openxmlformats.org/officeDocument/2006/relationships/hyperlink" Target="https://www.amazon.ca/gp/product/B08FCX8Z52" TargetMode="External"/><Relationship Id="rId21" Type="http://schemas.openxmlformats.org/officeDocument/2006/relationships/hyperlink" Target="https://www.amazon.ca/gp/product/B07S8VZZ2D" TargetMode="External"/><Relationship Id="rId34" Type="http://schemas.openxmlformats.org/officeDocument/2006/relationships/hyperlink" Target="https://www.amazon.ca/gp/product/B019MNNRN2" TargetMode="External"/><Relationship Id="rId7" Type="http://schemas.openxmlformats.org/officeDocument/2006/relationships/hyperlink" Target="https://www.amazon.ca/Blue-Sea-Systems-5005-Insulating/dp/B000K2K7TW" TargetMode="External"/><Relationship Id="rId12" Type="http://schemas.openxmlformats.org/officeDocument/2006/relationships/hyperlink" Target="https://www.amazon.ca/gp/product/B07K19L38B" TargetMode="External"/><Relationship Id="rId17" Type="http://schemas.openxmlformats.org/officeDocument/2006/relationships/hyperlink" Target="https://www.amazon.ca/gp/product/B000K2K6Q6" TargetMode="External"/><Relationship Id="rId25" Type="http://schemas.openxmlformats.org/officeDocument/2006/relationships/hyperlink" Target="https://www.amazon.ca/gp/product/B0813DQJHV" TargetMode="External"/><Relationship Id="rId33" Type="http://schemas.openxmlformats.org/officeDocument/2006/relationships/hyperlink" Target="https://www.amazon.ca/gp/product/B083W9SKND" TargetMode="External"/><Relationship Id="rId38" Type="http://schemas.openxmlformats.org/officeDocument/2006/relationships/table" Target="../tables/table8.xml"/><Relationship Id="rId2" Type="http://schemas.openxmlformats.org/officeDocument/2006/relationships/hyperlink" Target="https://www.amazon.ca/gp/product/B0761HR9V5" TargetMode="External"/><Relationship Id="rId16" Type="http://schemas.openxmlformats.org/officeDocument/2006/relationships/hyperlink" Target="https://www.amazon.ca/gp/product/B0989Q3CVM" TargetMode="External"/><Relationship Id="rId20" Type="http://schemas.openxmlformats.org/officeDocument/2006/relationships/hyperlink" Target="https://www.amazon.ca/gp/product/B0000YHN9W" TargetMode="External"/><Relationship Id="rId29" Type="http://schemas.openxmlformats.org/officeDocument/2006/relationships/hyperlink" Target="https://www.amazon.ca/gp/product/B000ZZUKY6" TargetMode="External"/><Relationship Id="rId1" Type="http://schemas.openxmlformats.org/officeDocument/2006/relationships/hyperlink" Target="https://www.amazon.ca/gp/product/B07HG5TYPT" TargetMode="External"/><Relationship Id="rId6" Type="http://schemas.openxmlformats.org/officeDocument/2006/relationships/hyperlink" Target="https://www.amazon.ca/gp/product/B00002N5HJ" TargetMode="External"/><Relationship Id="rId11" Type="http://schemas.openxmlformats.org/officeDocument/2006/relationships/hyperlink" Target="https://www.amazon.ca/gp/product/B087841MVP" TargetMode="External"/><Relationship Id="rId24" Type="http://schemas.openxmlformats.org/officeDocument/2006/relationships/hyperlink" Target="https://www.amazon.ca/gp/product/B08LDGTG88" TargetMode="External"/><Relationship Id="rId32" Type="http://schemas.openxmlformats.org/officeDocument/2006/relationships/hyperlink" Target="https://www.amazon.ca/gp/product/B07GCBHMZ8" TargetMode="External"/><Relationship Id="rId37" Type="http://schemas.openxmlformats.org/officeDocument/2006/relationships/hyperlink" Target="https://www.amazon.ca/gp/product/B000AMBHGE" TargetMode="External"/><Relationship Id="rId5" Type="http://schemas.openxmlformats.org/officeDocument/2006/relationships/hyperlink" Target="https://www.amazon.ca/gp/product/B0069TRKJ0" TargetMode="External"/><Relationship Id="rId15" Type="http://schemas.openxmlformats.org/officeDocument/2006/relationships/hyperlink" Target="https://www.amazon.ca/gp/product/B0719S4PJ2" TargetMode="External"/><Relationship Id="rId23" Type="http://schemas.openxmlformats.org/officeDocument/2006/relationships/hyperlink" Target="https://www.amazon.ca/gp/product/B08XNM22YV" TargetMode="External"/><Relationship Id="rId28" Type="http://schemas.openxmlformats.org/officeDocument/2006/relationships/hyperlink" Target="https://www.amazon.ca/gp/product/B000J05EZW" TargetMode="External"/><Relationship Id="rId36" Type="http://schemas.openxmlformats.org/officeDocument/2006/relationships/hyperlink" Target="https://www.amazon.ca/gp/product/B079X5C3QP" TargetMode="External"/><Relationship Id="rId10" Type="http://schemas.openxmlformats.org/officeDocument/2006/relationships/hyperlink" Target="https://www.amazon.ca/gp/product/B00RTZZCSO" TargetMode="External"/><Relationship Id="rId19" Type="http://schemas.openxmlformats.org/officeDocument/2006/relationships/hyperlink" Target="https://www.amazon.ca/gp/product/B000THQSB4" TargetMode="External"/><Relationship Id="rId31" Type="http://schemas.openxmlformats.org/officeDocument/2006/relationships/hyperlink" Target="https://www.amazon.ca/gp/product/B00DOMVJ92" TargetMode="External"/><Relationship Id="rId4" Type="http://schemas.openxmlformats.org/officeDocument/2006/relationships/hyperlink" Target="https://www.amazon.ca/gp/product/B00F0SLLFA" TargetMode="External"/><Relationship Id="rId9" Type="http://schemas.openxmlformats.org/officeDocument/2006/relationships/hyperlink" Target="https://www.amazon.ca/gp/product/B07VT24CLK" TargetMode="External"/><Relationship Id="rId14" Type="http://schemas.openxmlformats.org/officeDocument/2006/relationships/hyperlink" Target="https://www.amazon.ca/gp/product/B07L1CXBRZ" TargetMode="External"/><Relationship Id="rId22" Type="http://schemas.openxmlformats.org/officeDocument/2006/relationships/hyperlink" Target="https://www.amazon.ca/gp/product/B08BZCHSJR" TargetMode="External"/><Relationship Id="rId27" Type="http://schemas.openxmlformats.org/officeDocument/2006/relationships/hyperlink" Target="https://www.amazon.ca/gp/product/B07Q64LTFB" TargetMode="External"/><Relationship Id="rId30" Type="http://schemas.openxmlformats.org/officeDocument/2006/relationships/hyperlink" Target="https://www.amazon.ca/gp/product/B07PY3X2P8" TargetMode="External"/><Relationship Id="rId35" Type="http://schemas.openxmlformats.org/officeDocument/2006/relationships/hyperlink" Target="https://www.amazon.ca/gp/product/B009POHLRC" TargetMode="External"/><Relationship Id="rId8" Type="http://schemas.openxmlformats.org/officeDocument/2006/relationships/hyperlink" Target="https://www.amazon.ca/gp/product/B00445KFZ2" TargetMode="External"/><Relationship Id="rId3" Type="http://schemas.openxmlformats.org/officeDocument/2006/relationships/hyperlink" Target="https://www.amazon.ca/gp/product/B07WL7D9V6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689FD-C6BD-2A45-A2FE-B1717B2937C2}">
  <dimension ref="A1:P26"/>
  <sheetViews>
    <sheetView tabSelected="1" zoomScale="125" workbookViewId="0">
      <selection activeCell="B19" sqref="B19"/>
    </sheetView>
  </sheetViews>
  <sheetFormatPr baseColWidth="10" defaultRowHeight="16"/>
  <cols>
    <col min="1" max="1" width="12.83203125" bestFit="1" customWidth="1"/>
    <col min="2" max="2" width="19.6640625" bestFit="1" customWidth="1"/>
    <col min="4" max="4" width="13" bestFit="1" customWidth="1"/>
    <col min="12" max="12" width="17.33203125" bestFit="1" customWidth="1"/>
    <col min="13" max="13" width="17.33203125" customWidth="1"/>
  </cols>
  <sheetData>
    <row r="1" spans="1:16">
      <c r="A1" t="s">
        <v>33</v>
      </c>
      <c r="B1" t="s">
        <v>14</v>
      </c>
      <c r="C1" t="s">
        <v>18</v>
      </c>
      <c r="D1" t="s">
        <v>21</v>
      </c>
      <c r="E1" t="s">
        <v>35</v>
      </c>
      <c r="F1" t="s">
        <v>36</v>
      </c>
      <c r="G1" t="s">
        <v>37</v>
      </c>
      <c r="J1" s="2" t="s">
        <v>32</v>
      </c>
      <c r="K1" s="2" t="s">
        <v>34</v>
      </c>
      <c r="L1" s="2" t="s">
        <v>38</v>
      </c>
      <c r="M1" s="2" t="s">
        <v>39</v>
      </c>
    </row>
    <row r="2" spans="1:16">
      <c r="A2">
        <v>250</v>
      </c>
      <c r="B2" t="s">
        <v>28</v>
      </c>
      <c r="D2" t="s">
        <v>27</v>
      </c>
      <c r="E2" s="3">
        <v>0.5</v>
      </c>
      <c r="F2" s="19">
        <f>Table1[[#This Row],[Weight (lb)]]*Table1[[#This Row],[Location (% Front)]]</f>
        <v>125</v>
      </c>
      <c r="G2" s="19">
        <f>Table1[[#This Row],[Weight (lb)]]*(1-Table1[[#This Row],[Location (% Front)]])</f>
        <v>125</v>
      </c>
      <c r="I2" s="1" t="s">
        <v>29</v>
      </c>
      <c r="J2" s="4">
        <v>12300</v>
      </c>
      <c r="K2" s="4">
        <f>SUM(Table1[Weight (lb)]) + J7</f>
        <v>8795.660576024</v>
      </c>
      <c r="L2" s="3">
        <f>K2/J2</f>
        <v>0.71509435577430891</v>
      </c>
      <c r="M2" s="4">
        <f>J2-K2</f>
        <v>3504.339423976</v>
      </c>
    </row>
    <row r="3" spans="1:16">
      <c r="A3">
        <v>180</v>
      </c>
      <c r="B3" t="s">
        <v>2</v>
      </c>
      <c r="D3" t="s">
        <v>27</v>
      </c>
      <c r="E3" s="3">
        <v>1</v>
      </c>
      <c r="F3" s="19">
        <f>Table1[[#This Row],[Weight (lb)]]*Table1[[#This Row],[Location (% Front)]]</f>
        <v>180</v>
      </c>
      <c r="G3" s="19">
        <f>Table1[[#This Row],[Weight (lb)]]*(1-Table1[[#This Row],[Location (% Front)]])</f>
        <v>0</v>
      </c>
      <c r="I3" s="1" t="s">
        <v>30</v>
      </c>
      <c r="J3" s="4">
        <v>4601</v>
      </c>
      <c r="K3" s="4">
        <f>SUM(Table1[Front Weight]) + J8</f>
        <v>4107.5545184215998</v>
      </c>
      <c r="L3" s="3">
        <f>K3/J3</f>
        <v>0.892752557796479</v>
      </c>
      <c r="M3" s="4">
        <f>J3-K3</f>
        <v>493.44548157840018</v>
      </c>
      <c r="O3" t="s">
        <v>41</v>
      </c>
    </row>
    <row r="4" spans="1:16">
      <c r="A4">
        <v>19.2</v>
      </c>
      <c r="B4" t="s">
        <v>15</v>
      </c>
      <c r="C4" t="s">
        <v>19</v>
      </c>
      <c r="D4" t="s">
        <v>26</v>
      </c>
      <c r="E4" s="3">
        <v>0.4</v>
      </c>
      <c r="F4" s="19">
        <f>Table1[[#This Row],[Weight (lb)]]*Table1[[#This Row],[Location (% Front)]]</f>
        <v>7.68</v>
      </c>
      <c r="G4" s="19">
        <f>Table1[[#This Row],[Weight (lb)]]*(1-Table1[[#This Row],[Location (% Front)]])</f>
        <v>11.52</v>
      </c>
      <c r="I4" s="1" t="s">
        <v>31</v>
      </c>
      <c r="J4" s="4">
        <v>8600</v>
      </c>
      <c r="K4" s="4">
        <f>SUM(Table1[Rear Weight]) + J9</f>
        <v>4688.1060576024001</v>
      </c>
      <c r="L4" s="3">
        <f>K4/J4</f>
        <v>0.54512861134911628</v>
      </c>
      <c r="M4" s="4">
        <f>J4-K4</f>
        <v>3911.8939423975999</v>
      </c>
    </row>
    <row r="5" spans="1:16">
      <c r="A5">
        <v>13.2</v>
      </c>
      <c r="B5" t="s">
        <v>20</v>
      </c>
      <c r="D5" t="s">
        <v>23</v>
      </c>
      <c r="E5" s="3">
        <v>0.5</v>
      </c>
      <c r="F5" s="19">
        <f>Table1[[#This Row],[Weight (lb)]]*Table1[[#This Row],[Location (% Front)]]</f>
        <v>6.6</v>
      </c>
      <c r="G5" s="19">
        <f>Table1[[#This Row],[Weight (lb)]]*(1-Table1[[#This Row],[Location (% Front)]])</f>
        <v>6.6</v>
      </c>
      <c r="J5" s="5"/>
      <c r="K5" s="5"/>
      <c r="M5" s="5"/>
    </row>
    <row r="6" spans="1:16">
      <c r="A6">
        <v>11.8</v>
      </c>
      <c r="B6" t="s">
        <v>16</v>
      </c>
      <c r="D6" t="s">
        <v>24</v>
      </c>
      <c r="E6" s="3">
        <v>0.5</v>
      </c>
      <c r="F6" s="19">
        <f>Table1[[#This Row],[Weight (lb)]]*Table1[[#This Row],[Location (% Front)]]</f>
        <v>5.9</v>
      </c>
      <c r="G6" s="19">
        <f>Table1[[#This Row],[Weight (lb)]]*(1-Table1[[#This Row],[Location (% Front)]])</f>
        <v>5.9</v>
      </c>
      <c r="J6" s="2" t="s">
        <v>40</v>
      </c>
      <c r="K6" s="5"/>
      <c r="M6" s="5"/>
    </row>
    <row r="7" spans="1:16">
      <c r="A7">
        <v>7.8</v>
      </c>
      <c r="B7" t="s">
        <v>5</v>
      </c>
      <c r="C7" t="s">
        <v>17</v>
      </c>
      <c r="D7" t="s">
        <v>25</v>
      </c>
      <c r="E7" s="3">
        <v>0.8</v>
      </c>
      <c r="F7" s="19">
        <f>Table1[[#This Row],[Weight (lb)]]*Table1[[#This Row],[Location (% Front)]]</f>
        <v>6.24</v>
      </c>
      <c r="G7" s="19">
        <f>Table1[[#This Row],[Weight (lb)]]*(1-Table1[[#This Row],[Location (% Front)]])</f>
        <v>1.5599999999999996</v>
      </c>
      <c r="I7" s="1" t="s">
        <v>29</v>
      </c>
      <c r="J7" s="4">
        <f>J26</f>
        <v>8024.2744492849997</v>
      </c>
    </row>
    <row r="8" spans="1:16">
      <c r="A8">
        <f>P24</f>
        <v>117</v>
      </c>
      <c r="B8" t="s">
        <v>301</v>
      </c>
      <c r="D8" t="s">
        <v>22</v>
      </c>
      <c r="E8" s="3">
        <v>0.3</v>
      </c>
      <c r="F8" s="19">
        <f>Table1[[#This Row],[Weight (lb)]]*Table1[[#This Row],[Location (% Front)]]</f>
        <v>35.1</v>
      </c>
      <c r="G8" s="19">
        <f>Table1[[#This Row],[Weight (lb)]]*(1-Table1[[#This Row],[Location (% Front)]])</f>
        <v>81.899999999999991</v>
      </c>
      <c r="I8" s="1" t="s">
        <v>30</v>
      </c>
      <c r="J8" s="4">
        <f>4020 -  SUM(J15:J23) + J21  -( J24  + J25 + J21) * 0.3</f>
        <v>3686.5223347854999</v>
      </c>
    </row>
    <row r="9" spans="1:16">
      <c r="A9" s="19">
        <v>167.725550715</v>
      </c>
      <c r="B9" t="s">
        <v>300</v>
      </c>
      <c r="D9" t="s">
        <v>22</v>
      </c>
      <c r="E9" s="3">
        <v>0.3</v>
      </c>
      <c r="F9" s="19">
        <f>Table1[[#This Row],[Weight (lb)]]*Table1[[#This Row],[Location (% Front)]]</f>
        <v>50.317665214499996</v>
      </c>
      <c r="G9" s="19">
        <f>Table1[[#This Row],[Weight (lb)]]*(1-Table1[[#This Row],[Location (% Front)]])</f>
        <v>117.40788550049999</v>
      </c>
      <c r="I9" s="1" t="s">
        <v>31</v>
      </c>
      <c r="J9" s="4">
        <f xml:space="preserve"> 4540 -( J24  + J25 + J21) * 0.7</f>
        <v>4337.7521144994998</v>
      </c>
    </row>
    <row r="10" spans="1:16">
      <c r="A10" s="19">
        <v>4.660576024</v>
      </c>
      <c r="B10" t="s">
        <v>299</v>
      </c>
      <c r="D10" t="s">
        <v>22</v>
      </c>
      <c r="E10" s="3">
        <v>0.9</v>
      </c>
      <c r="F10" s="19">
        <f>Table1[[#This Row],[Weight (lb)]]*Table1[[#This Row],[Location (% Front)]]</f>
        <v>4.1945184215999998</v>
      </c>
      <c r="G10" s="19">
        <f>Table1[[#This Row],[Weight (lb)]]*(1-Table1[[#This Row],[Location (% Front)]])</f>
        <v>0.46605760239999988</v>
      </c>
      <c r="J10" s="5">
        <f>SUM(J8:J9)</f>
        <v>8024.2744492849997</v>
      </c>
    </row>
    <row r="13" spans="1:16">
      <c r="I13" t="s">
        <v>0</v>
      </c>
      <c r="J13">
        <v>8560</v>
      </c>
      <c r="L13" t="s">
        <v>9</v>
      </c>
      <c r="M13">
        <v>179</v>
      </c>
      <c r="O13" t="s">
        <v>12</v>
      </c>
      <c r="P13">
        <v>117</v>
      </c>
    </row>
    <row r="14" spans="1:16">
      <c r="A14" t="s">
        <v>919</v>
      </c>
    </row>
    <row r="15" spans="1:16">
      <c r="A15" t="s">
        <v>920</v>
      </c>
      <c r="I15" t="s">
        <v>1</v>
      </c>
      <c r="J15">
        <v>19.2</v>
      </c>
      <c r="L15" t="s">
        <v>42</v>
      </c>
      <c r="O15" t="s">
        <v>11</v>
      </c>
    </row>
    <row r="16" spans="1:16">
      <c r="I16" t="s">
        <v>2</v>
      </c>
      <c r="J16">
        <v>180</v>
      </c>
      <c r="L16" t="s">
        <v>11</v>
      </c>
      <c r="M16">
        <v>6.6138732610000002</v>
      </c>
      <c r="O16" t="s">
        <v>10</v>
      </c>
    </row>
    <row r="17" spans="9:16">
      <c r="I17" t="s">
        <v>3</v>
      </c>
      <c r="J17">
        <v>11.8</v>
      </c>
    </row>
    <row r="18" spans="9:16">
      <c r="I18" t="s">
        <v>4</v>
      </c>
      <c r="J18">
        <v>1.2</v>
      </c>
    </row>
    <row r="19" spans="9:16">
      <c r="I19" t="s">
        <v>5</v>
      </c>
      <c r="J19">
        <v>7.8</v>
      </c>
    </row>
    <row r="20" spans="9:16">
      <c r="I20" t="s">
        <v>6</v>
      </c>
      <c r="J20">
        <v>13.2</v>
      </c>
    </row>
    <row r="21" spans="9:16">
      <c r="I21" t="s">
        <v>7</v>
      </c>
      <c r="J21">
        <v>4.2</v>
      </c>
    </row>
    <row r="22" spans="9:16">
      <c r="I22" t="s">
        <v>8</v>
      </c>
      <c r="J22">
        <v>5</v>
      </c>
    </row>
    <row r="23" spans="9:16">
      <c r="I23" t="s">
        <v>13</v>
      </c>
      <c r="J23">
        <v>8.6</v>
      </c>
    </row>
    <row r="24" spans="9:16">
      <c r="I24" t="s">
        <v>9</v>
      </c>
      <c r="J24">
        <v>167.725550715</v>
      </c>
      <c r="P24">
        <f>P13-SUM(P15:P22)</f>
        <v>117</v>
      </c>
    </row>
    <row r="25" spans="9:16">
      <c r="I25" t="s">
        <v>12</v>
      </c>
      <c r="J25">
        <f>P13</f>
        <v>117</v>
      </c>
    </row>
    <row r="26" spans="9:16">
      <c r="J26">
        <f>J13-SUM(J15:J25)</f>
        <v>8024.2744492849997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E4417-0934-AC49-BD58-D8078E26B211}">
  <dimension ref="A1:N34"/>
  <sheetViews>
    <sheetView workbookViewId="0">
      <selection activeCell="A35" sqref="A35"/>
    </sheetView>
  </sheetViews>
  <sheetFormatPr baseColWidth="10" defaultRowHeight="16"/>
  <cols>
    <col min="1" max="1" width="23.1640625" bestFit="1" customWidth="1"/>
    <col min="2" max="2" width="13.5" bestFit="1" customWidth="1"/>
    <col min="3" max="3" width="15.1640625" customWidth="1"/>
    <col min="5" max="5" width="46.5" bestFit="1" customWidth="1"/>
    <col min="7" max="7" width="16" customWidth="1"/>
    <col min="9" max="9" width="42.6640625" bestFit="1" customWidth="1"/>
    <col min="11" max="11" width="26.33203125" bestFit="1" customWidth="1"/>
    <col min="13" max="13" width="22.33203125" bestFit="1" customWidth="1"/>
    <col min="14" max="14" width="13.5" bestFit="1" customWidth="1"/>
  </cols>
  <sheetData>
    <row r="1" spans="1:14" ht="21">
      <c r="A1" s="36" t="s">
        <v>277</v>
      </c>
      <c r="B1" s="37"/>
      <c r="C1" s="37"/>
      <c r="E1" s="17" t="s">
        <v>253</v>
      </c>
      <c r="G1" s="17" t="s">
        <v>254</v>
      </c>
      <c r="I1" s="17" t="s">
        <v>279</v>
      </c>
      <c r="K1" s="17" t="s">
        <v>264</v>
      </c>
      <c r="M1" s="17" t="s">
        <v>302</v>
      </c>
    </row>
    <row r="2" spans="1:14">
      <c r="A2" t="s">
        <v>105</v>
      </c>
      <c r="B2" t="s">
        <v>251</v>
      </c>
      <c r="C2" t="s">
        <v>249</v>
      </c>
      <c r="E2" t="s">
        <v>105</v>
      </c>
      <c r="G2" t="s">
        <v>105</v>
      </c>
      <c r="I2" t="s">
        <v>105</v>
      </c>
      <c r="K2" t="s">
        <v>105</v>
      </c>
      <c r="M2" t="s">
        <v>105</v>
      </c>
      <c r="N2" t="s">
        <v>251</v>
      </c>
    </row>
    <row r="3" spans="1:14">
      <c r="A3" t="s">
        <v>242</v>
      </c>
      <c r="B3">
        <v>36</v>
      </c>
      <c r="C3" t="s">
        <v>250</v>
      </c>
      <c r="E3" t="s">
        <v>255</v>
      </c>
      <c r="G3" t="s">
        <v>275</v>
      </c>
      <c r="I3" t="s">
        <v>280</v>
      </c>
      <c r="K3" t="s">
        <v>265</v>
      </c>
      <c r="M3" t="s">
        <v>300</v>
      </c>
      <c r="N3" s="21">
        <v>6.6138732610000002</v>
      </c>
    </row>
    <row r="4" spans="1:14">
      <c r="A4" t="s">
        <v>243</v>
      </c>
      <c r="B4">
        <v>23.6</v>
      </c>
      <c r="C4" t="s">
        <v>250</v>
      </c>
      <c r="E4" t="s">
        <v>256</v>
      </c>
      <c r="G4" t="s">
        <v>242</v>
      </c>
      <c r="I4" t="s">
        <v>281</v>
      </c>
      <c r="K4" t="s">
        <v>266</v>
      </c>
    </row>
    <row r="5" spans="1:14">
      <c r="A5" t="s">
        <v>244</v>
      </c>
      <c r="B5">
        <v>20.8</v>
      </c>
      <c r="C5" t="s">
        <v>250</v>
      </c>
      <c r="E5" t="s">
        <v>257</v>
      </c>
      <c r="G5" t="s">
        <v>276</v>
      </c>
      <c r="I5" t="s">
        <v>282</v>
      </c>
      <c r="K5" t="s">
        <v>71</v>
      </c>
    </row>
    <row r="6" spans="1:14">
      <c r="A6" t="s">
        <v>245</v>
      </c>
      <c r="B6">
        <v>124.2</v>
      </c>
      <c r="C6" t="s">
        <v>250</v>
      </c>
      <c r="E6" t="s">
        <v>258</v>
      </c>
      <c r="I6" t="s">
        <v>283</v>
      </c>
    </row>
    <row r="7" spans="1:14">
      <c r="A7" t="s">
        <v>246</v>
      </c>
      <c r="B7">
        <v>206.4</v>
      </c>
      <c r="C7" t="s">
        <v>250</v>
      </c>
      <c r="E7" t="s">
        <v>259</v>
      </c>
      <c r="I7" t="s">
        <v>284</v>
      </c>
    </row>
    <row r="8" spans="1:14">
      <c r="A8" t="s">
        <v>247</v>
      </c>
      <c r="B8">
        <v>72.8</v>
      </c>
      <c r="C8" t="s">
        <v>250</v>
      </c>
      <c r="E8" t="s">
        <v>145</v>
      </c>
      <c r="I8" t="s">
        <v>285</v>
      </c>
    </row>
    <row r="9" spans="1:14">
      <c r="A9" t="s">
        <v>248</v>
      </c>
      <c r="B9">
        <v>90</v>
      </c>
      <c r="C9" t="s">
        <v>250</v>
      </c>
      <c r="E9" t="s">
        <v>260</v>
      </c>
      <c r="I9" t="s">
        <v>286</v>
      </c>
    </row>
    <row r="10" spans="1:14">
      <c r="A10" t="s">
        <v>278</v>
      </c>
      <c r="E10" t="s">
        <v>261</v>
      </c>
      <c r="I10" t="s">
        <v>287</v>
      </c>
    </row>
    <row r="11" spans="1:14">
      <c r="A11" t="s">
        <v>4</v>
      </c>
      <c r="B11">
        <f xml:space="preserve"> 49.6 + 3.2</f>
        <v>52.800000000000004</v>
      </c>
      <c r="E11" t="s">
        <v>262</v>
      </c>
      <c r="I11" t="s">
        <v>288</v>
      </c>
    </row>
    <row r="12" spans="1:14">
      <c r="A12" t="s">
        <v>252</v>
      </c>
      <c r="B12">
        <v>18.399999999999999</v>
      </c>
      <c r="E12" t="s">
        <v>263</v>
      </c>
      <c r="I12" t="s">
        <v>289</v>
      </c>
    </row>
    <row r="13" spans="1:14">
      <c r="A13" t="s">
        <v>248</v>
      </c>
      <c r="B13">
        <v>0.5</v>
      </c>
      <c r="C13" t="s">
        <v>642</v>
      </c>
      <c r="E13" t="s">
        <v>267</v>
      </c>
      <c r="I13" t="s">
        <v>290</v>
      </c>
    </row>
    <row r="14" spans="1:14">
      <c r="A14" t="s">
        <v>715</v>
      </c>
      <c r="B14">
        <v>2.8</v>
      </c>
      <c r="E14" t="s">
        <v>268</v>
      </c>
      <c r="I14" t="s">
        <v>291</v>
      </c>
    </row>
    <row r="15" spans="1:14">
      <c r="A15" t="s">
        <v>716</v>
      </c>
      <c r="B15">
        <v>12.6</v>
      </c>
      <c r="E15" t="s">
        <v>269</v>
      </c>
      <c r="I15" t="s">
        <v>292</v>
      </c>
    </row>
    <row r="16" spans="1:14">
      <c r="A16" t="s">
        <v>717</v>
      </c>
      <c r="B16">
        <v>1.4</v>
      </c>
      <c r="E16" t="s">
        <v>270</v>
      </c>
      <c r="I16" t="s">
        <v>293</v>
      </c>
    </row>
    <row r="17" spans="1:9">
      <c r="A17" t="s">
        <v>4</v>
      </c>
      <c r="B17">
        <v>11.4</v>
      </c>
      <c r="C17" t="s">
        <v>781</v>
      </c>
      <c r="E17" t="s">
        <v>271</v>
      </c>
      <c r="I17" t="s">
        <v>294</v>
      </c>
    </row>
    <row r="18" spans="1:9">
      <c r="A18" t="s">
        <v>782</v>
      </c>
      <c r="B18">
        <v>18</v>
      </c>
      <c r="C18" t="s">
        <v>781</v>
      </c>
      <c r="E18" t="s">
        <v>274</v>
      </c>
      <c r="I18" t="s">
        <v>295</v>
      </c>
    </row>
    <row r="19" spans="1:9">
      <c r="A19" t="s">
        <v>252</v>
      </c>
      <c r="B19">
        <v>8.1999999999999993</v>
      </c>
      <c r="C19" t="s">
        <v>781</v>
      </c>
      <c r="E19" t="s">
        <v>272</v>
      </c>
      <c r="I19" t="s">
        <v>754</v>
      </c>
    </row>
    <row r="20" spans="1:9">
      <c r="A20" t="s">
        <v>783</v>
      </c>
      <c r="B20">
        <v>1</v>
      </c>
      <c r="C20" t="s">
        <v>781</v>
      </c>
      <c r="E20" t="s">
        <v>273</v>
      </c>
      <c r="I20" t="s">
        <v>755</v>
      </c>
    </row>
    <row r="21" spans="1:9">
      <c r="A21" t="s">
        <v>894</v>
      </c>
      <c r="B21">
        <v>5</v>
      </c>
      <c r="C21" t="s">
        <v>895</v>
      </c>
      <c r="E21" t="s">
        <v>296</v>
      </c>
      <c r="I21" t="s">
        <v>756</v>
      </c>
    </row>
    <row r="22" spans="1:9">
      <c r="A22" t="s">
        <v>896</v>
      </c>
      <c r="B22">
        <v>0.4</v>
      </c>
      <c r="C22" t="s">
        <v>895</v>
      </c>
      <c r="E22" t="s">
        <v>297</v>
      </c>
    </row>
    <row r="23" spans="1:9">
      <c r="A23" t="s">
        <v>242</v>
      </c>
      <c r="B23">
        <v>1.6</v>
      </c>
      <c r="C23" t="s">
        <v>895</v>
      </c>
      <c r="E23" t="s">
        <v>298</v>
      </c>
    </row>
    <row r="24" spans="1:9">
      <c r="A24" t="s">
        <v>4</v>
      </c>
      <c r="B24">
        <v>7</v>
      </c>
      <c r="C24" t="s">
        <v>895</v>
      </c>
      <c r="E24" t="s">
        <v>303</v>
      </c>
    </row>
    <row r="25" spans="1:9">
      <c r="A25" t="s">
        <v>252</v>
      </c>
      <c r="B25">
        <v>2</v>
      </c>
      <c r="C25" t="s">
        <v>895</v>
      </c>
      <c r="E25" t="s">
        <v>757</v>
      </c>
    </row>
    <row r="26" spans="1:9">
      <c r="A26" t="s">
        <v>897</v>
      </c>
      <c r="B26">
        <v>0.5</v>
      </c>
      <c r="C26" t="s">
        <v>895</v>
      </c>
    </row>
    <row r="27" spans="1:9">
      <c r="A27" t="s">
        <v>252</v>
      </c>
      <c r="B27">
        <v>1.2</v>
      </c>
      <c r="C27" t="s">
        <v>895</v>
      </c>
    </row>
    <row r="28" spans="1:9">
      <c r="A28" t="s">
        <v>898</v>
      </c>
      <c r="B28">
        <v>1</v>
      </c>
      <c r="C28" t="s">
        <v>895</v>
      </c>
    </row>
    <row r="29" spans="1:9">
      <c r="A29" t="s">
        <v>899</v>
      </c>
      <c r="B29">
        <v>6.2</v>
      </c>
      <c r="C29" t="s">
        <v>895</v>
      </c>
    </row>
    <row r="30" spans="1:9">
      <c r="A30" t="s">
        <v>900</v>
      </c>
      <c r="B30">
        <v>1</v>
      </c>
      <c r="C30" t="s">
        <v>895</v>
      </c>
    </row>
    <row r="31" spans="1:9">
      <c r="A31" t="s">
        <v>894</v>
      </c>
      <c r="B31">
        <v>6.2</v>
      </c>
      <c r="C31" t="s">
        <v>895</v>
      </c>
    </row>
    <row r="32" spans="1:9">
      <c r="A32" t="s">
        <v>252</v>
      </c>
      <c r="B32">
        <v>5</v>
      </c>
      <c r="C32" t="s">
        <v>895</v>
      </c>
    </row>
    <row r="33" spans="1:3">
      <c r="A33" t="s">
        <v>899</v>
      </c>
      <c r="B33">
        <v>9.6</v>
      </c>
      <c r="C33" t="s">
        <v>895</v>
      </c>
    </row>
    <row r="34" spans="1:3">
      <c r="A34" t="s">
        <v>783</v>
      </c>
      <c r="B34">
        <v>1</v>
      </c>
      <c r="C34" t="s">
        <v>895</v>
      </c>
    </row>
  </sheetData>
  <mergeCells count="1">
    <mergeCell ref="A1:C1"/>
  </mergeCell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DB0DF-FF3B-ED42-BDDE-1F6751A8F2A0}">
  <dimension ref="A1:H235"/>
  <sheetViews>
    <sheetView topLeftCell="A205" workbookViewId="0">
      <selection activeCell="A236" sqref="A236"/>
    </sheetView>
  </sheetViews>
  <sheetFormatPr baseColWidth="10" defaultRowHeight="16"/>
  <cols>
    <col min="1" max="1" width="85.1640625" customWidth="1"/>
    <col min="2" max="2" width="10.5" bestFit="1" customWidth="1"/>
    <col min="3" max="3" width="12.5" bestFit="1" customWidth="1"/>
    <col min="4" max="4" width="11.83203125" bestFit="1" customWidth="1"/>
    <col min="5" max="5" width="25.83203125" bestFit="1" customWidth="1"/>
    <col min="6" max="6" width="9.6640625" bestFit="1" customWidth="1"/>
    <col min="7" max="7" width="66.6640625" bestFit="1" customWidth="1"/>
    <col min="8" max="8" width="16.33203125" bestFit="1" customWidth="1"/>
  </cols>
  <sheetData>
    <row r="1" spans="1:8">
      <c r="A1" t="s">
        <v>105</v>
      </c>
      <c r="B1" t="s">
        <v>106</v>
      </c>
      <c r="C1" s="2" t="s">
        <v>107</v>
      </c>
      <c r="D1" t="s">
        <v>108</v>
      </c>
      <c r="E1" t="s">
        <v>109</v>
      </c>
      <c r="F1" t="s">
        <v>110</v>
      </c>
      <c r="G1" t="s">
        <v>111</v>
      </c>
      <c r="H1" t="s">
        <v>112</v>
      </c>
    </row>
    <row r="2" spans="1:8">
      <c r="A2" t="s">
        <v>113</v>
      </c>
      <c r="C2" s="6">
        <v>56.48</v>
      </c>
      <c r="D2" t="s">
        <v>69</v>
      </c>
      <c r="E2" t="s">
        <v>114</v>
      </c>
      <c r="F2" s="8">
        <v>44392</v>
      </c>
    </row>
    <row r="3" spans="1:8">
      <c r="A3" t="s">
        <v>115</v>
      </c>
      <c r="B3">
        <v>2</v>
      </c>
      <c r="C3" s="6">
        <v>33.11</v>
      </c>
      <c r="D3" t="s">
        <v>64</v>
      </c>
      <c r="E3" t="s">
        <v>116</v>
      </c>
      <c r="F3" s="10">
        <v>44410</v>
      </c>
      <c r="G3" s="11" t="s">
        <v>117</v>
      </c>
    </row>
    <row r="4" spans="1:8">
      <c r="A4" t="s">
        <v>118</v>
      </c>
      <c r="B4">
        <v>1</v>
      </c>
      <c r="C4" s="6">
        <v>41.91</v>
      </c>
      <c r="D4" t="s">
        <v>64</v>
      </c>
      <c r="E4" t="s">
        <v>116</v>
      </c>
      <c r="F4" s="10">
        <v>44410</v>
      </c>
      <c r="G4" s="11" t="s">
        <v>119</v>
      </c>
    </row>
    <row r="5" spans="1:8">
      <c r="A5" t="s">
        <v>120</v>
      </c>
      <c r="B5">
        <v>1</v>
      </c>
      <c r="C5" s="6">
        <v>39.08</v>
      </c>
      <c r="D5" t="s">
        <v>44</v>
      </c>
      <c r="E5" t="s">
        <v>116</v>
      </c>
      <c r="F5" s="10">
        <v>44419</v>
      </c>
      <c r="G5" s="11" t="s">
        <v>121</v>
      </c>
    </row>
    <row r="6" spans="1:8">
      <c r="A6" t="s">
        <v>122</v>
      </c>
      <c r="B6">
        <v>1</v>
      </c>
      <c r="C6" s="6">
        <v>91.96</v>
      </c>
      <c r="D6" t="s">
        <v>44</v>
      </c>
      <c r="E6" t="s">
        <v>116</v>
      </c>
      <c r="F6" s="10">
        <v>44419</v>
      </c>
      <c r="G6" s="11" t="s">
        <v>123</v>
      </c>
    </row>
    <row r="7" spans="1:8">
      <c r="A7" t="s">
        <v>124</v>
      </c>
      <c r="B7">
        <v>1</v>
      </c>
      <c r="C7" s="6">
        <v>16.7</v>
      </c>
      <c r="D7" t="s">
        <v>64</v>
      </c>
      <c r="E7" t="s">
        <v>114</v>
      </c>
      <c r="F7" s="8">
        <v>44422</v>
      </c>
    </row>
    <row r="8" spans="1:8">
      <c r="A8" t="s">
        <v>125</v>
      </c>
      <c r="B8">
        <v>1</v>
      </c>
      <c r="C8" s="6">
        <v>36.75</v>
      </c>
      <c r="D8" t="s">
        <v>64</v>
      </c>
      <c r="E8" t="s">
        <v>116</v>
      </c>
      <c r="F8" s="10">
        <v>44442</v>
      </c>
      <c r="G8" s="11" t="s">
        <v>126</v>
      </c>
    </row>
    <row r="9" spans="1:8">
      <c r="A9" t="s">
        <v>127</v>
      </c>
      <c r="B9">
        <v>5</v>
      </c>
      <c r="C9" s="6">
        <v>23</v>
      </c>
      <c r="D9" t="s">
        <v>64</v>
      </c>
      <c r="E9" t="s">
        <v>116</v>
      </c>
      <c r="F9" s="10">
        <v>44442</v>
      </c>
      <c r="G9" s="11" t="s">
        <v>128</v>
      </c>
    </row>
    <row r="10" spans="1:8">
      <c r="A10" t="s">
        <v>129</v>
      </c>
      <c r="B10">
        <v>1</v>
      </c>
      <c r="C10" s="6">
        <v>22.78</v>
      </c>
      <c r="D10" t="s">
        <v>64</v>
      </c>
      <c r="E10" t="s">
        <v>116</v>
      </c>
      <c r="F10" s="10">
        <v>44445</v>
      </c>
      <c r="G10" s="11" t="s">
        <v>130</v>
      </c>
    </row>
    <row r="11" spans="1:8">
      <c r="A11" t="s">
        <v>131</v>
      </c>
      <c r="B11">
        <v>2</v>
      </c>
      <c r="C11" s="6">
        <v>9.5399999999999991</v>
      </c>
      <c r="D11" t="s">
        <v>64</v>
      </c>
      <c r="E11" t="s">
        <v>116</v>
      </c>
      <c r="F11" s="10">
        <v>44445</v>
      </c>
      <c r="G11" s="11" t="s">
        <v>132</v>
      </c>
    </row>
    <row r="12" spans="1:8">
      <c r="A12" t="s">
        <v>133</v>
      </c>
      <c r="B12">
        <v>1</v>
      </c>
      <c r="C12" s="6">
        <v>31.96</v>
      </c>
      <c r="D12" t="s">
        <v>64</v>
      </c>
      <c r="E12" t="s">
        <v>116</v>
      </c>
      <c r="F12" s="10">
        <v>44455</v>
      </c>
      <c r="G12" s="11" t="s">
        <v>134</v>
      </c>
    </row>
    <row r="13" spans="1:8">
      <c r="A13" t="s">
        <v>16</v>
      </c>
      <c r="C13" s="6">
        <v>97.18</v>
      </c>
      <c r="D13" t="s">
        <v>44</v>
      </c>
      <c r="E13" t="s">
        <v>114</v>
      </c>
      <c r="F13" s="10">
        <v>44461</v>
      </c>
    </row>
    <row r="14" spans="1:8">
      <c r="A14" t="s">
        <v>135</v>
      </c>
      <c r="B14">
        <v>15</v>
      </c>
      <c r="C14" s="6">
        <v>136.59</v>
      </c>
      <c r="D14" t="s">
        <v>64</v>
      </c>
      <c r="E14" t="s">
        <v>116</v>
      </c>
      <c r="F14" s="10">
        <v>44462</v>
      </c>
      <c r="G14" s="11" t="s">
        <v>136</v>
      </c>
    </row>
    <row r="15" spans="1:8">
      <c r="A15" t="s">
        <v>137</v>
      </c>
      <c r="B15">
        <v>1</v>
      </c>
      <c r="C15" s="6">
        <v>18.39</v>
      </c>
      <c r="D15" t="s">
        <v>47</v>
      </c>
      <c r="E15" t="s">
        <v>116</v>
      </c>
      <c r="F15" s="10">
        <v>44462</v>
      </c>
      <c r="G15" s="11" t="s">
        <v>138</v>
      </c>
    </row>
    <row r="16" spans="1:8">
      <c r="A16" t="s">
        <v>139</v>
      </c>
      <c r="B16">
        <v>50</v>
      </c>
      <c r="C16" s="6">
        <v>49.42</v>
      </c>
      <c r="D16" t="s">
        <v>64</v>
      </c>
      <c r="E16" t="s">
        <v>116</v>
      </c>
      <c r="F16" s="10">
        <v>44468</v>
      </c>
      <c r="G16" s="11" t="s">
        <v>140</v>
      </c>
    </row>
    <row r="17" spans="1:7">
      <c r="A17" t="s">
        <v>141</v>
      </c>
      <c r="B17">
        <v>1</v>
      </c>
      <c r="C17" s="6">
        <v>18.89</v>
      </c>
      <c r="D17" t="s">
        <v>44</v>
      </c>
      <c r="E17" t="s">
        <v>116</v>
      </c>
      <c r="F17" s="10">
        <v>44468</v>
      </c>
      <c r="G17" s="11" t="s">
        <v>142</v>
      </c>
    </row>
    <row r="18" spans="1:7">
      <c r="A18" t="s">
        <v>143</v>
      </c>
      <c r="B18">
        <v>1</v>
      </c>
      <c r="C18" s="6">
        <v>265.64</v>
      </c>
      <c r="D18" t="s">
        <v>26</v>
      </c>
      <c r="E18" t="s">
        <v>116</v>
      </c>
      <c r="F18" s="10">
        <v>44470</v>
      </c>
      <c r="G18" s="11" t="s">
        <v>144</v>
      </c>
    </row>
    <row r="19" spans="1:7">
      <c r="A19" t="s">
        <v>145</v>
      </c>
      <c r="C19" s="6">
        <v>10.4</v>
      </c>
      <c r="D19" t="s">
        <v>47</v>
      </c>
      <c r="E19" t="s">
        <v>114</v>
      </c>
      <c r="F19" s="10">
        <v>44477</v>
      </c>
    </row>
    <row r="20" spans="1:7">
      <c r="A20" t="s">
        <v>146</v>
      </c>
      <c r="B20">
        <v>120</v>
      </c>
      <c r="C20" s="6">
        <v>39.89</v>
      </c>
      <c r="D20" t="s">
        <v>47</v>
      </c>
      <c r="E20" t="s">
        <v>116</v>
      </c>
      <c r="F20" s="10">
        <v>44483</v>
      </c>
      <c r="G20" s="11" t="s">
        <v>147</v>
      </c>
    </row>
    <row r="21" spans="1:7">
      <c r="A21" t="s">
        <v>148</v>
      </c>
      <c r="B21">
        <v>1</v>
      </c>
      <c r="C21" s="6">
        <v>172.45</v>
      </c>
      <c r="D21" t="s">
        <v>26</v>
      </c>
      <c r="E21" t="s">
        <v>114</v>
      </c>
      <c r="F21" s="10">
        <v>44489</v>
      </c>
    </row>
    <row r="22" spans="1:7">
      <c r="A22" t="s">
        <v>149</v>
      </c>
      <c r="B22">
        <v>1</v>
      </c>
      <c r="C22" s="6">
        <v>229.99</v>
      </c>
      <c r="D22" t="s">
        <v>26</v>
      </c>
      <c r="E22" t="s">
        <v>116</v>
      </c>
      <c r="F22" s="10">
        <v>44491</v>
      </c>
      <c r="G22" s="11" t="s">
        <v>150</v>
      </c>
    </row>
    <row r="23" spans="1:7">
      <c r="A23" t="s">
        <v>151</v>
      </c>
      <c r="B23">
        <v>1</v>
      </c>
      <c r="C23" s="6">
        <v>57.47</v>
      </c>
      <c r="D23" t="s">
        <v>152</v>
      </c>
      <c r="E23" t="s">
        <v>116</v>
      </c>
      <c r="F23" s="10">
        <v>44491</v>
      </c>
      <c r="G23" s="11" t="s">
        <v>153</v>
      </c>
    </row>
    <row r="24" spans="1:7">
      <c r="A24" t="s">
        <v>154</v>
      </c>
      <c r="B24">
        <v>2</v>
      </c>
      <c r="C24" s="6">
        <v>34.64</v>
      </c>
      <c r="D24" t="s">
        <v>44</v>
      </c>
      <c r="E24" t="s">
        <v>116</v>
      </c>
      <c r="F24" s="10">
        <v>44491</v>
      </c>
      <c r="G24" s="11" t="s">
        <v>155</v>
      </c>
    </row>
    <row r="25" spans="1:7">
      <c r="A25" t="s">
        <v>156</v>
      </c>
      <c r="B25">
        <v>1</v>
      </c>
      <c r="C25" s="6">
        <v>83.61</v>
      </c>
      <c r="D25" t="s">
        <v>152</v>
      </c>
      <c r="E25" t="s">
        <v>116</v>
      </c>
      <c r="F25" s="10">
        <v>44491</v>
      </c>
      <c r="G25" s="11" t="s">
        <v>157</v>
      </c>
    </row>
    <row r="26" spans="1:7">
      <c r="A26" t="s">
        <v>158</v>
      </c>
      <c r="B26">
        <v>2</v>
      </c>
      <c r="C26" s="6">
        <v>49.94</v>
      </c>
      <c r="D26" t="s">
        <v>44</v>
      </c>
      <c r="E26" t="s">
        <v>116</v>
      </c>
      <c r="F26" s="10">
        <v>44491</v>
      </c>
      <c r="G26" s="11" t="s">
        <v>159</v>
      </c>
    </row>
    <row r="27" spans="1:7">
      <c r="A27" t="s">
        <v>160</v>
      </c>
      <c r="B27">
        <v>2</v>
      </c>
      <c r="C27" s="6">
        <v>26.45</v>
      </c>
      <c r="D27" t="s">
        <v>152</v>
      </c>
      <c r="E27" t="s">
        <v>116</v>
      </c>
      <c r="F27" s="10">
        <v>44491</v>
      </c>
      <c r="G27" s="11" t="s">
        <v>161</v>
      </c>
    </row>
    <row r="28" spans="1:7">
      <c r="A28" t="s">
        <v>687</v>
      </c>
      <c r="B28">
        <v>1</v>
      </c>
      <c r="C28" s="6">
        <f>663.9 * 1.15</f>
        <v>763.4849999999999</v>
      </c>
      <c r="D28" t="s">
        <v>24</v>
      </c>
      <c r="E28" t="s">
        <v>216</v>
      </c>
      <c r="F28" s="10">
        <v>44491</v>
      </c>
    </row>
    <row r="29" spans="1:7">
      <c r="A29" t="s">
        <v>688</v>
      </c>
      <c r="B29">
        <v>1</v>
      </c>
      <c r="C29" s="6">
        <f xml:space="preserve"> 96.19 * 1.15</f>
        <v>110.61849999999998</v>
      </c>
      <c r="D29" t="s">
        <v>24</v>
      </c>
      <c r="E29" t="s">
        <v>216</v>
      </c>
      <c r="F29" s="10">
        <v>44491</v>
      </c>
    </row>
    <row r="30" spans="1:7">
      <c r="A30" t="s">
        <v>689</v>
      </c>
      <c r="B30">
        <v>1</v>
      </c>
      <c r="C30" s="6">
        <f>322 * 1.15</f>
        <v>370.29999999999995</v>
      </c>
      <c r="D30" t="s">
        <v>24</v>
      </c>
      <c r="E30" t="s">
        <v>216</v>
      </c>
      <c r="F30" s="10">
        <v>44491</v>
      </c>
    </row>
    <row r="31" spans="1:7">
      <c r="A31" t="s">
        <v>690</v>
      </c>
      <c r="B31">
        <v>1</v>
      </c>
      <c r="C31" s="6">
        <f>1579.76 * 1.15</f>
        <v>1816.7239999999999</v>
      </c>
      <c r="D31" t="s">
        <v>24</v>
      </c>
      <c r="E31" t="s">
        <v>216</v>
      </c>
      <c r="F31" s="10">
        <v>44491</v>
      </c>
    </row>
    <row r="32" spans="1:7">
      <c r="A32" t="s">
        <v>691</v>
      </c>
      <c r="B32">
        <v>1</v>
      </c>
      <c r="C32" s="6">
        <f>30.32 * 1.15</f>
        <v>34.867999999999995</v>
      </c>
      <c r="D32" t="s">
        <v>24</v>
      </c>
      <c r="E32" t="s">
        <v>216</v>
      </c>
      <c r="F32" s="10">
        <v>44491</v>
      </c>
    </row>
    <row r="33" spans="1:8">
      <c r="A33" t="s">
        <v>692</v>
      </c>
      <c r="B33">
        <v>1</v>
      </c>
      <c r="C33" s="6">
        <f>159 * 1.15</f>
        <v>182.85</v>
      </c>
      <c r="D33" t="s">
        <v>24</v>
      </c>
      <c r="E33" t="s">
        <v>216</v>
      </c>
      <c r="F33" s="10">
        <v>44491</v>
      </c>
    </row>
    <row r="34" spans="1:8">
      <c r="A34" t="s">
        <v>693</v>
      </c>
      <c r="B34">
        <v>4</v>
      </c>
      <c r="C34" s="6">
        <f>1199.96 * 1.15</f>
        <v>1379.954</v>
      </c>
      <c r="D34" t="s">
        <v>24</v>
      </c>
      <c r="E34" t="s">
        <v>216</v>
      </c>
      <c r="F34" s="10">
        <v>44491</v>
      </c>
    </row>
    <row r="35" spans="1:8">
      <c r="A35" t="s">
        <v>162</v>
      </c>
      <c r="B35">
        <v>1</v>
      </c>
      <c r="C35" s="6">
        <v>12.64</v>
      </c>
      <c r="D35" t="s">
        <v>44</v>
      </c>
      <c r="E35" t="s">
        <v>116</v>
      </c>
      <c r="F35" s="10">
        <v>44492</v>
      </c>
      <c r="G35" s="11" t="s">
        <v>163</v>
      </c>
    </row>
    <row r="36" spans="1:8">
      <c r="A36" t="s">
        <v>164</v>
      </c>
      <c r="B36">
        <v>1</v>
      </c>
      <c r="C36" s="6">
        <v>16.79</v>
      </c>
      <c r="D36" t="s">
        <v>44</v>
      </c>
      <c r="E36" t="s">
        <v>116</v>
      </c>
      <c r="F36" s="10">
        <v>44492</v>
      </c>
      <c r="G36" s="11" t="s">
        <v>165</v>
      </c>
    </row>
    <row r="37" spans="1:8">
      <c r="A37" t="s">
        <v>166</v>
      </c>
      <c r="B37">
        <v>1</v>
      </c>
      <c r="C37" s="6">
        <v>56.69</v>
      </c>
      <c r="D37" t="s">
        <v>44</v>
      </c>
      <c r="E37" t="s">
        <v>116</v>
      </c>
      <c r="F37" s="10">
        <v>44493</v>
      </c>
      <c r="G37" s="11" t="s">
        <v>167</v>
      </c>
    </row>
    <row r="38" spans="1:8">
      <c r="A38" t="s">
        <v>680</v>
      </c>
      <c r="B38">
        <v>1</v>
      </c>
      <c r="C38" s="6">
        <f>8.99 * 1.15</f>
        <v>10.3385</v>
      </c>
      <c r="D38" t="s">
        <v>64</v>
      </c>
      <c r="E38" t="s">
        <v>114</v>
      </c>
      <c r="F38" s="10">
        <v>44494</v>
      </c>
    </row>
    <row r="39" spans="1:8">
      <c r="A39" t="s">
        <v>679</v>
      </c>
      <c r="B39">
        <v>1</v>
      </c>
      <c r="C39" s="6">
        <f>199.99 * 1.15</f>
        <v>229.98849999999999</v>
      </c>
      <c r="D39" t="s">
        <v>44</v>
      </c>
      <c r="E39" t="s">
        <v>114</v>
      </c>
      <c r="F39" s="10">
        <v>44494</v>
      </c>
      <c r="G39" t="s">
        <v>678</v>
      </c>
    </row>
    <row r="40" spans="1:8">
      <c r="A40" t="s">
        <v>232</v>
      </c>
      <c r="B40">
        <v>1</v>
      </c>
      <c r="C40" s="6">
        <v>19.940000000000001</v>
      </c>
      <c r="D40" t="s">
        <v>24</v>
      </c>
      <c r="E40" t="s">
        <v>116</v>
      </c>
      <c r="F40" s="10">
        <v>44496</v>
      </c>
      <c r="H40" t="s">
        <v>835</v>
      </c>
    </row>
    <row r="41" spans="1:8">
      <c r="A41" t="s">
        <v>233</v>
      </c>
      <c r="B41">
        <v>1</v>
      </c>
      <c r="C41" s="6">
        <v>9.76</v>
      </c>
      <c r="D41" t="s">
        <v>24</v>
      </c>
      <c r="E41" t="s">
        <v>116</v>
      </c>
      <c r="F41" s="10">
        <v>44496</v>
      </c>
      <c r="H41" t="s">
        <v>835</v>
      </c>
    </row>
    <row r="42" spans="1:8">
      <c r="A42" t="s">
        <v>234</v>
      </c>
      <c r="B42">
        <v>1</v>
      </c>
      <c r="C42" s="6">
        <v>27.9</v>
      </c>
      <c r="D42" t="s">
        <v>44</v>
      </c>
      <c r="E42" t="s">
        <v>116</v>
      </c>
      <c r="F42" s="10">
        <v>44496</v>
      </c>
      <c r="G42" s="11" t="s">
        <v>235</v>
      </c>
      <c r="H42" t="s">
        <v>835</v>
      </c>
    </row>
    <row r="43" spans="1:8">
      <c r="A43" t="s">
        <v>236</v>
      </c>
      <c r="B43">
        <v>1</v>
      </c>
      <c r="C43" s="6">
        <v>29.45</v>
      </c>
      <c r="D43" t="s">
        <v>24</v>
      </c>
      <c r="E43" t="s">
        <v>116</v>
      </c>
      <c r="F43" s="10">
        <v>44496</v>
      </c>
      <c r="H43" t="s">
        <v>835</v>
      </c>
    </row>
    <row r="44" spans="1:8">
      <c r="A44" t="s">
        <v>237</v>
      </c>
      <c r="B44">
        <v>2</v>
      </c>
      <c r="C44" s="6">
        <v>57.46</v>
      </c>
      <c r="D44" t="s">
        <v>24</v>
      </c>
      <c r="E44" t="s">
        <v>116</v>
      </c>
      <c r="F44" s="10">
        <v>44496</v>
      </c>
    </row>
    <row r="45" spans="1:8">
      <c r="A45" t="s">
        <v>238</v>
      </c>
      <c r="B45">
        <v>1</v>
      </c>
      <c r="C45" s="6">
        <v>22.05</v>
      </c>
      <c r="D45" t="s">
        <v>24</v>
      </c>
      <c r="E45" t="s">
        <v>116</v>
      </c>
      <c r="F45" s="10">
        <v>44496</v>
      </c>
      <c r="G45" s="11" t="s">
        <v>239</v>
      </c>
      <c r="H45" t="s">
        <v>835</v>
      </c>
    </row>
    <row r="46" spans="1:8">
      <c r="A46" t="s">
        <v>240</v>
      </c>
      <c r="B46">
        <v>2</v>
      </c>
      <c r="C46" s="6">
        <v>104.98</v>
      </c>
      <c r="D46" t="s">
        <v>24</v>
      </c>
      <c r="E46" t="s">
        <v>116</v>
      </c>
      <c r="F46" s="10">
        <v>44496</v>
      </c>
      <c r="H46" t="s">
        <v>835</v>
      </c>
    </row>
    <row r="47" spans="1:8">
      <c r="A47" t="s">
        <v>169</v>
      </c>
      <c r="B47">
        <v>1</v>
      </c>
      <c r="C47" s="6">
        <v>30.44</v>
      </c>
      <c r="D47" t="s">
        <v>24</v>
      </c>
      <c r="E47" t="s">
        <v>116</v>
      </c>
      <c r="F47" s="10">
        <v>44496</v>
      </c>
    </row>
    <row r="48" spans="1:8">
      <c r="A48" t="s">
        <v>170</v>
      </c>
      <c r="B48">
        <v>4</v>
      </c>
      <c r="C48" s="6">
        <v>15.74</v>
      </c>
      <c r="D48" t="s">
        <v>26</v>
      </c>
      <c r="E48" t="s">
        <v>116</v>
      </c>
      <c r="F48" s="10">
        <v>44496</v>
      </c>
    </row>
    <row r="49" spans="1:7">
      <c r="A49" t="s">
        <v>171</v>
      </c>
      <c r="B49">
        <v>6</v>
      </c>
      <c r="C49" s="6">
        <v>237.3</v>
      </c>
      <c r="D49" t="s">
        <v>24</v>
      </c>
      <c r="E49" t="s">
        <v>116</v>
      </c>
      <c r="F49" s="10">
        <v>44496</v>
      </c>
      <c r="G49" s="11" t="s">
        <v>172</v>
      </c>
    </row>
    <row r="50" spans="1:7">
      <c r="A50" t="s">
        <v>173</v>
      </c>
      <c r="B50">
        <v>1</v>
      </c>
      <c r="C50" s="6">
        <v>32.18</v>
      </c>
      <c r="D50" t="s">
        <v>24</v>
      </c>
      <c r="E50" t="s">
        <v>116</v>
      </c>
      <c r="F50" s="10">
        <v>44496</v>
      </c>
    </row>
    <row r="51" spans="1:7" ht="17">
      <c r="A51" s="12" t="s">
        <v>241</v>
      </c>
      <c r="B51">
        <v>1</v>
      </c>
      <c r="C51" s="6">
        <v>80.459999999999994</v>
      </c>
      <c r="D51" t="s">
        <v>24</v>
      </c>
      <c r="E51" t="s">
        <v>116</v>
      </c>
      <c r="F51" s="10">
        <v>44496</v>
      </c>
      <c r="G51" s="11" t="s">
        <v>174</v>
      </c>
    </row>
    <row r="52" spans="1:7">
      <c r="A52" t="s">
        <v>175</v>
      </c>
      <c r="B52">
        <v>1</v>
      </c>
      <c r="C52" s="6">
        <v>34.479999999999997</v>
      </c>
      <c r="D52" t="s">
        <v>24</v>
      </c>
      <c r="E52" t="s">
        <v>116</v>
      </c>
      <c r="F52" s="10">
        <v>44496</v>
      </c>
      <c r="G52" s="11" t="s">
        <v>176</v>
      </c>
    </row>
    <row r="53" spans="1:7">
      <c r="A53" t="s">
        <v>177</v>
      </c>
      <c r="B53">
        <v>2</v>
      </c>
      <c r="C53" s="6">
        <v>64.36</v>
      </c>
      <c r="D53" t="s">
        <v>24</v>
      </c>
      <c r="E53" t="s">
        <v>116</v>
      </c>
      <c r="F53" s="10">
        <v>44496</v>
      </c>
      <c r="G53" s="11" t="s">
        <v>178</v>
      </c>
    </row>
    <row r="54" spans="1:7">
      <c r="A54" t="s">
        <v>179</v>
      </c>
      <c r="B54">
        <v>1</v>
      </c>
      <c r="C54" s="6">
        <v>76.33</v>
      </c>
      <c r="D54" t="s">
        <v>24</v>
      </c>
      <c r="E54" t="s">
        <v>116</v>
      </c>
      <c r="F54" s="10">
        <v>44496</v>
      </c>
      <c r="G54" s="11" t="s">
        <v>180</v>
      </c>
    </row>
    <row r="55" spans="1:7">
      <c r="A55" t="s">
        <v>181</v>
      </c>
      <c r="B55">
        <v>1</v>
      </c>
      <c r="C55" s="6">
        <v>37.79</v>
      </c>
      <c r="D55" t="s">
        <v>24</v>
      </c>
      <c r="E55" t="s">
        <v>116</v>
      </c>
      <c r="F55" s="10">
        <v>44496</v>
      </c>
    </row>
    <row r="56" spans="1:7">
      <c r="A56" t="s">
        <v>182</v>
      </c>
      <c r="B56">
        <v>1</v>
      </c>
      <c r="C56" s="6">
        <v>33.83</v>
      </c>
      <c r="D56" t="s">
        <v>24</v>
      </c>
      <c r="E56" t="s">
        <v>116</v>
      </c>
      <c r="F56" s="10">
        <v>44496</v>
      </c>
    </row>
    <row r="57" spans="1:7">
      <c r="A57" t="s">
        <v>183</v>
      </c>
      <c r="B57">
        <v>2</v>
      </c>
      <c r="C57" s="6">
        <v>38.659999999999997</v>
      </c>
      <c r="D57" t="s">
        <v>24</v>
      </c>
      <c r="E57" t="s">
        <v>116</v>
      </c>
      <c r="F57" s="10">
        <v>44496</v>
      </c>
    </row>
    <row r="58" spans="1:7">
      <c r="A58" t="s">
        <v>184</v>
      </c>
      <c r="B58">
        <v>2</v>
      </c>
      <c r="C58" s="6">
        <v>35.46</v>
      </c>
      <c r="D58" t="s">
        <v>24</v>
      </c>
      <c r="E58" t="s">
        <v>116</v>
      </c>
      <c r="F58" s="10">
        <v>44496</v>
      </c>
    </row>
    <row r="59" spans="1:7">
      <c r="A59" t="s">
        <v>185</v>
      </c>
      <c r="B59">
        <v>1</v>
      </c>
      <c r="C59" s="6">
        <v>45.14</v>
      </c>
      <c r="D59" t="s">
        <v>24</v>
      </c>
      <c r="E59" t="s">
        <v>116</v>
      </c>
      <c r="F59" s="10">
        <v>44496</v>
      </c>
    </row>
    <row r="60" spans="1:7">
      <c r="A60" t="s">
        <v>186</v>
      </c>
      <c r="B60">
        <v>1</v>
      </c>
      <c r="C60" s="6">
        <v>24.14</v>
      </c>
      <c r="D60" t="s">
        <v>44</v>
      </c>
      <c r="E60" t="s">
        <v>116</v>
      </c>
      <c r="F60" s="10">
        <v>44496</v>
      </c>
      <c r="G60" s="11" t="s">
        <v>187</v>
      </c>
    </row>
    <row r="61" spans="1:7">
      <c r="A61" t="s">
        <v>188</v>
      </c>
      <c r="B61">
        <v>1</v>
      </c>
      <c r="C61" s="6">
        <v>25.59</v>
      </c>
      <c r="D61" t="s">
        <v>44</v>
      </c>
      <c r="E61" t="s">
        <v>116</v>
      </c>
      <c r="F61" s="10">
        <v>44497</v>
      </c>
      <c r="G61" s="11" t="s">
        <v>189</v>
      </c>
    </row>
    <row r="62" spans="1:7">
      <c r="A62" t="s">
        <v>190</v>
      </c>
      <c r="B62">
        <v>2</v>
      </c>
      <c r="C62" s="6">
        <v>27.29</v>
      </c>
      <c r="D62" t="s">
        <v>24</v>
      </c>
      <c r="E62" t="s">
        <v>116</v>
      </c>
      <c r="F62" s="10">
        <v>44497</v>
      </c>
      <c r="G62" s="11" t="s">
        <v>191</v>
      </c>
    </row>
    <row r="63" spans="1:7">
      <c r="A63" t="s">
        <v>192</v>
      </c>
      <c r="B63">
        <v>1</v>
      </c>
      <c r="C63" s="6">
        <v>152.61000000000001</v>
      </c>
      <c r="D63" t="s">
        <v>24</v>
      </c>
      <c r="E63" t="s">
        <v>116</v>
      </c>
      <c r="F63" s="10">
        <v>44497</v>
      </c>
    </row>
    <row r="64" spans="1:7">
      <c r="A64" t="s">
        <v>193</v>
      </c>
      <c r="B64">
        <v>2</v>
      </c>
      <c r="C64" s="6">
        <v>21.89</v>
      </c>
      <c r="D64" t="s">
        <v>24</v>
      </c>
      <c r="E64" t="s">
        <v>116</v>
      </c>
      <c r="F64" s="10">
        <v>44497</v>
      </c>
      <c r="G64" s="11" t="s">
        <v>194</v>
      </c>
    </row>
    <row r="65" spans="1:8">
      <c r="A65" t="s">
        <v>686</v>
      </c>
      <c r="B65">
        <v>3</v>
      </c>
      <c r="C65" s="6">
        <f>16.17 *1.15</f>
        <v>18.595500000000001</v>
      </c>
      <c r="D65" t="s">
        <v>24</v>
      </c>
      <c r="E65" t="s">
        <v>195</v>
      </c>
      <c r="F65" s="10">
        <v>44498</v>
      </c>
    </row>
    <row r="66" spans="1:8">
      <c r="A66" t="s">
        <v>682</v>
      </c>
      <c r="B66">
        <v>1</v>
      </c>
      <c r="C66" s="6">
        <v>22</v>
      </c>
      <c r="D66" t="s">
        <v>70</v>
      </c>
      <c r="E66" t="s">
        <v>683</v>
      </c>
      <c r="F66" s="10">
        <v>44498</v>
      </c>
    </row>
    <row r="67" spans="1:8">
      <c r="A67" t="s">
        <v>684</v>
      </c>
      <c r="B67">
        <v>1</v>
      </c>
      <c r="C67" s="6">
        <f>60 * 1.15</f>
        <v>69</v>
      </c>
      <c r="D67" t="s">
        <v>24</v>
      </c>
      <c r="E67" t="s">
        <v>195</v>
      </c>
      <c r="F67" s="10">
        <v>44498</v>
      </c>
    </row>
    <row r="68" spans="1:8">
      <c r="A68" t="s">
        <v>685</v>
      </c>
      <c r="B68">
        <v>11</v>
      </c>
      <c r="C68" s="6">
        <f>59.29 * 1.15</f>
        <v>68.183499999999995</v>
      </c>
      <c r="D68" t="s">
        <v>24</v>
      </c>
      <c r="E68" t="s">
        <v>195</v>
      </c>
      <c r="F68" s="10">
        <v>44498</v>
      </c>
    </row>
    <row r="69" spans="1:8">
      <c r="A69" t="s">
        <v>88</v>
      </c>
      <c r="B69">
        <v>8</v>
      </c>
      <c r="C69" s="6">
        <v>13.8</v>
      </c>
      <c r="D69" t="s">
        <v>64</v>
      </c>
      <c r="E69" t="s">
        <v>94</v>
      </c>
      <c r="F69" s="10">
        <v>44501</v>
      </c>
    </row>
    <row r="70" spans="1:8">
      <c r="A70" s="7" t="s">
        <v>196</v>
      </c>
      <c r="B70" s="7">
        <v>1</v>
      </c>
      <c r="C70" s="13">
        <v>27.12</v>
      </c>
      <c r="D70" s="7" t="s">
        <v>24</v>
      </c>
      <c r="E70" s="7" t="s">
        <v>116</v>
      </c>
      <c r="F70" s="10">
        <v>44502</v>
      </c>
      <c r="G70" s="11" t="s">
        <v>197</v>
      </c>
    </row>
    <row r="71" spans="1:8">
      <c r="A71" t="s">
        <v>198</v>
      </c>
      <c r="B71">
        <v>1</v>
      </c>
      <c r="C71" s="6">
        <v>97.72</v>
      </c>
      <c r="D71" t="s">
        <v>44</v>
      </c>
      <c r="E71" t="s">
        <v>116</v>
      </c>
      <c r="F71" s="10">
        <v>44502</v>
      </c>
      <c r="G71" s="11" t="s">
        <v>199</v>
      </c>
    </row>
    <row r="72" spans="1:8">
      <c r="A72" t="s">
        <v>66</v>
      </c>
      <c r="C72" s="6">
        <v>21.98</v>
      </c>
      <c r="E72" t="s">
        <v>67</v>
      </c>
      <c r="F72" s="9">
        <v>44504</v>
      </c>
    </row>
    <row r="73" spans="1:8">
      <c r="A73" t="s">
        <v>650</v>
      </c>
      <c r="B73">
        <v>9</v>
      </c>
      <c r="C73" s="6">
        <f>(119.82 + 29.91) * 1.15</f>
        <v>172.18949999999998</v>
      </c>
      <c r="D73" t="s">
        <v>44</v>
      </c>
      <c r="E73" t="s">
        <v>200</v>
      </c>
      <c r="F73" s="8">
        <v>44506</v>
      </c>
    </row>
    <row r="74" spans="1:8">
      <c r="A74" s="27" t="s">
        <v>648</v>
      </c>
      <c r="B74">
        <v>1</v>
      </c>
      <c r="C74" s="6">
        <f>58.98 * 1.15</f>
        <v>67.826999999999998</v>
      </c>
      <c r="D74" t="s">
        <v>44</v>
      </c>
      <c r="E74" t="s">
        <v>200</v>
      </c>
      <c r="F74" s="8">
        <v>44506</v>
      </c>
    </row>
    <row r="75" spans="1:8">
      <c r="A75" t="s">
        <v>651</v>
      </c>
      <c r="B75">
        <v>1</v>
      </c>
      <c r="C75" s="6">
        <f>7.86 * 1.15</f>
        <v>9.0389999999999997</v>
      </c>
      <c r="D75" t="s">
        <v>47</v>
      </c>
      <c r="E75" t="s">
        <v>200</v>
      </c>
      <c r="F75" s="8">
        <v>44506</v>
      </c>
    </row>
    <row r="76" spans="1:8">
      <c r="A76" t="s">
        <v>649</v>
      </c>
      <c r="B76">
        <v>10</v>
      </c>
      <c r="C76" s="6">
        <f>7.6 * 1.15</f>
        <v>8.7399999999999984</v>
      </c>
      <c r="D76" t="s">
        <v>47</v>
      </c>
      <c r="E76" t="s">
        <v>200</v>
      </c>
      <c r="F76" s="8">
        <v>44506</v>
      </c>
    </row>
    <row r="77" spans="1:8">
      <c r="A77" t="s">
        <v>652</v>
      </c>
      <c r="C77" s="6">
        <f>1.96*1.15</f>
        <v>2.254</v>
      </c>
      <c r="D77" t="s">
        <v>64</v>
      </c>
      <c r="E77" t="s">
        <v>200</v>
      </c>
      <c r="F77" s="8">
        <v>44506</v>
      </c>
    </row>
    <row r="78" spans="1:8">
      <c r="A78" t="s">
        <v>201</v>
      </c>
      <c r="C78" s="6">
        <v>14.5</v>
      </c>
      <c r="D78" t="s">
        <v>202</v>
      </c>
      <c r="E78" t="s">
        <v>203</v>
      </c>
      <c r="F78" s="9">
        <v>44507</v>
      </c>
    </row>
    <row r="79" spans="1:8">
      <c r="A79" t="s">
        <v>204</v>
      </c>
      <c r="C79" s="6">
        <v>91.37</v>
      </c>
      <c r="E79" t="s">
        <v>200</v>
      </c>
      <c r="F79" s="8">
        <v>44508</v>
      </c>
      <c r="H79" t="s">
        <v>168</v>
      </c>
    </row>
    <row r="80" spans="1:8">
      <c r="A80" t="s">
        <v>205</v>
      </c>
      <c r="C80" s="6">
        <v>384.35</v>
      </c>
      <c r="D80" t="s">
        <v>47</v>
      </c>
      <c r="E80" t="s">
        <v>56</v>
      </c>
      <c r="F80" s="9">
        <v>44508</v>
      </c>
      <c r="H80" t="s">
        <v>168</v>
      </c>
    </row>
    <row r="81" spans="1:7">
      <c r="A81" t="s">
        <v>681</v>
      </c>
      <c r="B81">
        <v>1</v>
      </c>
      <c r="C81" s="6">
        <f>9.29 * 1.15</f>
        <v>10.683499999999999</v>
      </c>
      <c r="D81" t="s">
        <v>47</v>
      </c>
      <c r="E81" t="s">
        <v>114</v>
      </c>
      <c r="F81" s="8">
        <v>44508</v>
      </c>
    </row>
    <row r="82" spans="1:7">
      <c r="A82" t="s">
        <v>46</v>
      </c>
      <c r="B82">
        <v>6</v>
      </c>
      <c r="C82" s="6">
        <v>361.6</v>
      </c>
      <c r="D82" t="s">
        <v>47</v>
      </c>
      <c r="E82" t="s">
        <v>48</v>
      </c>
      <c r="F82" s="8">
        <v>44508</v>
      </c>
    </row>
    <row r="83" spans="1:7">
      <c r="A83" t="s">
        <v>673</v>
      </c>
      <c r="B83">
        <v>14</v>
      </c>
      <c r="C83" s="6">
        <f>22.99 * 1.15</f>
        <v>26.438499999999998</v>
      </c>
      <c r="D83" t="s">
        <v>44</v>
      </c>
      <c r="E83" t="s">
        <v>114</v>
      </c>
      <c r="F83" s="8">
        <v>44517</v>
      </c>
      <c r="G83" t="s">
        <v>672</v>
      </c>
    </row>
    <row r="84" spans="1:7">
      <c r="A84" t="s">
        <v>675</v>
      </c>
      <c r="B84">
        <v>10</v>
      </c>
      <c r="C84" s="6">
        <f>9.99 * 1.15</f>
        <v>11.4885</v>
      </c>
      <c r="D84" t="s">
        <v>44</v>
      </c>
      <c r="E84" t="s">
        <v>114</v>
      </c>
      <c r="F84" s="8">
        <v>44517</v>
      </c>
      <c r="G84" t="s">
        <v>674</v>
      </c>
    </row>
    <row r="85" spans="1:7">
      <c r="A85" t="s">
        <v>677</v>
      </c>
      <c r="B85">
        <v>3</v>
      </c>
      <c r="C85" s="6">
        <f>17.97 * 1.15</f>
        <v>20.665499999999998</v>
      </c>
      <c r="D85" t="s">
        <v>44</v>
      </c>
      <c r="E85" t="s">
        <v>114</v>
      </c>
      <c r="F85" s="8">
        <v>44517</v>
      </c>
      <c r="G85" t="s">
        <v>676</v>
      </c>
    </row>
    <row r="86" spans="1:7">
      <c r="A86" t="s">
        <v>653</v>
      </c>
      <c r="B86">
        <v>2</v>
      </c>
      <c r="C86" s="6">
        <f>27.88 * 1.15</f>
        <v>32.061999999999998</v>
      </c>
      <c r="D86" t="s">
        <v>47</v>
      </c>
      <c r="E86" t="s">
        <v>200</v>
      </c>
      <c r="F86" s="8">
        <v>44525</v>
      </c>
    </row>
    <row r="87" spans="1:7">
      <c r="A87" t="s">
        <v>654</v>
      </c>
      <c r="B87">
        <v>1</v>
      </c>
      <c r="C87" s="6">
        <f>36.71 * 1.15</f>
        <v>42.216499999999996</v>
      </c>
      <c r="D87" t="s">
        <v>47</v>
      </c>
      <c r="E87" t="s">
        <v>200</v>
      </c>
      <c r="F87" s="8">
        <v>44525</v>
      </c>
    </row>
    <row r="88" spans="1:7">
      <c r="A88" t="s">
        <v>655</v>
      </c>
      <c r="B88">
        <v>2</v>
      </c>
      <c r="C88" s="6">
        <f>45.16 * 1.15</f>
        <v>51.93399999999999</v>
      </c>
      <c r="D88" t="s">
        <v>47</v>
      </c>
      <c r="E88" t="s">
        <v>200</v>
      </c>
      <c r="F88" s="8">
        <v>44525</v>
      </c>
    </row>
    <row r="89" spans="1:7">
      <c r="A89" t="s">
        <v>656</v>
      </c>
      <c r="B89">
        <v>2</v>
      </c>
      <c r="C89" s="6">
        <f>12.16 *1.15</f>
        <v>13.983999999999998</v>
      </c>
      <c r="D89" t="s">
        <v>47</v>
      </c>
      <c r="E89" t="s">
        <v>200</v>
      </c>
      <c r="F89" s="8">
        <v>44525</v>
      </c>
    </row>
    <row r="90" spans="1:7">
      <c r="A90" t="s">
        <v>657</v>
      </c>
      <c r="B90">
        <v>2</v>
      </c>
      <c r="C90" s="6">
        <f>7.24 * 1.15</f>
        <v>8.3259999999999987</v>
      </c>
      <c r="D90" t="s">
        <v>47</v>
      </c>
      <c r="E90" t="s">
        <v>200</v>
      </c>
      <c r="F90" s="8">
        <v>44525</v>
      </c>
    </row>
    <row r="91" spans="1:7">
      <c r="A91" t="s">
        <v>658</v>
      </c>
      <c r="B91">
        <v>6</v>
      </c>
      <c r="C91" s="6">
        <f>12.6 * 1.15</f>
        <v>14.489999999999998</v>
      </c>
      <c r="D91" t="s">
        <v>47</v>
      </c>
      <c r="E91" t="s">
        <v>200</v>
      </c>
      <c r="F91" s="8">
        <v>44525</v>
      </c>
    </row>
    <row r="92" spans="1:7">
      <c r="A92" t="s">
        <v>659</v>
      </c>
      <c r="B92">
        <v>1</v>
      </c>
      <c r="C92" s="6">
        <f>3.77 * 1.15</f>
        <v>4.3354999999999997</v>
      </c>
      <c r="D92" t="s">
        <v>44</v>
      </c>
      <c r="E92" t="s">
        <v>200</v>
      </c>
      <c r="F92" s="8">
        <v>44525</v>
      </c>
    </row>
    <row r="93" spans="1:7">
      <c r="A93" t="s">
        <v>660</v>
      </c>
      <c r="B93">
        <v>1</v>
      </c>
      <c r="C93" s="6">
        <f>2.97 * 1.15</f>
        <v>3.4154999999999998</v>
      </c>
      <c r="D93" t="s">
        <v>44</v>
      </c>
      <c r="E93" t="s">
        <v>200</v>
      </c>
      <c r="F93" s="8">
        <v>44525</v>
      </c>
    </row>
    <row r="94" spans="1:7">
      <c r="A94" t="s">
        <v>661</v>
      </c>
      <c r="B94">
        <v>2</v>
      </c>
      <c r="C94" s="6">
        <f>9.96 *1.15</f>
        <v>11.454000000000001</v>
      </c>
      <c r="D94" t="s">
        <v>47</v>
      </c>
      <c r="E94" t="s">
        <v>200</v>
      </c>
      <c r="F94" s="8">
        <v>44525</v>
      </c>
    </row>
    <row r="95" spans="1:7">
      <c r="A95" t="s">
        <v>662</v>
      </c>
      <c r="B95">
        <v>1</v>
      </c>
      <c r="C95" s="6">
        <f>13.63 *1.15</f>
        <v>15.6745</v>
      </c>
      <c r="D95" t="s">
        <v>44</v>
      </c>
      <c r="E95" t="s">
        <v>200</v>
      </c>
      <c r="F95" s="8">
        <v>44525</v>
      </c>
    </row>
    <row r="96" spans="1:7">
      <c r="A96" t="s">
        <v>663</v>
      </c>
      <c r="B96">
        <v>1</v>
      </c>
      <c r="C96" s="6">
        <f>13.2 * 1.15</f>
        <v>15.179999999999998</v>
      </c>
      <c r="D96" t="s">
        <v>47</v>
      </c>
      <c r="E96" t="s">
        <v>200</v>
      </c>
      <c r="F96" s="32">
        <v>44525</v>
      </c>
    </row>
    <row r="97" spans="1:6">
      <c r="A97" t="s">
        <v>664</v>
      </c>
      <c r="B97">
        <v>5</v>
      </c>
      <c r="C97" s="6">
        <f>154.75 * 1.15</f>
        <v>177.96249999999998</v>
      </c>
      <c r="D97" t="s">
        <v>47</v>
      </c>
      <c r="E97" t="s">
        <v>48</v>
      </c>
      <c r="F97" s="32">
        <v>44525</v>
      </c>
    </row>
    <row r="98" spans="1:6">
      <c r="A98" t="s">
        <v>665</v>
      </c>
      <c r="B98">
        <v>3</v>
      </c>
      <c r="C98" s="6">
        <f>2.97 * 1.15</f>
        <v>3.4154999999999998</v>
      </c>
      <c r="D98" t="s">
        <v>47</v>
      </c>
      <c r="E98" t="s">
        <v>48</v>
      </c>
      <c r="F98" s="32">
        <v>44525</v>
      </c>
    </row>
    <row r="99" spans="1:6">
      <c r="A99" t="s">
        <v>871</v>
      </c>
      <c r="B99">
        <v>1</v>
      </c>
      <c r="C99" s="6">
        <f>89.95 * 1.15</f>
        <v>103.4425</v>
      </c>
      <c r="D99" t="s">
        <v>47</v>
      </c>
      <c r="E99" t="s">
        <v>48</v>
      </c>
      <c r="F99" s="32">
        <v>44525</v>
      </c>
    </row>
    <row r="100" spans="1:6">
      <c r="A100" t="s">
        <v>666</v>
      </c>
      <c r="B100">
        <v>1</v>
      </c>
      <c r="C100" s="6">
        <f>1.95 * 1.15</f>
        <v>2.2424999999999997</v>
      </c>
      <c r="D100" t="s">
        <v>64</v>
      </c>
      <c r="E100" t="s">
        <v>48</v>
      </c>
      <c r="F100" s="32">
        <v>44525</v>
      </c>
    </row>
    <row r="101" spans="1:6">
      <c r="A101" t="s">
        <v>667</v>
      </c>
      <c r="B101">
        <v>1</v>
      </c>
      <c r="C101" s="6">
        <f>1.59 * 1.15</f>
        <v>1.8285</v>
      </c>
      <c r="D101" t="s">
        <v>64</v>
      </c>
      <c r="E101" t="s">
        <v>48</v>
      </c>
      <c r="F101" s="32">
        <v>44525</v>
      </c>
    </row>
    <row r="102" spans="1:6">
      <c r="A102" t="s">
        <v>668</v>
      </c>
      <c r="B102">
        <v>1</v>
      </c>
      <c r="C102" s="6">
        <f>1.59 * 1.15</f>
        <v>1.8285</v>
      </c>
      <c r="D102" t="s">
        <v>64</v>
      </c>
      <c r="E102" t="s">
        <v>48</v>
      </c>
      <c r="F102" s="32">
        <v>44525</v>
      </c>
    </row>
    <row r="103" spans="1:6">
      <c r="A103" t="s">
        <v>669</v>
      </c>
      <c r="B103">
        <v>2</v>
      </c>
      <c r="C103" s="6">
        <f>4.18 * 1.15</f>
        <v>4.8069999999999995</v>
      </c>
      <c r="D103" t="s">
        <v>64</v>
      </c>
      <c r="E103" t="s">
        <v>48</v>
      </c>
      <c r="F103" s="32">
        <v>44525</v>
      </c>
    </row>
    <row r="104" spans="1:6">
      <c r="A104" t="s">
        <v>670</v>
      </c>
      <c r="B104">
        <v>1</v>
      </c>
      <c r="C104" s="6">
        <f>34.95 * 1.15</f>
        <v>40.192500000000003</v>
      </c>
      <c r="D104" t="s">
        <v>44</v>
      </c>
      <c r="E104" t="s">
        <v>48</v>
      </c>
      <c r="F104" s="32">
        <v>44525</v>
      </c>
    </row>
    <row r="105" spans="1:6">
      <c r="A105" t="s">
        <v>671</v>
      </c>
      <c r="B105">
        <v>2</v>
      </c>
      <c r="C105" s="6">
        <f>10.9 * 1.15</f>
        <v>12.535</v>
      </c>
      <c r="D105" t="s">
        <v>47</v>
      </c>
      <c r="E105" t="s">
        <v>48</v>
      </c>
      <c r="F105" s="32">
        <v>44525</v>
      </c>
    </row>
    <row r="106" spans="1:6">
      <c r="A106" t="s">
        <v>695</v>
      </c>
      <c r="C106" s="6">
        <v>13.8</v>
      </c>
      <c r="D106" t="s">
        <v>47</v>
      </c>
      <c r="E106" t="s">
        <v>696</v>
      </c>
      <c r="F106" s="33">
        <v>44527</v>
      </c>
    </row>
    <row r="107" spans="1:6">
      <c r="A107" t="s">
        <v>702</v>
      </c>
      <c r="B107">
        <v>2</v>
      </c>
      <c r="C107" s="6">
        <f>115.98 * 1.15</f>
        <v>133.37699999999998</v>
      </c>
      <c r="D107" t="s">
        <v>64</v>
      </c>
      <c r="E107" t="s">
        <v>114</v>
      </c>
      <c r="F107" s="33">
        <v>44532</v>
      </c>
    </row>
    <row r="108" spans="1:6">
      <c r="A108" t="s">
        <v>703</v>
      </c>
      <c r="B108">
        <v>1</v>
      </c>
      <c r="C108" s="6">
        <f>7.99 * 1.15</f>
        <v>9.1884999999999994</v>
      </c>
      <c r="D108" t="s">
        <v>64</v>
      </c>
      <c r="E108" t="s">
        <v>114</v>
      </c>
      <c r="F108" s="33">
        <v>44532</v>
      </c>
    </row>
    <row r="109" spans="1:6">
      <c r="A109" t="s">
        <v>704</v>
      </c>
      <c r="B109">
        <v>1</v>
      </c>
      <c r="C109" s="6">
        <f>12.99 * 1.15</f>
        <v>14.938499999999999</v>
      </c>
      <c r="D109" t="s">
        <v>47</v>
      </c>
      <c r="E109" t="s">
        <v>114</v>
      </c>
      <c r="F109" s="33">
        <v>44532</v>
      </c>
    </row>
    <row r="110" spans="1:6">
      <c r="A110" t="s">
        <v>705</v>
      </c>
      <c r="B110">
        <v>1</v>
      </c>
      <c r="C110" s="6">
        <f>9.99 * 1.15</f>
        <v>11.4885</v>
      </c>
      <c r="D110" t="s">
        <v>64</v>
      </c>
      <c r="E110" t="s">
        <v>114</v>
      </c>
      <c r="F110" s="33">
        <v>44532</v>
      </c>
    </row>
    <row r="111" spans="1:6">
      <c r="A111" t="s">
        <v>700</v>
      </c>
      <c r="B111">
        <v>3</v>
      </c>
      <c r="C111" s="6">
        <f>35.91 * 1.15</f>
        <v>41.296499999999995</v>
      </c>
      <c r="D111" t="s">
        <v>44</v>
      </c>
      <c r="E111" t="s">
        <v>200</v>
      </c>
      <c r="F111" s="10">
        <v>44534</v>
      </c>
    </row>
    <row r="112" spans="1:6">
      <c r="A112" t="s">
        <v>701</v>
      </c>
      <c r="B112">
        <v>1</v>
      </c>
      <c r="C112" s="6">
        <f>9.87 * 1.15</f>
        <v>11.350499999999998</v>
      </c>
      <c r="D112" t="s">
        <v>44</v>
      </c>
      <c r="E112" t="s">
        <v>200</v>
      </c>
      <c r="F112" s="10">
        <v>44534</v>
      </c>
    </row>
    <row r="113" spans="1:6">
      <c r="A113" t="s">
        <v>728</v>
      </c>
      <c r="B113">
        <v>1</v>
      </c>
      <c r="C113" s="6">
        <v>101.69</v>
      </c>
      <c r="D113" t="s">
        <v>734</v>
      </c>
      <c r="E113" t="s">
        <v>116</v>
      </c>
      <c r="F113" s="10">
        <v>44537</v>
      </c>
    </row>
    <row r="114" spans="1:6">
      <c r="A114" t="s">
        <v>729</v>
      </c>
      <c r="B114">
        <v>5</v>
      </c>
      <c r="C114" s="6">
        <v>48.58</v>
      </c>
      <c r="D114" t="s">
        <v>734</v>
      </c>
      <c r="E114" t="s">
        <v>116</v>
      </c>
      <c r="F114" s="10">
        <v>44537</v>
      </c>
    </row>
    <row r="115" spans="1:6">
      <c r="A115" t="s">
        <v>730</v>
      </c>
      <c r="B115">
        <v>2</v>
      </c>
      <c r="C115" s="6">
        <v>38.4</v>
      </c>
      <c r="D115" t="s">
        <v>47</v>
      </c>
      <c r="E115" t="s">
        <v>116</v>
      </c>
      <c r="F115" s="10">
        <v>44537</v>
      </c>
    </row>
    <row r="116" spans="1:6">
      <c r="A116" t="s">
        <v>731</v>
      </c>
      <c r="B116">
        <v>20</v>
      </c>
      <c r="C116" s="6">
        <v>22.59</v>
      </c>
      <c r="D116" t="s">
        <v>734</v>
      </c>
      <c r="E116" t="s">
        <v>116</v>
      </c>
      <c r="F116" s="10">
        <v>44537</v>
      </c>
    </row>
    <row r="117" spans="1:6">
      <c r="A117" t="s">
        <v>732</v>
      </c>
      <c r="B117">
        <v>6</v>
      </c>
      <c r="C117" s="6">
        <v>11.29</v>
      </c>
      <c r="D117" t="s">
        <v>734</v>
      </c>
      <c r="E117" t="s">
        <v>116</v>
      </c>
      <c r="F117" s="10">
        <v>44537</v>
      </c>
    </row>
    <row r="118" spans="1:6">
      <c r="A118" t="s">
        <v>733</v>
      </c>
      <c r="B118">
        <v>1</v>
      </c>
      <c r="C118" s="6">
        <v>58.75</v>
      </c>
      <c r="D118" t="s">
        <v>734</v>
      </c>
      <c r="E118" t="s">
        <v>116</v>
      </c>
      <c r="F118" s="10">
        <v>44537</v>
      </c>
    </row>
    <row r="119" spans="1:6">
      <c r="A119" t="s">
        <v>735</v>
      </c>
      <c r="B119">
        <v>1</v>
      </c>
      <c r="C119" s="6">
        <v>19.2</v>
      </c>
      <c r="D119" t="s">
        <v>47</v>
      </c>
      <c r="E119" t="s">
        <v>116</v>
      </c>
      <c r="F119" s="10">
        <v>44537</v>
      </c>
    </row>
    <row r="120" spans="1:6">
      <c r="A120" t="s">
        <v>727</v>
      </c>
      <c r="B120">
        <v>1</v>
      </c>
      <c r="C120" s="6">
        <v>33.450000000000003</v>
      </c>
      <c r="D120" t="s">
        <v>734</v>
      </c>
      <c r="E120" t="s">
        <v>116</v>
      </c>
      <c r="F120" s="10">
        <v>44538</v>
      </c>
    </row>
    <row r="121" spans="1:6">
      <c r="A121" t="s">
        <v>761</v>
      </c>
      <c r="B121">
        <v>1</v>
      </c>
      <c r="C121" s="6">
        <f>7.77 * 1.15</f>
        <v>8.9354999999999993</v>
      </c>
      <c r="D121" t="s">
        <v>47</v>
      </c>
      <c r="E121" t="s">
        <v>200</v>
      </c>
      <c r="F121" s="10">
        <v>44538</v>
      </c>
    </row>
    <row r="122" spans="1:6">
      <c r="A122" t="s">
        <v>762</v>
      </c>
      <c r="B122">
        <v>50</v>
      </c>
      <c r="C122" s="6">
        <f>36.73 * 1.15</f>
        <v>42.239499999999992</v>
      </c>
      <c r="D122" t="s">
        <v>64</v>
      </c>
      <c r="E122" t="s">
        <v>200</v>
      </c>
      <c r="F122" s="10">
        <v>44538</v>
      </c>
    </row>
    <row r="123" spans="1:6">
      <c r="A123" t="s">
        <v>655</v>
      </c>
      <c r="B123">
        <v>3</v>
      </c>
      <c r="C123" s="6">
        <f>43.5 * 1.15</f>
        <v>50.024999999999999</v>
      </c>
      <c r="D123" t="s">
        <v>47</v>
      </c>
      <c r="E123" t="s">
        <v>200</v>
      </c>
      <c r="F123" s="10">
        <v>44538</v>
      </c>
    </row>
    <row r="124" spans="1:6">
      <c r="A124" t="s">
        <v>763</v>
      </c>
      <c r="B124">
        <v>3</v>
      </c>
      <c r="C124" s="6">
        <f>39.72 * 1.15</f>
        <v>45.677999999999997</v>
      </c>
      <c r="D124" t="s">
        <v>47</v>
      </c>
      <c r="E124" t="s">
        <v>200</v>
      </c>
      <c r="F124" s="10">
        <v>44538</v>
      </c>
    </row>
    <row r="125" spans="1:6">
      <c r="A125" t="s">
        <v>704</v>
      </c>
      <c r="B125">
        <v>2</v>
      </c>
      <c r="C125" s="6">
        <v>23.87</v>
      </c>
      <c r="D125" t="s">
        <v>47</v>
      </c>
      <c r="E125" t="s">
        <v>200</v>
      </c>
      <c r="F125" s="10">
        <v>44539</v>
      </c>
    </row>
    <row r="126" spans="1:6">
      <c r="A126" t="s">
        <v>736</v>
      </c>
      <c r="B126">
        <v>1</v>
      </c>
      <c r="C126" s="6">
        <v>22.6</v>
      </c>
      <c r="D126" t="s">
        <v>47</v>
      </c>
      <c r="E126" t="s">
        <v>737</v>
      </c>
      <c r="F126" s="10">
        <v>44539</v>
      </c>
    </row>
    <row r="127" spans="1:6">
      <c r="A127" t="s">
        <v>738</v>
      </c>
      <c r="B127">
        <v>1</v>
      </c>
      <c r="C127" s="6">
        <v>41.57</v>
      </c>
      <c r="D127" t="s">
        <v>47</v>
      </c>
      <c r="E127" t="s">
        <v>739</v>
      </c>
      <c r="F127" s="10">
        <v>44539</v>
      </c>
    </row>
    <row r="128" spans="1:6">
      <c r="A128" t="s">
        <v>760</v>
      </c>
      <c r="B128">
        <v>1</v>
      </c>
      <c r="C128" s="6">
        <v>160</v>
      </c>
      <c r="D128" t="s">
        <v>734</v>
      </c>
      <c r="E128" t="s">
        <v>759</v>
      </c>
      <c r="F128" s="10">
        <v>44539</v>
      </c>
    </row>
    <row r="129" spans="1:6">
      <c r="A129" t="s">
        <v>765</v>
      </c>
      <c r="B129">
        <v>6</v>
      </c>
      <c r="C129" s="6">
        <v>157.13999999999999</v>
      </c>
      <c r="D129" t="s">
        <v>47</v>
      </c>
      <c r="E129" t="s">
        <v>200</v>
      </c>
      <c r="F129" s="10">
        <v>44542</v>
      </c>
    </row>
    <row r="130" spans="1:6">
      <c r="A130" t="s">
        <v>766</v>
      </c>
      <c r="B130">
        <v>1</v>
      </c>
      <c r="C130" s="6">
        <v>65.48</v>
      </c>
      <c r="D130" t="s">
        <v>47</v>
      </c>
      <c r="E130" t="s">
        <v>200</v>
      </c>
      <c r="F130" s="10">
        <v>44542</v>
      </c>
    </row>
    <row r="131" spans="1:6">
      <c r="A131" t="s">
        <v>767</v>
      </c>
      <c r="B131">
        <v>14</v>
      </c>
      <c r="C131" s="6">
        <v>32.24</v>
      </c>
      <c r="D131" t="s">
        <v>47</v>
      </c>
      <c r="E131" t="s">
        <v>768</v>
      </c>
      <c r="F131" s="10">
        <v>44542</v>
      </c>
    </row>
    <row r="132" spans="1:6">
      <c r="A132" t="s">
        <v>764</v>
      </c>
      <c r="B132">
        <v>5</v>
      </c>
      <c r="C132" s="6">
        <f>7.97 * 1.15 * 5</f>
        <v>45.827500000000001</v>
      </c>
      <c r="D132" t="s">
        <v>47</v>
      </c>
      <c r="E132" t="s">
        <v>873</v>
      </c>
      <c r="F132" s="10">
        <v>44543</v>
      </c>
    </row>
    <row r="133" spans="1:6">
      <c r="A133" t="s">
        <v>837</v>
      </c>
      <c r="B133">
        <v>1</v>
      </c>
      <c r="C133" s="6">
        <f>89 * 1.13</f>
        <v>100.57</v>
      </c>
      <c r="D133" t="s">
        <v>821</v>
      </c>
      <c r="E133" t="s">
        <v>836</v>
      </c>
      <c r="F133" s="10">
        <v>44557</v>
      </c>
    </row>
    <row r="134" spans="1:6">
      <c r="A134" t="s">
        <v>838</v>
      </c>
      <c r="B134">
        <v>1</v>
      </c>
      <c r="C134" s="6">
        <f>11.99 * 1.13</f>
        <v>13.548699999999998</v>
      </c>
      <c r="D134" t="s">
        <v>821</v>
      </c>
      <c r="E134" t="s">
        <v>836</v>
      </c>
      <c r="F134" s="10">
        <v>44557</v>
      </c>
    </row>
    <row r="135" spans="1:6" ht="17">
      <c r="A135" s="12" t="s">
        <v>839</v>
      </c>
      <c r="B135">
        <v>1</v>
      </c>
      <c r="C135" s="6">
        <f>29.99 * 1.13</f>
        <v>33.888699999999993</v>
      </c>
      <c r="D135" t="s">
        <v>821</v>
      </c>
      <c r="E135" t="s">
        <v>836</v>
      </c>
      <c r="F135" s="10">
        <v>44557</v>
      </c>
    </row>
    <row r="136" spans="1:6">
      <c r="A136" t="s">
        <v>840</v>
      </c>
      <c r="B136">
        <v>1</v>
      </c>
      <c r="C136" s="6">
        <f>19.99 * 1.13</f>
        <v>22.588699999999996</v>
      </c>
      <c r="D136" t="s">
        <v>821</v>
      </c>
      <c r="E136" t="s">
        <v>836</v>
      </c>
      <c r="F136" s="10">
        <v>44557</v>
      </c>
    </row>
    <row r="137" spans="1:6" ht="17">
      <c r="A137" s="12" t="s">
        <v>841</v>
      </c>
      <c r="B137">
        <v>1</v>
      </c>
      <c r="C137" s="6">
        <f>29.99 * 1.13</f>
        <v>33.888699999999993</v>
      </c>
      <c r="D137" t="s">
        <v>821</v>
      </c>
      <c r="E137" t="s">
        <v>836</v>
      </c>
      <c r="F137" s="10">
        <v>44557</v>
      </c>
    </row>
    <row r="138" spans="1:6">
      <c r="A138" t="s">
        <v>820</v>
      </c>
      <c r="B138">
        <v>1</v>
      </c>
      <c r="C138" s="6">
        <f>4 * 1.13</f>
        <v>4.5199999999999996</v>
      </c>
      <c r="D138" t="s">
        <v>821</v>
      </c>
      <c r="E138" t="s">
        <v>822</v>
      </c>
      <c r="F138" s="10">
        <v>44561</v>
      </c>
    </row>
    <row r="139" spans="1:6">
      <c r="A139" t="s">
        <v>823</v>
      </c>
      <c r="B139">
        <v>1</v>
      </c>
      <c r="C139" s="6">
        <v>1.25</v>
      </c>
      <c r="D139" t="s">
        <v>821</v>
      </c>
      <c r="E139" t="s">
        <v>822</v>
      </c>
      <c r="F139" s="10">
        <v>44561</v>
      </c>
    </row>
    <row r="140" spans="1:6">
      <c r="A140" t="s">
        <v>824</v>
      </c>
      <c r="B140">
        <v>1</v>
      </c>
      <c r="C140" s="6">
        <f>2.5 * 1.13</f>
        <v>2.8249999999999997</v>
      </c>
      <c r="D140" t="s">
        <v>821</v>
      </c>
      <c r="E140" t="s">
        <v>822</v>
      </c>
      <c r="F140" s="10">
        <v>44561</v>
      </c>
    </row>
    <row r="141" spans="1:6">
      <c r="A141" t="s">
        <v>825</v>
      </c>
      <c r="B141">
        <v>3</v>
      </c>
      <c r="C141" s="6">
        <f xml:space="preserve"> 3 * 1.13</f>
        <v>3.3899999999999997</v>
      </c>
      <c r="D141" t="s">
        <v>821</v>
      </c>
      <c r="E141" t="s">
        <v>822</v>
      </c>
      <c r="F141" s="10">
        <v>44561</v>
      </c>
    </row>
    <row r="142" spans="1:6">
      <c r="A142" t="s">
        <v>826</v>
      </c>
      <c r="B142">
        <v>1</v>
      </c>
      <c r="C142" s="6">
        <f>2.5 * 1.13</f>
        <v>2.8249999999999997</v>
      </c>
      <c r="D142" t="s">
        <v>821</v>
      </c>
      <c r="E142" t="s">
        <v>822</v>
      </c>
      <c r="F142" s="10">
        <v>44561</v>
      </c>
    </row>
    <row r="143" spans="1:6">
      <c r="A143" t="s">
        <v>827</v>
      </c>
      <c r="B143">
        <v>1</v>
      </c>
      <c r="C143" s="6">
        <f>1.25 * 1.13</f>
        <v>1.4124999999999999</v>
      </c>
      <c r="D143" t="s">
        <v>821</v>
      </c>
      <c r="E143" t="s">
        <v>822</v>
      </c>
      <c r="F143" s="10">
        <v>44561</v>
      </c>
    </row>
    <row r="144" spans="1:6">
      <c r="A144" t="s">
        <v>828</v>
      </c>
      <c r="C144" s="6">
        <f>3 *1.13</f>
        <v>3.3899999999999997</v>
      </c>
      <c r="D144" t="s">
        <v>821</v>
      </c>
      <c r="E144" t="s">
        <v>822</v>
      </c>
      <c r="F144" s="10">
        <v>44561</v>
      </c>
    </row>
    <row r="145" spans="1:8">
      <c r="A145" t="s">
        <v>829</v>
      </c>
      <c r="C145" s="6">
        <f>4 *1.13</f>
        <v>4.5199999999999996</v>
      </c>
      <c r="D145" t="s">
        <v>821</v>
      </c>
      <c r="E145" t="s">
        <v>822</v>
      </c>
      <c r="F145" s="10">
        <v>44561</v>
      </c>
    </row>
    <row r="146" spans="1:8">
      <c r="A146" t="s">
        <v>830</v>
      </c>
      <c r="B146">
        <v>1</v>
      </c>
      <c r="C146" s="6">
        <f>4 *1.13</f>
        <v>4.5199999999999996</v>
      </c>
      <c r="D146" t="s">
        <v>821</v>
      </c>
      <c r="E146" t="s">
        <v>822</v>
      </c>
      <c r="F146" s="10">
        <v>44561</v>
      </c>
    </row>
    <row r="147" spans="1:8">
      <c r="A147" t="s">
        <v>832</v>
      </c>
      <c r="B147">
        <v>2</v>
      </c>
      <c r="C147" s="6">
        <f>13.98 * 1.13</f>
        <v>15.7974</v>
      </c>
      <c r="D147" t="s">
        <v>69</v>
      </c>
      <c r="E147" t="s">
        <v>833</v>
      </c>
      <c r="F147" s="10">
        <v>44561</v>
      </c>
    </row>
    <row r="148" spans="1:8">
      <c r="A148" t="s">
        <v>834</v>
      </c>
      <c r="B148">
        <v>1</v>
      </c>
      <c r="C148" s="6">
        <f>4.97 * 1.13</f>
        <v>5.6160999999999994</v>
      </c>
      <c r="D148" t="s">
        <v>821</v>
      </c>
      <c r="E148" t="s">
        <v>873</v>
      </c>
      <c r="F148" s="10">
        <v>44561</v>
      </c>
    </row>
    <row r="149" spans="1:8">
      <c r="A149" t="s">
        <v>817</v>
      </c>
      <c r="B149">
        <v>1</v>
      </c>
      <c r="C149" s="6">
        <f>22.99 * 1.12</f>
        <v>25.748799999999999</v>
      </c>
      <c r="D149" t="s">
        <v>69</v>
      </c>
      <c r="E149" t="s">
        <v>114</v>
      </c>
      <c r="F149" s="10">
        <v>44562</v>
      </c>
    </row>
    <row r="150" spans="1:8">
      <c r="A150" t="s">
        <v>818</v>
      </c>
      <c r="B150">
        <v>1</v>
      </c>
      <c r="C150" s="6">
        <f>12.99 * 1.12</f>
        <v>14.548800000000002</v>
      </c>
      <c r="D150" t="s">
        <v>26</v>
      </c>
      <c r="E150" t="s">
        <v>114</v>
      </c>
      <c r="F150" s="10">
        <v>44562</v>
      </c>
    </row>
    <row r="151" spans="1:8">
      <c r="A151" t="s">
        <v>819</v>
      </c>
      <c r="B151">
        <v>2</v>
      </c>
      <c r="C151" s="6">
        <f>(311.99 + 20) * 2 * 1.12</f>
        <v>743.65760000000012</v>
      </c>
      <c r="D151" t="s">
        <v>69</v>
      </c>
      <c r="E151" t="s">
        <v>114</v>
      </c>
      <c r="F151" s="10">
        <v>44562</v>
      </c>
    </row>
    <row r="152" spans="1:8">
      <c r="A152" t="s">
        <v>831</v>
      </c>
      <c r="B152">
        <v>2</v>
      </c>
      <c r="C152" s="6">
        <f>7.9 * 1.12</f>
        <v>8.8480000000000008</v>
      </c>
      <c r="D152" t="s">
        <v>69</v>
      </c>
      <c r="E152" t="s">
        <v>114</v>
      </c>
      <c r="F152" s="10">
        <v>44562</v>
      </c>
    </row>
    <row r="153" spans="1:8">
      <c r="A153" t="s">
        <v>206</v>
      </c>
      <c r="B153">
        <v>4</v>
      </c>
      <c r="C153" s="6">
        <v>1052.5</v>
      </c>
      <c r="D153" t="s">
        <v>50</v>
      </c>
      <c r="E153" t="s">
        <v>51</v>
      </c>
      <c r="H153" t="s">
        <v>207</v>
      </c>
    </row>
    <row r="154" spans="1:8">
      <c r="A154" t="s">
        <v>210</v>
      </c>
      <c r="C154" s="6">
        <v>369.97</v>
      </c>
      <c r="D154" t="s">
        <v>211</v>
      </c>
      <c r="E154" t="s">
        <v>212</v>
      </c>
      <c r="F154" s="7"/>
      <c r="H154" t="s">
        <v>168</v>
      </c>
    </row>
    <row r="155" spans="1:8">
      <c r="A155" t="s">
        <v>213</v>
      </c>
      <c r="C155" s="6">
        <v>80.069999999999993</v>
      </c>
      <c r="D155" t="s">
        <v>47</v>
      </c>
      <c r="E155" t="s">
        <v>73</v>
      </c>
      <c r="F155" s="7"/>
      <c r="H155" t="s">
        <v>168</v>
      </c>
    </row>
    <row r="156" spans="1:8">
      <c r="A156" t="s">
        <v>227</v>
      </c>
      <c r="C156" s="6">
        <v>18.62</v>
      </c>
      <c r="D156" t="s">
        <v>47</v>
      </c>
      <c r="E156" t="s">
        <v>200</v>
      </c>
    </row>
    <row r="157" spans="1:8">
      <c r="A157" t="s">
        <v>228</v>
      </c>
      <c r="B157">
        <v>20</v>
      </c>
      <c r="C157" s="6">
        <v>23.73</v>
      </c>
      <c r="D157" t="s">
        <v>47</v>
      </c>
      <c r="E157" t="s">
        <v>56</v>
      </c>
    </row>
    <row r="158" spans="1:8">
      <c r="A158" t="s">
        <v>55</v>
      </c>
      <c r="B158">
        <v>1</v>
      </c>
      <c r="C158" s="6">
        <v>75.69</v>
      </c>
      <c r="D158" t="s">
        <v>47</v>
      </c>
      <c r="E158" t="s">
        <v>56</v>
      </c>
      <c r="F158" s="7"/>
    </row>
    <row r="159" spans="1:8">
      <c r="A159" t="s">
        <v>61</v>
      </c>
      <c r="C159" s="6">
        <v>25.52</v>
      </c>
      <c r="D159" t="s">
        <v>47</v>
      </c>
      <c r="E159" t="s">
        <v>56</v>
      </c>
    </row>
    <row r="160" spans="1:8">
      <c r="A160" t="s">
        <v>65</v>
      </c>
      <c r="B160">
        <v>20</v>
      </c>
      <c r="C160" s="6">
        <v>68.87</v>
      </c>
      <c r="D160" t="s">
        <v>47</v>
      </c>
      <c r="E160" t="s">
        <v>56</v>
      </c>
      <c r="F160" s="7"/>
    </row>
    <row r="161" spans="1:5">
      <c r="A161" t="s">
        <v>208</v>
      </c>
      <c r="C161" s="6">
        <v>1679.96</v>
      </c>
      <c r="D161" t="s">
        <v>47</v>
      </c>
      <c r="E161" t="s">
        <v>209</v>
      </c>
    </row>
    <row r="162" spans="1:5">
      <c r="A162" t="s">
        <v>214</v>
      </c>
      <c r="C162" s="6">
        <v>20</v>
      </c>
      <c r="D162" t="s">
        <v>70</v>
      </c>
      <c r="E162" t="s">
        <v>70</v>
      </c>
    </row>
    <row r="163" spans="1:5">
      <c r="A163" t="s">
        <v>215</v>
      </c>
      <c r="B163">
        <v>1</v>
      </c>
      <c r="C163" s="6">
        <v>20.89</v>
      </c>
      <c r="D163" t="s">
        <v>64</v>
      </c>
      <c r="E163" t="s">
        <v>94</v>
      </c>
    </row>
    <row r="164" spans="1:5">
      <c r="A164" t="s">
        <v>217</v>
      </c>
      <c r="C164" s="6">
        <v>5.8</v>
      </c>
      <c r="D164" t="s">
        <v>44</v>
      </c>
      <c r="E164" t="s">
        <v>218</v>
      </c>
    </row>
    <row r="165" spans="1:5">
      <c r="A165" t="s">
        <v>219</v>
      </c>
      <c r="C165" s="6">
        <v>0.4</v>
      </c>
      <c r="D165" t="s">
        <v>44</v>
      </c>
      <c r="E165" t="s">
        <v>218</v>
      </c>
    </row>
    <row r="166" spans="1:5">
      <c r="A166" t="s">
        <v>220</v>
      </c>
      <c r="C166" s="6">
        <v>5</v>
      </c>
      <c r="D166" t="s">
        <v>47</v>
      </c>
      <c r="E166" t="s">
        <v>218</v>
      </c>
    </row>
    <row r="167" spans="1:5">
      <c r="A167" t="s">
        <v>221</v>
      </c>
      <c r="C167" s="6">
        <v>6896</v>
      </c>
      <c r="D167" t="s">
        <v>69</v>
      </c>
      <c r="E167" t="s">
        <v>222</v>
      </c>
    </row>
    <row r="168" spans="1:5">
      <c r="A168" t="s">
        <v>223</v>
      </c>
      <c r="B168">
        <v>4</v>
      </c>
      <c r="C168" s="6">
        <v>48.09</v>
      </c>
      <c r="D168" t="s">
        <v>47</v>
      </c>
      <c r="E168" t="s">
        <v>224</v>
      </c>
    </row>
    <row r="169" spans="1:5">
      <c r="A169" t="s">
        <v>225</v>
      </c>
      <c r="C169" s="6">
        <v>4</v>
      </c>
      <c r="D169" t="s">
        <v>64</v>
      </c>
      <c r="E169" t="s">
        <v>70</v>
      </c>
    </row>
    <row r="170" spans="1:5">
      <c r="A170" t="s">
        <v>226</v>
      </c>
      <c r="B170">
        <v>18</v>
      </c>
      <c r="C170" s="6">
        <v>11.39</v>
      </c>
      <c r="D170" t="s">
        <v>47</v>
      </c>
      <c r="E170" t="s">
        <v>200</v>
      </c>
    </row>
    <row r="171" spans="1:5">
      <c r="A171" t="s">
        <v>229</v>
      </c>
      <c r="B171">
        <v>1</v>
      </c>
      <c r="C171" s="6">
        <v>20</v>
      </c>
      <c r="D171" t="s">
        <v>44</v>
      </c>
      <c r="E171" t="s">
        <v>45</v>
      </c>
    </row>
    <row r="172" spans="1:5">
      <c r="A172" t="s">
        <v>230</v>
      </c>
      <c r="B172">
        <v>1</v>
      </c>
      <c r="C172" s="6">
        <v>120</v>
      </c>
      <c r="D172" t="s">
        <v>44</v>
      </c>
      <c r="E172" t="s">
        <v>45</v>
      </c>
    </row>
    <row r="173" spans="1:5">
      <c r="A173" t="s">
        <v>231</v>
      </c>
      <c r="B173">
        <v>109</v>
      </c>
      <c r="C173" s="6">
        <v>220</v>
      </c>
      <c r="D173" t="s">
        <v>47</v>
      </c>
      <c r="E173" t="s">
        <v>45</v>
      </c>
    </row>
    <row r="174" spans="1:5">
      <c r="A174" t="s">
        <v>102</v>
      </c>
      <c r="B174">
        <v>480</v>
      </c>
      <c r="C174" s="6">
        <v>140</v>
      </c>
      <c r="D174" t="s">
        <v>47</v>
      </c>
      <c r="E174" t="s">
        <v>45</v>
      </c>
    </row>
    <row r="175" spans="1:5">
      <c r="A175" t="s">
        <v>103</v>
      </c>
      <c r="B175">
        <v>1</v>
      </c>
      <c r="C175" s="6">
        <v>800</v>
      </c>
      <c r="D175" t="s">
        <v>24</v>
      </c>
      <c r="E175" t="s">
        <v>45</v>
      </c>
    </row>
    <row r="176" spans="1:5">
      <c r="A176" t="s">
        <v>104</v>
      </c>
      <c r="C176" s="6">
        <v>5</v>
      </c>
      <c r="D176" t="s">
        <v>47</v>
      </c>
      <c r="E176" t="s">
        <v>45</v>
      </c>
    </row>
    <row r="177" spans="1:6">
      <c r="A177" t="s">
        <v>43</v>
      </c>
      <c r="B177">
        <v>1</v>
      </c>
      <c r="C177" s="6">
        <v>10</v>
      </c>
      <c r="D177" t="s">
        <v>44</v>
      </c>
      <c r="E177" t="s">
        <v>45</v>
      </c>
      <c r="F177" s="7"/>
    </row>
    <row r="178" spans="1:6">
      <c r="A178" t="s">
        <v>49</v>
      </c>
      <c r="C178" s="6">
        <v>10</v>
      </c>
      <c r="D178" t="s">
        <v>50</v>
      </c>
      <c r="E178" t="s">
        <v>51</v>
      </c>
    </row>
    <row r="179" spans="1:6">
      <c r="A179" t="s">
        <v>52</v>
      </c>
      <c r="B179">
        <v>4</v>
      </c>
      <c r="C179" s="6">
        <v>300</v>
      </c>
      <c r="D179" t="s">
        <v>50</v>
      </c>
      <c r="E179" t="s">
        <v>51</v>
      </c>
    </row>
    <row r="180" spans="1:6">
      <c r="A180" t="s">
        <v>53</v>
      </c>
      <c r="C180" s="6">
        <v>91.98</v>
      </c>
      <c r="D180" t="s">
        <v>50</v>
      </c>
      <c r="E180" t="s">
        <v>51</v>
      </c>
    </row>
    <row r="181" spans="1:6">
      <c r="A181" t="s">
        <v>54</v>
      </c>
      <c r="B181">
        <v>6</v>
      </c>
      <c r="C181" s="6">
        <v>24</v>
      </c>
      <c r="D181" t="s">
        <v>50</v>
      </c>
      <c r="E181" t="s">
        <v>51</v>
      </c>
      <c r="F181" s="7"/>
    </row>
    <row r="182" spans="1:6">
      <c r="A182" t="s">
        <v>57</v>
      </c>
      <c r="C182" s="6">
        <v>197.5</v>
      </c>
      <c r="D182" t="s">
        <v>50</v>
      </c>
      <c r="E182" t="s">
        <v>51</v>
      </c>
      <c r="F182" s="7"/>
    </row>
    <row r="183" spans="1:6">
      <c r="A183" t="s">
        <v>58</v>
      </c>
      <c r="C183" s="6">
        <v>20</v>
      </c>
      <c r="D183" t="s">
        <v>50</v>
      </c>
      <c r="E183" t="s">
        <v>51</v>
      </c>
      <c r="F183" s="7"/>
    </row>
    <row r="184" spans="1:6">
      <c r="A184" t="s">
        <v>59</v>
      </c>
      <c r="C184" s="6">
        <v>57.49</v>
      </c>
      <c r="D184" t="s">
        <v>50</v>
      </c>
      <c r="E184" t="s">
        <v>51</v>
      </c>
      <c r="F184" s="7"/>
    </row>
    <row r="185" spans="1:6">
      <c r="A185" t="s">
        <v>60</v>
      </c>
      <c r="C185" s="6">
        <v>57.49</v>
      </c>
      <c r="D185" t="s">
        <v>50</v>
      </c>
      <c r="E185" t="s">
        <v>51</v>
      </c>
      <c r="F185" s="7"/>
    </row>
    <row r="186" spans="1:6">
      <c r="A186" t="s">
        <v>62</v>
      </c>
      <c r="B186">
        <v>50</v>
      </c>
      <c r="C186" s="6">
        <v>94.36</v>
      </c>
      <c r="D186" t="s">
        <v>47</v>
      </c>
      <c r="E186" t="s">
        <v>56</v>
      </c>
      <c r="F186" s="7"/>
    </row>
    <row r="187" spans="1:6">
      <c r="A187" t="s">
        <v>63</v>
      </c>
      <c r="B187">
        <v>2</v>
      </c>
      <c r="C187" s="6">
        <v>26.63</v>
      </c>
      <c r="D187" t="s">
        <v>64</v>
      </c>
      <c r="E187" t="s">
        <v>56</v>
      </c>
      <c r="F187" s="7"/>
    </row>
    <row r="188" spans="1:6">
      <c r="A188" t="s">
        <v>68</v>
      </c>
      <c r="C188" s="6">
        <v>230</v>
      </c>
      <c r="D188" t="s">
        <v>69</v>
      </c>
      <c r="E188" t="s">
        <v>70</v>
      </c>
      <c r="F188" s="7"/>
    </row>
    <row r="189" spans="1:6">
      <c r="A189" t="s">
        <v>71</v>
      </c>
      <c r="C189" s="6">
        <v>-400</v>
      </c>
      <c r="D189" t="s">
        <v>69</v>
      </c>
      <c r="E189" t="s">
        <v>70</v>
      </c>
      <c r="F189" s="7"/>
    </row>
    <row r="190" spans="1:6">
      <c r="A190" t="s">
        <v>72</v>
      </c>
      <c r="B190">
        <v>1</v>
      </c>
      <c r="C190" s="6">
        <v>20.48</v>
      </c>
      <c r="D190" t="s">
        <v>47</v>
      </c>
      <c r="E190" t="s">
        <v>73</v>
      </c>
      <c r="F190" s="7"/>
    </row>
    <row r="191" spans="1:6">
      <c r="A191" t="s">
        <v>74</v>
      </c>
      <c r="B191">
        <v>1</v>
      </c>
      <c r="C191" s="6">
        <v>101.2</v>
      </c>
      <c r="D191" t="s">
        <v>47</v>
      </c>
      <c r="E191" t="s">
        <v>73</v>
      </c>
      <c r="F191" s="7"/>
    </row>
    <row r="192" spans="1:6">
      <c r="A192" t="s">
        <v>75</v>
      </c>
      <c r="B192">
        <v>1</v>
      </c>
      <c r="C192" s="6">
        <v>3.45</v>
      </c>
      <c r="D192" t="s">
        <v>64</v>
      </c>
      <c r="E192" t="s">
        <v>73</v>
      </c>
      <c r="F192" s="7"/>
    </row>
    <row r="193" spans="1:6">
      <c r="A193" t="s">
        <v>76</v>
      </c>
      <c r="B193">
        <v>1</v>
      </c>
      <c r="C193" s="6">
        <v>6.9</v>
      </c>
      <c r="D193" t="s">
        <v>44</v>
      </c>
      <c r="E193" t="s">
        <v>73</v>
      </c>
      <c r="F193" s="7"/>
    </row>
    <row r="194" spans="1:6">
      <c r="A194" t="s">
        <v>77</v>
      </c>
      <c r="B194">
        <v>1</v>
      </c>
      <c r="C194" s="6">
        <v>4.95</v>
      </c>
      <c r="D194" t="s">
        <v>64</v>
      </c>
      <c r="E194" t="s">
        <v>73</v>
      </c>
      <c r="F194" s="7"/>
    </row>
    <row r="195" spans="1:6">
      <c r="A195" t="s">
        <v>78</v>
      </c>
      <c r="B195">
        <v>1</v>
      </c>
      <c r="C195" s="6">
        <v>6.84</v>
      </c>
      <c r="D195" t="s">
        <v>64</v>
      </c>
      <c r="E195" t="s">
        <v>73</v>
      </c>
      <c r="F195" s="7"/>
    </row>
    <row r="196" spans="1:6">
      <c r="A196" t="s">
        <v>79</v>
      </c>
      <c r="B196">
        <v>1</v>
      </c>
      <c r="C196" s="6">
        <v>1</v>
      </c>
      <c r="D196" t="s">
        <v>26</v>
      </c>
      <c r="E196" t="s">
        <v>80</v>
      </c>
      <c r="F196" s="7"/>
    </row>
    <row r="197" spans="1:6">
      <c r="A197" t="s">
        <v>81</v>
      </c>
      <c r="B197">
        <v>1</v>
      </c>
      <c r="C197" s="6">
        <v>6.31</v>
      </c>
      <c r="D197" t="s">
        <v>44</v>
      </c>
      <c r="E197" t="s">
        <v>82</v>
      </c>
      <c r="F197" s="7"/>
    </row>
    <row r="198" spans="1:6">
      <c r="A198" t="s">
        <v>83</v>
      </c>
      <c r="B198">
        <v>2</v>
      </c>
      <c r="C198" s="6">
        <v>114.98</v>
      </c>
      <c r="D198" t="s">
        <v>44</v>
      </c>
      <c r="E198" t="s">
        <v>82</v>
      </c>
      <c r="F198" s="7"/>
    </row>
    <row r="199" spans="1:6">
      <c r="A199" t="s">
        <v>84</v>
      </c>
      <c r="B199">
        <v>4</v>
      </c>
      <c r="C199" s="6">
        <v>33.53</v>
      </c>
      <c r="D199" t="s">
        <v>64</v>
      </c>
      <c r="E199" t="s">
        <v>82</v>
      </c>
    </row>
    <row r="200" spans="1:6">
      <c r="A200" t="s">
        <v>85</v>
      </c>
      <c r="B200">
        <v>3</v>
      </c>
      <c r="C200" s="6">
        <v>10.9</v>
      </c>
      <c r="D200" t="s">
        <v>64</v>
      </c>
      <c r="E200" t="s">
        <v>82</v>
      </c>
    </row>
    <row r="201" spans="1:6">
      <c r="A201" t="s">
        <v>85</v>
      </c>
      <c r="B201">
        <v>1</v>
      </c>
      <c r="C201" s="6">
        <v>6.89</v>
      </c>
      <c r="D201" t="s">
        <v>64</v>
      </c>
      <c r="E201" t="s">
        <v>82</v>
      </c>
    </row>
    <row r="202" spans="1:6">
      <c r="A202" t="s">
        <v>86</v>
      </c>
      <c r="B202">
        <v>1</v>
      </c>
      <c r="C202" s="6">
        <v>11.5</v>
      </c>
      <c r="D202" t="s">
        <v>47</v>
      </c>
      <c r="E202" t="s">
        <v>82</v>
      </c>
    </row>
    <row r="203" spans="1:6">
      <c r="A203" t="s">
        <v>87</v>
      </c>
      <c r="B203">
        <v>2</v>
      </c>
      <c r="C203" s="6">
        <v>13.78</v>
      </c>
      <c r="D203" t="s">
        <v>44</v>
      </c>
      <c r="E203" t="s">
        <v>82</v>
      </c>
      <c r="F203" s="7"/>
    </row>
    <row r="204" spans="1:6">
      <c r="A204" t="s">
        <v>89</v>
      </c>
      <c r="B204">
        <v>1</v>
      </c>
      <c r="C204" s="6">
        <v>58.99</v>
      </c>
      <c r="D204" t="s">
        <v>69</v>
      </c>
      <c r="E204" t="s">
        <v>90</v>
      </c>
      <c r="F204" s="7"/>
    </row>
    <row r="205" spans="1:6">
      <c r="A205" t="s">
        <v>91</v>
      </c>
      <c r="B205">
        <v>1</v>
      </c>
      <c r="C205" s="6">
        <v>119.72</v>
      </c>
      <c r="D205" t="s">
        <v>69</v>
      </c>
      <c r="E205" t="s">
        <v>90</v>
      </c>
      <c r="F205" s="7"/>
    </row>
    <row r="206" spans="1:6">
      <c r="A206" t="s">
        <v>92</v>
      </c>
      <c r="B206">
        <v>5</v>
      </c>
      <c r="C206" s="6">
        <v>62.96</v>
      </c>
      <c r="D206" t="s">
        <v>69</v>
      </c>
      <c r="E206" t="s">
        <v>90</v>
      </c>
      <c r="F206" s="7"/>
    </row>
    <row r="207" spans="1:6">
      <c r="A207" t="s">
        <v>93</v>
      </c>
      <c r="B207">
        <v>50</v>
      </c>
      <c r="C207" s="6">
        <v>36.79</v>
      </c>
      <c r="D207" t="s">
        <v>64</v>
      </c>
      <c r="E207" t="s">
        <v>94</v>
      </c>
    </row>
    <row r="208" spans="1:6">
      <c r="A208" t="s">
        <v>95</v>
      </c>
      <c r="B208">
        <v>1</v>
      </c>
      <c r="C208" s="6">
        <v>12.06</v>
      </c>
      <c r="D208" t="s">
        <v>64</v>
      </c>
      <c r="E208" t="s">
        <v>94</v>
      </c>
      <c r="F208" s="7"/>
    </row>
    <row r="209" spans="1:6">
      <c r="A209" t="s">
        <v>96</v>
      </c>
      <c r="B209">
        <v>1</v>
      </c>
      <c r="C209" s="6">
        <v>12.64</v>
      </c>
      <c r="D209" t="s">
        <v>44</v>
      </c>
      <c r="E209" t="s">
        <v>94</v>
      </c>
    </row>
    <row r="210" spans="1:6">
      <c r="A210" t="s">
        <v>97</v>
      </c>
      <c r="C210" s="6">
        <v>8.61</v>
      </c>
      <c r="D210" t="s">
        <v>64</v>
      </c>
      <c r="E210" t="s">
        <v>94</v>
      </c>
      <c r="F210" s="7"/>
    </row>
    <row r="211" spans="1:6">
      <c r="A211" t="s">
        <v>97</v>
      </c>
      <c r="C211" s="6">
        <v>5.74</v>
      </c>
      <c r="D211" t="s">
        <v>64</v>
      </c>
      <c r="E211" t="s">
        <v>94</v>
      </c>
      <c r="F211" s="7"/>
    </row>
    <row r="212" spans="1:6">
      <c r="A212" t="s">
        <v>98</v>
      </c>
      <c r="C212" s="6">
        <v>183.06</v>
      </c>
      <c r="D212" t="s">
        <v>69</v>
      </c>
      <c r="E212" t="s">
        <v>99</v>
      </c>
      <c r="F212" s="7"/>
    </row>
    <row r="213" spans="1:6">
      <c r="A213" t="s">
        <v>100</v>
      </c>
      <c r="B213">
        <v>4</v>
      </c>
      <c r="C213" s="6">
        <v>120</v>
      </c>
      <c r="D213" t="s">
        <v>69</v>
      </c>
      <c r="F213" s="7"/>
    </row>
    <row r="214" spans="1:6">
      <c r="A214" t="s">
        <v>101</v>
      </c>
      <c r="B214">
        <v>6</v>
      </c>
      <c r="C214" s="6">
        <v>1850.94</v>
      </c>
      <c r="D214" t="s">
        <v>69</v>
      </c>
      <c r="F214" s="7"/>
    </row>
    <row r="215" spans="1:6">
      <c r="A215" t="s">
        <v>861</v>
      </c>
      <c r="B215">
        <v>1</v>
      </c>
      <c r="C215" s="6">
        <f>24.99 * 1.13</f>
        <v>28.238699999999994</v>
      </c>
      <c r="D215" t="s">
        <v>821</v>
      </c>
      <c r="E215" t="s">
        <v>863</v>
      </c>
      <c r="F215" s="10">
        <v>44560</v>
      </c>
    </row>
    <row r="216" spans="1:6">
      <c r="A216" t="s">
        <v>862</v>
      </c>
      <c r="B216">
        <v>1</v>
      </c>
      <c r="C216" s="6">
        <f>6.99 * 1.13</f>
        <v>7.8986999999999998</v>
      </c>
      <c r="D216" t="s">
        <v>821</v>
      </c>
      <c r="E216" t="s">
        <v>863</v>
      </c>
      <c r="F216" s="10">
        <v>44560</v>
      </c>
    </row>
    <row r="217" spans="1:6">
      <c r="A217" t="s">
        <v>864</v>
      </c>
      <c r="B217">
        <v>1</v>
      </c>
      <c r="C217" s="6">
        <f>29.99 * 1.13</f>
        <v>33.888699999999993</v>
      </c>
      <c r="D217" t="s">
        <v>69</v>
      </c>
      <c r="E217" t="s">
        <v>833</v>
      </c>
      <c r="F217" s="10">
        <v>44561</v>
      </c>
    </row>
    <row r="218" spans="1:6">
      <c r="A218" t="s">
        <v>866</v>
      </c>
      <c r="B218">
        <v>1</v>
      </c>
      <c r="C218" s="6">
        <f>43.9 * 1.13</f>
        <v>49.606999999999992</v>
      </c>
      <c r="D218" t="s">
        <v>44</v>
      </c>
      <c r="E218" t="s">
        <v>865</v>
      </c>
      <c r="F218" s="10">
        <v>44545</v>
      </c>
    </row>
    <row r="219" spans="1:6">
      <c r="A219" t="s">
        <v>867</v>
      </c>
      <c r="B219">
        <v>1</v>
      </c>
      <c r="C219" s="6">
        <f>1.13 * 73.5</f>
        <v>83.054999999999993</v>
      </c>
      <c r="D219" t="s">
        <v>44</v>
      </c>
      <c r="E219" t="s">
        <v>865</v>
      </c>
      <c r="F219" s="10">
        <v>44545</v>
      </c>
    </row>
    <row r="220" spans="1:6">
      <c r="A220" t="s">
        <v>868</v>
      </c>
      <c r="B220">
        <v>1</v>
      </c>
      <c r="C220" s="6">
        <f>1.13 * 17.4</f>
        <v>19.661999999999995</v>
      </c>
      <c r="D220" t="s">
        <v>44</v>
      </c>
      <c r="E220" t="s">
        <v>865</v>
      </c>
      <c r="F220" s="10">
        <v>44545</v>
      </c>
    </row>
    <row r="221" spans="1:6">
      <c r="A221" t="s">
        <v>666</v>
      </c>
      <c r="B221">
        <v>1</v>
      </c>
      <c r="C221" s="6">
        <f>1.9 * 1.13</f>
        <v>2.1469999999999998</v>
      </c>
      <c r="D221" t="s">
        <v>64</v>
      </c>
      <c r="E221" t="s">
        <v>872</v>
      </c>
      <c r="F221" s="10">
        <v>44545</v>
      </c>
    </row>
    <row r="222" spans="1:6">
      <c r="A222" t="s">
        <v>667</v>
      </c>
      <c r="B222">
        <v>1</v>
      </c>
      <c r="C222" s="6">
        <f>2 * 1.13</f>
        <v>2.2599999999999998</v>
      </c>
      <c r="D222" t="s">
        <v>64</v>
      </c>
      <c r="E222" t="s">
        <v>872</v>
      </c>
      <c r="F222" s="10">
        <v>44545</v>
      </c>
    </row>
    <row r="223" spans="1:6">
      <c r="A223" t="s">
        <v>869</v>
      </c>
      <c r="B223">
        <v>1</v>
      </c>
      <c r="C223" s="6">
        <f>0.75 * 1.13</f>
        <v>0.84749999999999992</v>
      </c>
      <c r="D223" t="s">
        <v>64</v>
      </c>
      <c r="E223" t="s">
        <v>872</v>
      </c>
      <c r="F223" s="10">
        <v>44545</v>
      </c>
    </row>
    <row r="224" spans="1:6">
      <c r="A224" t="s">
        <v>870</v>
      </c>
      <c r="B224">
        <v>1</v>
      </c>
      <c r="C224" s="6">
        <f>0.95 * 1.13</f>
        <v>1.0734999999999999</v>
      </c>
      <c r="D224" t="s">
        <v>64</v>
      </c>
      <c r="E224" t="s">
        <v>872</v>
      </c>
      <c r="F224" s="10">
        <v>44545</v>
      </c>
    </row>
    <row r="225" spans="1:6">
      <c r="A225" t="s">
        <v>871</v>
      </c>
      <c r="B225">
        <v>1</v>
      </c>
      <c r="C225" s="6">
        <f>89.95 * 1.13</f>
        <v>101.64349999999999</v>
      </c>
      <c r="D225" t="s">
        <v>47</v>
      </c>
      <c r="E225" t="s">
        <v>872</v>
      </c>
      <c r="F225" s="10">
        <v>44545</v>
      </c>
    </row>
    <row r="226" spans="1:6">
      <c r="A226" t="s">
        <v>766</v>
      </c>
      <c r="B226">
        <v>1</v>
      </c>
      <c r="C226" s="6">
        <v>65.48</v>
      </c>
      <c r="D226" t="s">
        <v>47</v>
      </c>
      <c r="E226" t="s">
        <v>200</v>
      </c>
      <c r="F226" s="10">
        <v>44545</v>
      </c>
    </row>
    <row r="227" spans="1:6">
      <c r="A227" t="s">
        <v>874</v>
      </c>
      <c r="B227">
        <v>1</v>
      </c>
      <c r="C227">
        <f>7.32 * 1.13</f>
        <v>8.2715999999999994</v>
      </c>
      <c r="D227" t="s">
        <v>47</v>
      </c>
      <c r="E227" t="s">
        <v>200</v>
      </c>
      <c r="F227" s="10">
        <v>44545</v>
      </c>
    </row>
    <row r="228" spans="1:6">
      <c r="A228" t="s">
        <v>875</v>
      </c>
      <c r="B228">
        <v>1</v>
      </c>
      <c r="C228" s="6">
        <f>17.97 * 1.13</f>
        <v>20.306099999999997</v>
      </c>
      <c r="D228" t="s">
        <v>47</v>
      </c>
      <c r="E228" t="s">
        <v>200</v>
      </c>
      <c r="F228" s="10">
        <v>44545</v>
      </c>
    </row>
    <row r="229" spans="1:6">
      <c r="A229" t="s">
        <v>655</v>
      </c>
      <c r="B229">
        <v>2</v>
      </c>
      <c r="C229" s="6">
        <f>49.92 * 1.13</f>
        <v>56.409599999999998</v>
      </c>
      <c r="D229" t="s">
        <v>47</v>
      </c>
      <c r="E229" t="s">
        <v>200</v>
      </c>
      <c r="F229" s="10">
        <v>44545</v>
      </c>
    </row>
    <row r="230" spans="1:6">
      <c r="A230" t="s">
        <v>876</v>
      </c>
      <c r="B230">
        <v>5</v>
      </c>
      <c r="C230" s="6">
        <f>2.97 * 1.13</f>
        <v>3.3561000000000001</v>
      </c>
      <c r="D230" t="s">
        <v>47</v>
      </c>
      <c r="E230" t="s">
        <v>200</v>
      </c>
      <c r="F230" s="10">
        <v>44558</v>
      </c>
    </row>
    <row r="231" spans="1:6">
      <c r="A231" t="s">
        <v>877</v>
      </c>
      <c r="B231">
        <v>1</v>
      </c>
      <c r="C231" s="6">
        <f>9.98 * 1.13</f>
        <v>11.2774</v>
      </c>
      <c r="D231" t="s">
        <v>821</v>
      </c>
      <c r="E231" t="s">
        <v>200</v>
      </c>
      <c r="F231" s="10">
        <v>44558</v>
      </c>
    </row>
    <row r="232" spans="1:6">
      <c r="A232" t="s">
        <v>878</v>
      </c>
      <c r="B232">
        <v>1</v>
      </c>
      <c r="C232" s="6">
        <f>4.38 * 1.13</f>
        <v>4.9493999999999998</v>
      </c>
      <c r="D232" t="s">
        <v>64</v>
      </c>
      <c r="E232" t="s">
        <v>200</v>
      </c>
      <c r="F232" s="10">
        <v>44558</v>
      </c>
    </row>
    <row r="233" spans="1:6">
      <c r="A233" t="s">
        <v>878</v>
      </c>
      <c r="B233">
        <v>1</v>
      </c>
      <c r="C233" s="6">
        <f>4.07 * 1.13</f>
        <v>4.5991</v>
      </c>
      <c r="D233" t="s">
        <v>64</v>
      </c>
      <c r="E233" t="s">
        <v>200</v>
      </c>
      <c r="F233" s="10">
        <v>44558</v>
      </c>
    </row>
    <row r="234" spans="1:6">
      <c r="A234" t="s">
        <v>880</v>
      </c>
      <c r="B234">
        <v>5</v>
      </c>
      <c r="C234" s="6">
        <f>14.85 * 1.13</f>
        <v>16.780499999999996</v>
      </c>
      <c r="D234" t="s">
        <v>47</v>
      </c>
      <c r="E234" t="s">
        <v>200</v>
      </c>
      <c r="F234" s="10">
        <v>44558</v>
      </c>
    </row>
    <row r="235" spans="1:6">
      <c r="A235" t="s">
        <v>879</v>
      </c>
      <c r="B235">
        <v>5</v>
      </c>
      <c r="C235" s="6">
        <f>10.6 * 1.13</f>
        <v>11.977999999999998</v>
      </c>
      <c r="D235" t="s">
        <v>47</v>
      </c>
      <c r="E235" t="s">
        <v>200</v>
      </c>
      <c r="F235" s="10">
        <v>44558</v>
      </c>
    </row>
  </sheetData>
  <hyperlinks>
    <hyperlink ref="G70" r:id="rId1" xr:uid="{48343EEA-CFA7-6E40-8405-E3B16F1EE471}"/>
    <hyperlink ref="G71" r:id="rId2" xr:uid="{04D8582D-431B-E04F-83BC-A62BACD3A1E9}"/>
    <hyperlink ref="G62" r:id="rId3" xr:uid="{80D324C4-1B32-374B-9E16-CF4ED4E7FBE0}"/>
    <hyperlink ref="G42" r:id="rId4" xr:uid="{1A01703E-0316-C842-A98D-5E65E03D8DD6}"/>
    <hyperlink ref="G60" r:id="rId5" xr:uid="{A66BA2BE-31B5-FE44-997D-00C1EAAA52C7}"/>
    <hyperlink ref="G45" r:id="rId6" xr:uid="{C391580D-98A4-6542-BE92-7E4E4B834DAB}"/>
    <hyperlink ref="G49" r:id="rId7" xr:uid="{78F2DFF0-07F3-3D4C-8E8E-778A9E32AFB1}"/>
    <hyperlink ref="G54" r:id="rId8" xr:uid="{E87D8727-8A30-A643-907C-5B73A3197B09}"/>
    <hyperlink ref="G18" r:id="rId9" xr:uid="{8E6CD016-746A-BC47-83CB-3762E4867117}"/>
    <hyperlink ref="G16" r:id="rId10" xr:uid="{6E0C069A-7B96-A24C-8292-25E779EDDD26}"/>
    <hyperlink ref="G20" r:id="rId11" xr:uid="{75E8E91D-3DCD-704E-9EAC-9C0F6F639AC7}"/>
    <hyperlink ref="G14" r:id="rId12" xr:uid="{4B2EFFB0-C7A1-034D-B1DE-E6A7A9244932}"/>
    <hyperlink ref="G15" r:id="rId13" xr:uid="{C2FD5F72-B068-0E4A-99A1-7D85C9B73FDC}"/>
    <hyperlink ref="G12" r:id="rId14" xr:uid="{D450CD2E-370F-3549-A7F9-59501B6DC8BB}"/>
    <hyperlink ref="G10" r:id="rId15" xr:uid="{03961B87-1716-B345-878F-CD5220CC3F4E}"/>
    <hyperlink ref="G9" r:id="rId16" xr:uid="{4E68D420-525F-8F43-98F5-C6FCB570C345}"/>
    <hyperlink ref="G51" r:id="rId17" xr:uid="{429351DE-2B6C-B94F-B1CC-C34B39B44E84}"/>
    <hyperlink ref="G53" r:id="rId18" xr:uid="{DF75298E-A8F8-A34C-BF93-26F925124B84}"/>
    <hyperlink ref="G52" r:id="rId19" xr:uid="{49A8B19B-15C6-F842-B058-E089F3308F31}"/>
    <hyperlink ref="G61" r:id="rId20" xr:uid="{E16453AE-3DFF-A74F-A658-9061D03871C9}"/>
    <hyperlink ref="G64" r:id="rId21" xr:uid="{61C290DC-250E-FE46-A1DE-D174793B6459}"/>
    <hyperlink ref="G37" r:id="rId22" xr:uid="{4C04BD6C-E8B1-F84E-BFC0-7895B4E3045F}"/>
    <hyperlink ref="G36" r:id="rId23" xr:uid="{7E1BE6DF-C62C-B04F-829F-891BF7BB7F60}"/>
    <hyperlink ref="G27" r:id="rId24" xr:uid="{C5ADE8B8-757F-6F44-8A4C-38D4C1E9B4A7}"/>
    <hyperlink ref="G23" r:id="rId25" xr:uid="{9E454AA6-4E6D-8B48-B8D6-931BE47E5BEB}"/>
    <hyperlink ref="G22" r:id="rId26" xr:uid="{79231DA6-9AC6-9846-B6F9-9D60D383E46D}"/>
    <hyperlink ref="G6" r:id="rId27" xr:uid="{DDC80B09-1236-8041-AC2B-1DDC1FCF4453}"/>
    <hyperlink ref="G5" r:id="rId28" xr:uid="{D2BACE56-FFE9-AE48-8BE7-C7012DA6D4A5}"/>
    <hyperlink ref="G11" r:id="rId29" xr:uid="{ACFABE54-8EE3-F244-AFEA-83764B58D7C9}"/>
    <hyperlink ref="G8" r:id="rId30" xr:uid="{5A2C1CB1-B193-A043-B4D7-9C0135B0569E}"/>
    <hyperlink ref="G17" r:id="rId31" xr:uid="{B4AE4B1D-AC95-9842-99C0-04426FE33931}"/>
    <hyperlink ref="G26" r:id="rId32" xr:uid="{575C2470-6470-6A44-9A6F-577D8175A7A3}"/>
    <hyperlink ref="G24" r:id="rId33" xr:uid="{9289D443-0648-A643-AA7E-F0C068F87BFD}"/>
    <hyperlink ref="G35" r:id="rId34" xr:uid="{FD3A4673-AF76-EB47-8B42-1BB89B1F3349}"/>
    <hyperlink ref="G4" r:id="rId35" xr:uid="{005E82A6-2D9B-564F-BD58-37F4EA1D57CD}"/>
    <hyperlink ref="G3" r:id="rId36" xr:uid="{A5BF9BF7-DE37-6A43-917F-2AD758257637}"/>
    <hyperlink ref="G25" r:id="rId37" xr:uid="{29020B35-6663-2242-98BB-F4874027A43A}"/>
  </hyperlinks>
  <pageMargins left="0.7" right="0.7" top="0.75" bottom="0.75" header="0.3" footer="0.3"/>
  <tableParts count="1">
    <tablePart r:id="rId3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6D191-091C-1340-AB9E-272199F81A2D}">
  <dimension ref="A1:D90"/>
  <sheetViews>
    <sheetView topLeftCell="A58" workbookViewId="0">
      <selection activeCell="A91" sqref="A91"/>
    </sheetView>
  </sheetViews>
  <sheetFormatPr baseColWidth="10" defaultRowHeight="16"/>
  <cols>
    <col min="1" max="1" width="45.5" customWidth="1"/>
    <col min="2" max="2" width="11" bestFit="1" customWidth="1"/>
    <col min="3" max="3" width="44" bestFit="1" customWidth="1"/>
    <col min="4" max="4" width="24.1640625" bestFit="1" customWidth="1"/>
  </cols>
  <sheetData>
    <row r="1" spans="1:4">
      <c r="A1" t="s">
        <v>304</v>
      </c>
      <c r="B1" t="s">
        <v>108</v>
      </c>
      <c r="C1" t="s">
        <v>306</v>
      </c>
      <c r="D1" t="s">
        <v>307</v>
      </c>
    </row>
    <row r="2" spans="1:4">
      <c r="A2" t="s">
        <v>305</v>
      </c>
      <c r="B2" t="s">
        <v>44</v>
      </c>
      <c r="C2" t="s">
        <v>378</v>
      </c>
      <c r="D2" t="s">
        <v>308</v>
      </c>
    </row>
    <row r="3" spans="1:4">
      <c r="A3" t="s">
        <v>356</v>
      </c>
      <c r="B3" t="s">
        <v>44</v>
      </c>
      <c r="C3" t="s">
        <v>309</v>
      </c>
      <c r="D3" t="s">
        <v>308</v>
      </c>
    </row>
    <row r="4" spans="1:4">
      <c r="A4" t="s">
        <v>357</v>
      </c>
      <c r="B4" t="s">
        <v>44</v>
      </c>
      <c r="C4" t="s">
        <v>309</v>
      </c>
      <c r="D4" t="s">
        <v>308</v>
      </c>
    </row>
    <row r="5" spans="1:4">
      <c r="A5" t="s">
        <v>358</v>
      </c>
      <c r="B5" t="s">
        <v>44</v>
      </c>
      <c r="C5" t="s">
        <v>309</v>
      </c>
      <c r="D5" t="s">
        <v>359</v>
      </c>
    </row>
    <row r="6" spans="1:4">
      <c r="A6" t="s">
        <v>327</v>
      </c>
      <c r="B6" t="s">
        <v>44</v>
      </c>
      <c r="C6" t="s">
        <v>360</v>
      </c>
      <c r="D6" t="s">
        <v>359</v>
      </c>
    </row>
    <row r="7" spans="1:4">
      <c r="A7" t="s">
        <v>328</v>
      </c>
      <c r="B7" t="s">
        <v>44</v>
      </c>
      <c r="C7" t="s">
        <v>360</v>
      </c>
      <c r="D7" t="s">
        <v>359</v>
      </c>
    </row>
    <row r="8" spans="1:4">
      <c r="A8" t="s">
        <v>329</v>
      </c>
      <c r="B8" t="s">
        <v>44</v>
      </c>
      <c r="C8" t="s">
        <v>361</v>
      </c>
      <c r="D8" t="s">
        <v>359</v>
      </c>
    </row>
    <row r="9" spans="1:4">
      <c r="A9" t="s">
        <v>330</v>
      </c>
      <c r="B9" t="s">
        <v>44</v>
      </c>
      <c r="C9" t="s">
        <v>361</v>
      </c>
      <c r="D9" t="s">
        <v>359</v>
      </c>
    </row>
    <row r="10" spans="1:4">
      <c r="A10" t="s">
        <v>331</v>
      </c>
      <c r="B10" t="s">
        <v>44</v>
      </c>
      <c r="C10" t="s">
        <v>361</v>
      </c>
      <c r="D10" t="s">
        <v>359</v>
      </c>
    </row>
    <row r="11" spans="1:4">
      <c r="A11" t="s">
        <v>332</v>
      </c>
      <c r="B11" t="s">
        <v>44</v>
      </c>
      <c r="C11" t="s">
        <v>362</v>
      </c>
      <c r="D11" t="s">
        <v>308</v>
      </c>
    </row>
    <row r="12" spans="1:4">
      <c r="A12" t="s">
        <v>333</v>
      </c>
      <c r="B12" t="s">
        <v>44</v>
      </c>
      <c r="C12" t="s">
        <v>309</v>
      </c>
      <c r="D12" t="s">
        <v>368</v>
      </c>
    </row>
    <row r="13" spans="1:4">
      <c r="A13" t="s">
        <v>334</v>
      </c>
      <c r="B13" t="s">
        <v>44</v>
      </c>
      <c r="C13" t="s">
        <v>309</v>
      </c>
      <c r="D13" t="s">
        <v>398</v>
      </c>
    </row>
    <row r="14" spans="1:4">
      <c r="A14" t="s">
        <v>335</v>
      </c>
      <c r="B14" t="s">
        <v>44</v>
      </c>
      <c r="C14" t="s">
        <v>309</v>
      </c>
      <c r="D14" t="s">
        <v>368</v>
      </c>
    </row>
    <row r="15" spans="1:4">
      <c r="A15" t="s">
        <v>365</v>
      </c>
      <c r="B15" t="s">
        <v>44</v>
      </c>
      <c r="C15" t="s">
        <v>309</v>
      </c>
      <c r="D15" t="s">
        <v>369</v>
      </c>
    </row>
    <row r="16" spans="1:4">
      <c r="A16" t="s">
        <v>336</v>
      </c>
      <c r="B16" t="s">
        <v>44</v>
      </c>
      <c r="C16" t="s">
        <v>24</v>
      </c>
      <c r="D16" t="s">
        <v>368</v>
      </c>
    </row>
    <row r="17" spans="1:4">
      <c r="A17" t="s">
        <v>337</v>
      </c>
      <c r="B17" t="s">
        <v>44</v>
      </c>
      <c r="C17" t="s">
        <v>309</v>
      </c>
      <c r="D17" t="s">
        <v>368</v>
      </c>
    </row>
    <row r="18" spans="1:4">
      <c r="A18" t="s">
        <v>338</v>
      </c>
      <c r="B18" t="s">
        <v>44</v>
      </c>
      <c r="C18" t="s">
        <v>309</v>
      </c>
      <c r="D18" t="s">
        <v>308</v>
      </c>
    </row>
    <row r="19" spans="1:4">
      <c r="A19" t="s">
        <v>339</v>
      </c>
      <c r="B19" t="s">
        <v>44</v>
      </c>
      <c r="C19" t="s">
        <v>363</v>
      </c>
      <c r="D19" t="s">
        <v>359</v>
      </c>
    </row>
    <row r="20" spans="1:4">
      <c r="A20" t="s">
        <v>340</v>
      </c>
      <c r="B20" t="s">
        <v>44</v>
      </c>
      <c r="C20" t="s">
        <v>364</v>
      </c>
      <c r="D20" t="s">
        <v>50</v>
      </c>
    </row>
    <row r="21" spans="1:4">
      <c r="A21" t="s">
        <v>75</v>
      </c>
      <c r="B21" t="s">
        <v>44</v>
      </c>
      <c r="C21" t="s">
        <v>366</v>
      </c>
      <c r="D21" t="s">
        <v>367</v>
      </c>
    </row>
    <row r="22" spans="1:4">
      <c r="A22" t="s">
        <v>341</v>
      </c>
      <c r="B22" t="s">
        <v>44</v>
      </c>
      <c r="C22" t="s">
        <v>250</v>
      </c>
      <c r="D22" t="s">
        <v>368</v>
      </c>
    </row>
    <row r="23" spans="1:4">
      <c r="A23" t="s">
        <v>342</v>
      </c>
      <c r="B23" t="s">
        <v>44</v>
      </c>
      <c r="C23" t="s">
        <v>370</v>
      </c>
      <c r="D23" t="s">
        <v>50</v>
      </c>
    </row>
    <row r="24" spans="1:4">
      <c r="A24" t="s">
        <v>343</v>
      </c>
      <c r="B24" t="s">
        <v>44</v>
      </c>
      <c r="C24" t="s">
        <v>370</v>
      </c>
      <c r="D24" t="s">
        <v>359</v>
      </c>
    </row>
    <row r="25" spans="1:4">
      <c r="A25" t="s">
        <v>344</v>
      </c>
      <c r="B25" t="s">
        <v>44</v>
      </c>
      <c r="C25" t="s">
        <v>250</v>
      </c>
      <c r="D25" t="s">
        <v>50</v>
      </c>
    </row>
    <row r="26" spans="1:4">
      <c r="A26" t="s">
        <v>345</v>
      </c>
      <c r="B26" t="s">
        <v>44</v>
      </c>
      <c r="C26" t="s">
        <v>371</v>
      </c>
      <c r="D26" t="s">
        <v>50</v>
      </c>
    </row>
    <row r="27" spans="1:4">
      <c r="A27" t="s">
        <v>346</v>
      </c>
      <c r="B27" t="s">
        <v>44</v>
      </c>
      <c r="C27" t="s">
        <v>309</v>
      </c>
      <c r="D27" t="s">
        <v>368</v>
      </c>
    </row>
    <row r="28" spans="1:4">
      <c r="A28" t="s">
        <v>347</v>
      </c>
      <c r="B28" t="s">
        <v>44</v>
      </c>
      <c r="C28" t="s">
        <v>373</v>
      </c>
      <c r="D28" t="s">
        <v>50</v>
      </c>
    </row>
    <row r="29" spans="1:4">
      <c r="A29" t="s">
        <v>348</v>
      </c>
      <c r="B29" t="s">
        <v>44</v>
      </c>
      <c r="C29" t="s">
        <v>250</v>
      </c>
      <c r="D29" t="s">
        <v>50</v>
      </c>
    </row>
    <row r="30" spans="1:4">
      <c r="A30" t="s">
        <v>349</v>
      </c>
      <c r="B30" t="s">
        <v>44</v>
      </c>
      <c r="C30" t="s">
        <v>372</v>
      </c>
      <c r="D30" t="s">
        <v>50</v>
      </c>
    </row>
    <row r="31" spans="1:4">
      <c r="A31" t="s">
        <v>350</v>
      </c>
      <c r="B31" t="s">
        <v>44</v>
      </c>
      <c r="C31" t="s">
        <v>372</v>
      </c>
      <c r="D31" t="s">
        <v>50</v>
      </c>
    </row>
    <row r="32" spans="1:4">
      <c r="A32" t="s">
        <v>351</v>
      </c>
      <c r="B32" t="s">
        <v>44</v>
      </c>
      <c r="C32" t="s">
        <v>372</v>
      </c>
      <c r="D32" t="s">
        <v>50</v>
      </c>
    </row>
    <row r="33" spans="1:4">
      <c r="A33" t="s">
        <v>352</v>
      </c>
      <c r="B33" t="s">
        <v>44</v>
      </c>
      <c r="C33" t="s">
        <v>378</v>
      </c>
      <c r="D33" t="s">
        <v>50</v>
      </c>
    </row>
    <row r="34" spans="1:4">
      <c r="A34" t="s">
        <v>353</v>
      </c>
      <c r="B34" t="s">
        <v>44</v>
      </c>
      <c r="C34" t="s">
        <v>309</v>
      </c>
      <c r="D34" t="s">
        <v>50</v>
      </c>
    </row>
    <row r="35" spans="1:4">
      <c r="A35" t="s">
        <v>354</v>
      </c>
      <c r="B35" t="s">
        <v>44</v>
      </c>
      <c r="C35" t="s">
        <v>373</v>
      </c>
      <c r="D35" t="s">
        <v>308</v>
      </c>
    </row>
    <row r="36" spans="1:4">
      <c r="A36" t="s">
        <v>355</v>
      </c>
      <c r="B36" t="s">
        <v>44</v>
      </c>
      <c r="C36" t="s">
        <v>309</v>
      </c>
      <c r="D36" t="s">
        <v>369</v>
      </c>
    </row>
    <row r="37" spans="1:4">
      <c r="A37" t="s">
        <v>376</v>
      </c>
      <c r="B37" t="s">
        <v>44</v>
      </c>
      <c r="C37" t="s">
        <v>375</v>
      </c>
      <c r="D37" t="s">
        <v>368</v>
      </c>
    </row>
    <row r="38" spans="1:4">
      <c r="A38" t="s">
        <v>374</v>
      </c>
      <c r="B38" t="s">
        <v>44</v>
      </c>
      <c r="C38" t="s">
        <v>375</v>
      </c>
      <c r="D38" t="s">
        <v>50</v>
      </c>
    </row>
    <row r="39" spans="1:4">
      <c r="A39" t="s">
        <v>377</v>
      </c>
      <c r="B39" t="s">
        <v>44</v>
      </c>
      <c r="C39" t="s">
        <v>375</v>
      </c>
      <c r="D39" t="s">
        <v>50</v>
      </c>
    </row>
    <row r="40" spans="1:4">
      <c r="A40" t="s">
        <v>379</v>
      </c>
      <c r="B40" t="s">
        <v>44</v>
      </c>
      <c r="C40" t="s">
        <v>383</v>
      </c>
      <c r="D40" t="s">
        <v>50</v>
      </c>
    </row>
    <row r="41" spans="1:4">
      <c r="A41" t="s">
        <v>380</v>
      </c>
      <c r="B41" t="s">
        <v>44</v>
      </c>
      <c r="C41" t="s">
        <v>383</v>
      </c>
      <c r="D41" t="s">
        <v>50</v>
      </c>
    </row>
    <row r="42" spans="1:4">
      <c r="A42" t="s">
        <v>381</v>
      </c>
      <c r="B42" t="s">
        <v>44</v>
      </c>
      <c r="C42" t="s">
        <v>383</v>
      </c>
      <c r="D42" t="s">
        <v>50</v>
      </c>
    </row>
    <row r="43" spans="1:4">
      <c r="A43" t="s">
        <v>382</v>
      </c>
      <c r="B43" t="s">
        <v>44</v>
      </c>
      <c r="C43" t="s">
        <v>375</v>
      </c>
      <c r="D43" t="s">
        <v>384</v>
      </c>
    </row>
    <row r="44" spans="1:4">
      <c r="A44" t="s">
        <v>385</v>
      </c>
      <c r="B44" t="s">
        <v>44</v>
      </c>
      <c r="C44" t="s">
        <v>391</v>
      </c>
      <c r="D44" t="s">
        <v>50</v>
      </c>
    </row>
    <row r="45" spans="1:4">
      <c r="A45" t="s">
        <v>386</v>
      </c>
      <c r="B45" t="s">
        <v>44</v>
      </c>
      <c r="C45" t="s">
        <v>392</v>
      </c>
      <c r="D45" t="s">
        <v>50</v>
      </c>
    </row>
    <row r="46" spans="1:4">
      <c r="A46" t="s">
        <v>387</v>
      </c>
      <c r="B46" t="s">
        <v>44</v>
      </c>
      <c r="C46" t="s">
        <v>392</v>
      </c>
      <c r="D46" t="s">
        <v>50</v>
      </c>
    </row>
    <row r="47" spans="1:4">
      <c r="A47" t="s">
        <v>388</v>
      </c>
      <c r="B47" t="s">
        <v>44</v>
      </c>
      <c r="C47" t="s">
        <v>393</v>
      </c>
      <c r="D47" t="s">
        <v>50</v>
      </c>
    </row>
    <row r="48" spans="1:4">
      <c r="A48" t="s">
        <v>389</v>
      </c>
      <c r="B48" t="s">
        <v>44</v>
      </c>
      <c r="C48" s="25" t="s">
        <v>394</v>
      </c>
      <c r="D48" t="s">
        <v>397</v>
      </c>
    </row>
    <row r="49" spans="1:4">
      <c r="A49" t="s">
        <v>390</v>
      </c>
      <c r="B49" t="s">
        <v>44</v>
      </c>
      <c r="C49" s="25" t="s">
        <v>395</v>
      </c>
      <c r="D49" t="s">
        <v>396</v>
      </c>
    </row>
    <row r="50" spans="1:4">
      <c r="A50" t="s">
        <v>399</v>
      </c>
      <c r="B50" t="s">
        <v>44</v>
      </c>
      <c r="C50" t="s">
        <v>402</v>
      </c>
      <c r="D50" t="s">
        <v>50</v>
      </c>
    </row>
    <row r="51" spans="1:4">
      <c r="A51" t="s">
        <v>400</v>
      </c>
      <c r="B51" t="s">
        <v>44</v>
      </c>
      <c r="C51" t="s">
        <v>309</v>
      </c>
      <c r="D51" t="s">
        <v>50</v>
      </c>
    </row>
    <row r="52" spans="1:4">
      <c r="A52" t="s">
        <v>401</v>
      </c>
      <c r="B52" t="s">
        <v>44</v>
      </c>
      <c r="C52" t="s">
        <v>309</v>
      </c>
      <c r="D52" t="s">
        <v>368</v>
      </c>
    </row>
    <row r="53" spans="1:4">
      <c r="A53" t="s">
        <v>403</v>
      </c>
      <c r="B53" t="s">
        <v>407</v>
      </c>
      <c r="C53" t="s">
        <v>309</v>
      </c>
      <c r="D53" t="s">
        <v>50</v>
      </c>
    </row>
    <row r="54" spans="1:4">
      <c r="A54" t="s">
        <v>404</v>
      </c>
      <c r="B54" t="s">
        <v>407</v>
      </c>
      <c r="C54" t="s">
        <v>309</v>
      </c>
      <c r="D54" t="s">
        <v>50</v>
      </c>
    </row>
    <row r="55" spans="1:4">
      <c r="A55" t="s">
        <v>405</v>
      </c>
      <c r="B55" t="s">
        <v>407</v>
      </c>
      <c r="C55" t="s">
        <v>309</v>
      </c>
      <c r="D55" t="s">
        <v>50</v>
      </c>
    </row>
    <row r="56" spans="1:4">
      <c r="A56" t="s">
        <v>406</v>
      </c>
      <c r="B56" t="s">
        <v>44</v>
      </c>
      <c r="C56" t="s">
        <v>309</v>
      </c>
      <c r="D56" t="s">
        <v>50</v>
      </c>
    </row>
    <row r="57" spans="1:4">
      <c r="A57" t="s">
        <v>408</v>
      </c>
      <c r="B57" t="s">
        <v>407</v>
      </c>
      <c r="D57" t="s">
        <v>359</v>
      </c>
    </row>
    <row r="58" spans="1:4">
      <c r="A58" t="s">
        <v>257</v>
      </c>
      <c r="B58" t="s">
        <v>407</v>
      </c>
      <c r="D58" t="s">
        <v>423</v>
      </c>
    </row>
    <row r="59" spans="1:4">
      <c r="A59" t="s">
        <v>270</v>
      </c>
      <c r="B59" t="s">
        <v>407</v>
      </c>
      <c r="D59" s="26" t="s">
        <v>359</v>
      </c>
    </row>
    <row r="60" spans="1:4">
      <c r="A60" t="s">
        <v>409</v>
      </c>
      <c r="B60" t="s">
        <v>407</v>
      </c>
      <c r="D60" s="26" t="s">
        <v>424</v>
      </c>
    </row>
    <row r="61" spans="1:4">
      <c r="A61" t="s">
        <v>255</v>
      </c>
      <c r="B61" t="s">
        <v>407</v>
      </c>
      <c r="D61" s="26" t="s">
        <v>425</v>
      </c>
    </row>
    <row r="62" spans="1:4">
      <c r="A62" t="s">
        <v>281</v>
      </c>
      <c r="B62" t="s">
        <v>407</v>
      </c>
      <c r="D62" s="26" t="s">
        <v>359</v>
      </c>
    </row>
    <row r="63" spans="1:4">
      <c r="A63" t="s">
        <v>282</v>
      </c>
      <c r="B63" t="s">
        <v>407</v>
      </c>
      <c r="D63" s="26" t="s">
        <v>359</v>
      </c>
    </row>
    <row r="64" spans="1:4">
      <c r="A64" t="s">
        <v>283</v>
      </c>
      <c r="B64" t="s">
        <v>407</v>
      </c>
      <c r="D64" s="26" t="s">
        <v>359</v>
      </c>
    </row>
    <row r="65" spans="1:4">
      <c r="A65" t="s">
        <v>284</v>
      </c>
      <c r="B65" t="s">
        <v>407</v>
      </c>
      <c r="D65" t="s">
        <v>423</v>
      </c>
    </row>
    <row r="66" spans="1:4">
      <c r="A66" t="s">
        <v>285</v>
      </c>
      <c r="B66" t="s">
        <v>407</v>
      </c>
      <c r="D66" s="26" t="s">
        <v>359</v>
      </c>
    </row>
    <row r="67" spans="1:4">
      <c r="A67" t="s">
        <v>286</v>
      </c>
      <c r="B67" t="s">
        <v>407</v>
      </c>
      <c r="D67" s="26" t="s">
        <v>359</v>
      </c>
    </row>
    <row r="68" spans="1:4">
      <c r="A68" t="s">
        <v>287</v>
      </c>
      <c r="B68" t="s">
        <v>407</v>
      </c>
      <c r="D68" s="26" t="s">
        <v>359</v>
      </c>
    </row>
    <row r="69" spans="1:4">
      <c r="A69" t="s">
        <v>288</v>
      </c>
      <c r="B69" t="s">
        <v>407</v>
      </c>
      <c r="D69" s="26" t="s">
        <v>359</v>
      </c>
    </row>
    <row r="70" spans="1:4">
      <c r="A70" t="s">
        <v>289</v>
      </c>
      <c r="B70" t="s">
        <v>407</v>
      </c>
      <c r="D70" s="26" t="s">
        <v>359</v>
      </c>
    </row>
    <row r="71" spans="1:4">
      <c r="A71" t="s">
        <v>290</v>
      </c>
      <c r="B71" t="s">
        <v>407</v>
      </c>
      <c r="D71" s="26" t="s">
        <v>359</v>
      </c>
    </row>
    <row r="72" spans="1:4">
      <c r="A72" t="s">
        <v>410</v>
      </c>
      <c r="B72" t="s">
        <v>407</v>
      </c>
      <c r="D72" s="26" t="s">
        <v>359</v>
      </c>
    </row>
    <row r="73" spans="1:4">
      <c r="A73" t="s">
        <v>411</v>
      </c>
      <c r="B73" t="s">
        <v>407</v>
      </c>
      <c r="D73" t="s">
        <v>367</v>
      </c>
    </row>
    <row r="74" spans="1:4">
      <c r="A74" t="s">
        <v>145</v>
      </c>
      <c r="B74" s="25" t="s">
        <v>407</v>
      </c>
      <c r="D74" t="s">
        <v>308</v>
      </c>
    </row>
    <row r="75" spans="1:4">
      <c r="A75" t="s">
        <v>412</v>
      </c>
      <c r="B75" s="25" t="s">
        <v>407</v>
      </c>
      <c r="D75" t="s">
        <v>308</v>
      </c>
    </row>
    <row r="76" spans="1:4">
      <c r="A76" t="s">
        <v>413</v>
      </c>
      <c r="B76" t="s">
        <v>419</v>
      </c>
      <c r="D76" t="s">
        <v>359</v>
      </c>
    </row>
    <row r="77" spans="1:4">
      <c r="A77" t="s">
        <v>414</v>
      </c>
      <c r="B77" t="s">
        <v>419</v>
      </c>
      <c r="D77" s="26" t="s">
        <v>359</v>
      </c>
    </row>
    <row r="78" spans="1:4">
      <c r="A78" t="s">
        <v>420</v>
      </c>
      <c r="B78" t="s">
        <v>419</v>
      </c>
      <c r="D78" s="26" t="s">
        <v>359</v>
      </c>
    </row>
    <row r="79" spans="1:4">
      <c r="A79" t="s">
        <v>415</v>
      </c>
      <c r="B79" t="s">
        <v>419</v>
      </c>
      <c r="D79" t="s">
        <v>426</v>
      </c>
    </row>
    <row r="80" spans="1:4">
      <c r="A80" t="s">
        <v>421</v>
      </c>
      <c r="B80" t="s">
        <v>419</v>
      </c>
      <c r="D80" s="26" t="s">
        <v>427</v>
      </c>
    </row>
    <row r="81" spans="1:4">
      <c r="A81" t="s">
        <v>416</v>
      </c>
      <c r="B81" s="25" t="s">
        <v>419</v>
      </c>
      <c r="D81" s="26" t="s">
        <v>359</v>
      </c>
    </row>
    <row r="82" spans="1:4">
      <c r="A82" t="s">
        <v>417</v>
      </c>
      <c r="B82" s="25" t="s">
        <v>419</v>
      </c>
      <c r="D82" t="s">
        <v>426</v>
      </c>
    </row>
    <row r="83" spans="1:4">
      <c r="A83" t="s">
        <v>422</v>
      </c>
      <c r="B83" t="s">
        <v>44</v>
      </c>
      <c r="D83" t="s">
        <v>396</v>
      </c>
    </row>
    <row r="84" spans="1:4">
      <c r="A84" t="s">
        <v>418</v>
      </c>
      <c r="B84" t="s">
        <v>419</v>
      </c>
      <c r="D84" s="26" t="s">
        <v>359</v>
      </c>
    </row>
    <row r="85" spans="1:4">
      <c r="A85" t="s">
        <v>641</v>
      </c>
      <c r="B85" t="s">
        <v>419</v>
      </c>
      <c r="C85" t="s">
        <v>375</v>
      </c>
      <c r="D85" t="s">
        <v>50</v>
      </c>
    </row>
    <row r="86" spans="1:4">
      <c r="A86" t="s">
        <v>643</v>
      </c>
      <c r="B86" t="s">
        <v>419</v>
      </c>
      <c r="C86" t="s">
        <v>9</v>
      </c>
      <c r="D86" t="s">
        <v>359</v>
      </c>
    </row>
    <row r="87" spans="1:4">
      <c r="A87" t="s">
        <v>644</v>
      </c>
      <c r="B87" t="s">
        <v>419</v>
      </c>
      <c r="C87" t="s">
        <v>9</v>
      </c>
      <c r="D87" t="s">
        <v>359</v>
      </c>
    </row>
    <row r="88" spans="1:4">
      <c r="A88" t="s">
        <v>726</v>
      </c>
      <c r="B88" t="s">
        <v>419</v>
      </c>
      <c r="D88" t="s">
        <v>359</v>
      </c>
    </row>
    <row r="89" spans="1:4">
      <c r="A89" t="s">
        <v>881</v>
      </c>
      <c r="B89" t="s">
        <v>419</v>
      </c>
      <c r="D89" t="s">
        <v>359</v>
      </c>
    </row>
    <row r="90" spans="1:4">
      <c r="A90" t="s">
        <v>882</v>
      </c>
      <c r="B90" t="s">
        <v>44</v>
      </c>
      <c r="D90" t="s">
        <v>359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E2CA7-F89F-054B-A052-20DD261BEABA}">
  <dimension ref="A1:G382"/>
  <sheetViews>
    <sheetView topLeftCell="A311" zoomScale="75" zoomScaleNormal="66" workbookViewId="0">
      <selection activeCell="B328" sqref="B328"/>
    </sheetView>
  </sheetViews>
  <sheetFormatPr baseColWidth="10" defaultRowHeight="16"/>
  <cols>
    <col min="1" max="1" width="28.6640625" bestFit="1" customWidth="1"/>
    <col min="2" max="2" width="84.5" bestFit="1" customWidth="1"/>
    <col min="3" max="3" width="13.6640625" bestFit="1" customWidth="1"/>
    <col min="6" max="6" width="12.1640625" bestFit="1" customWidth="1"/>
    <col min="7" max="7" width="12" bestFit="1" customWidth="1"/>
  </cols>
  <sheetData>
    <row r="1" spans="1:6" ht="21">
      <c r="A1" s="16" t="s">
        <v>310</v>
      </c>
    </row>
    <row r="2" spans="1:6">
      <c r="A2" t="s">
        <v>110</v>
      </c>
      <c r="B2" t="s">
        <v>607</v>
      </c>
      <c r="C2" s="18" t="s">
        <v>311</v>
      </c>
    </row>
    <row r="3" spans="1:6">
      <c r="A3" s="27">
        <v>44390</v>
      </c>
      <c r="B3" t="s">
        <v>429</v>
      </c>
      <c r="C3" s="18">
        <v>6.5</v>
      </c>
      <c r="F3" t="s">
        <v>645</v>
      </c>
    </row>
    <row r="4" spans="1:6">
      <c r="A4" s="27">
        <v>44390</v>
      </c>
      <c r="B4" t="s">
        <v>432</v>
      </c>
      <c r="C4" s="18">
        <v>2.5</v>
      </c>
      <c r="F4" s="20">
        <v>828.10866666666675</v>
      </c>
    </row>
    <row r="5" spans="1:6">
      <c r="A5" s="27">
        <v>44390</v>
      </c>
      <c r="B5" t="s">
        <v>430</v>
      </c>
      <c r="C5" s="18">
        <v>0.5</v>
      </c>
    </row>
    <row r="6" spans="1:6">
      <c r="A6" s="27">
        <v>44390</v>
      </c>
      <c r="B6" t="s">
        <v>431</v>
      </c>
      <c r="C6" s="18">
        <v>0.5</v>
      </c>
    </row>
    <row r="7" spans="1:6">
      <c r="A7" s="27">
        <v>44390</v>
      </c>
      <c r="B7" t="s">
        <v>609</v>
      </c>
      <c r="C7" s="18">
        <v>0.5</v>
      </c>
    </row>
    <row r="8" spans="1:6">
      <c r="A8" s="27">
        <v>44390</v>
      </c>
      <c r="B8" t="s">
        <v>433</v>
      </c>
      <c r="C8" s="18">
        <v>0.5</v>
      </c>
    </row>
    <row r="9" spans="1:6">
      <c r="A9" s="27">
        <v>44390</v>
      </c>
      <c r="B9" t="s">
        <v>428</v>
      </c>
      <c r="C9" s="18"/>
    </row>
    <row r="10" spans="1:6">
      <c r="A10" s="27">
        <v>44390</v>
      </c>
      <c r="B10" t="s">
        <v>632</v>
      </c>
      <c r="C10" s="18"/>
    </row>
    <row r="11" spans="1:6">
      <c r="A11" s="27">
        <v>44391</v>
      </c>
      <c r="B11" t="s">
        <v>625</v>
      </c>
      <c r="C11" s="18">
        <v>5</v>
      </c>
    </row>
    <row r="12" spans="1:6">
      <c r="A12" s="27">
        <v>44391</v>
      </c>
      <c r="B12" t="s">
        <v>436</v>
      </c>
      <c r="C12" s="18">
        <v>2.5</v>
      </c>
    </row>
    <row r="13" spans="1:6">
      <c r="A13" s="27">
        <v>44391</v>
      </c>
      <c r="B13" t="s">
        <v>435</v>
      </c>
      <c r="C13" s="18">
        <v>0.75</v>
      </c>
    </row>
    <row r="14" spans="1:6">
      <c r="A14" s="27">
        <v>44391</v>
      </c>
      <c r="B14" t="s">
        <v>434</v>
      </c>
      <c r="C14" s="18">
        <v>0.5</v>
      </c>
    </row>
    <row r="15" spans="1:6">
      <c r="A15" s="27">
        <v>44391</v>
      </c>
      <c r="B15" t="s">
        <v>610</v>
      </c>
      <c r="C15" s="18">
        <v>0.5</v>
      </c>
    </row>
    <row r="16" spans="1:6">
      <c r="A16" s="27">
        <v>44391</v>
      </c>
      <c r="B16" t="s">
        <v>437</v>
      </c>
      <c r="C16" s="18">
        <v>0.2</v>
      </c>
    </row>
    <row r="17" spans="1:3">
      <c r="A17" s="27">
        <v>44392</v>
      </c>
      <c r="B17" t="s">
        <v>618</v>
      </c>
      <c r="C17" s="18">
        <v>3</v>
      </c>
    </row>
    <row r="18" spans="1:3">
      <c r="A18" s="27">
        <v>44392</v>
      </c>
      <c r="B18" t="s">
        <v>439</v>
      </c>
      <c r="C18" s="18">
        <v>1</v>
      </c>
    </row>
    <row r="19" spans="1:3">
      <c r="A19" s="27">
        <v>44392</v>
      </c>
      <c r="B19" t="s">
        <v>438</v>
      </c>
      <c r="C19" s="18">
        <v>0.5</v>
      </c>
    </row>
    <row r="20" spans="1:3">
      <c r="A20" s="27">
        <v>44392</v>
      </c>
      <c r="B20" t="s">
        <v>440</v>
      </c>
      <c r="C20" s="18">
        <v>0.5</v>
      </c>
    </row>
    <row r="21" spans="1:3">
      <c r="A21" s="27">
        <v>44393</v>
      </c>
      <c r="B21" t="s">
        <v>441</v>
      </c>
      <c r="C21" s="18">
        <v>2.75</v>
      </c>
    </row>
    <row r="22" spans="1:3">
      <c r="A22" s="27">
        <v>44393</v>
      </c>
      <c r="B22" t="s">
        <v>444</v>
      </c>
      <c r="C22" s="18">
        <v>1</v>
      </c>
    </row>
    <row r="23" spans="1:3">
      <c r="A23" s="27">
        <v>44393</v>
      </c>
      <c r="B23" t="s">
        <v>451</v>
      </c>
      <c r="C23" s="18">
        <v>1</v>
      </c>
    </row>
    <row r="24" spans="1:3">
      <c r="A24" s="27">
        <v>44393</v>
      </c>
      <c r="B24" t="s">
        <v>442</v>
      </c>
      <c r="C24" s="18">
        <v>0.5</v>
      </c>
    </row>
    <row r="25" spans="1:3">
      <c r="A25" s="27">
        <v>44393</v>
      </c>
      <c r="B25" t="s">
        <v>443</v>
      </c>
      <c r="C25" s="18">
        <v>0.25</v>
      </c>
    </row>
    <row r="26" spans="1:3">
      <c r="A26" s="27">
        <v>44393</v>
      </c>
      <c r="B26" t="s">
        <v>445</v>
      </c>
      <c r="C26" s="18">
        <v>0.25</v>
      </c>
    </row>
    <row r="27" spans="1:3">
      <c r="A27" s="27">
        <v>44393</v>
      </c>
      <c r="B27" t="s">
        <v>449</v>
      </c>
      <c r="C27" s="18">
        <v>0.25</v>
      </c>
    </row>
    <row r="28" spans="1:3">
      <c r="A28" s="27">
        <v>44393</v>
      </c>
      <c r="B28" t="s">
        <v>446</v>
      </c>
      <c r="C28" s="18">
        <v>0.15</v>
      </c>
    </row>
    <row r="29" spans="1:3">
      <c r="A29" s="27">
        <v>44393</v>
      </c>
      <c r="B29" t="s">
        <v>447</v>
      </c>
      <c r="C29" s="18">
        <v>0.15</v>
      </c>
    </row>
    <row r="30" spans="1:3">
      <c r="A30" s="27">
        <v>44393</v>
      </c>
      <c r="B30" t="s">
        <v>448</v>
      </c>
      <c r="C30" s="18">
        <v>0.15</v>
      </c>
    </row>
    <row r="31" spans="1:3">
      <c r="A31" s="27">
        <v>44393</v>
      </c>
      <c r="B31" t="s">
        <v>450</v>
      </c>
      <c r="C31" s="18">
        <v>0.15</v>
      </c>
    </row>
    <row r="32" spans="1:3">
      <c r="A32" s="27">
        <v>44394</v>
      </c>
      <c r="B32" t="s">
        <v>457</v>
      </c>
      <c r="C32" s="18">
        <v>2</v>
      </c>
    </row>
    <row r="33" spans="1:3">
      <c r="A33" s="27">
        <v>44394</v>
      </c>
      <c r="B33" t="s">
        <v>452</v>
      </c>
      <c r="C33" s="18">
        <v>1.5</v>
      </c>
    </row>
    <row r="34" spans="1:3">
      <c r="A34" s="27">
        <v>44394</v>
      </c>
      <c r="B34" t="s">
        <v>454</v>
      </c>
      <c r="C34" s="18">
        <v>0.5</v>
      </c>
    </row>
    <row r="35" spans="1:3">
      <c r="A35" s="27">
        <v>44394</v>
      </c>
      <c r="B35" t="s">
        <v>455</v>
      </c>
      <c r="C35" s="18">
        <v>0.5</v>
      </c>
    </row>
    <row r="36" spans="1:3">
      <c r="A36" s="27">
        <v>44394</v>
      </c>
      <c r="B36" t="s">
        <v>456</v>
      </c>
      <c r="C36" s="18">
        <v>0.5</v>
      </c>
    </row>
    <row r="37" spans="1:3">
      <c r="A37" s="27">
        <v>44394</v>
      </c>
      <c r="B37" t="s">
        <v>453</v>
      </c>
      <c r="C37" s="18">
        <v>0.25</v>
      </c>
    </row>
    <row r="38" spans="1:3">
      <c r="A38" s="27">
        <v>44395</v>
      </c>
      <c r="B38" t="s">
        <v>458</v>
      </c>
      <c r="C38" s="18">
        <v>10</v>
      </c>
    </row>
    <row r="39" spans="1:3">
      <c r="A39" s="27">
        <v>44395</v>
      </c>
      <c r="B39" t="s">
        <v>459</v>
      </c>
      <c r="C39" s="18">
        <v>10</v>
      </c>
    </row>
    <row r="40" spans="1:3">
      <c r="A40" s="27">
        <v>44395</v>
      </c>
      <c r="B40" t="s">
        <v>460</v>
      </c>
      <c r="C40" s="18">
        <v>0.5</v>
      </c>
    </row>
    <row r="41" spans="1:3">
      <c r="A41" s="27">
        <v>44396</v>
      </c>
      <c r="B41" t="s">
        <v>608</v>
      </c>
      <c r="C41" s="18">
        <v>1</v>
      </c>
    </row>
    <row r="42" spans="1:3">
      <c r="A42" s="27">
        <v>44397</v>
      </c>
      <c r="B42" t="s">
        <v>461</v>
      </c>
      <c r="C42" s="18">
        <v>2</v>
      </c>
    </row>
    <row r="43" spans="1:3">
      <c r="A43" s="27">
        <v>44419</v>
      </c>
      <c r="B43" t="s">
        <v>464</v>
      </c>
      <c r="C43" s="18">
        <v>2</v>
      </c>
    </row>
    <row r="44" spans="1:3">
      <c r="A44" s="27">
        <v>44419</v>
      </c>
      <c r="B44" t="s">
        <v>463</v>
      </c>
      <c r="C44" s="18">
        <v>1</v>
      </c>
    </row>
    <row r="45" spans="1:3">
      <c r="A45" s="27">
        <v>44419</v>
      </c>
      <c r="B45" t="s">
        <v>462</v>
      </c>
      <c r="C45" s="18">
        <v>0.5</v>
      </c>
    </row>
    <row r="46" spans="1:3">
      <c r="A46" s="27">
        <v>44420</v>
      </c>
      <c r="B46" t="s">
        <v>466</v>
      </c>
      <c r="C46" s="18">
        <v>0.75</v>
      </c>
    </row>
    <row r="47" spans="1:3">
      <c r="A47" s="27">
        <v>44420</v>
      </c>
      <c r="B47" t="s">
        <v>465</v>
      </c>
      <c r="C47" s="18">
        <v>0.5</v>
      </c>
    </row>
    <row r="48" spans="1:3">
      <c r="A48" s="27">
        <v>44420</v>
      </c>
      <c r="B48" t="s">
        <v>467</v>
      </c>
      <c r="C48" s="18">
        <v>0.5</v>
      </c>
    </row>
    <row r="49" spans="1:3">
      <c r="A49" s="27">
        <v>44428</v>
      </c>
      <c r="B49" t="s">
        <v>616</v>
      </c>
      <c r="C49" s="18">
        <v>1.25</v>
      </c>
    </row>
    <row r="50" spans="1:3">
      <c r="A50" s="27">
        <v>44428</v>
      </c>
      <c r="B50" t="s">
        <v>614</v>
      </c>
      <c r="C50" s="18">
        <v>1</v>
      </c>
    </row>
    <row r="51" spans="1:3">
      <c r="A51" s="27">
        <v>44428</v>
      </c>
      <c r="B51" t="s">
        <v>468</v>
      </c>
      <c r="C51" s="18">
        <v>1</v>
      </c>
    </row>
    <row r="52" spans="1:3">
      <c r="A52" s="27">
        <v>44428</v>
      </c>
      <c r="B52" t="s">
        <v>470</v>
      </c>
      <c r="C52" s="18">
        <v>1</v>
      </c>
    </row>
    <row r="53" spans="1:3">
      <c r="A53" s="27">
        <v>44428</v>
      </c>
      <c r="B53" t="s">
        <v>467</v>
      </c>
      <c r="C53" s="18">
        <v>0.5</v>
      </c>
    </row>
    <row r="54" spans="1:3">
      <c r="A54" s="27">
        <v>44428</v>
      </c>
      <c r="B54" t="s">
        <v>469</v>
      </c>
      <c r="C54" s="18">
        <v>0.25</v>
      </c>
    </row>
    <row r="55" spans="1:3">
      <c r="A55" s="27">
        <v>44429</v>
      </c>
      <c r="B55" t="s">
        <v>623</v>
      </c>
      <c r="C55" s="18">
        <v>4</v>
      </c>
    </row>
    <row r="56" spans="1:3">
      <c r="A56" s="27">
        <v>44430</v>
      </c>
      <c r="B56" t="s">
        <v>471</v>
      </c>
      <c r="C56" s="18">
        <v>4</v>
      </c>
    </row>
    <row r="57" spans="1:3">
      <c r="A57" s="27">
        <v>44431</v>
      </c>
      <c r="B57" t="s">
        <v>472</v>
      </c>
      <c r="C57" s="18">
        <v>4</v>
      </c>
    </row>
    <row r="58" spans="1:3">
      <c r="A58" s="27">
        <v>44431</v>
      </c>
      <c r="B58" t="s">
        <v>473</v>
      </c>
      <c r="C58" s="18">
        <v>2</v>
      </c>
    </row>
    <row r="59" spans="1:3">
      <c r="A59" s="27">
        <v>44435</v>
      </c>
      <c r="B59" t="s">
        <v>474</v>
      </c>
      <c r="C59" s="18">
        <v>2</v>
      </c>
    </row>
    <row r="60" spans="1:3">
      <c r="A60" s="27">
        <v>44435</v>
      </c>
      <c r="B60" t="s">
        <v>475</v>
      </c>
      <c r="C60" s="18">
        <v>2</v>
      </c>
    </row>
    <row r="61" spans="1:3">
      <c r="A61" s="27">
        <v>44435</v>
      </c>
      <c r="B61" t="s">
        <v>476</v>
      </c>
      <c r="C61" s="18">
        <v>1</v>
      </c>
    </row>
    <row r="62" spans="1:3">
      <c r="A62" s="27">
        <v>44435</v>
      </c>
      <c r="B62" t="s">
        <v>467</v>
      </c>
      <c r="C62" s="18">
        <v>0.5</v>
      </c>
    </row>
    <row r="63" spans="1:3">
      <c r="A63" s="27">
        <v>44436</v>
      </c>
      <c r="B63" t="s">
        <v>477</v>
      </c>
      <c r="C63" s="18">
        <v>5</v>
      </c>
    </row>
    <row r="64" spans="1:3">
      <c r="A64" s="27">
        <v>44436</v>
      </c>
      <c r="B64" t="s">
        <v>478</v>
      </c>
      <c r="C64" s="18">
        <v>3</v>
      </c>
    </row>
    <row r="65" spans="1:3">
      <c r="A65" s="27">
        <v>44436</v>
      </c>
      <c r="B65" t="s">
        <v>475</v>
      </c>
      <c r="C65" s="18">
        <v>2</v>
      </c>
    </row>
    <row r="66" spans="1:3">
      <c r="A66" s="27">
        <v>44436</v>
      </c>
      <c r="B66" t="s">
        <v>479</v>
      </c>
      <c r="C66" s="18">
        <v>1</v>
      </c>
    </row>
    <row r="67" spans="1:3">
      <c r="A67" s="27">
        <v>44436</v>
      </c>
      <c r="B67" t="s">
        <v>482</v>
      </c>
      <c r="C67" s="18">
        <v>0.5</v>
      </c>
    </row>
    <row r="68" spans="1:3">
      <c r="A68" s="27">
        <v>44436</v>
      </c>
      <c r="B68" t="s">
        <v>467</v>
      </c>
      <c r="C68" s="18">
        <v>0.5</v>
      </c>
    </row>
    <row r="69" spans="1:3">
      <c r="A69" s="27">
        <v>44436</v>
      </c>
      <c r="B69" t="s">
        <v>473</v>
      </c>
      <c r="C69" s="18">
        <v>0.5</v>
      </c>
    </row>
    <row r="70" spans="1:3">
      <c r="A70" s="27">
        <v>44436</v>
      </c>
      <c r="B70" t="s">
        <v>480</v>
      </c>
      <c r="C70" s="18">
        <v>0.25</v>
      </c>
    </row>
    <row r="71" spans="1:3">
      <c r="A71" s="27">
        <v>44436</v>
      </c>
      <c r="B71" t="s">
        <v>481</v>
      </c>
      <c r="C71" s="18">
        <v>0.25</v>
      </c>
    </row>
    <row r="72" spans="1:3">
      <c r="A72" s="27">
        <v>44436</v>
      </c>
      <c r="B72" t="s">
        <v>483</v>
      </c>
      <c r="C72" s="18">
        <v>0.25</v>
      </c>
    </row>
    <row r="73" spans="1:3">
      <c r="A73" s="27">
        <v>44437</v>
      </c>
      <c r="B73" t="s">
        <v>486</v>
      </c>
      <c r="C73" s="18">
        <v>2.5</v>
      </c>
    </row>
    <row r="74" spans="1:3">
      <c r="A74" s="27">
        <v>44437</v>
      </c>
      <c r="B74" t="s">
        <v>487</v>
      </c>
      <c r="C74" s="18">
        <v>1</v>
      </c>
    </row>
    <row r="75" spans="1:3">
      <c r="A75" s="27">
        <v>44437</v>
      </c>
      <c r="B75" t="s">
        <v>485</v>
      </c>
      <c r="C75" s="18">
        <v>0.5</v>
      </c>
    </row>
    <row r="76" spans="1:3">
      <c r="A76" s="27">
        <v>44437</v>
      </c>
      <c r="B76" t="s">
        <v>489</v>
      </c>
      <c r="C76" s="18">
        <v>0.5</v>
      </c>
    </row>
    <row r="77" spans="1:3">
      <c r="A77" s="27">
        <v>44437</v>
      </c>
      <c r="B77" t="s">
        <v>490</v>
      </c>
      <c r="C77" s="18">
        <v>0.5</v>
      </c>
    </row>
    <row r="78" spans="1:3">
      <c r="A78" s="27">
        <v>44437</v>
      </c>
      <c r="B78" t="s">
        <v>484</v>
      </c>
      <c r="C78" s="18">
        <v>0.25</v>
      </c>
    </row>
    <row r="79" spans="1:3">
      <c r="A79" s="27">
        <v>44437</v>
      </c>
      <c r="B79" t="s">
        <v>488</v>
      </c>
      <c r="C79" s="18">
        <v>0.25</v>
      </c>
    </row>
    <row r="80" spans="1:3">
      <c r="A80" s="27">
        <v>44438</v>
      </c>
      <c r="B80" t="s">
        <v>492</v>
      </c>
      <c r="C80" s="18">
        <v>4</v>
      </c>
    </row>
    <row r="81" spans="1:3">
      <c r="A81" s="27">
        <v>44438</v>
      </c>
      <c r="B81" t="s">
        <v>494</v>
      </c>
      <c r="C81" s="18">
        <v>0.5</v>
      </c>
    </row>
    <row r="82" spans="1:3">
      <c r="A82" s="27">
        <v>44438</v>
      </c>
      <c r="B82" t="s">
        <v>491</v>
      </c>
      <c r="C82" s="18">
        <v>0.33</v>
      </c>
    </row>
    <row r="83" spans="1:3">
      <c r="A83" s="27">
        <v>44438</v>
      </c>
      <c r="B83" t="s">
        <v>493</v>
      </c>
      <c r="C83" s="18">
        <v>0.25</v>
      </c>
    </row>
    <row r="84" spans="1:3">
      <c r="A84" s="27">
        <v>44438</v>
      </c>
      <c r="B84" t="s">
        <v>495</v>
      </c>
      <c r="C84" s="18">
        <v>0.25</v>
      </c>
    </row>
    <row r="85" spans="1:3">
      <c r="A85" s="27">
        <v>44439</v>
      </c>
      <c r="B85" t="s">
        <v>497</v>
      </c>
      <c r="C85" s="18">
        <v>2</v>
      </c>
    </row>
    <row r="86" spans="1:3">
      <c r="A86" s="27">
        <v>44439</v>
      </c>
      <c r="B86" t="s">
        <v>498</v>
      </c>
      <c r="C86" s="18">
        <v>1.5</v>
      </c>
    </row>
    <row r="87" spans="1:3">
      <c r="A87" s="27">
        <v>44439</v>
      </c>
      <c r="B87" t="s">
        <v>496</v>
      </c>
      <c r="C87" s="18">
        <v>1</v>
      </c>
    </row>
    <row r="88" spans="1:3">
      <c r="A88" s="27">
        <v>44439</v>
      </c>
      <c r="B88" t="s">
        <v>499</v>
      </c>
      <c r="C88" s="18">
        <v>1</v>
      </c>
    </row>
    <row r="89" spans="1:3">
      <c r="A89" s="27">
        <v>44439</v>
      </c>
      <c r="B89" t="s">
        <v>491</v>
      </c>
      <c r="C89" s="18">
        <v>0.33300000000000002</v>
      </c>
    </row>
    <row r="90" spans="1:3">
      <c r="A90" s="27">
        <v>44440</v>
      </c>
      <c r="B90" t="s">
        <v>500</v>
      </c>
      <c r="C90" s="18">
        <v>1.5</v>
      </c>
    </row>
    <row r="91" spans="1:3">
      <c r="A91" s="27">
        <v>44440</v>
      </c>
      <c r="B91" t="s">
        <v>504</v>
      </c>
      <c r="C91" s="18">
        <v>1</v>
      </c>
    </row>
    <row r="92" spans="1:3">
      <c r="A92" s="27">
        <v>44440</v>
      </c>
      <c r="B92" t="s">
        <v>501</v>
      </c>
      <c r="C92" s="18">
        <v>0.5</v>
      </c>
    </row>
    <row r="93" spans="1:3">
      <c r="A93" s="27">
        <v>44440</v>
      </c>
      <c r="B93" t="s">
        <v>502</v>
      </c>
      <c r="C93" s="18">
        <v>0.5</v>
      </c>
    </row>
    <row r="94" spans="1:3">
      <c r="A94" s="27">
        <v>44440</v>
      </c>
      <c r="B94" t="s">
        <v>503</v>
      </c>
      <c r="C94" s="18">
        <v>0.5</v>
      </c>
    </row>
    <row r="95" spans="1:3">
      <c r="A95" s="27">
        <v>44441</v>
      </c>
      <c r="B95" t="s">
        <v>619</v>
      </c>
      <c r="C95" s="18">
        <v>3</v>
      </c>
    </row>
    <row r="96" spans="1:3">
      <c r="A96" s="27">
        <v>44441</v>
      </c>
      <c r="B96" t="s">
        <v>611</v>
      </c>
      <c r="C96" s="18">
        <v>0.5</v>
      </c>
    </row>
    <row r="97" spans="1:3">
      <c r="A97" s="27">
        <v>44442</v>
      </c>
      <c r="B97" t="s">
        <v>611</v>
      </c>
      <c r="C97" s="18">
        <v>0.5</v>
      </c>
    </row>
    <row r="98" spans="1:3">
      <c r="A98" s="27">
        <v>44442</v>
      </c>
      <c r="B98" t="s">
        <v>505</v>
      </c>
      <c r="C98" s="18">
        <v>0.15</v>
      </c>
    </row>
    <row r="99" spans="1:3">
      <c r="A99" s="27">
        <v>44445</v>
      </c>
      <c r="B99" t="s">
        <v>620</v>
      </c>
      <c r="C99" s="18">
        <v>6</v>
      </c>
    </row>
    <row r="100" spans="1:3">
      <c r="A100" s="27">
        <v>44445</v>
      </c>
      <c r="B100" t="s">
        <v>506</v>
      </c>
      <c r="C100" s="18">
        <v>2</v>
      </c>
    </row>
    <row r="101" spans="1:3">
      <c r="A101" s="27">
        <v>44445</v>
      </c>
      <c r="B101" t="s">
        <v>491</v>
      </c>
      <c r="C101" s="18">
        <v>0.2</v>
      </c>
    </row>
    <row r="102" spans="1:3">
      <c r="A102" s="27">
        <v>44446</v>
      </c>
      <c r="B102" t="s">
        <v>620</v>
      </c>
      <c r="C102" s="18">
        <v>3</v>
      </c>
    </row>
    <row r="103" spans="1:3">
      <c r="A103" s="27">
        <v>44446</v>
      </c>
      <c r="B103" t="s">
        <v>508</v>
      </c>
      <c r="C103" s="18">
        <v>3</v>
      </c>
    </row>
    <row r="104" spans="1:3">
      <c r="A104" s="27">
        <v>44446</v>
      </c>
      <c r="B104" t="s">
        <v>617</v>
      </c>
      <c r="C104" s="18">
        <v>2</v>
      </c>
    </row>
    <row r="105" spans="1:3">
      <c r="A105" s="27">
        <v>44446</v>
      </c>
      <c r="B105" t="s">
        <v>507</v>
      </c>
      <c r="C105" s="18">
        <v>1</v>
      </c>
    </row>
    <row r="106" spans="1:3">
      <c r="A106" s="27">
        <v>44447</v>
      </c>
      <c r="B106" t="s">
        <v>509</v>
      </c>
      <c r="C106" s="18">
        <v>3</v>
      </c>
    </row>
    <row r="107" spans="1:3">
      <c r="A107" s="27">
        <v>44448</v>
      </c>
      <c r="B107" t="s">
        <v>510</v>
      </c>
      <c r="C107" s="18">
        <v>9</v>
      </c>
    </row>
    <row r="108" spans="1:3">
      <c r="A108" s="27">
        <v>44448</v>
      </c>
      <c r="B108" t="s">
        <v>491</v>
      </c>
      <c r="C108" s="18">
        <v>1</v>
      </c>
    </row>
    <row r="109" spans="1:3">
      <c r="A109" s="27">
        <v>44451</v>
      </c>
      <c r="B109" t="s">
        <v>511</v>
      </c>
      <c r="C109" s="18">
        <v>2</v>
      </c>
    </row>
    <row r="110" spans="1:3">
      <c r="A110" s="27">
        <v>44452</v>
      </c>
      <c r="B110" t="s">
        <v>512</v>
      </c>
      <c r="C110" s="18">
        <v>4</v>
      </c>
    </row>
    <row r="111" spans="1:3">
      <c r="A111" s="27">
        <v>44452</v>
      </c>
      <c r="B111" t="s">
        <v>511</v>
      </c>
      <c r="C111" s="18">
        <v>3</v>
      </c>
    </row>
    <row r="112" spans="1:3">
      <c r="A112" s="27">
        <v>44452</v>
      </c>
      <c r="B112" t="s">
        <v>513</v>
      </c>
      <c r="C112" s="18">
        <v>2</v>
      </c>
    </row>
    <row r="113" spans="1:3">
      <c r="A113" s="27">
        <v>44453</v>
      </c>
      <c r="B113" t="s">
        <v>511</v>
      </c>
      <c r="C113" s="18">
        <v>3</v>
      </c>
    </row>
    <row r="114" spans="1:3">
      <c r="A114" s="27">
        <v>44454</v>
      </c>
      <c r="B114" t="s">
        <v>512</v>
      </c>
      <c r="C114" s="18">
        <v>4</v>
      </c>
    </row>
    <row r="115" spans="1:3">
      <c r="A115" s="27">
        <v>44461</v>
      </c>
      <c r="B115" t="s">
        <v>630</v>
      </c>
      <c r="C115" s="18">
        <v>9</v>
      </c>
    </row>
    <row r="116" spans="1:3">
      <c r="A116" s="27">
        <v>44461</v>
      </c>
      <c r="B116" t="s">
        <v>514</v>
      </c>
      <c r="C116" s="18">
        <v>0.5</v>
      </c>
    </row>
    <row r="117" spans="1:3">
      <c r="A117" s="27">
        <v>44462</v>
      </c>
      <c r="B117" t="s">
        <v>515</v>
      </c>
      <c r="C117" s="18">
        <v>4</v>
      </c>
    </row>
    <row r="118" spans="1:3">
      <c r="A118" s="27">
        <v>44466</v>
      </c>
      <c r="B118" t="s">
        <v>517</v>
      </c>
      <c r="C118" s="18">
        <v>4</v>
      </c>
    </row>
    <row r="119" spans="1:3">
      <c r="A119" s="27">
        <v>44466</v>
      </c>
      <c r="B119" t="s">
        <v>516</v>
      </c>
      <c r="C119" s="18">
        <v>1.5</v>
      </c>
    </row>
    <row r="120" spans="1:3">
      <c r="A120" s="27">
        <v>44467</v>
      </c>
      <c r="B120" t="s">
        <v>517</v>
      </c>
      <c r="C120" s="18">
        <v>6</v>
      </c>
    </row>
    <row r="121" spans="1:3">
      <c r="A121" s="27">
        <v>44467</v>
      </c>
      <c r="B121" t="s">
        <v>520</v>
      </c>
      <c r="C121" s="18">
        <v>1</v>
      </c>
    </row>
    <row r="122" spans="1:3">
      <c r="A122" s="27">
        <v>44467</v>
      </c>
      <c r="B122" t="s">
        <v>521</v>
      </c>
      <c r="C122" s="18">
        <v>1</v>
      </c>
    </row>
    <row r="123" spans="1:3">
      <c r="A123" s="27">
        <v>44467</v>
      </c>
      <c r="B123" t="s">
        <v>518</v>
      </c>
      <c r="C123" s="18">
        <v>0.75</v>
      </c>
    </row>
    <row r="124" spans="1:3">
      <c r="A124" s="27">
        <v>44467</v>
      </c>
      <c r="B124" t="s">
        <v>519</v>
      </c>
      <c r="C124" s="18">
        <v>0.25</v>
      </c>
    </row>
    <row r="125" spans="1:3">
      <c r="A125" s="27">
        <v>44468</v>
      </c>
      <c r="B125" t="s">
        <v>522</v>
      </c>
      <c r="C125" s="18">
        <v>0.5</v>
      </c>
    </row>
    <row r="126" spans="1:3">
      <c r="A126" s="27">
        <v>44468</v>
      </c>
      <c r="B126" t="s">
        <v>523</v>
      </c>
      <c r="C126" s="18">
        <v>0.25</v>
      </c>
    </row>
    <row r="127" spans="1:3">
      <c r="A127" s="27">
        <v>44468</v>
      </c>
      <c r="B127" t="s">
        <v>608</v>
      </c>
      <c r="C127" s="18">
        <v>0.25</v>
      </c>
    </row>
    <row r="128" spans="1:3">
      <c r="A128" s="27">
        <v>44470</v>
      </c>
      <c r="B128" t="s">
        <v>562</v>
      </c>
      <c r="C128" s="18">
        <v>2</v>
      </c>
    </row>
    <row r="129" spans="1:3">
      <c r="A129" s="27">
        <v>44470</v>
      </c>
      <c r="B129" t="s">
        <v>577</v>
      </c>
      <c r="C129" s="18">
        <v>2</v>
      </c>
    </row>
    <row r="130" spans="1:3">
      <c r="A130" s="27">
        <v>44470</v>
      </c>
      <c r="B130" t="s">
        <v>576</v>
      </c>
      <c r="C130" s="18">
        <v>0.5</v>
      </c>
    </row>
    <row r="131" spans="1:3">
      <c r="A131" s="27">
        <v>44470</v>
      </c>
      <c r="B131" t="s">
        <v>578</v>
      </c>
      <c r="C131" s="18">
        <v>0.5</v>
      </c>
    </row>
    <row r="132" spans="1:3">
      <c r="A132" s="27">
        <v>44471</v>
      </c>
      <c r="B132" t="s">
        <v>583</v>
      </c>
      <c r="C132" s="18">
        <v>3</v>
      </c>
    </row>
    <row r="133" spans="1:3">
      <c r="A133" s="27">
        <v>44471</v>
      </c>
      <c r="B133" t="s">
        <v>579</v>
      </c>
      <c r="C133" s="18">
        <v>1</v>
      </c>
    </row>
    <row r="134" spans="1:3">
      <c r="A134" s="27">
        <v>44471</v>
      </c>
      <c r="B134" t="s">
        <v>580</v>
      </c>
      <c r="C134" s="18">
        <v>1</v>
      </c>
    </row>
    <row r="135" spans="1:3">
      <c r="A135" s="27">
        <v>44471</v>
      </c>
      <c r="B135" t="s">
        <v>581</v>
      </c>
      <c r="C135" s="18">
        <v>1</v>
      </c>
    </row>
    <row r="136" spans="1:3">
      <c r="A136" s="27">
        <v>44471</v>
      </c>
      <c r="B136" t="s">
        <v>582</v>
      </c>
      <c r="C136" s="18">
        <v>0.5</v>
      </c>
    </row>
    <row r="137" spans="1:3">
      <c r="A137" s="27">
        <v>44472</v>
      </c>
      <c r="B137" t="s">
        <v>586</v>
      </c>
      <c r="C137" s="18">
        <v>4</v>
      </c>
    </row>
    <row r="138" spans="1:3">
      <c r="A138" s="27">
        <v>44472</v>
      </c>
      <c r="B138" t="s">
        <v>585</v>
      </c>
      <c r="C138" s="18">
        <v>1</v>
      </c>
    </row>
    <row r="139" spans="1:3">
      <c r="A139" s="27">
        <v>44472</v>
      </c>
      <c r="B139" t="s">
        <v>587</v>
      </c>
      <c r="C139" s="18">
        <v>0.5</v>
      </c>
    </row>
    <row r="140" spans="1:3">
      <c r="A140" s="27">
        <v>44472</v>
      </c>
      <c r="B140" t="s">
        <v>584</v>
      </c>
      <c r="C140" s="18">
        <v>0.25</v>
      </c>
    </row>
    <row r="141" spans="1:3">
      <c r="A141" s="27">
        <v>44473</v>
      </c>
      <c r="B141" t="s">
        <v>628</v>
      </c>
      <c r="C141" s="18">
        <v>8</v>
      </c>
    </row>
    <row r="142" spans="1:3">
      <c r="A142" s="27">
        <v>44473</v>
      </c>
      <c r="B142" t="s">
        <v>525</v>
      </c>
      <c r="C142" s="18">
        <v>5</v>
      </c>
    </row>
    <row r="143" spans="1:3">
      <c r="A143" s="27">
        <v>44473</v>
      </c>
      <c r="B143" t="s">
        <v>526</v>
      </c>
      <c r="C143" s="18">
        <v>3</v>
      </c>
    </row>
    <row r="144" spans="1:3">
      <c r="A144" s="27">
        <v>44473</v>
      </c>
      <c r="B144" t="s">
        <v>621</v>
      </c>
      <c r="C144" s="18">
        <v>3</v>
      </c>
    </row>
    <row r="145" spans="1:3">
      <c r="A145" s="27">
        <v>44473</v>
      </c>
      <c r="B145" t="s">
        <v>527</v>
      </c>
      <c r="C145" s="18">
        <v>2</v>
      </c>
    </row>
    <row r="146" spans="1:3">
      <c r="A146" s="27">
        <v>44473</v>
      </c>
      <c r="B146" t="s">
        <v>524</v>
      </c>
      <c r="C146" s="18">
        <v>1</v>
      </c>
    </row>
    <row r="147" spans="1:3">
      <c r="A147" s="27">
        <v>44474</v>
      </c>
      <c r="B147" t="s">
        <v>528</v>
      </c>
      <c r="C147" s="18">
        <v>2</v>
      </c>
    </row>
    <row r="148" spans="1:3">
      <c r="A148" s="27">
        <v>44474</v>
      </c>
      <c r="B148" t="s">
        <v>591</v>
      </c>
      <c r="C148" s="18">
        <v>2</v>
      </c>
    </row>
    <row r="149" spans="1:3">
      <c r="A149" s="27">
        <v>44474</v>
      </c>
      <c r="B149" t="s">
        <v>589</v>
      </c>
      <c r="C149" s="18">
        <v>1</v>
      </c>
    </row>
    <row r="150" spans="1:3">
      <c r="A150" s="27">
        <v>44474</v>
      </c>
      <c r="B150" t="s">
        <v>590</v>
      </c>
      <c r="C150" s="18">
        <v>1</v>
      </c>
    </row>
    <row r="151" spans="1:3">
      <c r="A151" s="27">
        <v>44474</v>
      </c>
      <c r="B151" t="s">
        <v>588</v>
      </c>
      <c r="C151" s="18">
        <v>0.25</v>
      </c>
    </row>
    <row r="152" spans="1:3">
      <c r="A152" s="27">
        <v>44475</v>
      </c>
      <c r="B152" t="s">
        <v>626</v>
      </c>
      <c r="C152" s="18">
        <v>5</v>
      </c>
    </row>
    <row r="153" spans="1:3">
      <c r="A153" s="27">
        <v>44475</v>
      </c>
      <c r="B153" t="s">
        <v>592</v>
      </c>
      <c r="C153" s="18">
        <v>4</v>
      </c>
    </row>
    <row r="154" spans="1:3">
      <c r="A154" s="27">
        <v>44475</v>
      </c>
      <c r="B154" t="s">
        <v>532</v>
      </c>
      <c r="C154" s="18">
        <v>3</v>
      </c>
    </row>
    <row r="155" spans="1:3">
      <c r="A155" s="27">
        <v>44475</v>
      </c>
      <c r="B155" t="s">
        <v>531</v>
      </c>
      <c r="C155" s="18">
        <v>1.5</v>
      </c>
    </row>
    <row r="156" spans="1:3">
      <c r="A156" s="27">
        <v>44475</v>
      </c>
      <c r="B156" t="s">
        <v>530</v>
      </c>
      <c r="C156" s="18">
        <v>1</v>
      </c>
    </row>
    <row r="157" spans="1:3">
      <c r="A157" s="27">
        <v>44475</v>
      </c>
      <c r="B157" t="s">
        <v>529</v>
      </c>
      <c r="C157" s="18">
        <v>0.5</v>
      </c>
    </row>
    <row r="158" spans="1:3">
      <c r="A158" s="27">
        <v>44476</v>
      </c>
      <c r="B158" t="s">
        <v>533</v>
      </c>
      <c r="C158" s="18">
        <v>3</v>
      </c>
    </row>
    <row r="159" spans="1:3">
      <c r="A159" s="27">
        <v>44476</v>
      </c>
      <c r="B159" t="s">
        <v>593</v>
      </c>
      <c r="C159" s="18">
        <v>3</v>
      </c>
    </row>
    <row r="160" spans="1:3">
      <c r="A160" s="27">
        <v>44476</v>
      </c>
      <c r="B160" t="s">
        <v>473</v>
      </c>
      <c r="C160" s="18">
        <v>2</v>
      </c>
    </row>
    <row r="161" spans="1:3">
      <c r="A161" s="27">
        <v>44476</v>
      </c>
      <c r="B161" t="s">
        <v>612</v>
      </c>
      <c r="C161" s="18">
        <v>0.5</v>
      </c>
    </row>
    <row r="162" spans="1:3">
      <c r="A162" s="27">
        <v>44477</v>
      </c>
      <c r="B162" t="s">
        <v>535</v>
      </c>
      <c r="C162" s="18">
        <v>4</v>
      </c>
    </row>
    <row r="163" spans="1:3">
      <c r="A163" s="27">
        <v>44477</v>
      </c>
      <c r="B163" t="s">
        <v>595</v>
      </c>
      <c r="C163" s="18">
        <v>3.5</v>
      </c>
    </row>
    <row r="164" spans="1:3">
      <c r="A164" s="27">
        <v>44477</v>
      </c>
      <c r="B164" t="s">
        <v>622</v>
      </c>
      <c r="C164" s="18">
        <v>3</v>
      </c>
    </row>
    <row r="165" spans="1:3">
      <c r="A165" s="27">
        <v>44477</v>
      </c>
      <c r="B165" t="s">
        <v>596</v>
      </c>
      <c r="C165" s="18">
        <v>3</v>
      </c>
    </row>
    <row r="166" spans="1:3">
      <c r="A166" s="27">
        <v>44477</v>
      </c>
      <c r="B166" t="s">
        <v>594</v>
      </c>
      <c r="C166" s="18">
        <v>2</v>
      </c>
    </row>
    <row r="167" spans="1:3">
      <c r="A167" s="27">
        <v>44477</v>
      </c>
      <c r="B167" t="s">
        <v>536</v>
      </c>
      <c r="C167" s="18">
        <v>1</v>
      </c>
    </row>
    <row r="168" spans="1:3">
      <c r="A168" s="27">
        <v>44477</v>
      </c>
      <c r="B168" t="s">
        <v>534</v>
      </c>
      <c r="C168" s="18">
        <v>0.5</v>
      </c>
    </row>
    <row r="169" spans="1:3">
      <c r="A169" s="27">
        <v>44478</v>
      </c>
      <c r="B169" t="s">
        <v>596</v>
      </c>
      <c r="C169" s="18">
        <v>10</v>
      </c>
    </row>
    <row r="170" spans="1:3">
      <c r="A170" s="27">
        <v>44478</v>
      </c>
      <c r="B170" t="s">
        <v>624</v>
      </c>
      <c r="C170" s="18">
        <v>4</v>
      </c>
    </row>
    <row r="171" spans="1:3">
      <c r="A171" s="27">
        <v>44479</v>
      </c>
      <c r="B171" t="s">
        <v>596</v>
      </c>
      <c r="C171" s="18">
        <v>10</v>
      </c>
    </row>
    <row r="172" spans="1:3">
      <c r="A172" s="27">
        <v>44480</v>
      </c>
      <c r="B172" t="s">
        <v>596</v>
      </c>
      <c r="C172" s="18">
        <v>10</v>
      </c>
    </row>
    <row r="173" spans="1:3">
      <c r="A173" s="27">
        <v>44481</v>
      </c>
      <c r="B173" t="s">
        <v>538</v>
      </c>
      <c r="C173" s="18">
        <v>6</v>
      </c>
    </row>
    <row r="174" spans="1:3">
      <c r="A174" s="27">
        <v>44481</v>
      </c>
      <c r="B174" t="s">
        <v>537</v>
      </c>
      <c r="C174" s="18">
        <v>0.25</v>
      </c>
    </row>
    <row r="175" spans="1:3">
      <c r="A175" s="27">
        <v>44483</v>
      </c>
      <c r="B175" t="s">
        <v>597</v>
      </c>
      <c r="C175" s="18">
        <v>3</v>
      </c>
    </row>
    <row r="176" spans="1:3">
      <c r="A176" s="27">
        <v>44483</v>
      </c>
      <c r="B176" t="s">
        <v>599</v>
      </c>
      <c r="C176" s="18">
        <v>1.5</v>
      </c>
    </row>
    <row r="177" spans="1:3">
      <c r="A177" s="27">
        <v>44483</v>
      </c>
      <c r="B177" t="s">
        <v>600</v>
      </c>
      <c r="C177" s="18">
        <v>1</v>
      </c>
    </row>
    <row r="178" spans="1:3">
      <c r="A178" s="27">
        <v>44483</v>
      </c>
      <c r="B178" t="s">
        <v>598</v>
      </c>
      <c r="C178" s="18">
        <v>0.5</v>
      </c>
    </row>
    <row r="179" spans="1:3">
      <c r="A179" s="27">
        <v>44484</v>
      </c>
      <c r="B179" t="s">
        <v>539</v>
      </c>
      <c r="C179" s="18">
        <v>6</v>
      </c>
    </row>
    <row r="180" spans="1:3">
      <c r="A180" s="27">
        <v>44484</v>
      </c>
      <c r="B180" t="s">
        <v>601</v>
      </c>
      <c r="C180" s="18">
        <v>1.5</v>
      </c>
    </row>
    <row r="181" spans="1:3">
      <c r="A181" s="27">
        <v>44484</v>
      </c>
      <c r="B181" t="s">
        <v>615</v>
      </c>
      <c r="C181" s="18">
        <v>1</v>
      </c>
    </row>
    <row r="182" spans="1:3">
      <c r="A182" s="27">
        <v>44484</v>
      </c>
      <c r="B182" t="s">
        <v>602</v>
      </c>
      <c r="C182" s="18">
        <v>1</v>
      </c>
    </row>
    <row r="183" spans="1:3">
      <c r="A183" s="27">
        <v>44484</v>
      </c>
      <c r="B183" t="s">
        <v>603</v>
      </c>
      <c r="C183" s="18">
        <v>1</v>
      </c>
    </row>
    <row r="184" spans="1:3">
      <c r="A184" s="27">
        <v>44484</v>
      </c>
      <c r="B184" t="s">
        <v>605</v>
      </c>
      <c r="C184" s="18">
        <v>0.5</v>
      </c>
    </row>
    <row r="185" spans="1:3">
      <c r="A185" s="27">
        <v>44484</v>
      </c>
      <c r="B185" t="s">
        <v>613</v>
      </c>
      <c r="C185" s="18">
        <v>0.5</v>
      </c>
    </row>
    <row r="186" spans="1:3">
      <c r="A186" s="27">
        <v>44484</v>
      </c>
      <c r="B186" t="s">
        <v>604</v>
      </c>
      <c r="C186" s="18">
        <v>0.25</v>
      </c>
    </row>
    <row r="187" spans="1:3">
      <c r="A187" s="27">
        <v>44485</v>
      </c>
      <c r="B187" t="s">
        <v>606</v>
      </c>
      <c r="C187" s="18">
        <v>2</v>
      </c>
    </row>
    <row r="188" spans="1:3">
      <c r="A188" s="27">
        <v>44486</v>
      </c>
      <c r="B188" t="s">
        <v>624</v>
      </c>
      <c r="C188" s="18">
        <v>4</v>
      </c>
    </row>
    <row r="189" spans="1:3">
      <c r="A189" s="27">
        <v>44487</v>
      </c>
      <c r="B189" t="s">
        <v>540</v>
      </c>
      <c r="C189" s="18">
        <v>7</v>
      </c>
    </row>
    <row r="190" spans="1:3">
      <c r="A190" s="27">
        <v>44488</v>
      </c>
      <c r="B190" t="s">
        <v>629</v>
      </c>
      <c r="C190" s="18">
        <v>8</v>
      </c>
    </row>
    <row r="191" spans="1:3">
      <c r="A191" s="27">
        <v>44488</v>
      </c>
      <c r="B191" t="s">
        <v>624</v>
      </c>
      <c r="C191" s="18">
        <v>4</v>
      </c>
    </row>
    <row r="192" spans="1:3">
      <c r="A192" s="27">
        <v>44489</v>
      </c>
      <c r="B192" t="s">
        <v>541</v>
      </c>
      <c r="C192" s="18">
        <v>3</v>
      </c>
    </row>
    <row r="193" spans="1:3">
      <c r="A193" s="27">
        <v>44489</v>
      </c>
      <c r="B193" t="s">
        <v>542</v>
      </c>
      <c r="C193" s="18">
        <v>2</v>
      </c>
    </row>
    <row r="194" spans="1:3">
      <c r="A194" s="27">
        <v>44489</v>
      </c>
      <c r="B194" t="s">
        <v>543</v>
      </c>
      <c r="C194" s="18">
        <v>2</v>
      </c>
    </row>
    <row r="195" spans="1:3">
      <c r="A195" s="27">
        <v>44489</v>
      </c>
      <c r="B195" t="s">
        <v>545</v>
      </c>
      <c r="C195" s="18">
        <v>2</v>
      </c>
    </row>
    <row r="196" spans="1:3">
      <c r="A196" s="27">
        <v>44489</v>
      </c>
      <c r="B196" t="s">
        <v>546</v>
      </c>
      <c r="C196" s="18">
        <v>1</v>
      </c>
    </row>
    <row r="197" spans="1:3">
      <c r="A197" s="27">
        <v>44489</v>
      </c>
      <c r="B197" t="s">
        <v>544</v>
      </c>
      <c r="C197" s="18">
        <v>0.5</v>
      </c>
    </row>
    <row r="198" spans="1:3">
      <c r="A198" s="27">
        <v>44490</v>
      </c>
      <c r="B198" t="s">
        <v>546</v>
      </c>
      <c r="C198" s="18">
        <v>10</v>
      </c>
    </row>
    <row r="199" spans="1:3">
      <c r="A199" s="27">
        <v>44490</v>
      </c>
      <c r="B199" t="s">
        <v>545</v>
      </c>
      <c r="C199" s="18">
        <v>2</v>
      </c>
    </row>
    <row r="200" spans="1:3">
      <c r="A200" s="27">
        <v>44490</v>
      </c>
      <c r="B200" t="s">
        <v>547</v>
      </c>
      <c r="C200" s="18">
        <v>2</v>
      </c>
    </row>
    <row r="201" spans="1:3">
      <c r="A201" s="27">
        <v>44491</v>
      </c>
      <c r="B201" t="s">
        <v>631</v>
      </c>
      <c r="C201" s="18">
        <v>14</v>
      </c>
    </row>
    <row r="202" spans="1:3">
      <c r="A202" s="27">
        <v>44492</v>
      </c>
      <c r="B202" t="s">
        <v>631</v>
      </c>
      <c r="C202" s="18">
        <v>14</v>
      </c>
    </row>
    <row r="203" spans="1:3">
      <c r="A203" s="27">
        <v>44493</v>
      </c>
      <c r="B203" t="s">
        <v>631</v>
      </c>
      <c r="C203" s="18">
        <v>12</v>
      </c>
    </row>
    <row r="204" spans="1:3">
      <c r="A204" s="27">
        <v>44494</v>
      </c>
      <c r="B204" t="s">
        <v>548</v>
      </c>
      <c r="C204" s="18">
        <v>3</v>
      </c>
    </row>
    <row r="205" spans="1:3">
      <c r="A205" s="27">
        <v>44494</v>
      </c>
      <c r="B205" t="s">
        <v>549</v>
      </c>
      <c r="C205" s="18">
        <v>1</v>
      </c>
    </row>
    <row r="206" spans="1:3">
      <c r="A206" s="27">
        <v>44494</v>
      </c>
      <c r="B206" t="s">
        <v>550</v>
      </c>
      <c r="C206" s="18">
        <v>0.5</v>
      </c>
    </row>
    <row r="207" spans="1:3">
      <c r="A207" s="27">
        <v>44494</v>
      </c>
      <c r="B207" t="s">
        <v>551</v>
      </c>
      <c r="C207" s="18">
        <v>0.25</v>
      </c>
    </row>
    <row r="208" spans="1:3">
      <c r="A208" s="27">
        <v>44494</v>
      </c>
      <c r="B208" t="s">
        <v>553</v>
      </c>
      <c r="C208" s="18">
        <v>0.2</v>
      </c>
    </row>
    <row r="209" spans="1:3">
      <c r="A209" s="27">
        <v>44494</v>
      </c>
      <c r="B209" t="s">
        <v>552</v>
      </c>
      <c r="C209" s="18">
        <v>0.1</v>
      </c>
    </row>
    <row r="210" spans="1:3">
      <c r="A210" s="27">
        <v>44495</v>
      </c>
      <c r="B210" t="s">
        <v>556</v>
      </c>
      <c r="C210" s="18">
        <v>8</v>
      </c>
    </row>
    <row r="211" spans="1:3">
      <c r="A211" s="27">
        <v>44495</v>
      </c>
      <c r="B211" t="s">
        <v>555</v>
      </c>
      <c r="C211" s="18">
        <v>3</v>
      </c>
    </row>
    <row r="212" spans="1:3">
      <c r="A212" s="27">
        <v>44495</v>
      </c>
      <c r="B212" t="s">
        <v>554</v>
      </c>
      <c r="C212" s="18">
        <v>2</v>
      </c>
    </row>
    <row r="213" spans="1:3">
      <c r="A213" s="27">
        <v>44496</v>
      </c>
      <c r="B213" t="s">
        <v>560</v>
      </c>
      <c r="C213" s="18">
        <v>4</v>
      </c>
    </row>
    <row r="214" spans="1:3">
      <c r="A214" s="27">
        <v>44496</v>
      </c>
      <c r="B214" t="s">
        <v>559</v>
      </c>
      <c r="C214" s="18">
        <v>0.5</v>
      </c>
    </row>
    <row r="215" spans="1:3">
      <c r="A215" s="27">
        <v>44496</v>
      </c>
      <c r="B215" t="s">
        <v>557</v>
      </c>
      <c r="C215" s="18">
        <v>0.25</v>
      </c>
    </row>
    <row r="216" spans="1:3">
      <c r="A216" s="27">
        <v>44496</v>
      </c>
      <c r="B216" t="s">
        <v>558</v>
      </c>
      <c r="C216" s="18">
        <v>0.25</v>
      </c>
    </row>
    <row r="217" spans="1:3">
      <c r="A217" s="27">
        <v>44497</v>
      </c>
      <c r="B217" t="s">
        <v>562</v>
      </c>
      <c r="C217" s="18">
        <v>6</v>
      </c>
    </row>
    <row r="218" spans="1:3">
      <c r="A218" s="27">
        <v>44497</v>
      </c>
      <c r="B218" t="s">
        <v>561</v>
      </c>
      <c r="C218" s="18">
        <v>2</v>
      </c>
    </row>
    <row r="219" spans="1:3">
      <c r="A219" s="27">
        <v>44497</v>
      </c>
      <c r="B219" t="s">
        <v>563</v>
      </c>
      <c r="C219" s="18">
        <v>1</v>
      </c>
    </row>
    <row r="220" spans="1:3">
      <c r="A220" s="27">
        <v>44498</v>
      </c>
      <c r="B220" t="s">
        <v>562</v>
      </c>
      <c r="C220" s="18">
        <v>4</v>
      </c>
    </row>
    <row r="221" spans="1:3">
      <c r="A221" s="27">
        <v>44498</v>
      </c>
      <c r="B221" t="s">
        <v>564</v>
      </c>
      <c r="C221" s="18">
        <v>3</v>
      </c>
    </row>
    <row r="222" spans="1:3">
      <c r="A222" s="27">
        <v>44498</v>
      </c>
      <c r="B222" t="s">
        <v>565</v>
      </c>
      <c r="C222" s="18">
        <v>0.75</v>
      </c>
    </row>
    <row r="223" spans="1:3">
      <c r="A223" s="27">
        <v>44498</v>
      </c>
      <c r="B223" t="s">
        <v>566</v>
      </c>
      <c r="C223" s="18">
        <v>0.75</v>
      </c>
    </row>
    <row r="224" spans="1:3">
      <c r="A224" s="27">
        <v>44498</v>
      </c>
      <c r="B224" t="s">
        <v>567</v>
      </c>
      <c r="C224" s="18">
        <v>0.5</v>
      </c>
    </row>
    <row r="225" spans="1:3">
      <c r="A225" s="27">
        <v>44498</v>
      </c>
      <c r="B225" t="s">
        <v>568</v>
      </c>
      <c r="C225" s="18">
        <v>0.25</v>
      </c>
    </row>
    <row r="226" spans="1:3">
      <c r="A226" s="27">
        <v>44498</v>
      </c>
      <c r="B226" t="s">
        <v>569</v>
      </c>
      <c r="C226" s="18">
        <v>0.25</v>
      </c>
    </row>
    <row r="227" spans="1:3">
      <c r="A227" s="27">
        <v>44499</v>
      </c>
      <c r="B227" t="s">
        <v>562</v>
      </c>
      <c r="C227" s="18">
        <v>4</v>
      </c>
    </row>
    <row r="228" spans="1:3">
      <c r="A228" s="27">
        <v>44499</v>
      </c>
      <c r="B228" t="s">
        <v>570</v>
      </c>
      <c r="C228" s="18">
        <v>2</v>
      </c>
    </row>
    <row r="229" spans="1:3">
      <c r="A229" s="27">
        <v>44499</v>
      </c>
      <c r="B229" t="s">
        <v>571</v>
      </c>
      <c r="C229" s="18">
        <v>2</v>
      </c>
    </row>
    <row r="230" spans="1:3">
      <c r="A230" s="27">
        <v>44499</v>
      </c>
      <c r="B230" t="s">
        <v>572</v>
      </c>
      <c r="C230" s="18">
        <v>2</v>
      </c>
    </row>
    <row r="231" spans="1:3">
      <c r="A231" s="27">
        <v>44500</v>
      </c>
      <c r="B231" t="s">
        <v>627</v>
      </c>
      <c r="C231" s="18">
        <v>6</v>
      </c>
    </row>
    <row r="232" spans="1:3">
      <c r="A232" s="27">
        <v>44500</v>
      </c>
      <c r="B232" t="s">
        <v>562</v>
      </c>
      <c r="C232" s="18">
        <v>2</v>
      </c>
    </row>
    <row r="233" spans="1:3">
      <c r="A233" s="27">
        <v>44500</v>
      </c>
      <c r="B233" t="s">
        <v>573</v>
      </c>
      <c r="C233" s="18">
        <v>2</v>
      </c>
    </row>
    <row r="234" spans="1:3">
      <c r="A234" s="27">
        <v>44500</v>
      </c>
      <c r="B234" t="s">
        <v>574</v>
      </c>
      <c r="C234" s="18">
        <v>1</v>
      </c>
    </row>
    <row r="235" spans="1:3">
      <c r="A235" s="27">
        <v>44500</v>
      </c>
      <c r="B235" t="s">
        <v>575</v>
      </c>
      <c r="C235" s="18">
        <v>0.5</v>
      </c>
    </row>
    <row r="236" spans="1:3">
      <c r="A236" s="27">
        <v>44522</v>
      </c>
      <c r="B236" t="s">
        <v>312</v>
      </c>
      <c r="C236" s="18">
        <v>6.5</v>
      </c>
    </row>
    <row r="237" spans="1:3">
      <c r="A237" s="27">
        <v>44522</v>
      </c>
      <c r="B237" t="s">
        <v>313</v>
      </c>
      <c r="C237" s="18">
        <v>3</v>
      </c>
    </row>
    <row r="238" spans="1:3">
      <c r="A238" s="27">
        <v>44524</v>
      </c>
      <c r="B238" t="s">
        <v>633</v>
      </c>
      <c r="C238" s="18">
        <v>0.5</v>
      </c>
    </row>
    <row r="239" spans="1:3">
      <c r="A239" s="27">
        <v>44525</v>
      </c>
      <c r="B239" t="s">
        <v>639</v>
      </c>
      <c r="C239" s="18">
        <v>2</v>
      </c>
    </row>
    <row r="240" spans="1:3">
      <c r="A240" s="27">
        <v>44525</v>
      </c>
      <c r="B240" t="s">
        <v>637</v>
      </c>
      <c r="C240" s="18">
        <v>1.5</v>
      </c>
    </row>
    <row r="241" spans="1:3">
      <c r="A241" s="27">
        <v>44525</v>
      </c>
      <c r="B241" t="s">
        <v>638</v>
      </c>
      <c r="C241" s="18">
        <v>0.3</v>
      </c>
    </row>
    <row r="242" spans="1:3">
      <c r="A242" s="27">
        <v>44526</v>
      </c>
      <c r="B242" t="s">
        <v>636</v>
      </c>
      <c r="C242" s="18">
        <v>4</v>
      </c>
    </row>
    <row r="243" spans="1:3">
      <c r="A243" s="27">
        <v>44526</v>
      </c>
      <c r="B243" t="s">
        <v>640</v>
      </c>
      <c r="C243" s="18">
        <v>3</v>
      </c>
    </row>
    <row r="244" spans="1:3">
      <c r="A244" s="27">
        <v>44527</v>
      </c>
      <c r="B244" t="s">
        <v>635</v>
      </c>
      <c r="C244" s="18">
        <v>2</v>
      </c>
    </row>
    <row r="245" spans="1:3">
      <c r="A245" s="27">
        <v>44528</v>
      </c>
      <c r="B245" t="s">
        <v>699</v>
      </c>
      <c r="C245" s="18">
        <v>2.15</v>
      </c>
    </row>
    <row r="246" spans="1:3">
      <c r="A246" s="27">
        <v>44528</v>
      </c>
      <c r="B246" t="s">
        <v>697</v>
      </c>
      <c r="C246" s="18">
        <v>2</v>
      </c>
    </row>
    <row r="247" spans="1:3">
      <c r="A247" s="27">
        <v>44528</v>
      </c>
      <c r="B247" t="s">
        <v>694</v>
      </c>
      <c r="C247" s="18">
        <v>0.93333333299999999</v>
      </c>
    </row>
    <row r="248" spans="1:3">
      <c r="A248" s="27">
        <v>44528</v>
      </c>
      <c r="B248" t="s">
        <v>647</v>
      </c>
      <c r="C248" s="18">
        <v>0.75</v>
      </c>
    </row>
    <row r="249" spans="1:3">
      <c r="A249" s="27">
        <v>44528</v>
      </c>
      <c r="B249" t="s">
        <v>634</v>
      </c>
      <c r="C249" s="18">
        <v>0.5</v>
      </c>
    </row>
    <row r="250" spans="1:3">
      <c r="A250" s="27">
        <v>44528</v>
      </c>
      <c r="B250" t="s">
        <v>646</v>
      </c>
      <c r="C250" s="18">
        <v>0.5</v>
      </c>
    </row>
    <row r="251" spans="1:3">
      <c r="A251" s="27">
        <v>44528</v>
      </c>
      <c r="B251" t="s">
        <v>698</v>
      </c>
      <c r="C251" s="18">
        <v>0.33</v>
      </c>
    </row>
    <row r="252" spans="1:3">
      <c r="A252" s="27">
        <v>44529</v>
      </c>
      <c r="B252" t="s">
        <v>707</v>
      </c>
      <c r="C252" s="18">
        <v>2.8166666669999998</v>
      </c>
    </row>
    <row r="253" spans="1:3">
      <c r="A253" s="27">
        <v>44529</v>
      </c>
      <c r="B253" t="s">
        <v>706</v>
      </c>
      <c r="C253" s="18">
        <v>1.0660000000000001</v>
      </c>
    </row>
    <row r="254" spans="1:3">
      <c r="A254" s="27">
        <v>44530</v>
      </c>
      <c r="B254" t="s">
        <v>710</v>
      </c>
      <c r="C254" s="18">
        <v>2.75</v>
      </c>
    </row>
    <row r="255" spans="1:3">
      <c r="A255" s="27">
        <v>44530</v>
      </c>
      <c r="B255" t="s">
        <v>708</v>
      </c>
      <c r="C255" s="18">
        <v>1.92</v>
      </c>
    </row>
    <row r="256" spans="1:3">
      <c r="A256" s="27">
        <v>44530</v>
      </c>
      <c r="B256" t="s">
        <v>709</v>
      </c>
      <c r="C256" s="18">
        <v>0.5</v>
      </c>
    </row>
    <row r="257" spans="1:3">
      <c r="A257" s="27">
        <v>44531</v>
      </c>
      <c r="B257" t="s">
        <v>710</v>
      </c>
      <c r="C257" s="18">
        <v>2</v>
      </c>
    </row>
    <row r="258" spans="1:3">
      <c r="A258" s="27">
        <v>44531</v>
      </c>
      <c r="B258" t="s">
        <v>712</v>
      </c>
      <c r="C258" s="18">
        <v>2</v>
      </c>
    </row>
    <row r="259" spans="1:3">
      <c r="A259" s="27">
        <v>44531</v>
      </c>
      <c r="B259" t="s">
        <v>711</v>
      </c>
      <c r="C259" s="18">
        <v>1.5</v>
      </c>
    </row>
    <row r="260" spans="1:3">
      <c r="A260" s="27">
        <v>44532</v>
      </c>
      <c r="B260" t="s">
        <v>710</v>
      </c>
      <c r="C260" s="18">
        <v>2.75</v>
      </c>
    </row>
    <row r="261" spans="1:3">
      <c r="A261" s="27">
        <v>44532</v>
      </c>
      <c r="B261" t="s">
        <v>714</v>
      </c>
      <c r="C261" s="18">
        <v>0.33300000000000002</v>
      </c>
    </row>
    <row r="262" spans="1:3">
      <c r="A262" s="27">
        <v>44532</v>
      </c>
      <c r="B262" t="s">
        <v>713</v>
      </c>
      <c r="C262" s="18">
        <v>0.33</v>
      </c>
    </row>
    <row r="263" spans="1:3">
      <c r="A263" s="27">
        <v>44534</v>
      </c>
      <c r="B263" t="s">
        <v>723</v>
      </c>
      <c r="C263" s="18">
        <v>6</v>
      </c>
    </row>
    <row r="264" spans="1:3">
      <c r="A264" s="27">
        <v>44535</v>
      </c>
      <c r="B264" t="s">
        <v>722</v>
      </c>
      <c r="C264" s="18">
        <v>14</v>
      </c>
    </row>
    <row r="265" spans="1:3">
      <c r="A265" s="27">
        <v>44536</v>
      </c>
      <c r="B265" t="s">
        <v>718</v>
      </c>
      <c r="C265" s="18">
        <v>6</v>
      </c>
    </row>
    <row r="266" spans="1:3">
      <c r="A266" s="27">
        <v>44536</v>
      </c>
      <c r="B266" t="s">
        <v>720</v>
      </c>
      <c r="C266" s="18">
        <v>2</v>
      </c>
    </row>
    <row r="267" spans="1:3">
      <c r="A267" s="27">
        <v>44536</v>
      </c>
      <c r="B267" t="s">
        <v>724</v>
      </c>
      <c r="C267" s="18">
        <v>2</v>
      </c>
    </row>
    <row r="268" spans="1:3">
      <c r="A268" s="27">
        <v>44537</v>
      </c>
      <c r="B268" t="s">
        <v>741</v>
      </c>
      <c r="C268" s="18">
        <v>8</v>
      </c>
    </row>
    <row r="269" spans="1:3">
      <c r="A269" s="27">
        <v>44537</v>
      </c>
      <c r="B269" t="s">
        <v>719</v>
      </c>
      <c r="C269" s="18">
        <v>2</v>
      </c>
    </row>
    <row r="270" spans="1:3">
      <c r="A270" s="27">
        <v>44537</v>
      </c>
      <c r="B270" t="s">
        <v>721</v>
      </c>
      <c r="C270" s="18">
        <v>2</v>
      </c>
    </row>
    <row r="271" spans="1:3">
      <c r="A271" s="27">
        <v>44537</v>
      </c>
      <c r="B271" t="s">
        <v>647</v>
      </c>
      <c r="C271" s="18">
        <v>1</v>
      </c>
    </row>
    <row r="272" spans="1:3">
      <c r="A272" s="27">
        <v>44537</v>
      </c>
      <c r="B272" t="s">
        <v>758</v>
      </c>
      <c r="C272" s="18">
        <v>1</v>
      </c>
    </row>
    <row r="273" spans="1:5">
      <c r="A273" s="27">
        <v>44537</v>
      </c>
      <c r="B273" t="s">
        <v>725</v>
      </c>
      <c r="C273" s="18">
        <v>0.2</v>
      </c>
    </row>
    <row r="274" spans="1:5">
      <c r="A274" s="27">
        <v>44538</v>
      </c>
      <c r="B274" t="s">
        <v>741</v>
      </c>
      <c r="C274" s="18">
        <v>6</v>
      </c>
    </row>
    <row r="275" spans="1:5">
      <c r="A275" s="27">
        <v>44538</v>
      </c>
      <c r="B275" t="s">
        <v>744</v>
      </c>
      <c r="C275" s="18">
        <v>5</v>
      </c>
    </row>
    <row r="276" spans="1:5">
      <c r="A276" s="27">
        <v>44538</v>
      </c>
      <c r="B276" t="s">
        <v>742</v>
      </c>
      <c r="C276" s="18">
        <v>2</v>
      </c>
    </row>
    <row r="277" spans="1:5">
      <c r="A277" s="27">
        <v>44538</v>
      </c>
      <c r="B277" t="s">
        <v>743</v>
      </c>
      <c r="C277" s="18">
        <v>1.5</v>
      </c>
    </row>
    <row r="278" spans="1:5">
      <c r="A278" s="27">
        <v>44538</v>
      </c>
      <c r="B278" t="s">
        <v>745</v>
      </c>
      <c r="C278" s="18">
        <v>1</v>
      </c>
    </row>
    <row r="279" spans="1:5">
      <c r="A279" s="27">
        <v>44538</v>
      </c>
      <c r="B279" t="s">
        <v>747</v>
      </c>
      <c r="C279" s="18">
        <v>1</v>
      </c>
    </row>
    <row r="280" spans="1:5">
      <c r="A280" s="27">
        <v>44538</v>
      </c>
      <c r="B280" t="s">
        <v>746</v>
      </c>
      <c r="C280" s="18">
        <v>0.5</v>
      </c>
    </row>
    <row r="281" spans="1:5">
      <c r="A281" s="27">
        <v>44539</v>
      </c>
      <c r="B281" t="s">
        <v>750</v>
      </c>
      <c r="C281" s="18">
        <v>3</v>
      </c>
    </row>
    <row r="282" spans="1:5">
      <c r="A282" s="27">
        <v>44539</v>
      </c>
      <c r="B282" t="s">
        <v>752</v>
      </c>
      <c r="C282" s="18">
        <v>3</v>
      </c>
    </row>
    <row r="283" spans="1:5">
      <c r="A283" s="27">
        <v>44539</v>
      </c>
      <c r="B283" t="s">
        <v>751</v>
      </c>
      <c r="C283" s="18">
        <v>2</v>
      </c>
    </row>
    <row r="284" spans="1:5">
      <c r="A284" s="27">
        <v>44539</v>
      </c>
      <c r="B284" t="s">
        <v>748</v>
      </c>
      <c r="C284" s="18">
        <v>1.5</v>
      </c>
    </row>
    <row r="285" spans="1:5">
      <c r="A285" s="27">
        <v>44539</v>
      </c>
      <c r="B285" t="s">
        <v>753</v>
      </c>
      <c r="C285" s="18">
        <v>1</v>
      </c>
    </row>
    <row r="286" spans="1:5">
      <c r="A286" s="27">
        <v>44539</v>
      </c>
      <c r="B286" t="s">
        <v>749</v>
      </c>
      <c r="C286" s="18">
        <v>0.2</v>
      </c>
    </row>
    <row r="287" spans="1:5">
      <c r="A287" s="27">
        <v>44540</v>
      </c>
      <c r="B287" t="s">
        <v>778</v>
      </c>
      <c r="C287" s="18">
        <v>7</v>
      </c>
    </row>
    <row r="288" spans="1:5">
      <c r="A288" s="27">
        <v>44540</v>
      </c>
      <c r="B288" t="s">
        <v>779</v>
      </c>
      <c r="C288" s="18">
        <v>1.25</v>
      </c>
      <c r="E288" s="18"/>
    </row>
    <row r="289" spans="1:7">
      <c r="A289" s="27">
        <v>44540</v>
      </c>
      <c r="B289" t="s">
        <v>776</v>
      </c>
      <c r="C289" s="18">
        <v>1</v>
      </c>
    </row>
    <row r="290" spans="1:7">
      <c r="A290" s="27">
        <v>44540</v>
      </c>
      <c r="B290" t="s">
        <v>742</v>
      </c>
      <c r="C290" s="18">
        <v>1</v>
      </c>
    </row>
    <row r="291" spans="1:7">
      <c r="A291" s="27">
        <v>44540</v>
      </c>
      <c r="B291" t="s">
        <v>769</v>
      </c>
      <c r="C291" s="18">
        <v>8</v>
      </c>
    </row>
    <row r="292" spans="1:7">
      <c r="A292" s="27">
        <v>44541</v>
      </c>
      <c r="B292" t="s">
        <v>769</v>
      </c>
      <c r="C292" s="18">
        <v>10</v>
      </c>
    </row>
    <row r="293" spans="1:7">
      <c r="A293" s="27">
        <v>44541</v>
      </c>
      <c r="B293" t="s">
        <v>771</v>
      </c>
      <c r="C293" s="18">
        <v>3</v>
      </c>
    </row>
    <row r="294" spans="1:7">
      <c r="A294" s="27">
        <v>44541</v>
      </c>
      <c r="B294" t="s">
        <v>774</v>
      </c>
      <c r="C294" s="18">
        <v>2.5</v>
      </c>
    </row>
    <row r="295" spans="1:7">
      <c r="A295" s="27">
        <v>44541</v>
      </c>
      <c r="B295" t="s">
        <v>742</v>
      </c>
      <c r="C295" s="18">
        <v>1</v>
      </c>
    </row>
    <row r="296" spans="1:7">
      <c r="A296" s="27">
        <v>44542</v>
      </c>
      <c r="B296" t="s">
        <v>769</v>
      </c>
      <c r="C296" s="18">
        <v>8</v>
      </c>
    </row>
    <row r="297" spans="1:7">
      <c r="A297" s="27">
        <v>44542</v>
      </c>
      <c r="B297" t="s">
        <v>773</v>
      </c>
      <c r="C297" s="18">
        <v>5</v>
      </c>
      <c r="E297" s="18"/>
    </row>
    <row r="298" spans="1:7">
      <c r="A298" s="27">
        <v>44542</v>
      </c>
      <c r="B298" t="s">
        <v>771</v>
      </c>
      <c r="C298" s="18">
        <v>3</v>
      </c>
    </row>
    <row r="299" spans="1:7">
      <c r="A299" s="27">
        <v>44542</v>
      </c>
      <c r="B299" t="s">
        <v>772</v>
      </c>
      <c r="C299" s="18">
        <v>3</v>
      </c>
    </row>
    <row r="300" spans="1:7">
      <c r="A300" s="27">
        <v>44542</v>
      </c>
      <c r="B300" t="s">
        <v>713</v>
      </c>
      <c r="C300" s="18">
        <v>2</v>
      </c>
    </row>
    <row r="301" spans="1:7">
      <c r="A301" s="27">
        <v>44542</v>
      </c>
      <c r="B301" t="s">
        <v>742</v>
      </c>
      <c r="C301" s="18">
        <v>2</v>
      </c>
    </row>
    <row r="302" spans="1:7">
      <c r="A302" s="27">
        <v>44542</v>
      </c>
      <c r="B302" t="s">
        <v>775</v>
      </c>
      <c r="C302" s="18">
        <v>1.5</v>
      </c>
    </row>
    <row r="303" spans="1:7">
      <c r="A303" s="27">
        <v>44542</v>
      </c>
      <c r="B303" t="s">
        <v>770</v>
      </c>
      <c r="C303" s="18">
        <v>0.5</v>
      </c>
    </row>
    <row r="304" spans="1:7">
      <c r="A304" s="27">
        <v>44542</v>
      </c>
      <c r="B304" t="s">
        <v>777</v>
      </c>
      <c r="C304" s="18">
        <v>0.5</v>
      </c>
      <c r="G304" s="18"/>
    </row>
    <row r="305" spans="1:3">
      <c r="A305" s="27">
        <v>44543</v>
      </c>
      <c r="B305" t="s">
        <v>769</v>
      </c>
      <c r="C305" s="18">
        <v>0.5</v>
      </c>
    </row>
    <row r="306" spans="1:3">
      <c r="A306" s="27">
        <v>44543</v>
      </c>
      <c r="B306" t="s">
        <v>780</v>
      </c>
      <c r="C306" s="18">
        <v>1</v>
      </c>
    </row>
    <row r="307" spans="1:3">
      <c r="A307" s="27">
        <v>44544</v>
      </c>
      <c r="B307" t="s">
        <v>784</v>
      </c>
      <c r="C307" s="18"/>
    </row>
    <row r="308" spans="1:3">
      <c r="A308" s="27">
        <v>44544</v>
      </c>
      <c r="B308" t="s">
        <v>785</v>
      </c>
      <c r="C308" s="18"/>
    </row>
    <row r="309" spans="1:3">
      <c r="A309" s="27">
        <v>44544</v>
      </c>
      <c r="B309" t="s">
        <v>786</v>
      </c>
      <c r="C309" s="18"/>
    </row>
    <row r="310" spans="1:3">
      <c r="A310" s="27">
        <v>44544</v>
      </c>
      <c r="B310" t="s">
        <v>787</v>
      </c>
      <c r="C310" s="18"/>
    </row>
    <row r="311" spans="1:3">
      <c r="A311" s="27">
        <v>44544</v>
      </c>
      <c r="B311" t="s">
        <v>788</v>
      </c>
      <c r="C311" s="18"/>
    </row>
    <row r="312" spans="1:3">
      <c r="A312" s="27">
        <v>44544</v>
      </c>
      <c r="B312" t="s">
        <v>789</v>
      </c>
      <c r="C312" s="18"/>
    </row>
    <row r="313" spans="1:3">
      <c r="A313" s="27">
        <v>44544</v>
      </c>
      <c r="B313" t="s">
        <v>790</v>
      </c>
      <c r="C313" s="18"/>
    </row>
    <row r="314" spans="1:3">
      <c r="A314" s="27">
        <v>44545</v>
      </c>
      <c r="B314" t="s">
        <v>742</v>
      </c>
      <c r="C314" s="18"/>
    </row>
    <row r="315" spans="1:3">
      <c r="A315" s="27">
        <v>44545</v>
      </c>
      <c r="B315" t="s">
        <v>791</v>
      </c>
      <c r="C315" s="18"/>
    </row>
    <row r="316" spans="1:3">
      <c r="A316" s="27">
        <v>44545</v>
      </c>
      <c r="B316" t="s">
        <v>769</v>
      </c>
      <c r="C316" s="18"/>
    </row>
    <row r="317" spans="1:3">
      <c r="A317" s="27">
        <v>44545</v>
      </c>
      <c r="B317" t="s">
        <v>792</v>
      </c>
      <c r="C317" s="18"/>
    </row>
    <row r="318" spans="1:3">
      <c r="A318" s="27">
        <v>44546</v>
      </c>
      <c r="B318" t="s">
        <v>711</v>
      </c>
      <c r="C318" s="18">
        <f>10/60</f>
        <v>0.16666666666666666</v>
      </c>
    </row>
    <row r="319" spans="1:3">
      <c r="A319" s="27">
        <v>44546</v>
      </c>
      <c r="B319" t="s">
        <v>793</v>
      </c>
      <c r="C319" s="18">
        <v>6.5</v>
      </c>
    </row>
    <row r="320" spans="1:3">
      <c r="A320" s="27">
        <v>44546</v>
      </c>
      <c r="B320" t="s">
        <v>794</v>
      </c>
      <c r="C320" s="18">
        <v>1.5</v>
      </c>
    </row>
    <row r="321" spans="1:3">
      <c r="A321" s="27">
        <v>44546</v>
      </c>
      <c r="B321" t="s">
        <v>795</v>
      </c>
      <c r="C321" s="18">
        <v>0.5</v>
      </c>
    </row>
    <row r="322" spans="1:3">
      <c r="A322" s="27">
        <v>44546</v>
      </c>
      <c r="B322" t="s">
        <v>209</v>
      </c>
      <c r="C322" s="18">
        <v>2</v>
      </c>
    </row>
    <row r="323" spans="1:3">
      <c r="A323" s="27">
        <v>44546</v>
      </c>
      <c r="B323" t="s">
        <v>796</v>
      </c>
      <c r="C323" s="18">
        <v>4</v>
      </c>
    </row>
    <row r="324" spans="1:3">
      <c r="A324" s="27">
        <v>44546</v>
      </c>
      <c r="B324" t="s">
        <v>734</v>
      </c>
      <c r="C324" s="18">
        <f>20/60</f>
        <v>0.33333333333333331</v>
      </c>
    </row>
    <row r="325" spans="1:3">
      <c r="A325" s="27">
        <v>44546</v>
      </c>
      <c r="B325" t="s">
        <v>797</v>
      </c>
      <c r="C325" s="18">
        <f>10/60</f>
        <v>0.16666666666666666</v>
      </c>
    </row>
    <row r="326" spans="1:3">
      <c r="A326" s="27">
        <v>44547</v>
      </c>
      <c r="B326" t="s">
        <v>798</v>
      </c>
      <c r="C326" s="18">
        <v>14</v>
      </c>
    </row>
    <row r="327" spans="1:3">
      <c r="A327" s="27">
        <v>44547</v>
      </c>
      <c r="B327" t="s">
        <v>734</v>
      </c>
      <c r="C327" s="18">
        <v>1</v>
      </c>
    </row>
    <row r="328" spans="1:3">
      <c r="A328" s="27">
        <v>44547</v>
      </c>
      <c r="B328" t="s">
        <v>209</v>
      </c>
      <c r="C328" s="18">
        <v>1</v>
      </c>
    </row>
    <row r="329" spans="1:3">
      <c r="A329" s="27">
        <v>44547</v>
      </c>
      <c r="B329" t="s">
        <v>792</v>
      </c>
      <c r="C329" s="18">
        <v>3</v>
      </c>
    </row>
    <row r="330" spans="1:3">
      <c r="A330" s="27">
        <v>44547</v>
      </c>
      <c r="B330" t="s">
        <v>799</v>
      </c>
      <c r="C330" s="18">
        <v>2</v>
      </c>
    </row>
    <row r="331" spans="1:3">
      <c r="A331" s="27">
        <v>44548</v>
      </c>
      <c r="B331" t="s">
        <v>794</v>
      </c>
      <c r="C331" s="18">
        <v>2</v>
      </c>
    </row>
    <row r="332" spans="1:3">
      <c r="A332" s="27">
        <v>44548</v>
      </c>
      <c r="B332" t="s">
        <v>209</v>
      </c>
      <c r="C332" s="18">
        <v>2</v>
      </c>
    </row>
    <row r="333" spans="1:3">
      <c r="A333" s="27">
        <v>44548</v>
      </c>
      <c r="B333" t="s">
        <v>800</v>
      </c>
      <c r="C333" s="18">
        <v>13</v>
      </c>
    </row>
    <row r="334" spans="1:3">
      <c r="A334" s="27">
        <v>44549</v>
      </c>
      <c r="B334" t="s">
        <v>801</v>
      </c>
      <c r="C334" s="18">
        <v>3</v>
      </c>
    </row>
    <row r="335" spans="1:3">
      <c r="A335" s="27">
        <v>44549</v>
      </c>
      <c r="B335" t="s">
        <v>802</v>
      </c>
      <c r="C335" s="18">
        <v>6</v>
      </c>
    </row>
    <row r="336" spans="1:3">
      <c r="A336" s="27">
        <v>44549</v>
      </c>
      <c r="B336" t="s">
        <v>803</v>
      </c>
      <c r="C336" s="18">
        <v>1</v>
      </c>
    </row>
    <row r="337" spans="1:3">
      <c r="A337" s="27">
        <v>44550</v>
      </c>
      <c r="B337" t="s">
        <v>804</v>
      </c>
      <c r="C337" s="18">
        <v>8</v>
      </c>
    </row>
    <row r="338" spans="1:3">
      <c r="A338" s="27">
        <v>44550</v>
      </c>
      <c r="B338" t="s">
        <v>805</v>
      </c>
      <c r="C338" s="31">
        <v>4</v>
      </c>
    </row>
    <row r="339" spans="1:3">
      <c r="A339" s="27">
        <v>44550</v>
      </c>
      <c r="B339" t="s">
        <v>795</v>
      </c>
      <c r="C339" s="18">
        <v>4</v>
      </c>
    </row>
    <row r="340" spans="1:3">
      <c r="A340" s="27">
        <v>44551</v>
      </c>
      <c r="B340" t="s">
        <v>804</v>
      </c>
      <c r="C340" s="18">
        <v>3</v>
      </c>
    </row>
    <row r="341" spans="1:3">
      <c r="A341" s="27">
        <v>44551</v>
      </c>
      <c r="B341" t="s">
        <v>784</v>
      </c>
      <c r="C341" s="18">
        <v>2</v>
      </c>
    </row>
    <row r="342" spans="1:3">
      <c r="A342" s="27">
        <v>44552</v>
      </c>
      <c r="B342" t="s">
        <v>805</v>
      </c>
      <c r="C342" s="18">
        <v>2</v>
      </c>
    </row>
    <row r="343" spans="1:3">
      <c r="A343" s="27">
        <v>44553</v>
      </c>
      <c r="B343" t="s">
        <v>805</v>
      </c>
      <c r="C343" s="18">
        <v>2</v>
      </c>
    </row>
    <row r="344" spans="1:3">
      <c r="A344" s="27">
        <v>44553</v>
      </c>
      <c r="B344" t="s">
        <v>24</v>
      </c>
      <c r="C344" s="18">
        <v>2</v>
      </c>
    </row>
    <row r="345" spans="1:3">
      <c r="A345" s="27">
        <v>44554</v>
      </c>
      <c r="B345" t="s">
        <v>806</v>
      </c>
      <c r="C345" s="18">
        <v>8</v>
      </c>
    </row>
    <row r="346" spans="1:3">
      <c r="A346" s="27">
        <v>44555</v>
      </c>
      <c r="B346" t="s">
        <v>807</v>
      </c>
      <c r="C346" s="18">
        <v>16</v>
      </c>
    </row>
    <row r="347" spans="1:3">
      <c r="A347" s="27">
        <v>44556</v>
      </c>
      <c r="B347" t="s">
        <v>803</v>
      </c>
      <c r="C347" s="18">
        <v>2</v>
      </c>
    </row>
    <row r="348" spans="1:3">
      <c r="A348" s="27">
        <v>44556</v>
      </c>
      <c r="B348" t="s">
        <v>808</v>
      </c>
      <c r="C348" s="18">
        <v>3</v>
      </c>
    </row>
    <row r="349" spans="1:3">
      <c r="A349" s="27">
        <v>44556</v>
      </c>
      <c r="B349" t="s">
        <v>805</v>
      </c>
      <c r="C349" s="18">
        <v>1</v>
      </c>
    </row>
    <row r="350" spans="1:3">
      <c r="A350" s="27">
        <v>44556</v>
      </c>
      <c r="B350" t="s">
        <v>809</v>
      </c>
      <c r="C350" s="18">
        <v>3</v>
      </c>
    </row>
    <row r="351" spans="1:3">
      <c r="A351" s="27">
        <v>44557</v>
      </c>
      <c r="B351" t="s">
        <v>808</v>
      </c>
      <c r="C351" s="18">
        <v>9</v>
      </c>
    </row>
    <row r="352" spans="1:3">
      <c r="A352" s="27">
        <v>44558</v>
      </c>
      <c r="B352" t="s">
        <v>811</v>
      </c>
      <c r="C352" s="18">
        <v>3</v>
      </c>
    </row>
    <row r="353" spans="1:3">
      <c r="A353" s="27">
        <v>44559</v>
      </c>
      <c r="B353" t="s">
        <v>810</v>
      </c>
      <c r="C353" s="18">
        <v>4</v>
      </c>
    </row>
    <row r="354" spans="1:3">
      <c r="A354" s="27">
        <v>44558</v>
      </c>
      <c r="B354" s="7" t="s">
        <v>812</v>
      </c>
      <c r="C354" s="30">
        <v>3</v>
      </c>
    </row>
    <row r="355" spans="1:3">
      <c r="A355" s="27">
        <v>44557</v>
      </c>
      <c r="B355" t="s">
        <v>813</v>
      </c>
      <c r="C355" s="18">
        <v>1</v>
      </c>
    </row>
    <row r="356" spans="1:3">
      <c r="A356" s="27">
        <v>44558</v>
      </c>
      <c r="B356" t="s">
        <v>813</v>
      </c>
      <c r="C356" s="18">
        <v>1</v>
      </c>
    </row>
    <row r="357" spans="1:3">
      <c r="A357" s="27">
        <v>44558</v>
      </c>
      <c r="B357" t="s">
        <v>814</v>
      </c>
      <c r="C357" s="18">
        <v>3</v>
      </c>
    </row>
    <row r="358" spans="1:3">
      <c r="A358" s="27">
        <v>44558</v>
      </c>
      <c r="B358" t="s">
        <v>815</v>
      </c>
      <c r="C358" s="18">
        <v>1</v>
      </c>
    </row>
    <row r="359" spans="1:3">
      <c r="A359" s="27">
        <v>44558</v>
      </c>
      <c r="B359" t="s">
        <v>804</v>
      </c>
      <c r="C359" s="18">
        <v>3</v>
      </c>
    </row>
    <row r="360" spans="1:3">
      <c r="A360" s="27">
        <v>44562</v>
      </c>
      <c r="B360" t="s">
        <v>816</v>
      </c>
      <c r="C360" s="18">
        <v>2</v>
      </c>
    </row>
    <row r="361" spans="1:3">
      <c r="A361" s="27">
        <v>44581</v>
      </c>
      <c r="B361" t="s">
        <v>891</v>
      </c>
      <c r="C361" s="18">
        <v>1.75</v>
      </c>
    </row>
    <row r="362" spans="1:3">
      <c r="A362" s="27">
        <v>44581</v>
      </c>
      <c r="B362" t="s">
        <v>892</v>
      </c>
      <c r="C362" s="18">
        <v>0.5</v>
      </c>
    </row>
    <row r="363" spans="1:3">
      <c r="A363" s="27">
        <v>44581</v>
      </c>
      <c r="B363" t="s">
        <v>312</v>
      </c>
      <c r="C363" s="18">
        <v>0.5</v>
      </c>
    </row>
    <row r="364" spans="1:3">
      <c r="A364" s="27">
        <v>44597</v>
      </c>
      <c r="B364" t="s">
        <v>312</v>
      </c>
      <c r="C364" s="18">
        <v>1</v>
      </c>
    </row>
    <row r="365" spans="1:3">
      <c r="A365" s="27">
        <v>44621</v>
      </c>
      <c r="B365" t="s">
        <v>902</v>
      </c>
      <c r="C365" s="18">
        <v>2</v>
      </c>
    </row>
    <row r="366" spans="1:3">
      <c r="A366" s="27">
        <v>44621</v>
      </c>
      <c r="B366" t="s">
        <v>903</v>
      </c>
      <c r="C366" s="18">
        <v>0.5</v>
      </c>
    </row>
    <row r="367" spans="1:3">
      <c r="A367" s="27">
        <v>44621</v>
      </c>
      <c r="B367" t="s">
        <v>904</v>
      </c>
      <c r="C367" s="18">
        <v>2</v>
      </c>
    </row>
    <row r="368" spans="1:3">
      <c r="A368" s="27">
        <v>44621</v>
      </c>
      <c r="B368" t="s">
        <v>905</v>
      </c>
      <c r="C368" s="18">
        <v>2</v>
      </c>
    </row>
    <row r="369" spans="1:3">
      <c r="A369" s="27">
        <v>44621</v>
      </c>
      <c r="B369" t="s">
        <v>906</v>
      </c>
      <c r="C369" s="18">
        <v>4</v>
      </c>
    </row>
    <row r="370" spans="1:3">
      <c r="A370" s="27">
        <v>44621</v>
      </c>
      <c r="B370" t="s">
        <v>907</v>
      </c>
      <c r="C370" s="18">
        <v>2</v>
      </c>
    </row>
    <row r="371" spans="1:3">
      <c r="A371" s="27">
        <v>44621</v>
      </c>
      <c r="B371" t="s">
        <v>908</v>
      </c>
      <c r="C371" s="18">
        <v>1</v>
      </c>
    </row>
    <row r="372" spans="1:3">
      <c r="A372" s="27">
        <v>44621</v>
      </c>
      <c r="B372" t="s">
        <v>909</v>
      </c>
      <c r="C372" s="18">
        <v>1</v>
      </c>
    </row>
    <row r="373" spans="1:3">
      <c r="A373" s="27">
        <v>44621</v>
      </c>
      <c r="B373" t="s">
        <v>910</v>
      </c>
      <c r="C373" s="18">
        <v>1</v>
      </c>
    </row>
    <row r="374" spans="1:3">
      <c r="A374" s="27">
        <v>44621</v>
      </c>
      <c r="B374" t="s">
        <v>791</v>
      </c>
      <c r="C374" s="18">
        <v>1</v>
      </c>
    </row>
    <row r="375" spans="1:3">
      <c r="A375" s="27">
        <v>44621</v>
      </c>
      <c r="B375" t="s">
        <v>911</v>
      </c>
      <c r="C375" s="18">
        <v>1</v>
      </c>
    </row>
    <row r="376" spans="1:3">
      <c r="A376" s="27">
        <v>44621</v>
      </c>
      <c r="B376" t="s">
        <v>912</v>
      </c>
      <c r="C376" s="18">
        <v>2</v>
      </c>
    </row>
    <row r="377" spans="1:3">
      <c r="A377" s="27">
        <v>44621</v>
      </c>
      <c r="B377" t="s">
        <v>913</v>
      </c>
      <c r="C377" s="18">
        <v>3</v>
      </c>
    </row>
    <row r="378" spans="1:3">
      <c r="A378" s="27">
        <v>44621</v>
      </c>
      <c r="B378" t="s">
        <v>914</v>
      </c>
      <c r="C378" s="18">
        <v>1</v>
      </c>
    </row>
    <row r="379" spans="1:3">
      <c r="A379" s="27">
        <v>44621</v>
      </c>
      <c r="B379" t="s">
        <v>915</v>
      </c>
      <c r="C379" s="18">
        <v>6</v>
      </c>
    </row>
    <row r="380" spans="1:3">
      <c r="A380" s="27">
        <v>44629</v>
      </c>
      <c r="B380" t="s">
        <v>916</v>
      </c>
      <c r="C380" s="18">
        <v>2</v>
      </c>
    </row>
    <row r="381" spans="1:3">
      <c r="A381" s="27">
        <v>44630</v>
      </c>
      <c r="B381" t="s">
        <v>917</v>
      </c>
      <c r="C381" s="18">
        <v>1</v>
      </c>
    </row>
    <row r="382" spans="1:3">
      <c r="A382" s="27">
        <v>44630</v>
      </c>
      <c r="B382" t="s">
        <v>918</v>
      </c>
      <c r="C382" s="18">
        <v>2</v>
      </c>
    </row>
  </sheetData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64C0-C050-D941-BAF5-69265F7293E5}">
  <dimension ref="A1:B8"/>
  <sheetViews>
    <sheetView workbookViewId="0">
      <selection activeCell="A9" sqref="A9"/>
    </sheetView>
  </sheetViews>
  <sheetFormatPr baseColWidth="10" defaultRowHeight="16"/>
  <cols>
    <col min="2" max="2" width="13" customWidth="1"/>
  </cols>
  <sheetData>
    <row r="1" spans="1:2">
      <c r="A1" t="s">
        <v>110</v>
      </c>
      <c r="B1" t="s">
        <v>893</v>
      </c>
    </row>
    <row r="2" spans="1:2">
      <c r="A2" s="34">
        <v>44562</v>
      </c>
      <c r="B2">
        <v>10</v>
      </c>
    </row>
    <row r="3" spans="1:2">
      <c r="A3" s="34">
        <v>44593</v>
      </c>
      <c r="B3">
        <v>12.5</v>
      </c>
    </row>
    <row r="4" spans="1:2">
      <c r="A4" s="39">
        <v>44593</v>
      </c>
      <c r="B4">
        <v>4.7</v>
      </c>
    </row>
    <row r="5" spans="1:2">
      <c r="A5" s="39">
        <v>44593</v>
      </c>
      <c r="B5">
        <v>15.2</v>
      </c>
    </row>
    <row r="6" spans="1:2">
      <c r="A6" s="34">
        <v>44593</v>
      </c>
      <c r="B6">
        <v>19.2</v>
      </c>
    </row>
    <row r="7" spans="1:2">
      <c r="A7" s="34">
        <v>44621</v>
      </c>
      <c r="B7">
        <v>19.7</v>
      </c>
    </row>
    <row r="8" spans="1:2">
      <c r="A8" s="34">
        <v>44631</v>
      </c>
      <c r="B8">
        <v>10.199999999999999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63A2D-F348-4B4F-876C-F70D0025FEDE}">
  <dimension ref="A1:L22"/>
  <sheetViews>
    <sheetView workbookViewId="0">
      <selection activeCell="B19" sqref="B19"/>
    </sheetView>
  </sheetViews>
  <sheetFormatPr baseColWidth="10" defaultRowHeight="16"/>
  <cols>
    <col min="3" max="3" width="14.83203125" bestFit="1" customWidth="1"/>
    <col min="11" max="11" width="32.33203125" bestFit="1" customWidth="1"/>
    <col min="12" max="12" width="17" bestFit="1" customWidth="1"/>
  </cols>
  <sheetData>
    <row r="1" spans="1:12" ht="21">
      <c r="A1" s="38"/>
      <c r="B1" s="38"/>
      <c r="C1" s="38"/>
      <c r="D1" s="38"/>
      <c r="E1" s="38"/>
      <c r="F1" s="38"/>
      <c r="G1" s="38"/>
      <c r="H1" s="38"/>
      <c r="K1" s="14" t="s">
        <v>317</v>
      </c>
      <c r="L1" t="s">
        <v>740</v>
      </c>
    </row>
    <row r="2" spans="1:12">
      <c r="A2" t="s">
        <v>319</v>
      </c>
      <c r="B2" t="s">
        <v>110</v>
      </c>
      <c r="C2" t="s">
        <v>851</v>
      </c>
      <c r="D2" t="s">
        <v>314</v>
      </c>
      <c r="E2" t="s">
        <v>315</v>
      </c>
      <c r="F2" t="s">
        <v>316</v>
      </c>
      <c r="G2" t="s">
        <v>317</v>
      </c>
      <c r="H2" t="s">
        <v>318</v>
      </c>
    </row>
    <row r="3" spans="1:12">
      <c r="A3" s="24">
        <v>1</v>
      </c>
      <c r="B3" s="34"/>
      <c r="C3" s="34"/>
      <c r="D3" s="22">
        <v>150.6</v>
      </c>
      <c r="E3" s="19">
        <v>121.6</v>
      </c>
      <c r="F3" s="19">
        <v>613.20000000000005</v>
      </c>
      <c r="G3" s="18">
        <f>Table12[[#This Row],[liters]]/(Table12[[#This Row],[km]]/100)</f>
        <v>19.830397912589692</v>
      </c>
      <c r="H3" s="23">
        <f>Table12[[#This Row],[cost]]/Table12[[#This Row],[liters]]</f>
        <v>1.2384868421052633</v>
      </c>
      <c r="K3" s="14" t="s">
        <v>320</v>
      </c>
    </row>
    <row r="4" spans="1:12">
      <c r="A4" s="24">
        <v>2</v>
      </c>
      <c r="B4" s="34">
        <v>44396</v>
      </c>
      <c r="C4" s="34" t="s">
        <v>883</v>
      </c>
      <c r="D4" s="22">
        <v>150</v>
      </c>
      <c r="E4" s="19">
        <v>117.28</v>
      </c>
      <c r="F4" s="19">
        <v>510.7</v>
      </c>
      <c r="G4" s="18">
        <f>Table12[[#This Row],[liters]]/(Table12[[#This Row],[km]]/100)</f>
        <v>22.96455844918739</v>
      </c>
      <c r="H4" s="23">
        <f>Table12[[#This Row],[cost]]/Table12[[#This Row],[liters]]</f>
        <v>1.2789904502046385</v>
      </c>
      <c r="K4" s="15" t="s">
        <v>321</v>
      </c>
      <c r="L4" s="20">
        <v>7</v>
      </c>
    </row>
    <row r="5" spans="1:12">
      <c r="A5" s="24">
        <v>3</v>
      </c>
      <c r="B5" s="34">
        <v>44432</v>
      </c>
      <c r="C5" s="34" t="s">
        <v>885</v>
      </c>
      <c r="D5" s="22">
        <v>146.77000000000001</v>
      </c>
      <c r="E5" s="19">
        <v>112.6</v>
      </c>
      <c r="F5" s="19">
        <v>557.29999999999995</v>
      </c>
      <c r="G5" s="18">
        <f>Table12[[#This Row],[liters]]/(Table12[[#This Row],[km]]/100)</f>
        <v>20.20455768885699</v>
      </c>
      <c r="H5" s="23">
        <f>Table12[[#This Row],[cost]]/Table12[[#This Row],[liters]]</f>
        <v>1.3034635879218475</v>
      </c>
      <c r="K5" s="15" t="s">
        <v>322</v>
      </c>
      <c r="L5" s="20">
        <v>866.92499999999984</v>
      </c>
    </row>
    <row r="6" spans="1:12">
      <c r="A6" s="24">
        <v>4</v>
      </c>
      <c r="B6" s="34">
        <v>44454</v>
      </c>
      <c r="C6" s="34" t="s">
        <v>883</v>
      </c>
      <c r="D6" s="22">
        <v>152.51</v>
      </c>
      <c r="E6" s="19">
        <v>117.4</v>
      </c>
      <c r="F6" s="19">
        <v>593.20000000000005</v>
      </c>
      <c r="G6" s="18">
        <f>Table12[[#This Row],[liters]]/(Table12[[#This Row],[km]]/100)</f>
        <v>19.790964261631828</v>
      </c>
      <c r="H6" s="23">
        <f>Table12[[#This Row],[cost]]/Table12[[#This Row],[liters]]</f>
        <v>1.2990630323679726</v>
      </c>
      <c r="K6" s="15" t="s">
        <v>323</v>
      </c>
      <c r="L6" s="20">
        <v>4202.7999999999993</v>
      </c>
    </row>
    <row r="7" spans="1:12">
      <c r="A7" s="24">
        <v>5</v>
      </c>
      <c r="B7" s="34">
        <v>44456</v>
      </c>
      <c r="C7" s="34" t="s">
        <v>884</v>
      </c>
      <c r="D7" s="22">
        <v>159.6</v>
      </c>
      <c r="E7" s="19">
        <v>123.8</v>
      </c>
      <c r="F7" s="19">
        <v>736.1</v>
      </c>
      <c r="G7" s="18">
        <f>Table12[[#This Row],[liters]]/(Table12[[#This Row],[km]]/100)</f>
        <v>16.818367069691615</v>
      </c>
      <c r="H7" s="23">
        <f>Table12[[#This Row],[cost]]/Table12[[#This Row],[liters]]</f>
        <v>1.2891760904684975</v>
      </c>
      <c r="K7" s="15" t="s">
        <v>324</v>
      </c>
      <c r="L7" s="20">
        <v>1175.3800000000001</v>
      </c>
    </row>
    <row r="8" spans="1:12">
      <c r="A8" s="24">
        <v>6</v>
      </c>
      <c r="B8" s="34">
        <v>44460</v>
      </c>
      <c r="C8" s="34" t="s">
        <v>883</v>
      </c>
      <c r="D8" s="22">
        <v>150</v>
      </c>
      <c r="E8" s="19">
        <v>117.279</v>
      </c>
      <c r="F8" s="19">
        <v>689</v>
      </c>
      <c r="G8" s="18">
        <f>Table12[[#This Row],[liters]]/(Table12[[#This Row],[km]]/100)</f>
        <v>17.021625544267053</v>
      </c>
      <c r="H8" s="23">
        <f>Table12[[#This Row],[cost]]/Table12[[#This Row],[liters]]</f>
        <v>1.279001355741437</v>
      </c>
      <c r="K8" s="15" t="s">
        <v>325</v>
      </c>
      <c r="L8" s="18">
        <v>1.3501217072631042</v>
      </c>
    </row>
    <row r="9" spans="1:12">
      <c r="A9" s="24">
        <v>7</v>
      </c>
      <c r="B9" s="34">
        <v>44489</v>
      </c>
      <c r="C9" s="34" t="s">
        <v>883</v>
      </c>
      <c r="D9" s="22">
        <v>180.56</v>
      </c>
      <c r="E9" s="19">
        <v>123.8</v>
      </c>
      <c r="F9" s="19"/>
      <c r="G9" s="18" t="e">
        <f>Table12[[#This Row],[liters]]/(Table12[[#This Row],[km]]/100)</f>
        <v>#DIV/0!</v>
      </c>
      <c r="H9" s="23">
        <f>Table12[[#This Row],[cost]]/Table12[[#This Row],[liters]]</f>
        <v>1.458481421647819</v>
      </c>
      <c r="K9" s="15" t="s">
        <v>326</v>
      </c>
      <c r="L9" s="20">
        <v>20.840835094337429</v>
      </c>
    </row>
    <row r="10" spans="1:12">
      <c r="A10" s="28">
        <v>8</v>
      </c>
      <c r="B10" s="35">
        <v>44539</v>
      </c>
      <c r="C10" s="35" t="s">
        <v>858</v>
      </c>
      <c r="D10" s="22">
        <v>168.83</v>
      </c>
      <c r="E10" s="19">
        <v>121.545</v>
      </c>
      <c r="F10" s="19">
        <v>604</v>
      </c>
      <c r="G10" s="18">
        <f>Table12[[#This Row],[liters]]/(Table12[[#This Row],[km]]/100)</f>
        <v>20.123344370860927</v>
      </c>
      <c r="H10" s="23">
        <f>Table12[[#This Row],[cost]]/Table12[[#This Row],[liters]]</f>
        <v>1.3890328684849234</v>
      </c>
    </row>
    <row r="11" spans="1:12">
      <c r="A11" s="28">
        <v>9</v>
      </c>
      <c r="B11" s="35">
        <v>44559</v>
      </c>
      <c r="C11" s="35" t="s">
        <v>859</v>
      </c>
      <c r="D11" s="22">
        <v>173.24</v>
      </c>
      <c r="E11" s="19">
        <v>130</v>
      </c>
      <c r="F11" s="19">
        <v>535</v>
      </c>
      <c r="G11" s="18">
        <f>Table12[[#This Row],[liters]]/(Table12[[#This Row],[km]]/100)</f>
        <v>24.299065420560748</v>
      </c>
      <c r="H11" s="23">
        <f>Table12[[#This Row],[cost]]/Table12[[#This Row],[liters]]</f>
        <v>1.3326153846153848</v>
      </c>
    </row>
    <row r="12" spans="1:12">
      <c r="A12" s="28">
        <v>10</v>
      </c>
      <c r="B12" s="35">
        <v>44560</v>
      </c>
      <c r="C12" s="35" t="s">
        <v>857</v>
      </c>
      <c r="D12" s="22">
        <v>150</v>
      </c>
      <c r="E12" s="19">
        <v>101.419</v>
      </c>
      <c r="F12" s="19">
        <v>565</v>
      </c>
      <c r="G12" s="18">
        <f>Table12[[#This Row],[liters]]/(Table12[[#This Row],[km]]/100)</f>
        <v>17.950265486725662</v>
      </c>
      <c r="H12" s="23">
        <f>Table12[[#This Row],[cost]]/Table12[[#This Row],[liters]]</f>
        <v>1.4790128082509195</v>
      </c>
    </row>
    <row r="13" spans="1:12">
      <c r="A13" s="28">
        <v>11</v>
      </c>
      <c r="B13" s="35">
        <v>44561</v>
      </c>
      <c r="C13" s="35" t="s">
        <v>856</v>
      </c>
      <c r="D13" s="22">
        <f>197.61 + 26.22</f>
        <v>223.83</v>
      </c>
      <c r="E13" s="19">
        <f>6.979 +  9.418 + 123.583</f>
        <v>139.97999999999999</v>
      </c>
      <c r="F13" s="19">
        <v>564</v>
      </c>
      <c r="G13" s="18">
        <f>Table12[[#This Row],[liters]]/(Table12[[#This Row],[km]]/100)</f>
        <v>24.819148936170212</v>
      </c>
      <c r="H13" s="23">
        <f>Table12[[#This Row],[cost]]/Table12[[#This Row],[liters]]</f>
        <v>1.5990141448778399</v>
      </c>
    </row>
    <row r="14" spans="1:12">
      <c r="A14" s="28">
        <v>12</v>
      </c>
      <c r="B14" s="35">
        <v>44562</v>
      </c>
      <c r="C14" s="35" t="s">
        <v>855</v>
      </c>
      <c r="D14" s="22">
        <v>173.41</v>
      </c>
      <c r="E14" s="19">
        <v>124.842</v>
      </c>
      <c r="F14" s="29">
        <v>381.4</v>
      </c>
      <c r="G14" s="18">
        <f>Table12[[#This Row],[liters]]/(Table12[[#This Row],[km]]/100)</f>
        <v>32.732564237021499</v>
      </c>
      <c r="H14" s="23">
        <f>Table12[[#This Row],[cost]]/Table12[[#This Row],[liters]]</f>
        <v>1.3890357411768475</v>
      </c>
    </row>
    <row r="15" spans="1:12">
      <c r="A15" s="28">
        <v>13</v>
      </c>
      <c r="B15" s="35">
        <v>44562</v>
      </c>
      <c r="C15" s="35" t="s">
        <v>852</v>
      </c>
      <c r="D15" s="22">
        <v>174.73</v>
      </c>
      <c r="E15" s="19">
        <v>127.63200000000001</v>
      </c>
      <c r="F15" s="19">
        <v>468.1</v>
      </c>
      <c r="G15" s="18">
        <f>Table12[[#This Row],[liters]]/(Table12[[#This Row],[km]]/100)</f>
        <v>27.265968810083315</v>
      </c>
      <c r="H15" s="23">
        <f>Table12[[#This Row],[cost]]/Table12[[#This Row],[liters]]</f>
        <v>1.3690140403660522</v>
      </c>
    </row>
    <row r="16" spans="1:12">
      <c r="A16" s="28">
        <v>14</v>
      </c>
      <c r="B16" s="35">
        <v>44563</v>
      </c>
      <c r="C16" s="35" t="s">
        <v>860</v>
      </c>
      <c r="D16" s="22">
        <v>169.3</v>
      </c>
      <c r="E16" s="19">
        <v>118.47199999999999</v>
      </c>
      <c r="F16" s="19">
        <v>541.5</v>
      </c>
      <c r="G16" s="18">
        <f>Table12[[#This Row],[liters]]/(Table12[[#This Row],[km]]/100)</f>
        <v>21.878485687903968</v>
      </c>
      <c r="H16" s="23">
        <f>Table12[[#This Row],[cost]]/Table12[[#This Row],[liters]]</f>
        <v>1.4290296441353232</v>
      </c>
    </row>
    <row r="17" spans="1:8">
      <c r="A17" s="28">
        <v>15</v>
      </c>
      <c r="B17" s="35">
        <v>44564</v>
      </c>
      <c r="C17" s="35" t="s">
        <v>853</v>
      </c>
      <c r="D17" s="22">
        <v>167.06</v>
      </c>
      <c r="E17" s="19">
        <v>122.033</v>
      </c>
      <c r="F17" s="19">
        <v>471.2</v>
      </c>
      <c r="G17" s="18">
        <f>Table12[[#This Row],[liters]]/(Table12[[#This Row],[km]]/100)</f>
        <v>25.898344651952463</v>
      </c>
      <c r="H17" s="23">
        <f>Table12[[#This Row],[cost]]/Table12[[#This Row],[liters]]</f>
        <v>1.3689739660583613</v>
      </c>
    </row>
    <row r="18" spans="1:8">
      <c r="A18" s="28">
        <v>16</v>
      </c>
      <c r="B18" s="35">
        <v>44569</v>
      </c>
      <c r="C18" s="35" t="s">
        <v>854</v>
      </c>
      <c r="D18" s="22">
        <v>165.78</v>
      </c>
      <c r="E18" s="19">
        <v>104.991</v>
      </c>
      <c r="F18" s="19">
        <v>520</v>
      </c>
      <c r="G18" s="18">
        <f>Table12[[#This Row],[liters]]/(Table12[[#This Row],[km]]/100)</f>
        <v>20.190576923076922</v>
      </c>
      <c r="H18" s="23">
        <f>Table12[[#This Row],[cost]]/Table12[[#This Row],[liters]]</f>
        <v>1.5789924850701489</v>
      </c>
    </row>
    <row r="19" spans="1:8">
      <c r="A19" s="28">
        <v>17</v>
      </c>
      <c r="B19" s="35"/>
      <c r="C19" s="35"/>
      <c r="D19" s="22"/>
      <c r="E19" s="19"/>
      <c r="F19" s="19">
        <v>570</v>
      </c>
      <c r="G19" s="18">
        <f>Table12[[#This Row],[liters]]/(Table12[[#This Row],[km]]/100)</f>
        <v>0</v>
      </c>
      <c r="H19" s="23" t="e">
        <f>Table12[[#This Row],[cost]]/Table12[[#This Row],[liters]]</f>
        <v>#DIV/0!</v>
      </c>
    </row>
    <row r="20" spans="1:8">
      <c r="A20" s="28">
        <v>18</v>
      </c>
      <c r="B20" s="35"/>
      <c r="C20" s="35"/>
      <c r="D20" s="22"/>
      <c r="E20" s="19"/>
      <c r="F20" s="19">
        <v>453</v>
      </c>
      <c r="G20" s="18">
        <f>Table12[[#This Row],[liters]]/(Table12[[#This Row],[km]]/100)</f>
        <v>0</v>
      </c>
      <c r="H20" s="23" t="e">
        <f>Table12[[#This Row],[cost]]/Table12[[#This Row],[liters]]</f>
        <v>#DIV/0!</v>
      </c>
    </row>
    <row r="21" spans="1:8">
      <c r="A21" s="28">
        <v>19</v>
      </c>
      <c r="B21" s="35"/>
      <c r="C21" s="35"/>
      <c r="D21" s="22"/>
      <c r="E21" s="19"/>
      <c r="F21" s="19">
        <v>421.1</v>
      </c>
      <c r="G21" s="18">
        <f>Table12[[#This Row],[liters]]/(Table12[[#This Row],[km]]/100)</f>
        <v>0</v>
      </c>
      <c r="H21" s="23" t="e">
        <f>Table12[[#This Row],[cost]]/Table12[[#This Row],[liters]]</f>
        <v>#DIV/0!</v>
      </c>
    </row>
    <row r="22" spans="1:8">
      <c r="A22" s="28">
        <v>20</v>
      </c>
      <c r="B22" s="35"/>
      <c r="C22" s="35"/>
      <c r="D22" s="22"/>
      <c r="E22" s="19"/>
      <c r="F22" s="19"/>
      <c r="G22" s="18" t="e">
        <f>Table12[[#This Row],[liters]]/(Table12[[#This Row],[km]]/100)</f>
        <v>#DIV/0!</v>
      </c>
      <c r="H22" s="23" t="e">
        <f>Table12[[#This Row],[cost]]/Table12[[#This Row],[liters]]</f>
        <v>#DIV/0!</v>
      </c>
    </row>
  </sheetData>
  <mergeCells count="1">
    <mergeCell ref="A1:H1"/>
  </mergeCells>
  <pageMargins left="0.7" right="0.7" top="0.75" bottom="0.75" header="0.3" footer="0.3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84D76-8799-754D-9698-1095718611A8}">
  <dimension ref="A1:C14"/>
  <sheetViews>
    <sheetView zoomScale="120" zoomScaleNormal="120" workbookViewId="0">
      <selection activeCell="A15" sqref="A15"/>
    </sheetView>
  </sheetViews>
  <sheetFormatPr baseColWidth="10" defaultRowHeight="16"/>
  <cols>
    <col min="1" max="1" width="10.5" bestFit="1" customWidth="1"/>
    <col min="2" max="2" width="10.6640625" bestFit="1" customWidth="1"/>
    <col min="3" max="3" width="30.6640625" bestFit="1" customWidth="1"/>
  </cols>
  <sheetData>
    <row r="1" spans="1:3">
      <c r="A1" t="s">
        <v>842</v>
      </c>
      <c r="B1" t="s">
        <v>843</v>
      </c>
      <c r="C1" t="s">
        <v>844</v>
      </c>
    </row>
    <row r="2" spans="1:3">
      <c r="A2" s="34">
        <v>44389</v>
      </c>
      <c r="B2" s="24">
        <v>175490</v>
      </c>
      <c r="C2" t="s">
        <v>849</v>
      </c>
    </row>
    <row r="3" spans="1:3">
      <c r="A3" s="34">
        <v>44389</v>
      </c>
      <c r="B3" s="24">
        <v>175490</v>
      </c>
      <c r="C3" t="s">
        <v>848</v>
      </c>
    </row>
    <row r="4" spans="1:3">
      <c r="A4" s="34">
        <v>44389</v>
      </c>
      <c r="B4" s="24">
        <v>175490</v>
      </c>
      <c r="C4" t="s">
        <v>850</v>
      </c>
    </row>
    <row r="5" spans="1:3">
      <c r="A5" s="34">
        <v>44550</v>
      </c>
      <c r="B5" s="24">
        <v>179966</v>
      </c>
      <c r="C5" t="s">
        <v>845</v>
      </c>
    </row>
    <row r="6" spans="1:3">
      <c r="A6" s="34">
        <v>44550</v>
      </c>
      <c r="B6" s="24">
        <v>179966</v>
      </c>
      <c r="C6" t="s">
        <v>846</v>
      </c>
    </row>
    <row r="7" spans="1:3">
      <c r="A7" s="34">
        <v>44550</v>
      </c>
      <c r="B7" s="24">
        <v>179966</v>
      </c>
      <c r="C7" t="s">
        <v>847</v>
      </c>
    </row>
    <row r="8" spans="1:3">
      <c r="A8" s="34">
        <v>44581</v>
      </c>
      <c r="B8" s="24">
        <v>185694</v>
      </c>
      <c r="C8" t="s">
        <v>886</v>
      </c>
    </row>
    <row r="9" spans="1:3">
      <c r="A9" s="34">
        <v>44581</v>
      </c>
      <c r="B9" s="24">
        <v>185694</v>
      </c>
      <c r="C9" t="s">
        <v>887</v>
      </c>
    </row>
    <row r="10" spans="1:3">
      <c r="A10" s="34">
        <v>44581</v>
      </c>
      <c r="B10" s="24">
        <v>185694</v>
      </c>
      <c r="C10" t="s">
        <v>888</v>
      </c>
    </row>
    <row r="11" spans="1:3">
      <c r="A11" s="34">
        <v>44581</v>
      </c>
      <c r="B11" s="24">
        <v>185694</v>
      </c>
      <c r="C11" t="s">
        <v>889</v>
      </c>
    </row>
    <row r="12" spans="1:3">
      <c r="A12" s="34">
        <v>44581</v>
      </c>
      <c r="B12" s="24">
        <v>185694</v>
      </c>
      <c r="C12" t="s">
        <v>890</v>
      </c>
    </row>
    <row r="13" spans="1:3">
      <c r="A13" s="34">
        <v>44614</v>
      </c>
      <c r="B13" s="24">
        <v>189132</v>
      </c>
      <c r="C13" t="s">
        <v>845</v>
      </c>
    </row>
    <row r="14" spans="1:3">
      <c r="A14" s="34">
        <v>44614</v>
      </c>
      <c r="B14" s="24">
        <v>189132</v>
      </c>
      <c r="C14" t="s">
        <v>901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weight</vt:lpstr>
      <vt:lpstr>trash</vt:lpstr>
      <vt:lpstr>costs</vt:lpstr>
      <vt:lpstr>externalized costs</vt:lpstr>
      <vt:lpstr>time log</vt:lpstr>
      <vt:lpstr>water log</vt:lpstr>
      <vt:lpstr>gas log</vt:lpstr>
      <vt:lpstr>maintenance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2021-10-29T22:26:56Z</dcterms:created>
  <dcterms:modified xsi:type="dcterms:W3CDTF">2022-03-13T04:50:01Z</dcterms:modified>
</cp:coreProperties>
</file>