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955" windowHeight="9975" activeTab="1"/>
  </bookViews>
  <sheets>
    <sheet name="Overview" sheetId="2" r:id="rId1"/>
    <sheet name="Fixed Point Model" sheetId="1" r:id="rId2"/>
  </sheets>
  <calcPr calcId="125725"/>
</workbook>
</file>

<file path=xl/calcChain.xml><?xml version="1.0" encoding="utf-8"?>
<calcChain xmlns="http://schemas.openxmlformats.org/spreadsheetml/2006/main">
  <c r="R7" i="1"/>
  <c r="Q26"/>
  <c r="A3" l="1"/>
  <c r="A4"/>
  <c r="A5"/>
  <c r="A6"/>
  <c r="A7"/>
  <c r="A8"/>
  <c r="A9"/>
  <c r="A2"/>
  <c r="Q4"/>
  <c r="R6" l="1"/>
  <c r="C2" s="1"/>
  <c r="D3" l="1"/>
  <c r="D4"/>
  <c r="D9"/>
  <c r="D6"/>
  <c r="D7"/>
  <c r="D5"/>
  <c r="D8"/>
  <c r="B2"/>
  <c r="B8"/>
  <c r="B4"/>
  <c r="B9"/>
  <c r="B5"/>
  <c r="B6"/>
  <c r="B7"/>
  <c r="B3"/>
  <c r="G6" l="1"/>
  <c r="C6" s="1"/>
  <c r="G9"/>
  <c r="C9" s="1"/>
  <c r="G8"/>
  <c r="C8" s="1"/>
  <c r="G7"/>
  <c r="C7" s="1"/>
  <c r="G2"/>
  <c r="G4"/>
  <c r="C4" s="1"/>
  <c r="G3"/>
  <c r="C3" s="1"/>
  <c r="G5"/>
  <c r="C5" s="1"/>
  <c r="H3"/>
  <c r="H6"/>
  <c r="H9"/>
  <c r="H8"/>
  <c r="H4"/>
  <c r="H2"/>
  <c r="H5"/>
  <c r="H7"/>
  <c r="E6" l="1"/>
  <c r="F6"/>
  <c r="F5"/>
  <c r="E5"/>
  <c r="E4"/>
  <c r="F4"/>
  <c r="F3"/>
  <c r="E3"/>
  <c r="F9"/>
  <c r="E9"/>
  <c r="F7"/>
  <c r="E7"/>
  <c r="E8"/>
  <c r="F8"/>
  <c r="D2"/>
  <c r="F2"/>
  <c r="E2"/>
  <c r="I2"/>
  <c r="I4"/>
  <c r="J6"/>
  <c r="J7"/>
  <c r="J4"/>
  <c r="J9"/>
  <c r="J8"/>
  <c r="J2"/>
  <c r="J5"/>
  <c r="J3"/>
  <c r="I9"/>
  <c r="I7"/>
  <c r="I6"/>
  <c r="I5"/>
  <c r="I3"/>
  <c r="I8"/>
  <c r="L7" l="1"/>
  <c r="M7" s="1"/>
  <c r="N7" s="1"/>
  <c r="L3"/>
  <c r="M3" s="1"/>
  <c r="N3" s="1"/>
  <c r="L5"/>
  <c r="M5" s="1"/>
  <c r="N5" s="1"/>
  <c r="L9"/>
  <c r="M9" s="1"/>
  <c r="N9" s="1"/>
  <c r="L8"/>
  <c r="M8" s="1"/>
  <c r="N8" s="1"/>
  <c r="L4"/>
  <c r="M4" s="1"/>
  <c r="N4" s="1"/>
  <c r="L6"/>
  <c r="M6" s="1"/>
  <c r="Q27"/>
  <c r="Q30"/>
  <c r="L2"/>
  <c r="M2" s="1"/>
  <c r="N2" s="1"/>
  <c r="Q29"/>
  <c r="Q28"/>
  <c r="K7"/>
  <c r="K5"/>
  <c r="K3"/>
  <c r="K9"/>
  <c r="K8"/>
  <c r="K2"/>
  <c r="K4"/>
  <c r="K6"/>
  <c r="J10"/>
  <c r="I10"/>
  <c r="Q19" s="1"/>
  <c r="Q31" l="1"/>
  <c r="Q32" s="1"/>
  <c r="Q33" s="1"/>
  <c r="M10"/>
  <c r="Q15" s="1"/>
  <c r="N6"/>
  <c r="K10"/>
  <c r="Q13" s="1"/>
  <c r="L10" l="1"/>
  <c r="N10"/>
  <c r="Q11" s="1"/>
  <c r="Q12" s="1"/>
  <c r="Q14" l="1"/>
  <c r="Q16" l="1"/>
  <c r="R16" s="1"/>
  <c r="Q21"/>
  <c r="Q17" l="1"/>
  <c r="Q18" s="1"/>
  <c r="Q20" s="1"/>
</calcChain>
</file>

<file path=xl/comments1.xml><?xml version="1.0" encoding="utf-8"?>
<comments xmlns="http://schemas.openxmlformats.org/spreadsheetml/2006/main">
  <authors>
    <author>Jeremy Warmbier</author>
  </authors>
  <commentList>
    <comment ref="Q12" authorId="0">
      <text>
        <r>
          <rPr>
            <b/>
            <sz val="8"/>
            <color indexed="81"/>
            <rFont val="Tahoma"/>
            <charset val="1"/>
          </rPr>
          <t>Jeremy Warmbier:</t>
        </r>
        <r>
          <rPr>
            <sz val="8"/>
            <color indexed="81"/>
            <rFont val="Tahoma"/>
            <charset val="1"/>
          </rPr>
          <t xml:space="preserve">
limit the p24 number prior to scaling up to prevent an overflow. Scaling upt to a sm4p35, which means the max on the positive side is 0.625 - 1 count</t>
        </r>
      </text>
    </comment>
    <comment ref="Q17" authorId="0">
      <text>
        <r>
          <rPr>
            <b/>
            <sz val="8"/>
            <color indexed="81"/>
            <rFont val="Tahoma"/>
            <charset val="1"/>
          </rPr>
          <t>Jeremy Warmbier:</t>
        </r>
        <r>
          <rPr>
            <sz val="8"/>
            <color indexed="81"/>
            <rFont val="Tahoma"/>
            <charset val="1"/>
          </rPr>
          <t xml:space="preserve">
The correction scaler is computed using the existing FDD algorihtm and not the LabView model attached to the PSR.  The only difference being that time does not need to be factored out of the expression due to being done prior to division by time.</t>
        </r>
      </text>
    </comment>
  </commentList>
</comments>
</file>

<file path=xl/sharedStrings.xml><?xml version="1.0" encoding="utf-8"?>
<sst xmlns="http://schemas.openxmlformats.org/spreadsheetml/2006/main" count="54" uniqueCount="44">
  <si>
    <t>Time (us)</t>
  </si>
  <si>
    <t>Time[z-8] (us)</t>
  </si>
  <si>
    <t>loop seperation (uS)</t>
  </si>
  <si>
    <t>sample inc (uS)</t>
  </si>
  <si>
    <t>t0 (uS)</t>
  </si>
  <si>
    <t>offset</t>
  </si>
  <si>
    <t>raw</t>
  </si>
  <si>
    <t>TimeOffset(uS)</t>
  </si>
  <si>
    <t>Relative time</t>
  </si>
  <si>
    <t>Actual Velocity(rad/s)</t>
  </si>
  <si>
    <t>Initial theta</t>
  </si>
  <si>
    <t>2t</t>
  </si>
  <si>
    <t>∆t</t>
  </si>
  <si>
    <r>
      <t>2t</t>
    </r>
    <r>
      <rPr>
        <vertAlign val="superscript"/>
        <sz val="11"/>
        <color theme="1"/>
        <rFont val="Calibri"/>
        <family val="2"/>
        <scheme val="minor"/>
      </rPr>
      <t>2</t>
    </r>
  </si>
  <si>
    <t>Cos (p13)</t>
  </si>
  <si>
    <t>Sin (p13)</t>
  </si>
  <si>
    <t>Sin[z-8] (p13)</t>
  </si>
  <si>
    <t>Cos [z-8] (p13)</t>
  </si>
  <si>
    <t>Avg. ∆t</t>
  </si>
  <si>
    <t>Corr. ∆ Theta (float)</t>
  </si>
  <si>
    <t>A0</t>
  </si>
  <si>
    <t>N1P</t>
  </si>
  <si>
    <t>E1P</t>
  </si>
  <si>
    <t>N2P</t>
  </si>
  <si>
    <t>E2P</t>
  </si>
  <si>
    <t>Motor Velocity (rad/sec)</t>
  </si>
  <si>
    <t>Correction Scaler</t>
  </si>
  <si>
    <t>∆ sin</t>
  </si>
  <si>
    <t>∆ cos</t>
  </si>
  <si>
    <t>West</t>
  </si>
  <si>
    <t>Cos_Theta1_OS</t>
  </si>
  <si>
    <t>Sin_Theta1_OS</t>
  </si>
  <si>
    <t>∆ Theta Intercept (p24)</t>
  </si>
  <si>
    <t>Predicted ∆ Theta (p24)</t>
  </si>
  <si>
    <t>Averaging Motor Velocity Algorithm</t>
  </si>
  <si>
    <t>∆ Theta (p13)</t>
  </si>
  <si>
    <t>Velocity (p24)</t>
  </si>
  <si>
    <t>2t*Velocity (p24)</t>
  </si>
  <si>
    <r>
      <t>Actual Accel(rad/s</t>
    </r>
    <r>
      <rPr>
        <vertAlign val="superscript"/>
        <sz val="11"/>
        <color theme="1"/>
        <rFont val="Calibri"/>
        <family val="2"/>
        <scheme val="minor"/>
      </rPr>
      <t>2</t>
    </r>
    <r>
      <rPr>
        <sz val="11"/>
        <color theme="1"/>
        <rFont val="Calibri"/>
        <family val="2"/>
        <scheme val="minor"/>
      </rPr>
      <t>)</t>
    </r>
  </si>
  <si>
    <t>Bden (pm7)</t>
  </si>
  <si>
    <t>Slope (p42)</t>
  </si>
  <si>
    <t>B1Num (p35) Limited</t>
  </si>
  <si>
    <t>B1Num (p24)</t>
  </si>
  <si>
    <t>Motor Accel (rad/s2)</t>
  </si>
</sst>
</file>

<file path=xl/styles.xml><?xml version="1.0" encoding="utf-8"?>
<styleSheet xmlns="http://schemas.openxmlformats.org/spreadsheetml/2006/main">
  <numFmts count="3">
    <numFmt numFmtId="164" formatCode="0.000"/>
    <numFmt numFmtId="165" formatCode="0.000000"/>
    <numFmt numFmtId="166" formatCode="0.0000"/>
  </numFmts>
  <fonts count="7">
    <font>
      <sz val="11"/>
      <color theme="1"/>
      <name val="Calibri"/>
      <family val="2"/>
      <scheme val="minor"/>
    </font>
    <font>
      <sz val="11"/>
      <color theme="1"/>
      <name val="Calibri"/>
      <family val="2"/>
    </font>
    <font>
      <vertAlign val="superscript"/>
      <sz val="11"/>
      <color theme="1"/>
      <name val="Calibri"/>
      <family val="2"/>
      <scheme val="minor"/>
    </font>
    <font>
      <sz val="8"/>
      <color indexed="81"/>
      <name val="Tahoma"/>
      <charset val="1"/>
    </font>
    <font>
      <b/>
      <sz val="8"/>
      <color indexed="81"/>
      <name val="Tahoma"/>
      <charset val="1"/>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3" tint="0.59999389629810485"/>
        <bgColor indexed="64"/>
      </patternFill>
    </fill>
  </fills>
  <borders count="2">
    <border>
      <left/>
      <right/>
      <top/>
      <bottom/>
      <diagonal/>
    </border>
    <border>
      <left/>
      <right/>
      <top/>
      <bottom style="double">
        <color indexed="64"/>
      </bottom>
      <diagonal/>
    </border>
  </borders>
  <cellStyleXfs count="1">
    <xf numFmtId="0" fontId="0" fillId="0" borderId="0"/>
  </cellStyleXfs>
  <cellXfs count="17">
    <xf numFmtId="0" fontId="0" fillId="0" borderId="0" xfId="0"/>
    <xf numFmtId="0" fontId="0" fillId="0" borderId="1" xfId="0" applyBorder="1"/>
    <xf numFmtId="0" fontId="0" fillId="0" borderId="0" xfId="0" applyFill="1" applyBorder="1"/>
    <xf numFmtId="0" fontId="0" fillId="3" borderId="0" xfId="0" applyFill="1"/>
    <xf numFmtId="0" fontId="0" fillId="3" borderId="1" xfId="0" applyFill="1"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1" fillId="0" borderId="0" xfId="0" applyFont="1"/>
    <xf numFmtId="0" fontId="5" fillId="6" borderId="0" xfId="0" applyFont="1" applyFill="1"/>
    <xf numFmtId="0" fontId="0" fillId="6" borderId="0" xfId="0" applyFill="1"/>
    <xf numFmtId="164" fontId="6" fillId="2" borderId="0" xfId="0" applyNumberFormat="1" applyFont="1" applyFill="1"/>
    <xf numFmtId="165" fontId="0" fillId="0" borderId="0" xfId="0" applyNumberFormat="1"/>
    <xf numFmtId="166" fontId="0" fillId="0" borderId="0" xfId="0" applyNumberFormat="1"/>
    <xf numFmtId="164" fontId="0" fillId="0" borderId="0" xfId="0" applyNumberFormat="1"/>
    <xf numFmtId="164" fontId="0" fillId="7" borderId="0" xfId="0" applyNumberFormat="1" applyFill="1"/>
  </cellXfs>
  <cellStyles count="1">
    <cellStyle name="Normal"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
  <sheetViews>
    <sheetView zoomScale="145" zoomScaleNormal="145" workbookViewId="0">
      <selection activeCell="L23" sqref="L23"/>
    </sheetView>
  </sheetViews>
  <sheetFormatPr defaultRowHeight="15"/>
  <sheetData/>
  <pageMargins left="0.7" right="0.7" top="0.75" bottom="0.75" header="0.3" footer="0.3"/>
  <pageSetup orientation="portrait" r:id="rId1"/>
  <legacyDrawing r:id="rId2"/>
  <oleObjects>
    <oleObject progId="Visio.Drawing.11" shapeId="1025" r:id="rId3"/>
  </oleObjects>
</worksheet>
</file>

<file path=xl/worksheets/sheet2.xml><?xml version="1.0" encoding="utf-8"?>
<worksheet xmlns="http://schemas.openxmlformats.org/spreadsheetml/2006/main" xmlns:r="http://schemas.openxmlformats.org/officeDocument/2006/relationships">
  <dimension ref="A1:T33"/>
  <sheetViews>
    <sheetView tabSelected="1" topLeftCell="B1" workbookViewId="0">
      <selection activeCell="Q8" sqref="Q8"/>
    </sheetView>
  </sheetViews>
  <sheetFormatPr defaultRowHeight="15"/>
  <cols>
    <col min="3" max="3" width="13.5703125" customWidth="1"/>
    <col min="4" max="4" width="13.140625" customWidth="1"/>
    <col min="5" max="5" width="8.5703125" customWidth="1"/>
    <col min="6" max="6" width="8.7109375" customWidth="1"/>
    <col min="9" max="9" width="5" bestFit="1" customWidth="1"/>
    <col min="10" max="10" width="6" bestFit="1" customWidth="1"/>
    <col min="11" max="11" width="9" bestFit="1" customWidth="1"/>
    <col min="12" max="12" width="15.85546875" customWidth="1"/>
    <col min="13" max="13" width="14.140625" customWidth="1"/>
    <col min="14" max="14" width="14.7109375" customWidth="1"/>
    <col min="16" max="16" width="24" customWidth="1"/>
    <col min="17" max="17" width="12.28515625" customWidth="1"/>
    <col min="18" max="19" width="12" bestFit="1" customWidth="1"/>
    <col min="20" max="20" width="11.7109375" customWidth="1"/>
    <col min="21" max="21" width="12" bestFit="1" customWidth="1"/>
  </cols>
  <sheetData>
    <row r="1" spans="1:20" ht="17.25">
      <c r="A1" t="s">
        <v>1</v>
      </c>
      <c r="B1" t="s">
        <v>0</v>
      </c>
      <c r="C1" s="7" t="s">
        <v>17</v>
      </c>
      <c r="D1" s="7" t="s">
        <v>16</v>
      </c>
      <c r="E1" s="5" t="s">
        <v>14</v>
      </c>
      <c r="F1" s="5" t="s">
        <v>15</v>
      </c>
      <c r="G1" s="3" t="s">
        <v>1</v>
      </c>
      <c r="H1" s="3" t="s">
        <v>0</v>
      </c>
      <c r="I1" t="s">
        <v>12</v>
      </c>
      <c r="J1" t="s">
        <v>11</v>
      </c>
      <c r="K1" t="s">
        <v>13</v>
      </c>
      <c r="L1" t="s">
        <v>35</v>
      </c>
      <c r="M1" t="s">
        <v>36</v>
      </c>
      <c r="N1" t="s">
        <v>37</v>
      </c>
      <c r="P1" t="s">
        <v>4</v>
      </c>
      <c r="Q1">
        <v>20000</v>
      </c>
    </row>
    <row r="2" spans="1:20">
      <c r="A2">
        <f t="shared" ref="A2:A9" si="0">IF($Q$1 + $Q$2 * (ROW()-2) &lt; 65536, $Q$1 + $Q$2 * (ROW()-2), $Q$1 + $Q$2 * (ROW()-2) - 65536)</f>
        <v>20000</v>
      </c>
      <c r="B2">
        <f>IF(A2+$Q$3 &lt; 65536, A2+$Q$3, A2+$Q$3 - 65536)</f>
        <v>21000</v>
      </c>
      <c r="C2" s="7">
        <f>INT(COS($Q$8 + $G2 *($R$6+$R$7 *$G2)) * 8192)</f>
        <v>8192</v>
      </c>
      <c r="D2" s="7">
        <f>INT(SIN($Q$8 + $G2 *($R$6+$R$7 *$G2)) * 8192)</f>
        <v>0</v>
      </c>
      <c r="E2" s="5">
        <f>INT(COS($Q$8 + $H2 *($R$6+$R$7 *$H2)) * 8192)</f>
        <v>8181</v>
      </c>
      <c r="F2" s="5">
        <f>INT(SIN($Q$8 + $H2 *($R$6+$R$7 *$H2)) * 8192)</f>
        <v>413</v>
      </c>
      <c r="G2" s="3">
        <f>MOD(A2 -$Q$4, 65536)</f>
        <v>0</v>
      </c>
      <c r="H2" s="3">
        <f>MOD(B2 -$Q$4, 65536)</f>
        <v>1000</v>
      </c>
      <c r="I2">
        <f>H2-G2</f>
        <v>1000</v>
      </c>
      <c r="J2">
        <f>G2+H2</f>
        <v>1000</v>
      </c>
      <c r="K2">
        <f>J2*J2</f>
        <v>1000000</v>
      </c>
      <c r="L2">
        <f>TRUNC((F2*C2-E2*D2)/(TRUNC((E2^2 + F2^2)/2^13)))</f>
        <v>413</v>
      </c>
      <c r="M2">
        <f>TRUNC(L2*2^11/I2)</f>
        <v>845</v>
      </c>
      <c r="N2">
        <f>J2*M2</f>
        <v>845000</v>
      </c>
      <c r="P2" t="s">
        <v>3</v>
      </c>
      <c r="Q2">
        <v>63</v>
      </c>
    </row>
    <row r="3" spans="1:20">
      <c r="A3">
        <f t="shared" si="0"/>
        <v>20063</v>
      </c>
      <c r="B3">
        <f t="shared" ref="B3:B9" si="1">IF(A3+$Q$3 &lt; 65536, A3+$Q$3, A3+$Q$3 - 65536)</f>
        <v>21063</v>
      </c>
      <c r="C3" s="7">
        <f t="shared" ref="C3:C9" si="2">INT(COS($Q$8 + $G3 *($R$6+$R$7 *$G3)) * 8192)</f>
        <v>8191</v>
      </c>
      <c r="D3" s="7">
        <f t="shared" ref="D3:D9" si="3">INT(SIN($Q$8 + (ROW()-2) * $Q$2 *($R$6+$R$7 *(ROW()-2)*$Q$2)) * 8192)</f>
        <v>25</v>
      </c>
      <c r="E3" s="5">
        <f>INT(COS($Q$8 + $H3 *($R$6+$R$7 *$H3)) * 8192)</f>
        <v>8180</v>
      </c>
      <c r="F3" s="5">
        <f t="shared" ref="F3:F9" si="4">INT(SIN($Q$8 + $H3 *($R$6+$R$7 *$H3)) * 8192)</f>
        <v>439</v>
      </c>
      <c r="G3" s="3">
        <f t="shared" ref="G3:G9" si="5">MOD(A3 -$Q$4, 65536)</f>
        <v>63</v>
      </c>
      <c r="H3" s="3">
        <f t="shared" ref="H3:H9" si="6">MOD(B3 -$Q$4, 65536)</f>
        <v>1063</v>
      </c>
      <c r="I3">
        <f t="shared" ref="I3:I9" si="7">H3-G3</f>
        <v>1000</v>
      </c>
      <c r="J3">
        <f t="shared" ref="J3:J9" si="8">G3+H3</f>
        <v>1126</v>
      </c>
      <c r="K3">
        <f t="shared" ref="K3:K9" si="9">J3*J3</f>
        <v>1267876</v>
      </c>
      <c r="L3">
        <f t="shared" ref="L3:L9" si="10">TRUNC((F3*C3-E3*D3)/(TRUNC((E3^2 + F3^2)/2^13)))</f>
        <v>414</v>
      </c>
      <c r="M3">
        <f t="shared" ref="M3:M9" si="11">TRUNC(L3*2^11/I3)</f>
        <v>847</v>
      </c>
      <c r="N3">
        <f t="shared" ref="N3:N9" si="12">J3*M3</f>
        <v>953722</v>
      </c>
      <c r="P3" t="s">
        <v>2</v>
      </c>
      <c r="Q3">
        <v>1000</v>
      </c>
    </row>
    <row r="4" spans="1:20">
      <c r="A4">
        <f t="shared" si="0"/>
        <v>20126</v>
      </c>
      <c r="B4">
        <f t="shared" si="1"/>
        <v>21126</v>
      </c>
      <c r="C4" s="7">
        <f t="shared" si="2"/>
        <v>8191</v>
      </c>
      <c r="D4" s="7">
        <f t="shared" si="3"/>
        <v>51</v>
      </c>
      <c r="E4" s="5">
        <f t="shared" ref="E4:E9" si="13">INT(COS($Q$8 + $H4 *($R$6+$R$7 *$H4)) * 8192)</f>
        <v>8178</v>
      </c>
      <c r="F4" s="5">
        <f t="shared" si="4"/>
        <v>466</v>
      </c>
      <c r="G4" s="3">
        <f t="shared" si="5"/>
        <v>126</v>
      </c>
      <c r="H4" s="3">
        <f t="shared" si="6"/>
        <v>1126</v>
      </c>
      <c r="I4">
        <f t="shared" si="7"/>
        <v>1000</v>
      </c>
      <c r="J4">
        <f t="shared" si="8"/>
        <v>1252</v>
      </c>
      <c r="K4">
        <f t="shared" si="9"/>
        <v>1567504</v>
      </c>
      <c r="L4">
        <f t="shared" si="10"/>
        <v>415</v>
      </c>
      <c r="M4">
        <f t="shared" si="11"/>
        <v>849</v>
      </c>
      <c r="N4">
        <f t="shared" si="12"/>
        <v>1062948</v>
      </c>
      <c r="P4" t="s">
        <v>5</v>
      </c>
      <c r="Q4">
        <f>Q1</f>
        <v>20000</v>
      </c>
    </row>
    <row r="5" spans="1:20">
      <c r="A5">
        <f t="shared" si="0"/>
        <v>20189</v>
      </c>
      <c r="B5">
        <f t="shared" si="1"/>
        <v>21189</v>
      </c>
      <c r="C5" s="7">
        <f t="shared" si="2"/>
        <v>8191</v>
      </c>
      <c r="D5" s="7">
        <f t="shared" si="3"/>
        <v>77</v>
      </c>
      <c r="E5" s="5">
        <f t="shared" si="13"/>
        <v>8177</v>
      </c>
      <c r="F5" s="5">
        <f t="shared" si="4"/>
        <v>492</v>
      </c>
      <c r="G5" s="3">
        <f t="shared" si="5"/>
        <v>189</v>
      </c>
      <c r="H5" s="3">
        <f t="shared" si="6"/>
        <v>1189</v>
      </c>
      <c r="I5">
        <f t="shared" si="7"/>
        <v>1000</v>
      </c>
      <c r="J5">
        <f t="shared" si="8"/>
        <v>1378</v>
      </c>
      <c r="K5">
        <f t="shared" si="9"/>
        <v>1898884</v>
      </c>
      <c r="L5">
        <f t="shared" si="10"/>
        <v>415</v>
      </c>
      <c r="M5">
        <f t="shared" si="11"/>
        <v>849</v>
      </c>
      <c r="N5">
        <f t="shared" si="12"/>
        <v>1169922</v>
      </c>
    </row>
    <row r="6" spans="1:20">
      <c r="A6">
        <f t="shared" si="0"/>
        <v>20252</v>
      </c>
      <c r="B6">
        <f t="shared" si="1"/>
        <v>21252</v>
      </c>
      <c r="C6" s="7">
        <f t="shared" si="2"/>
        <v>8191</v>
      </c>
      <c r="D6" s="7">
        <f t="shared" si="3"/>
        <v>103</v>
      </c>
      <c r="E6" s="5">
        <f t="shared" si="13"/>
        <v>8175</v>
      </c>
      <c r="F6" s="5">
        <f t="shared" si="4"/>
        <v>518</v>
      </c>
      <c r="G6" s="3">
        <f t="shared" si="5"/>
        <v>252</v>
      </c>
      <c r="H6" s="3">
        <f t="shared" si="6"/>
        <v>1252</v>
      </c>
      <c r="I6">
        <f t="shared" si="7"/>
        <v>1000</v>
      </c>
      <c r="J6">
        <f t="shared" si="8"/>
        <v>1504</v>
      </c>
      <c r="K6">
        <f t="shared" si="9"/>
        <v>2262016</v>
      </c>
      <c r="L6">
        <f t="shared" si="10"/>
        <v>415</v>
      </c>
      <c r="M6">
        <f t="shared" si="11"/>
        <v>849</v>
      </c>
      <c r="N6">
        <f t="shared" si="12"/>
        <v>1276896</v>
      </c>
      <c r="P6" t="s">
        <v>9</v>
      </c>
      <c r="Q6" s="3">
        <v>50</v>
      </c>
      <c r="R6">
        <f>Q6/1000000</f>
        <v>5.0000000000000002E-5</v>
      </c>
    </row>
    <row r="7" spans="1:20" ht="17.25">
      <c r="A7">
        <f t="shared" si="0"/>
        <v>20315</v>
      </c>
      <c r="B7">
        <f t="shared" si="1"/>
        <v>21315</v>
      </c>
      <c r="C7" s="7">
        <f t="shared" si="2"/>
        <v>8190</v>
      </c>
      <c r="D7" s="7">
        <f t="shared" si="3"/>
        <v>129</v>
      </c>
      <c r="E7" s="5">
        <f t="shared" si="13"/>
        <v>8173</v>
      </c>
      <c r="F7" s="5">
        <f t="shared" si="4"/>
        <v>545</v>
      </c>
      <c r="G7" s="3">
        <f t="shared" si="5"/>
        <v>315</v>
      </c>
      <c r="H7" s="3">
        <f t="shared" si="6"/>
        <v>1315</v>
      </c>
      <c r="I7">
        <f t="shared" si="7"/>
        <v>1000</v>
      </c>
      <c r="J7">
        <f t="shared" si="8"/>
        <v>1630</v>
      </c>
      <c r="K7">
        <f t="shared" si="9"/>
        <v>2656900</v>
      </c>
      <c r="L7">
        <f t="shared" si="10"/>
        <v>416</v>
      </c>
      <c r="M7">
        <f t="shared" si="11"/>
        <v>851</v>
      </c>
      <c r="N7">
        <f t="shared" si="12"/>
        <v>1387130</v>
      </c>
      <c r="P7" t="s">
        <v>38</v>
      </c>
      <c r="Q7" s="3">
        <v>500</v>
      </c>
      <c r="R7">
        <f>Q7/1000000^2</f>
        <v>5.0000000000000003E-10</v>
      </c>
    </row>
    <row r="8" spans="1:20">
      <c r="A8">
        <f t="shared" si="0"/>
        <v>20378</v>
      </c>
      <c r="B8">
        <f t="shared" si="1"/>
        <v>21378</v>
      </c>
      <c r="C8" s="7">
        <f t="shared" si="2"/>
        <v>8190</v>
      </c>
      <c r="D8" s="7">
        <f t="shared" si="3"/>
        <v>155</v>
      </c>
      <c r="E8" s="5">
        <f t="shared" si="13"/>
        <v>8172</v>
      </c>
      <c r="F8" s="5">
        <f t="shared" si="4"/>
        <v>571</v>
      </c>
      <c r="G8" s="3">
        <f t="shared" si="5"/>
        <v>378</v>
      </c>
      <c r="H8" s="3">
        <f t="shared" si="6"/>
        <v>1378</v>
      </c>
      <c r="I8">
        <f t="shared" si="7"/>
        <v>1000</v>
      </c>
      <c r="J8">
        <f t="shared" si="8"/>
        <v>1756</v>
      </c>
      <c r="K8">
        <f t="shared" si="9"/>
        <v>3083536</v>
      </c>
      <c r="L8">
        <f t="shared" si="10"/>
        <v>416</v>
      </c>
      <c r="M8">
        <f t="shared" si="11"/>
        <v>851</v>
      </c>
      <c r="N8">
        <f t="shared" si="12"/>
        <v>1494356</v>
      </c>
      <c r="P8" t="s">
        <v>10</v>
      </c>
      <c r="Q8">
        <v>0</v>
      </c>
    </row>
    <row r="9" spans="1:20" ht="15.75" thickBot="1">
      <c r="A9" s="1">
        <f t="shared" si="0"/>
        <v>20441</v>
      </c>
      <c r="B9" s="1">
        <f t="shared" si="1"/>
        <v>21441</v>
      </c>
      <c r="C9" s="8">
        <f t="shared" si="2"/>
        <v>8189</v>
      </c>
      <c r="D9" s="8">
        <f t="shared" si="3"/>
        <v>181</v>
      </c>
      <c r="E9" s="6">
        <f t="shared" si="13"/>
        <v>8170</v>
      </c>
      <c r="F9" s="6">
        <f t="shared" si="4"/>
        <v>598</v>
      </c>
      <c r="G9" s="4">
        <f t="shared" si="5"/>
        <v>441</v>
      </c>
      <c r="H9" s="4">
        <f t="shared" si="6"/>
        <v>1441</v>
      </c>
      <c r="I9" s="1">
        <f t="shared" si="7"/>
        <v>1000</v>
      </c>
      <c r="J9" s="1">
        <f t="shared" si="8"/>
        <v>1882</v>
      </c>
      <c r="K9" s="1">
        <f t="shared" si="9"/>
        <v>3541924</v>
      </c>
      <c r="L9" s="1">
        <f t="shared" si="10"/>
        <v>417</v>
      </c>
      <c r="M9" s="1">
        <f t="shared" si="11"/>
        <v>854</v>
      </c>
      <c r="N9" s="1">
        <f t="shared" si="12"/>
        <v>1607228</v>
      </c>
      <c r="P9" t="s">
        <v>7</v>
      </c>
      <c r="Q9">
        <v>100</v>
      </c>
    </row>
    <row r="10" spans="1:20" ht="15.75" thickTop="1">
      <c r="A10" t="s">
        <v>6</v>
      </c>
      <c r="G10" t="s">
        <v>8</v>
      </c>
      <c r="I10">
        <f t="shared" ref="I10:N10" si="14">SUM(I2:I9)</f>
        <v>8000</v>
      </c>
      <c r="J10">
        <f t="shared" si="14"/>
        <v>11528</v>
      </c>
      <c r="K10" s="2">
        <f t="shared" si="14"/>
        <v>17278640</v>
      </c>
      <c r="L10" s="2">
        <f>SUM(L2:L9)</f>
        <v>3321</v>
      </c>
      <c r="M10" s="2">
        <f>SUM(M2:M9)</f>
        <v>6795</v>
      </c>
      <c r="N10" s="2">
        <f t="shared" si="14"/>
        <v>9797202</v>
      </c>
    </row>
    <row r="11" spans="1:20">
      <c r="P11" t="s">
        <v>42</v>
      </c>
      <c r="Q11">
        <f>(N10*8-M10*J10)</f>
        <v>44856</v>
      </c>
    </row>
    <row r="12" spans="1:20">
      <c r="P12" t="s">
        <v>41</v>
      </c>
      <c r="Q12">
        <f>MAX(MIN(Q11, (0.0625 * 2^24)-1), (-0.0625*2^24)+1) * 2^11</f>
        <v>91865088</v>
      </c>
      <c r="S12" t="s">
        <v>20</v>
      </c>
      <c r="T12">
        <v>0.52409207303060001</v>
      </c>
    </row>
    <row r="13" spans="1:20">
      <c r="I13" s="9"/>
      <c r="P13" t="s">
        <v>39</v>
      </c>
      <c r="Q13">
        <f>TRUNC((K10*8-J10*J10)/2^7)</f>
        <v>41674</v>
      </c>
      <c r="S13" t="s">
        <v>21</v>
      </c>
      <c r="T13">
        <v>9.3619416647739997E-2</v>
      </c>
    </row>
    <row r="14" spans="1:20">
      <c r="P14" t="s">
        <v>40</v>
      </c>
      <c r="Q14">
        <f>TRUNC(Q12/Q13)</f>
        <v>2204</v>
      </c>
      <c r="S14" t="s">
        <v>23</v>
      </c>
      <c r="T14">
        <v>1.4887372147889999</v>
      </c>
    </row>
    <row r="15" spans="1:20">
      <c r="P15" t="s">
        <v>32</v>
      </c>
      <c r="Q15">
        <f>TRUNC(M10/8)</f>
        <v>849</v>
      </c>
      <c r="S15" t="s">
        <v>22</v>
      </c>
      <c r="T15">
        <v>1.2710643177800001</v>
      </c>
    </row>
    <row r="16" spans="1:20">
      <c r="P16" t="s">
        <v>33</v>
      </c>
      <c r="Q16">
        <f>(TRUNC((Q9*Q14)/2^18)+Q15)*Q19</f>
        <v>849000</v>
      </c>
      <c r="R16">
        <f>Q16*2^-24*Q19</f>
        <v>50.604343414306641</v>
      </c>
      <c r="S16" t="s">
        <v>24</v>
      </c>
      <c r="T16">
        <v>3.7009915172990002</v>
      </c>
    </row>
    <row r="17" spans="16:20">
      <c r="P17" t="s">
        <v>26</v>
      </c>
      <c r="Q17" s="14">
        <f>(T12 +(T13/(T15-(Q16*2^-24)^2)+T14/(T16-(Q16*2^-24)^2)))</f>
        <v>1.0004272491200634</v>
      </c>
    </row>
    <row r="18" spans="16:20">
      <c r="P18" t="s">
        <v>19</v>
      </c>
      <c r="Q18" s="13">
        <f>(Q16*2^-24)*Q17</f>
        <v>5.0625964075501788E-2</v>
      </c>
    </row>
    <row r="19" spans="16:20">
      <c r="P19" t="s">
        <v>18</v>
      </c>
      <c r="Q19">
        <f>I10/8</f>
        <v>1000</v>
      </c>
    </row>
    <row r="20" spans="16:20">
      <c r="P20" t="s">
        <v>25</v>
      </c>
      <c r="Q20" s="16">
        <f>Q18*1000000/Q19</f>
        <v>50.625964075501791</v>
      </c>
    </row>
    <row r="21" spans="16:20">
      <c r="P21" t="s">
        <v>43</v>
      </c>
      <c r="Q21" s="16">
        <f>(Q14*2^-42)*(1000000)^2</f>
        <v>501.13158067688346</v>
      </c>
    </row>
    <row r="25" spans="16:20">
      <c r="P25" s="10" t="s">
        <v>34</v>
      </c>
      <c r="Q25" s="11"/>
      <c r="R25" s="11"/>
      <c r="S25" s="11"/>
      <c r="T25" s="11"/>
    </row>
    <row r="26" spans="16:20">
      <c r="P26" t="s">
        <v>12</v>
      </c>
      <c r="Q26">
        <f>TRUNC(SUM(B2:B9)/8) - TRUNC(SUM(A2:A9)/8)</f>
        <v>1000</v>
      </c>
      <c r="S26" t="s">
        <v>20</v>
      </c>
      <c r="T26">
        <v>0.52499783200000005</v>
      </c>
    </row>
    <row r="27" spans="16:20">
      <c r="P27" t="s">
        <v>27</v>
      </c>
      <c r="Q27">
        <f>TRUNC(SUM(F2:F9)/8) - TRUNC(SUM(D2:D9)/8)</f>
        <v>415</v>
      </c>
      <c r="S27" t="s">
        <v>21</v>
      </c>
      <c r="T27">
        <v>94250.18578</v>
      </c>
    </row>
    <row r="28" spans="16:20">
      <c r="P28" t="s">
        <v>28</v>
      </c>
      <c r="Q28">
        <f>TRUNC(SUM(E2:E9)/8) - TRUNC(SUM(C2:C9)/8)</f>
        <v>-15</v>
      </c>
      <c r="S28" t="s">
        <v>23</v>
      </c>
      <c r="T28">
        <v>1484093.0060000001</v>
      </c>
    </row>
    <row r="29" spans="16:20">
      <c r="P29" t="s">
        <v>30</v>
      </c>
      <c r="Q29">
        <f>TRUNC(SUM(E2:E9)/8)</f>
        <v>8175</v>
      </c>
      <c r="S29" t="s">
        <v>22</v>
      </c>
      <c r="T29">
        <v>1270451.4990000001</v>
      </c>
    </row>
    <row r="30" spans="16:20">
      <c r="P30" t="s">
        <v>31</v>
      </c>
      <c r="Q30">
        <f>TRUNC(SUM(F2:F9)/8)</f>
        <v>505</v>
      </c>
      <c r="S30" t="s">
        <v>24</v>
      </c>
      <c r="T30">
        <v>3702672.8820000002</v>
      </c>
    </row>
    <row r="31" spans="16:20">
      <c r="P31" t="s">
        <v>29</v>
      </c>
      <c r="Q31" s="15">
        <f>(((Q27*Q29-Q28*Q30)/(Q29^2+Q30^2))/Q26)*1000000</f>
        <v>50.684460834768686</v>
      </c>
    </row>
    <row r="32" spans="16:20">
      <c r="P32" t="s">
        <v>26</v>
      </c>
      <c r="Q32" s="14">
        <f>T26+T27/(T29-Q31^2)+T28/(T30-Q31^2)</f>
        <v>1.0004294623642136</v>
      </c>
    </row>
    <row r="33" spans="16:17">
      <c r="P33" t="s">
        <v>25</v>
      </c>
      <c r="Q33" s="12">
        <f>Q31*Q32</f>
        <v>50.706227903147678</v>
      </c>
    </row>
  </sheetData>
  <conditionalFormatting sqref="L10:N10">
    <cfRule type="cellIs" dxfId="2" priority="9" operator="greaterThan">
      <formula>4294967295</formula>
    </cfRule>
  </conditionalFormatting>
  <conditionalFormatting sqref="I10:K10 N10">
    <cfRule type="cellIs" dxfId="1" priority="8" operator="greaterThan">
      <formula>4715906295</formula>
    </cfRule>
  </conditionalFormatting>
  <conditionalFormatting sqref="I10:N10 N13 Q11:Q16">
    <cfRule type="cellIs" dxfId="0" priority="4" operator="greaterThan">
      <formula>2147483648</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Fixed Point Model</vt:lpstr>
    </vt:vector>
  </TitlesOfParts>
  <Company>Nexteer Automotive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Warmbier</dc:creator>
  <cp:lastModifiedBy>Jeremy Warmbier</cp:lastModifiedBy>
  <dcterms:created xsi:type="dcterms:W3CDTF">2012-12-13T18:50:18Z</dcterms:created>
  <dcterms:modified xsi:type="dcterms:W3CDTF">2013-02-14T21:26:22Z</dcterms:modified>
</cp:coreProperties>
</file>