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L Invoices\"/>
    </mc:Choice>
  </mc:AlternateContent>
  <xr:revisionPtr revIDLastSave="0" documentId="13_ncr:1_{6B26E9EF-68A7-4B3B-8D3E-E8FC5F06FA01}" xr6:coauthVersionLast="47" xr6:coauthVersionMax="47" xr10:uidLastSave="{00000000-0000-0000-0000-000000000000}"/>
  <bookViews>
    <workbookView xWindow="-110" yWindow="-110" windowWidth="38620" windowHeight="21220" tabRatio="834" activeTab="6" xr2:uid="{00000000-000D-0000-FFFF-FFFF00000000}"/>
  </bookViews>
  <sheets>
    <sheet name="Summary" sheetId="20" r:id="rId1"/>
    <sheet name="P&amp;L" sheetId="6" r:id="rId2"/>
    <sheet name="BS" sheetId="9" r:id="rId3"/>
    <sheet name="CF" sheetId="12" r:id="rId4"/>
    <sheet name="Revenue" sheetId="2" r:id="rId5"/>
    <sheet name="Tables" sheetId="30" r:id="rId6"/>
    <sheet name="CoS" sheetId="1" r:id="rId7"/>
    <sheet name="Admin &amp; Operating" sheetId="23" r:id="rId8"/>
    <sheet name="FA" sheetId="18" r:id="rId9"/>
    <sheet name="Contingent Liabilities" sheetId="27" state="hidden" r:id="rId10"/>
    <sheet name="Loan" sheetId="7" r:id="rId11"/>
    <sheet name="WC" sheetId="10" r:id="rId12"/>
    <sheet name="Equity" sheetId="11" r:id="rId13"/>
    <sheet name="Tax" sheetId="8" r:id="rId14"/>
    <sheet name="Break Even" sheetId="17" r:id="rId15"/>
    <sheet name="Ratios" sheetId="29" r:id="rId16"/>
    <sheet name="Sens" sheetId="28" r:id="rId17"/>
  </sheets>
  <externalReferences>
    <externalReference r:id="rId18"/>
  </externalReferences>
  <definedNames>
    <definedName name="_xlnm._FilterDatabase" localSheetId="0" hidden="1">Summary!$G$8:$K$22</definedName>
    <definedName name="_xlnm.Print_Area" localSheetId="7">'Admin &amp; Operating'!$B$1:$T$93</definedName>
    <definedName name="_xlnm.Print_Area" localSheetId="14">'Break Even'!$B$1:$H$56</definedName>
    <definedName name="_xlnm.Print_Area" localSheetId="2">BS!$B$1:$H$40</definedName>
    <definedName name="_xlnm.Print_Area" localSheetId="3">CF!$B$1:$H$41</definedName>
    <definedName name="_xlnm.Print_Area" localSheetId="6">CoS!$B$1:$S$27</definedName>
    <definedName name="_xlnm.Print_Area" localSheetId="8">FA!$B$1:$L$57</definedName>
    <definedName name="_xlnm.Print_Area" localSheetId="10">Loan!$B$1:$H$102</definedName>
    <definedName name="_xlnm.Print_Area" localSheetId="1">'P&amp;L'!$B$1:$G$25</definedName>
    <definedName name="_xlnm.Print_Area" localSheetId="15">Ratios!$B$1:$H$102</definedName>
    <definedName name="_xlnm.Print_Area" localSheetId="4">Revenue!$B$23:$S$53</definedName>
    <definedName name="_xlnm.Print_Area" localSheetId="16">Sens!$B$1:$O$46</definedName>
    <definedName name="_xlnm.Print_Area" localSheetId="0">Summary!$B$4:$J$66</definedName>
    <definedName name="_xlnm.Print_Area" localSheetId="13">Tax!$B$1:$I$19</definedName>
    <definedName name="_xlnm.Print_Area" localSheetId="11">WC!$B$1:$H$26</definedName>
    <definedName name="_xlnm.Print_Titles" localSheetId="7">'Admin &amp; Operating'!$1:$8</definedName>
    <definedName name="_xlnm.Print_Titles" localSheetId="14">'Break Even'!$1:$7</definedName>
    <definedName name="_xlnm.Print_Titles" localSheetId="6">CoS!$1:$8</definedName>
    <definedName name="_xlnm.Print_Titles" localSheetId="8">FA!$1:$7</definedName>
    <definedName name="_xlnm.Print_Titles" localSheetId="4">Revenue!$1:$8</definedName>
    <definedName name="_xlnm.Print_Titles" localSheetId="0">Summary!$1:$4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7" i="23" l="1"/>
  <c r="E87" i="23"/>
  <c r="F87" i="23"/>
  <c r="G87" i="23"/>
  <c r="H87" i="23"/>
  <c r="I87" i="23"/>
  <c r="J87" i="23"/>
  <c r="K87" i="23"/>
  <c r="L87" i="23"/>
  <c r="M87" i="23"/>
  <c r="O87" i="23"/>
  <c r="N87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AI64" i="23"/>
  <c r="AI66" i="23" s="1"/>
  <c r="X52" i="23"/>
  <c r="Y52" i="23"/>
  <c r="Z52" i="23"/>
  <c r="AA52" i="23"/>
  <c r="AB52" i="23"/>
  <c r="AC52" i="23"/>
  <c r="AD52" i="23"/>
  <c r="AE52" i="23"/>
  <c r="AF52" i="23"/>
  <c r="AG52" i="23"/>
  <c r="AH52" i="23"/>
  <c r="W52" i="23"/>
  <c r="AI46" i="23"/>
  <c r="AI48" i="23" s="1"/>
  <c r="AI76" i="23" l="1"/>
  <c r="AI79" i="23" s="1"/>
  <c r="AI52" i="23"/>
  <c r="AI57" i="23" s="1"/>
  <c r="E67" i="23"/>
  <c r="F67" i="23" s="1"/>
  <c r="B13" i="23"/>
  <c r="E49" i="23"/>
  <c r="F49" i="23" s="1"/>
  <c r="G49" i="23" s="1"/>
  <c r="H49" i="23" s="1"/>
  <c r="I49" i="23" s="1"/>
  <c r="J49" i="23" s="1"/>
  <c r="K49" i="23" s="1"/>
  <c r="L49" i="23" s="1"/>
  <c r="M49" i="23" s="1"/>
  <c r="N49" i="23" s="1"/>
  <c r="O49" i="23" s="1"/>
  <c r="Q49" i="23" s="1"/>
  <c r="R49" i="23" s="1"/>
  <c r="S49" i="23" s="1"/>
  <c r="T49" i="23" s="1"/>
  <c r="D64" i="23"/>
  <c r="G67" i="23" l="1"/>
  <c r="F64" i="23"/>
  <c r="E64" i="23"/>
  <c r="D13" i="23"/>
  <c r="Q13" i="23" s="1"/>
  <c r="Q16" i="2"/>
  <c r="R16" i="2"/>
  <c r="S16" i="2"/>
  <c r="P16" i="2"/>
  <c r="O16" i="2"/>
  <c r="D16" i="2"/>
  <c r="E16" i="2"/>
  <c r="F16" i="2"/>
  <c r="G16" i="2"/>
  <c r="H16" i="2"/>
  <c r="I16" i="2"/>
  <c r="J16" i="2"/>
  <c r="K16" i="2"/>
  <c r="L16" i="2"/>
  <c r="M16" i="2"/>
  <c r="N16" i="2"/>
  <c r="C16" i="2"/>
  <c r="Q55" i="2"/>
  <c r="R55" i="2" s="1"/>
  <c r="S55" i="2" s="1"/>
  <c r="K55" i="2"/>
  <c r="L55" i="2" s="1"/>
  <c r="M55" i="2" s="1"/>
  <c r="N55" i="2" s="1"/>
  <c r="Q54" i="2"/>
  <c r="R54" i="2" s="1"/>
  <c r="S54" i="2" s="1"/>
  <c r="M28" i="2"/>
  <c r="I10" i="20"/>
  <c r="C38" i="2" s="1"/>
  <c r="C12" i="2" s="1"/>
  <c r="I11" i="20"/>
  <c r="C44" i="2" s="1"/>
  <c r="C13" i="2" s="1"/>
  <c r="I12" i="20"/>
  <c r="C50" i="2" s="1"/>
  <c r="C14" i="2" s="1"/>
  <c r="I9" i="20"/>
  <c r="C29" i="2" s="1"/>
  <c r="C11" i="2" s="1"/>
  <c r="N82" i="2"/>
  <c r="K82" i="2"/>
  <c r="H82" i="2"/>
  <c r="E82" i="2"/>
  <c r="B9" i="30"/>
  <c r="B14" i="30"/>
  <c r="B17" i="30"/>
  <c r="B20" i="30"/>
  <c r="D4" i="30"/>
  <c r="E4" i="30"/>
  <c r="H67" i="23" l="1"/>
  <c r="G64" i="23"/>
  <c r="O25" i="2"/>
  <c r="N25" i="2"/>
  <c r="L49" i="2" s="1"/>
  <c r="M25" i="2"/>
  <c r="K48" i="2" s="1"/>
  <c r="L25" i="2"/>
  <c r="K25" i="2"/>
  <c r="L43" i="2" s="1"/>
  <c r="J25" i="2"/>
  <c r="K42" i="2" s="1"/>
  <c r="I25" i="2"/>
  <c r="H25" i="2"/>
  <c r="G25" i="2"/>
  <c r="F25" i="2"/>
  <c r="E25" i="2"/>
  <c r="D25" i="2"/>
  <c r="I67" i="23" l="1"/>
  <c r="H64" i="23"/>
  <c r="L27" i="2"/>
  <c r="B7" i="30"/>
  <c r="C105" i="23"/>
  <c r="C106" i="23"/>
  <c r="C107" i="23"/>
  <c r="C108" i="23"/>
  <c r="C109" i="23"/>
  <c r="C110" i="23"/>
  <c r="C111" i="23"/>
  <c r="C112" i="23"/>
  <c r="C113" i="23"/>
  <c r="C104" i="23"/>
  <c r="J67" i="23" l="1"/>
  <c r="I64" i="23"/>
  <c r="M27" i="2"/>
  <c r="Q50" i="18"/>
  <c r="J64" i="23" l="1"/>
  <c r="K67" i="23"/>
  <c r="M49" i="2"/>
  <c r="N49" i="2" s="1"/>
  <c r="P49" i="2" s="1"/>
  <c r="L48" i="2"/>
  <c r="L42" i="2"/>
  <c r="M43" i="2"/>
  <c r="N43" i="2" s="1"/>
  <c r="P43" i="2" s="1"/>
  <c r="M37" i="2"/>
  <c r="N37" i="2" s="1"/>
  <c r="P37" i="2" s="1"/>
  <c r="L34" i="2"/>
  <c r="N28" i="2"/>
  <c r="K64" i="23" l="1"/>
  <c r="L67" i="23"/>
  <c r="P28" i="2"/>
  <c r="N27" i="2"/>
  <c r="M48" i="2"/>
  <c r="N48" i="2" s="1"/>
  <c r="N73" i="2" s="1"/>
  <c r="O73" i="2" s="1"/>
  <c r="D19" i="30" s="1"/>
  <c r="M42" i="2"/>
  <c r="N42" i="2" s="1"/>
  <c r="N69" i="2" s="1"/>
  <c r="O69" i="2" s="1"/>
  <c r="D16" i="30" s="1"/>
  <c r="M34" i="2"/>
  <c r="N34" i="2" s="1"/>
  <c r="D114" i="23"/>
  <c r="D117" i="23"/>
  <c r="D105" i="23"/>
  <c r="D106" i="23"/>
  <c r="D107" i="23"/>
  <c r="D108" i="23"/>
  <c r="D109" i="23"/>
  <c r="D110" i="23"/>
  <c r="D111" i="23"/>
  <c r="D112" i="23"/>
  <c r="D113" i="23"/>
  <c r="D104" i="23"/>
  <c r="Q53" i="18"/>
  <c r="P50" i="18"/>
  <c r="D73" i="2"/>
  <c r="E73" i="2"/>
  <c r="F73" i="2"/>
  <c r="G73" i="2"/>
  <c r="H73" i="2"/>
  <c r="I73" i="2"/>
  <c r="J73" i="2"/>
  <c r="K73" i="2"/>
  <c r="L73" i="2"/>
  <c r="C73" i="2"/>
  <c r="D69" i="2"/>
  <c r="E69" i="2"/>
  <c r="F69" i="2"/>
  <c r="G69" i="2"/>
  <c r="H69" i="2"/>
  <c r="I69" i="2"/>
  <c r="J69" i="2"/>
  <c r="K69" i="2"/>
  <c r="L69" i="2"/>
  <c r="C69" i="2"/>
  <c r="C65" i="2"/>
  <c r="C60" i="2"/>
  <c r="B73" i="2"/>
  <c r="B19" i="30" s="1"/>
  <c r="B69" i="2"/>
  <c r="B16" i="30" s="1"/>
  <c r="B60" i="2"/>
  <c r="B65" i="2"/>
  <c r="B64" i="2"/>
  <c r="B12" i="30" s="1"/>
  <c r="C74" i="2"/>
  <c r="C70" i="2"/>
  <c r="C66" i="2"/>
  <c r="C61" i="2"/>
  <c r="J15" i="29"/>
  <c r="J12" i="29"/>
  <c r="J10" i="29"/>
  <c r="J9" i="29"/>
  <c r="M67" i="23" l="1"/>
  <c r="L64" i="23"/>
  <c r="P27" i="2"/>
  <c r="P53" i="18"/>
  <c r="M73" i="2"/>
  <c r="M69" i="2"/>
  <c r="C35" i="2"/>
  <c r="C64" i="2" s="1"/>
  <c r="N67" i="23" l="1"/>
  <c r="N64" i="23" s="1"/>
  <c r="M64" i="23"/>
  <c r="D14" i="12"/>
  <c r="D13" i="12"/>
  <c r="O67" i="23" l="1"/>
  <c r="E10" i="8"/>
  <c r="D25" i="23"/>
  <c r="D26" i="23"/>
  <c r="D27" i="23"/>
  <c r="D28" i="23"/>
  <c r="D29" i="23"/>
  <c r="D30" i="23"/>
  <c r="D31" i="23"/>
  <c r="D32" i="23"/>
  <c r="D33" i="23"/>
  <c r="D24" i="23"/>
  <c r="E76" i="23"/>
  <c r="F76" i="23" s="1"/>
  <c r="G76" i="23" s="1"/>
  <c r="H76" i="23" s="1"/>
  <c r="I76" i="23" s="1"/>
  <c r="E77" i="23"/>
  <c r="E27" i="23" s="1"/>
  <c r="E78" i="23"/>
  <c r="F78" i="23" s="1"/>
  <c r="E79" i="23"/>
  <c r="E29" i="23" s="1"/>
  <c r="E80" i="23"/>
  <c r="E30" i="23" s="1"/>
  <c r="E81" i="23"/>
  <c r="E31" i="23" s="1"/>
  <c r="E82" i="23"/>
  <c r="E32" i="23" s="1"/>
  <c r="E83" i="23"/>
  <c r="E33" i="23" s="1"/>
  <c r="E63" i="23"/>
  <c r="F63" i="23" s="1"/>
  <c r="G63" i="23" s="1"/>
  <c r="E54" i="23"/>
  <c r="F54" i="23" s="1"/>
  <c r="G54" i="23" s="1"/>
  <c r="H54" i="23" s="1"/>
  <c r="I54" i="23" s="1"/>
  <c r="J54" i="23" s="1"/>
  <c r="K54" i="23" s="1"/>
  <c r="L54" i="23" s="1"/>
  <c r="M54" i="23" s="1"/>
  <c r="N54" i="23" s="1"/>
  <c r="O54" i="23" s="1"/>
  <c r="Q54" i="23" s="1"/>
  <c r="E55" i="23"/>
  <c r="F55" i="23" s="1"/>
  <c r="G55" i="23" s="1"/>
  <c r="H55" i="23" s="1"/>
  <c r="I55" i="23" s="1"/>
  <c r="J55" i="23" s="1"/>
  <c r="K55" i="23" s="1"/>
  <c r="L55" i="23" s="1"/>
  <c r="M55" i="23" s="1"/>
  <c r="N55" i="23" s="1"/>
  <c r="O55" i="23" s="1"/>
  <c r="Q55" i="23" s="1"/>
  <c r="E58" i="23"/>
  <c r="F58" i="23" s="1"/>
  <c r="E59" i="23"/>
  <c r="E48" i="23"/>
  <c r="F48" i="23" s="1"/>
  <c r="G48" i="23" s="1"/>
  <c r="H48" i="23" s="1"/>
  <c r="I48" i="23" s="1"/>
  <c r="J48" i="23" s="1"/>
  <c r="K48" i="23" s="1"/>
  <c r="L48" i="23" s="1"/>
  <c r="M48" i="23" s="1"/>
  <c r="N48" i="23" s="1"/>
  <c r="O48" i="23" s="1"/>
  <c r="Q48" i="23" s="1"/>
  <c r="E50" i="23"/>
  <c r="F50" i="23" s="1"/>
  <c r="G50" i="23" s="1"/>
  <c r="H50" i="23" s="1"/>
  <c r="I50" i="23" s="1"/>
  <c r="K50" i="23" s="1"/>
  <c r="L50" i="23" s="1"/>
  <c r="M50" i="23" s="1"/>
  <c r="N50" i="23" s="1"/>
  <c r="O50" i="23" s="1"/>
  <c r="Q50" i="23" s="1"/>
  <c r="E51" i="23"/>
  <c r="F51" i="23" s="1"/>
  <c r="G51" i="23" s="1"/>
  <c r="H51" i="23" s="1"/>
  <c r="I51" i="23" s="1"/>
  <c r="J51" i="23" s="1"/>
  <c r="K51" i="23" s="1"/>
  <c r="L51" i="23" s="1"/>
  <c r="M51" i="23" s="1"/>
  <c r="N51" i="23" s="1"/>
  <c r="O51" i="23" s="1"/>
  <c r="E52" i="23"/>
  <c r="F52" i="23" s="1"/>
  <c r="G52" i="23" s="1"/>
  <c r="H52" i="23" s="1"/>
  <c r="E53" i="23"/>
  <c r="F53" i="23" s="1"/>
  <c r="G53" i="23" s="1"/>
  <c r="E47" i="23"/>
  <c r="F47" i="23" s="1"/>
  <c r="G47" i="23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C75" i="2"/>
  <c r="C71" i="2"/>
  <c r="C67" i="2"/>
  <c r="D50" i="2"/>
  <c r="D14" i="2" s="1"/>
  <c r="P48" i="2"/>
  <c r="P73" i="2" s="1"/>
  <c r="D44" i="2"/>
  <c r="D13" i="2" s="1"/>
  <c r="P42" i="2"/>
  <c r="P69" i="2" s="1"/>
  <c r="P34" i="2"/>
  <c r="D38" i="2"/>
  <c r="D36" i="2"/>
  <c r="D33" i="2"/>
  <c r="D29" i="2"/>
  <c r="D11" i="2" s="1"/>
  <c r="B25" i="23"/>
  <c r="B26" i="23"/>
  <c r="B27" i="23"/>
  <c r="B28" i="23"/>
  <c r="B29" i="23"/>
  <c r="B30" i="23"/>
  <c r="B31" i="23"/>
  <c r="B32" i="23"/>
  <c r="B33" i="23"/>
  <c r="B34" i="23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B14" i="2"/>
  <c r="B13" i="2"/>
  <c r="B12" i="2"/>
  <c r="B11" i="2"/>
  <c r="B59" i="2" s="1"/>
  <c r="B5" i="30" s="1"/>
  <c r="Q51" i="2"/>
  <c r="R51" i="2" s="1"/>
  <c r="S51" i="2" s="1"/>
  <c r="Q49" i="2"/>
  <c r="R49" i="2" s="1"/>
  <c r="S49" i="2" s="1"/>
  <c r="Q45" i="2"/>
  <c r="R45" i="2" s="1"/>
  <c r="S45" i="2" s="1"/>
  <c r="Q43" i="2"/>
  <c r="R43" i="2" s="1"/>
  <c r="S43" i="2" s="1"/>
  <c r="Q39" i="2"/>
  <c r="R39" i="2" s="1"/>
  <c r="S39" i="2" s="1"/>
  <c r="Q37" i="2"/>
  <c r="R37" i="2" s="1"/>
  <c r="S37" i="2" s="1"/>
  <c r="O64" i="23" l="1"/>
  <c r="Q64" i="23"/>
  <c r="Q25" i="23" s="1"/>
  <c r="R64" i="23"/>
  <c r="R25" i="23" s="1"/>
  <c r="I52" i="23"/>
  <c r="J52" i="23" s="1"/>
  <c r="K52" i="23" s="1"/>
  <c r="L52" i="23" s="1"/>
  <c r="M52" i="23" s="1"/>
  <c r="N52" i="23" s="1"/>
  <c r="O52" i="23" s="1"/>
  <c r="Q52" i="23" s="1"/>
  <c r="F59" i="23"/>
  <c r="G59" i="23" s="1"/>
  <c r="D12" i="2"/>
  <c r="D12" i="1" s="1"/>
  <c r="D60" i="2"/>
  <c r="E36" i="2"/>
  <c r="D65" i="2"/>
  <c r="E24" i="23"/>
  <c r="E28" i="23"/>
  <c r="F80" i="23"/>
  <c r="G80" i="23" s="1"/>
  <c r="H80" i="23" s="1"/>
  <c r="I80" i="23" s="1"/>
  <c r="J80" i="23" s="1"/>
  <c r="K80" i="23" s="1"/>
  <c r="L80" i="23" s="1"/>
  <c r="M80" i="23" s="1"/>
  <c r="F77" i="23"/>
  <c r="J76" i="23"/>
  <c r="K76" i="23" s="1"/>
  <c r="I26" i="23"/>
  <c r="E26" i="23"/>
  <c r="F82" i="23"/>
  <c r="F32" i="23" s="1"/>
  <c r="E44" i="2"/>
  <c r="E13" i="2" s="1"/>
  <c r="D70" i="2"/>
  <c r="E50" i="2"/>
  <c r="E14" i="2" s="1"/>
  <c r="D74" i="2"/>
  <c r="D13" i="1"/>
  <c r="D71" i="2"/>
  <c r="D14" i="1"/>
  <c r="D75" i="2"/>
  <c r="E38" i="2"/>
  <c r="D66" i="2"/>
  <c r="E29" i="2"/>
  <c r="E11" i="2" s="1"/>
  <c r="D61" i="2"/>
  <c r="B24" i="1"/>
  <c r="B11" i="1" s="1"/>
  <c r="B14" i="17"/>
  <c r="C11" i="1"/>
  <c r="C62" i="2"/>
  <c r="C76" i="2" s="1"/>
  <c r="B25" i="1"/>
  <c r="B12" i="1" s="1"/>
  <c r="B63" i="2"/>
  <c r="B10" i="30" s="1"/>
  <c r="B15" i="17"/>
  <c r="B27" i="17" s="1"/>
  <c r="B27" i="1"/>
  <c r="B14" i="1" s="1"/>
  <c r="B72" i="2"/>
  <c r="B18" i="30" s="1"/>
  <c r="B17" i="17"/>
  <c r="B26" i="1"/>
  <c r="B13" i="1" s="1"/>
  <c r="B68" i="2"/>
  <c r="B15" i="30" s="1"/>
  <c r="B16" i="17"/>
  <c r="E33" i="2"/>
  <c r="D35" i="2"/>
  <c r="D64" i="2" s="1"/>
  <c r="F28" i="23"/>
  <c r="G78" i="23"/>
  <c r="F25" i="23"/>
  <c r="G24" i="23"/>
  <c r="F83" i="23"/>
  <c r="F81" i="23"/>
  <c r="E25" i="23"/>
  <c r="F79" i="23"/>
  <c r="H26" i="23"/>
  <c r="F24" i="23"/>
  <c r="G26" i="23"/>
  <c r="F26" i="23"/>
  <c r="H47" i="23"/>
  <c r="I47" i="23" s="1"/>
  <c r="J47" i="23" s="1"/>
  <c r="K47" i="23" s="1"/>
  <c r="L47" i="23" s="1"/>
  <c r="M47" i="23" s="1"/>
  <c r="N47" i="23" s="1"/>
  <c r="O47" i="23" s="1"/>
  <c r="Q47" i="23" s="1"/>
  <c r="H53" i="23"/>
  <c r="G58" i="23"/>
  <c r="H58" i="23" s="1"/>
  <c r="I58" i="23" s="1"/>
  <c r="J58" i="23" s="1"/>
  <c r="K58" i="23" s="1"/>
  <c r="L58" i="23" s="1"/>
  <c r="M58" i="23" s="1"/>
  <c r="N58" i="23" s="1"/>
  <c r="O58" i="23" s="1"/>
  <c r="Q27" i="1"/>
  <c r="R27" i="1" s="1"/>
  <c r="S27" i="1" s="1"/>
  <c r="C13" i="1"/>
  <c r="C12" i="1"/>
  <c r="Q48" i="2"/>
  <c r="Q73" i="2" s="1"/>
  <c r="E19" i="30" s="1"/>
  <c r="R24" i="1"/>
  <c r="C14" i="1"/>
  <c r="Q42" i="2"/>
  <c r="Q69" i="2" s="1"/>
  <c r="E16" i="30" s="1"/>
  <c r="Q34" i="2"/>
  <c r="R34" i="2" s="1"/>
  <c r="S34" i="2" s="1"/>
  <c r="Q30" i="2"/>
  <c r="R30" i="2" s="1"/>
  <c r="S30" i="2" s="1"/>
  <c r="Q28" i="2"/>
  <c r="I53" i="23" l="1"/>
  <c r="J53" i="23" s="1"/>
  <c r="K53" i="23" s="1"/>
  <c r="L53" i="23" s="1"/>
  <c r="M53" i="23" s="1"/>
  <c r="N53" i="23" s="1"/>
  <c r="O53" i="23" s="1"/>
  <c r="Q53" i="23" s="1"/>
  <c r="H59" i="23"/>
  <c r="E12" i="2"/>
  <c r="E67" i="2" s="1"/>
  <c r="R28" i="2"/>
  <c r="S28" i="2" s="1"/>
  <c r="Q27" i="2"/>
  <c r="E60" i="2"/>
  <c r="D67" i="2"/>
  <c r="F36" i="2"/>
  <c r="E65" i="2"/>
  <c r="G82" i="23"/>
  <c r="G32" i="23" s="1"/>
  <c r="J26" i="23"/>
  <c r="O30" i="23"/>
  <c r="G30" i="23"/>
  <c r="K30" i="23"/>
  <c r="F30" i="23"/>
  <c r="N30" i="23"/>
  <c r="H30" i="23"/>
  <c r="L30" i="23"/>
  <c r="F27" i="23"/>
  <c r="G77" i="23"/>
  <c r="I30" i="23"/>
  <c r="J30" i="23"/>
  <c r="M30" i="23"/>
  <c r="L76" i="23"/>
  <c r="K26" i="23"/>
  <c r="R48" i="2"/>
  <c r="R73" i="2" s="1"/>
  <c r="F38" i="2"/>
  <c r="E66" i="2"/>
  <c r="F50" i="2"/>
  <c r="F14" i="2" s="1"/>
  <c r="E74" i="2"/>
  <c r="F44" i="2"/>
  <c r="F13" i="2" s="1"/>
  <c r="E70" i="2"/>
  <c r="F29" i="2"/>
  <c r="F11" i="2" s="1"/>
  <c r="E61" i="2"/>
  <c r="B28" i="17"/>
  <c r="B22" i="17"/>
  <c r="D18" i="2"/>
  <c r="E38" i="23" s="1"/>
  <c r="D62" i="2"/>
  <c r="B29" i="17"/>
  <c r="B23" i="17"/>
  <c r="D11" i="1"/>
  <c r="F33" i="2"/>
  <c r="E35" i="2"/>
  <c r="E64" i="2" s="1"/>
  <c r="C16" i="1"/>
  <c r="F31" i="23"/>
  <c r="G81" i="23"/>
  <c r="H24" i="23"/>
  <c r="G79" i="23"/>
  <c r="F29" i="23"/>
  <c r="G25" i="23"/>
  <c r="G83" i="23"/>
  <c r="F33" i="23"/>
  <c r="G28" i="23"/>
  <c r="H78" i="23"/>
  <c r="S24" i="1"/>
  <c r="R42" i="2"/>
  <c r="R69" i="2" s="1"/>
  <c r="I53" i="20"/>
  <c r="H61" i="20"/>
  <c r="E77" i="7"/>
  <c r="F77" i="7"/>
  <c r="G77" i="7"/>
  <c r="D77" i="7"/>
  <c r="J9" i="20"/>
  <c r="I59" i="23" l="1"/>
  <c r="F12" i="2"/>
  <c r="F67" i="2" s="1"/>
  <c r="F62" i="2"/>
  <c r="R27" i="2"/>
  <c r="F60" i="2"/>
  <c r="D76" i="2"/>
  <c r="G36" i="2"/>
  <c r="F65" i="2"/>
  <c r="H82" i="23"/>
  <c r="H32" i="23" s="1"/>
  <c r="P30" i="23"/>
  <c r="G27" i="23"/>
  <c r="H77" i="23"/>
  <c r="M76" i="23"/>
  <c r="L26" i="23"/>
  <c r="G50" i="2"/>
  <c r="G14" i="2" s="1"/>
  <c r="F74" i="2"/>
  <c r="E71" i="2"/>
  <c r="E13" i="1"/>
  <c r="G38" i="2"/>
  <c r="F66" i="2"/>
  <c r="G44" i="2"/>
  <c r="G13" i="2" s="1"/>
  <c r="F70" i="2"/>
  <c r="S48" i="2"/>
  <c r="S73" i="2" s="1"/>
  <c r="E14" i="1"/>
  <c r="E75" i="2"/>
  <c r="E11" i="1"/>
  <c r="E62" i="2"/>
  <c r="G29" i="2"/>
  <c r="G11" i="2" s="1"/>
  <c r="F61" i="2"/>
  <c r="D16" i="1"/>
  <c r="G33" i="2"/>
  <c r="F35" i="2"/>
  <c r="F64" i="2" s="1"/>
  <c r="E12" i="1"/>
  <c r="E18" i="2"/>
  <c r="F38" i="23" s="1"/>
  <c r="I24" i="23"/>
  <c r="H81" i="23"/>
  <c r="G31" i="23"/>
  <c r="H79" i="23"/>
  <c r="G29" i="23"/>
  <c r="H83" i="23"/>
  <c r="G33" i="23"/>
  <c r="I78" i="23"/>
  <c r="H28" i="23"/>
  <c r="H25" i="23"/>
  <c r="S42" i="2"/>
  <c r="S69" i="2" s="1"/>
  <c r="B16" i="23"/>
  <c r="B17" i="23"/>
  <c r="S53" i="23"/>
  <c r="T53" i="23" s="1"/>
  <c r="R52" i="23"/>
  <c r="S52" i="23" s="1"/>
  <c r="T52" i="23" s="1"/>
  <c r="I82" i="23" l="1"/>
  <c r="J82" i="23" s="1"/>
  <c r="J59" i="23"/>
  <c r="G12" i="2"/>
  <c r="G67" i="2" s="1"/>
  <c r="S27" i="2"/>
  <c r="G60" i="2"/>
  <c r="H36" i="2"/>
  <c r="G65" i="2"/>
  <c r="I77" i="23"/>
  <c r="H27" i="23"/>
  <c r="N76" i="23"/>
  <c r="M26" i="23"/>
  <c r="F13" i="1"/>
  <c r="F71" i="2"/>
  <c r="E76" i="2"/>
  <c r="H44" i="2"/>
  <c r="H13" i="2" s="1"/>
  <c r="G70" i="2"/>
  <c r="H50" i="2"/>
  <c r="H14" i="2" s="1"/>
  <c r="G74" i="2"/>
  <c r="F14" i="1"/>
  <c r="F75" i="2"/>
  <c r="H38" i="2"/>
  <c r="G66" i="2"/>
  <c r="H29" i="2"/>
  <c r="H11" i="2" s="1"/>
  <c r="G61" i="2"/>
  <c r="F11" i="1"/>
  <c r="F12" i="1"/>
  <c r="F18" i="2"/>
  <c r="G38" i="23" s="1"/>
  <c r="H33" i="2"/>
  <c r="G35" i="2"/>
  <c r="G64" i="2" s="1"/>
  <c r="E16" i="1"/>
  <c r="I25" i="23"/>
  <c r="I81" i="23"/>
  <c r="H31" i="23"/>
  <c r="I83" i="23"/>
  <c r="H33" i="23"/>
  <c r="J78" i="23"/>
  <c r="I28" i="23"/>
  <c r="K63" i="23"/>
  <c r="J24" i="23"/>
  <c r="I32" i="23"/>
  <c r="I79" i="23"/>
  <c r="H29" i="23"/>
  <c r="I87" i="28"/>
  <c r="H87" i="28" s="1"/>
  <c r="K87" i="28"/>
  <c r="K88" i="28" s="1"/>
  <c r="C41" i="28"/>
  <c r="C42" i="28" s="1"/>
  <c r="C43" i="28" s="1"/>
  <c r="C44" i="28" s="1"/>
  <c r="C45" i="28" s="1"/>
  <c r="C39" i="28"/>
  <c r="C38" i="28" s="1"/>
  <c r="C37" i="28" s="1"/>
  <c r="C36" i="28" s="1"/>
  <c r="C35" i="28" s="1"/>
  <c r="C95" i="28"/>
  <c r="C96" i="28" s="1"/>
  <c r="C97" i="28" s="1"/>
  <c r="C98" i="28" s="1"/>
  <c r="C99" i="28" s="1"/>
  <c r="C93" i="28"/>
  <c r="C92" i="28" s="1"/>
  <c r="C91" i="28" s="1"/>
  <c r="C90" i="28" s="1"/>
  <c r="C89" i="28" s="1"/>
  <c r="I16" i="20"/>
  <c r="C77" i="28"/>
  <c r="C78" i="28" s="1"/>
  <c r="C79" i="28" s="1"/>
  <c r="C80" i="28" s="1"/>
  <c r="C81" i="28" s="1"/>
  <c r="D81" i="28" s="1"/>
  <c r="C75" i="28"/>
  <c r="D75" i="28" s="1"/>
  <c r="P72" i="28"/>
  <c r="P73" i="28"/>
  <c r="P74" i="28"/>
  <c r="P75" i="28"/>
  <c r="P76" i="28"/>
  <c r="P77" i="28"/>
  <c r="P78" i="28"/>
  <c r="P79" i="28"/>
  <c r="P80" i="28"/>
  <c r="P81" i="28"/>
  <c r="P71" i="28"/>
  <c r="K69" i="28"/>
  <c r="L69" i="28" s="1"/>
  <c r="M69" i="28" s="1"/>
  <c r="N69" i="28" s="1"/>
  <c r="F69" i="28"/>
  <c r="G69" i="28" s="1"/>
  <c r="H69" i="28" s="1"/>
  <c r="I69" i="28" s="1"/>
  <c r="P54" i="28"/>
  <c r="P55" i="28"/>
  <c r="P56" i="28"/>
  <c r="P57" i="28"/>
  <c r="P58" i="28"/>
  <c r="P59" i="28"/>
  <c r="P60" i="28"/>
  <c r="P61" i="28"/>
  <c r="P62" i="28"/>
  <c r="P63" i="28"/>
  <c r="P53" i="28"/>
  <c r="I14" i="20"/>
  <c r="C59" i="28"/>
  <c r="C60" i="28" s="1"/>
  <c r="C61" i="28" s="1"/>
  <c r="C62" i="28" s="1"/>
  <c r="C63" i="28" s="1"/>
  <c r="C57" i="28"/>
  <c r="D57" i="28" s="1"/>
  <c r="K51" i="28"/>
  <c r="L51" i="28" s="1"/>
  <c r="M51" i="28" s="1"/>
  <c r="N51" i="28" s="1"/>
  <c r="F51" i="28"/>
  <c r="G51" i="28" s="1"/>
  <c r="H51" i="28" s="1"/>
  <c r="I51" i="28" s="1"/>
  <c r="K59" i="23" l="1"/>
  <c r="H12" i="2"/>
  <c r="H67" i="2" s="1"/>
  <c r="H62" i="2"/>
  <c r="H60" i="2"/>
  <c r="I36" i="2"/>
  <c r="H65" i="2"/>
  <c r="J77" i="23"/>
  <c r="I27" i="23"/>
  <c r="O76" i="23"/>
  <c r="N26" i="23"/>
  <c r="F76" i="2"/>
  <c r="G14" i="1"/>
  <c r="G75" i="2"/>
  <c r="I38" i="2"/>
  <c r="I12" i="2" s="1"/>
  <c r="H66" i="2"/>
  <c r="I50" i="2"/>
  <c r="I14" i="2" s="1"/>
  <c r="H74" i="2"/>
  <c r="G13" i="1"/>
  <c r="G71" i="2"/>
  <c r="I44" i="2"/>
  <c r="I13" i="2" s="1"/>
  <c r="H70" i="2"/>
  <c r="G11" i="1"/>
  <c r="G62" i="2"/>
  <c r="I29" i="2"/>
  <c r="I11" i="2" s="1"/>
  <c r="H61" i="2"/>
  <c r="F16" i="1"/>
  <c r="I33" i="2"/>
  <c r="H35" i="2"/>
  <c r="H64" i="2" s="1"/>
  <c r="G12" i="1"/>
  <c r="G18" i="2"/>
  <c r="H38" i="23" s="1"/>
  <c r="K82" i="23"/>
  <c r="J32" i="23"/>
  <c r="J25" i="23"/>
  <c r="J83" i="23"/>
  <c r="I33" i="23"/>
  <c r="K78" i="23"/>
  <c r="J28" i="23"/>
  <c r="L63" i="23"/>
  <c r="K24" i="23"/>
  <c r="J81" i="23"/>
  <c r="I31" i="23"/>
  <c r="J79" i="23"/>
  <c r="I29" i="23"/>
  <c r="I88" i="28"/>
  <c r="G87" i="28"/>
  <c r="H88" i="28"/>
  <c r="C74" i="28"/>
  <c r="D77" i="28"/>
  <c r="L87" i="28"/>
  <c r="D80" i="28"/>
  <c r="D79" i="28"/>
  <c r="D78" i="28"/>
  <c r="C56" i="28"/>
  <c r="C55" i="28" s="1"/>
  <c r="C54" i="28" s="1"/>
  <c r="C53" i="28" s="1"/>
  <c r="D92" i="28"/>
  <c r="D93" i="28"/>
  <c r="D60" i="28"/>
  <c r="D59" i="28"/>
  <c r="D61" i="28"/>
  <c r="I33" i="28"/>
  <c r="I34" i="28" s="1"/>
  <c r="K33" i="28"/>
  <c r="K34" i="28" s="1"/>
  <c r="L59" i="23" l="1"/>
  <c r="I60" i="2"/>
  <c r="J36" i="2"/>
  <c r="I65" i="2"/>
  <c r="K77" i="23"/>
  <c r="J27" i="23"/>
  <c r="Q76" i="23"/>
  <c r="Q26" i="23" s="1"/>
  <c r="O26" i="23"/>
  <c r="P26" i="23" s="1"/>
  <c r="G16" i="1"/>
  <c r="J50" i="2"/>
  <c r="J14" i="2" s="1"/>
  <c r="I74" i="2"/>
  <c r="J44" i="2"/>
  <c r="J13" i="2" s="1"/>
  <c r="I70" i="2"/>
  <c r="H13" i="1"/>
  <c r="H71" i="2"/>
  <c r="G76" i="2"/>
  <c r="J38" i="2"/>
  <c r="I66" i="2"/>
  <c r="H14" i="1"/>
  <c r="H75" i="2"/>
  <c r="J29" i="2"/>
  <c r="J11" i="2" s="1"/>
  <c r="I61" i="2"/>
  <c r="H11" i="1"/>
  <c r="J33" i="2"/>
  <c r="I35" i="2"/>
  <c r="I64" i="2" s="1"/>
  <c r="I67" i="2"/>
  <c r="H12" i="1"/>
  <c r="H18" i="2"/>
  <c r="I38" i="23" s="1"/>
  <c r="K83" i="23"/>
  <c r="J33" i="23"/>
  <c r="M63" i="23"/>
  <c r="L24" i="23"/>
  <c r="K81" i="23"/>
  <c r="J31" i="23"/>
  <c r="L78" i="23"/>
  <c r="K28" i="23"/>
  <c r="K79" i="23"/>
  <c r="J29" i="23"/>
  <c r="K25" i="23"/>
  <c r="L82" i="23"/>
  <c r="K32" i="23"/>
  <c r="H33" i="28"/>
  <c r="G33" i="28" s="1"/>
  <c r="F33" i="28" s="1"/>
  <c r="E33" i="28" s="1"/>
  <c r="L33" i="28"/>
  <c r="M33" i="28" s="1"/>
  <c r="N33" i="28" s="1"/>
  <c r="O33" i="28" s="1"/>
  <c r="O34" i="28" s="1"/>
  <c r="D56" i="28"/>
  <c r="M87" i="28"/>
  <c r="L88" i="28"/>
  <c r="M34" i="28"/>
  <c r="L34" i="28"/>
  <c r="C73" i="28"/>
  <c r="D74" i="28"/>
  <c r="N34" i="28"/>
  <c r="F87" i="28"/>
  <c r="G88" i="28"/>
  <c r="D91" i="28"/>
  <c r="D55" i="28"/>
  <c r="D62" i="28"/>
  <c r="J20" i="20"/>
  <c r="J21" i="20"/>
  <c r="P17" i="28"/>
  <c r="C23" i="28"/>
  <c r="C24" i="28" s="1"/>
  <c r="C25" i="28" s="1"/>
  <c r="C26" i="28" s="1"/>
  <c r="C27" i="28" s="1"/>
  <c r="C21" i="28"/>
  <c r="C20" i="28" s="1"/>
  <c r="C19" i="28" s="1"/>
  <c r="C18" i="28" s="1"/>
  <c r="C17" i="28" s="1"/>
  <c r="D21" i="10"/>
  <c r="L61" i="18"/>
  <c r="L62" i="18" s="1"/>
  <c r="D119" i="18" s="1"/>
  <c r="L48" i="18"/>
  <c r="L49" i="18" s="1"/>
  <c r="M59" i="23" l="1"/>
  <c r="J12" i="2"/>
  <c r="J67" i="2" s="1"/>
  <c r="J62" i="2"/>
  <c r="J60" i="2"/>
  <c r="H76" i="2"/>
  <c r="K36" i="2"/>
  <c r="J65" i="2"/>
  <c r="K27" i="23"/>
  <c r="L77" i="23"/>
  <c r="K50" i="2"/>
  <c r="K14" i="2" s="1"/>
  <c r="J74" i="2"/>
  <c r="K38" i="2"/>
  <c r="J66" i="2"/>
  <c r="K44" i="2"/>
  <c r="K13" i="2" s="1"/>
  <c r="J70" i="2"/>
  <c r="I13" i="1"/>
  <c r="I71" i="2"/>
  <c r="I14" i="1"/>
  <c r="I75" i="2"/>
  <c r="I11" i="1"/>
  <c r="I62" i="2"/>
  <c r="K29" i="2"/>
  <c r="K11" i="2" s="1"/>
  <c r="J61" i="2"/>
  <c r="K33" i="2"/>
  <c r="J35" i="2"/>
  <c r="J64" i="2" s="1"/>
  <c r="H16" i="1"/>
  <c r="I18" i="2"/>
  <c r="J38" i="23" s="1"/>
  <c r="I12" i="1"/>
  <c r="L81" i="23"/>
  <c r="K31" i="23"/>
  <c r="N63" i="23"/>
  <c r="M24" i="23"/>
  <c r="L25" i="23"/>
  <c r="L83" i="23"/>
  <c r="K33" i="23"/>
  <c r="L79" i="23"/>
  <c r="K29" i="23"/>
  <c r="M82" i="23"/>
  <c r="L32" i="23"/>
  <c r="M78" i="23"/>
  <c r="L28" i="23"/>
  <c r="Q25" i="1"/>
  <c r="H77" i="7"/>
  <c r="E87" i="28"/>
  <c r="E88" i="28" s="1"/>
  <c r="F88" i="28"/>
  <c r="C72" i="28"/>
  <c r="D73" i="28"/>
  <c r="N87" i="28"/>
  <c r="M88" i="28"/>
  <c r="D90" i="28"/>
  <c r="D89" i="28"/>
  <c r="D63" i="28"/>
  <c r="D54" i="28"/>
  <c r="E21" i="10"/>
  <c r="E22" i="10"/>
  <c r="E23" i="10"/>
  <c r="N59" i="23" l="1"/>
  <c r="K12" i="2"/>
  <c r="K67" i="2" s="1"/>
  <c r="K60" i="2"/>
  <c r="I76" i="2"/>
  <c r="L36" i="2"/>
  <c r="K65" i="2"/>
  <c r="M77" i="23"/>
  <c r="L27" i="23"/>
  <c r="J13" i="1"/>
  <c r="J71" i="2"/>
  <c r="L44" i="2"/>
  <c r="L13" i="2" s="1"/>
  <c r="K70" i="2"/>
  <c r="L38" i="2"/>
  <c r="K66" i="2"/>
  <c r="L50" i="2"/>
  <c r="L14" i="2" s="1"/>
  <c r="K74" i="2"/>
  <c r="I16" i="1"/>
  <c r="J14" i="1"/>
  <c r="J75" i="2"/>
  <c r="L29" i="2"/>
  <c r="L11" i="2" s="1"/>
  <c r="K61" i="2"/>
  <c r="J11" i="1"/>
  <c r="J18" i="2"/>
  <c r="K38" i="23" s="1"/>
  <c r="J12" i="1"/>
  <c r="L33" i="2"/>
  <c r="K35" i="2"/>
  <c r="K64" i="2" s="1"/>
  <c r="N82" i="23"/>
  <c r="M32" i="23"/>
  <c r="M81" i="23"/>
  <c r="L31" i="23"/>
  <c r="M83" i="23"/>
  <c r="L33" i="23"/>
  <c r="M25" i="23"/>
  <c r="O63" i="23"/>
  <c r="N24" i="23"/>
  <c r="M79" i="23"/>
  <c r="L29" i="23"/>
  <c r="N78" i="23"/>
  <c r="M28" i="23"/>
  <c r="R25" i="1"/>
  <c r="O87" i="28"/>
  <c r="O88" i="28" s="1"/>
  <c r="N88" i="28"/>
  <c r="C71" i="28"/>
  <c r="D71" i="28" s="1"/>
  <c r="D72" i="28"/>
  <c r="D53" i="28"/>
  <c r="O59" i="23" l="1"/>
  <c r="L12" i="2"/>
  <c r="L67" i="2" s="1"/>
  <c r="L60" i="2"/>
  <c r="J76" i="2"/>
  <c r="M36" i="2"/>
  <c r="L65" i="2"/>
  <c r="M27" i="23"/>
  <c r="N77" i="23"/>
  <c r="M38" i="2"/>
  <c r="L66" i="2"/>
  <c r="K13" i="1"/>
  <c r="K71" i="2"/>
  <c r="M44" i="2"/>
  <c r="M13" i="2" s="1"/>
  <c r="L70" i="2"/>
  <c r="K14" i="1"/>
  <c r="K75" i="2"/>
  <c r="M50" i="2"/>
  <c r="M14" i="2" s="1"/>
  <c r="L74" i="2"/>
  <c r="K11" i="1"/>
  <c r="K62" i="2"/>
  <c r="M29" i="2"/>
  <c r="M11" i="2" s="1"/>
  <c r="L61" i="2"/>
  <c r="J16" i="1"/>
  <c r="K18" i="2"/>
  <c r="L38" i="23" s="1"/>
  <c r="K12" i="1"/>
  <c r="M33" i="2"/>
  <c r="L35" i="2"/>
  <c r="L64" i="2" s="1"/>
  <c r="N79" i="23"/>
  <c r="M29" i="23"/>
  <c r="N83" i="23"/>
  <c r="M33" i="23"/>
  <c r="Q63" i="23"/>
  <c r="Q24" i="23" s="1"/>
  <c r="O24" i="23"/>
  <c r="N81" i="23"/>
  <c r="M31" i="23"/>
  <c r="O82" i="23"/>
  <c r="N32" i="23"/>
  <c r="O78" i="23"/>
  <c r="N28" i="23"/>
  <c r="N25" i="23"/>
  <c r="Q26" i="1"/>
  <c r="S25" i="1"/>
  <c r="C18" i="2"/>
  <c r="D38" i="23" s="1"/>
  <c r="H149" i="18"/>
  <c r="G149" i="18"/>
  <c r="F149" i="18"/>
  <c r="E149" i="18"/>
  <c r="D137" i="18"/>
  <c r="D140" i="18" s="1"/>
  <c r="D144" i="18" s="1"/>
  <c r="D147" i="18" s="1"/>
  <c r="H131" i="18"/>
  <c r="G131" i="18"/>
  <c r="F131" i="18"/>
  <c r="E131" i="18"/>
  <c r="D122" i="18"/>
  <c r="D126" i="18" s="1"/>
  <c r="D129" i="18" s="1"/>
  <c r="H113" i="18"/>
  <c r="G113" i="18"/>
  <c r="F113" i="18"/>
  <c r="E113" i="18"/>
  <c r="H95" i="18"/>
  <c r="G95" i="18"/>
  <c r="F95" i="18"/>
  <c r="E95" i="18"/>
  <c r="H77" i="18"/>
  <c r="G77" i="18"/>
  <c r="F77" i="18"/>
  <c r="E77" i="18"/>
  <c r="H59" i="18"/>
  <c r="G59" i="18"/>
  <c r="F59" i="18"/>
  <c r="E59" i="18"/>
  <c r="H23" i="18"/>
  <c r="G23" i="18"/>
  <c r="F23" i="18"/>
  <c r="E23" i="18"/>
  <c r="D14" i="18"/>
  <c r="D18" i="18" s="1"/>
  <c r="D21" i="18" s="1"/>
  <c r="D47" i="18"/>
  <c r="B24" i="23"/>
  <c r="Q30" i="23"/>
  <c r="M12" i="2" l="1"/>
  <c r="M67" i="2" s="1"/>
  <c r="M60" i="2"/>
  <c r="K76" i="2"/>
  <c r="N36" i="2"/>
  <c r="M65" i="2"/>
  <c r="O77" i="23"/>
  <c r="N27" i="23"/>
  <c r="N50" i="2"/>
  <c r="N14" i="2" s="1"/>
  <c r="M74" i="2"/>
  <c r="L13" i="1"/>
  <c r="L71" i="2"/>
  <c r="N44" i="2"/>
  <c r="N13" i="2" s="1"/>
  <c r="M70" i="2"/>
  <c r="K16" i="1"/>
  <c r="L14" i="1"/>
  <c r="L75" i="2"/>
  <c r="N38" i="2"/>
  <c r="M66" i="2"/>
  <c r="N29" i="2"/>
  <c r="N11" i="2" s="1"/>
  <c r="M61" i="2"/>
  <c r="L11" i="1"/>
  <c r="L62" i="2"/>
  <c r="N33" i="2"/>
  <c r="M35" i="2"/>
  <c r="M64" i="2" s="1"/>
  <c r="L12" i="1"/>
  <c r="L18" i="2"/>
  <c r="M38" i="23" s="1"/>
  <c r="O25" i="23"/>
  <c r="Q82" i="23"/>
  <c r="Q32" i="23" s="1"/>
  <c r="O32" i="23"/>
  <c r="P32" i="23" s="1"/>
  <c r="O83" i="23"/>
  <c r="N33" i="23"/>
  <c r="O81" i="23"/>
  <c r="N31" i="23"/>
  <c r="Q78" i="23"/>
  <c r="Q28" i="23" s="1"/>
  <c r="O28" i="23"/>
  <c r="P28" i="23" s="1"/>
  <c r="P24" i="23"/>
  <c r="O79" i="23"/>
  <c r="N29" i="23"/>
  <c r="R26" i="1"/>
  <c r="H60" i="20"/>
  <c r="L54" i="18"/>
  <c r="L55" i="18" s="1"/>
  <c r="D104" i="18"/>
  <c r="E64" i="20"/>
  <c r="D50" i="18"/>
  <c r="E61" i="20"/>
  <c r="D86" i="18"/>
  <c r="E63" i="20"/>
  <c r="E125" i="18"/>
  <c r="E118" i="18"/>
  <c r="E122" i="18" s="1"/>
  <c r="F118" i="18" s="1"/>
  <c r="E143" i="18"/>
  <c r="E136" i="18"/>
  <c r="E10" i="18"/>
  <c r="E17" i="18"/>
  <c r="P25" i="23" l="1"/>
  <c r="N12" i="2"/>
  <c r="N62" i="2"/>
  <c r="N60" i="2"/>
  <c r="O60" i="2" s="1"/>
  <c r="P36" i="2"/>
  <c r="N65" i="2"/>
  <c r="O65" i="2" s="1"/>
  <c r="Q77" i="23"/>
  <c r="Q27" i="23" s="1"/>
  <c r="O27" i="23"/>
  <c r="P27" i="23" s="1"/>
  <c r="P44" i="2"/>
  <c r="P13" i="2" s="1"/>
  <c r="N70" i="2"/>
  <c r="O70" i="2" s="1"/>
  <c r="D17" i="30" s="1"/>
  <c r="M14" i="1"/>
  <c r="M75" i="2"/>
  <c r="N66" i="2"/>
  <c r="O66" i="2" s="1"/>
  <c r="D14" i="30" s="1"/>
  <c r="P38" i="2"/>
  <c r="L76" i="2"/>
  <c r="N74" i="2"/>
  <c r="O74" i="2" s="1"/>
  <c r="D20" i="30" s="1"/>
  <c r="P50" i="2"/>
  <c r="P14" i="2" s="1"/>
  <c r="L16" i="1"/>
  <c r="M13" i="1"/>
  <c r="M71" i="2"/>
  <c r="M11" i="1"/>
  <c r="M62" i="2"/>
  <c r="P29" i="2"/>
  <c r="P11" i="2" s="1"/>
  <c r="N61" i="2"/>
  <c r="O61" i="2" s="1"/>
  <c r="D9" i="30" s="1"/>
  <c r="D7" i="30"/>
  <c r="D8" i="30" s="1"/>
  <c r="M12" i="1"/>
  <c r="M18" i="2"/>
  <c r="N38" i="23" s="1"/>
  <c r="P33" i="2"/>
  <c r="N35" i="2"/>
  <c r="N64" i="2" s="1"/>
  <c r="O64" i="2" s="1"/>
  <c r="D12" i="30" s="1"/>
  <c r="D13" i="30" s="1"/>
  <c r="Q79" i="23"/>
  <c r="Q29" i="23" s="1"/>
  <c r="O29" i="23"/>
  <c r="Q31" i="23"/>
  <c r="O31" i="23"/>
  <c r="P31" i="23" s="1"/>
  <c r="Q83" i="23"/>
  <c r="Q33" i="23" s="1"/>
  <c r="O33" i="23"/>
  <c r="P33" i="23" s="1"/>
  <c r="L65" i="18"/>
  <c r="D65" i="18"/>
  <c r="S26" i="1"/>
  <c r="D90" i="18"/>
  <c r="D93" i="18" s="1"/>
  <c r="D97" i="18" s="1"/>
  <c r="E46" i="18"/>
  <c r="E50" i="18" s="1"/>
  <c r="D54" i="18"/>
  <c r="D57" i="18" s="1"/>
  <c r="E53" i="18" s="1"/>
  <c r="D108" i="18"/>
  <c r="D111" i="18" s="1"/>
  <c r="E107" i="18" s="1"/>
  <c r="E100" i="18"/>
  <c r="E104" i="18" s="1"/>
  <c r="E82" i="18"/>
  <c r="E86" i="18" s="1"/>
  <c r="D133" i="18"/>
  <c r="E126" i="18" s="1"/>
  <c r="E129" i="18" s="1"/>
  <c r="F125" i="18" s="1"/>
  <c r="E140" i="18"/>
  <c r="D151" i="18"/>
  <c r="F122" i="18"/>
  <c r="D25" i="18"/>
  <c r="E14" i="18"/>
  <c r="P12" i="2" l="1"/>
  <c r="P60" i="2"/>
  <c r="M76" i="2"/>
  <c r="Q36" i="2"/>
  <c r="P65" i="2"/>
  <c r="E144" i="18"/>
  <c r="E147" i="18" s="1"/>
  <c r="F143" i="18" s="1"/>
  <c r="P66" i="2"/>
  <c r="Q38" i="2"/>
  <c r="M16" i="1"/>
  <c r="P74" i="2"/>
  <c r="Q50" i="2"/>
  <c r="Q14" i="2" s="1"/>
  <c r="N13" i="1"/>
  <c r="O13" i="1" s="1"/>
  <c r="N71" i="2"/>
  <c r="O13" i="2"/>
  <c r="O71" i="2" s="1"/>
  <c r="O12" i="2"/>
  <c r="O67" i="2" s="1"/>
  <c r="N67" i="2"/>
  <c r="N14" i="1"/>
  <c r="O14" i="1" s="1"/>
  <c r="N75" i="2"/>
  <c r="O14" i="2"/>
  <c r="O75" i="2" s="1"/>
  <c r="P70" i="2"/>
  <c r="Q44" i="2"/>
  <c r="Q13" i="2" s="1"/>
  <c r="P61" i="2"/>
  <c r="Q29" i="2"/>
  <c r="Q11" i="2" s="1"/>
  <c r="V28" i="2"/>
  <c r="N11" i="1"/>
  <c r="O11" i="1" s="1"/>
  <c r="O11" i="2"/>
  <c r="Q33" i="2"/>
  <c r="P35" i="2"/>
  <c r="P64" i="2" s="1"/>
  <c r="N12" i="1"/>
  <c r="N18" i="2"/>
  <c r="O38" i="23" s="1"/>
  <c r="P29" i="23"/>
  <c r="D115" i="18"/>
  <c r="E108" i="18" s="1"/>
  <c r="E111" i="18" s="1"/>
  <c r="F107" i="18" s="1"/>
  <c r="E18" i="18"/>
  <c r="E21" i="18" s="1"/>
  <c r="E90" i="18"/>
  <c r="E89" i="18"/>
  <c r="D68" i="18"/>
  <c r="D72" i="18" s="1"/>
  <c r="D75" i="18" s="1"/>
  <c r="E62" i="20"/>
  <c r="D61" i="18"/>
  <c r="E133" i="18"/>
  <c r="F136" i="18"/>
  <c r="G118" i="18"/>
  <c r="F100" i="18"/>
  <c r="F82" i="18"/>
  <c r="F46" i="18"/>
  <c r="F10" i="18"/>
  <c r="Q12" i="2" l="1"/>
  <c r="Q60" i="2"/>
  <c r="R36" i="2"/>
  <c r="Q65" i="2"/>
  <c r="N76" i="2"/>
  <c r="P14" i="1"/>
  <c r="P75" i="2"/>
  <c r="R50" i="2"/>
  <c r="R14" i="2" s="1"/>
  <c r="Q74" i="2"/>
  <c r="E20" i="30" s="1"/>
  <c r="P71" i="2"/>
  <c r="P13" i="1"/>
  <c r="P12" i="1"/>
  <c r="P67" i="2"/>
  <c r="R44" i="2"/>
  <c r="R13" i="2" s="1"/>
  <c r="Q70" i="2"/>
  <c r="E17" i="30" s="1"/>
  <c r="R38" i="2"/>
  <c r="Q66" i="2"/>
  <c r="E14" i="30" s="1"/>
  <c r="O18" i="2"/>
  <c r="D17" i="17" s="1"/>
  <c r="O62" i="2"/>
  <c r="O76" i="2" s="1"/>
  <c r="P11" i="1"/>
  <c r="P62" i="2"/>
  <c r="R29" i="2"/>
  <c r="R11" i="2" s="1"/>
  <c r="Q61" i="2"/>
  <c r="E9" i="30" s="1"/>
  <c r="E7" i="30"/>
  <c r="E8" i="30" s="1"/>
  <c r="N16" i="1"/>
  <c r="O12" i="1"/>
  <c r="O16" i="1" s="1"/>
  <c r="C10" i="6" s="1"/>
  <c r="R33" i="2"/>
  <c r="Q35" i="2"/>
  <c r="Q64" i="2" s="1"/>
  <c r="E12" i="30" s="1"/>
  <c r="E13" i="30" s="1"/>
  <c r="E93" i="18"/>
  <c r="F89" i="18" s="1"/>
  <c r="F126" i="18"/>
  <c r="F129" i="18" s="1"/>
  <c r="F133" i="18" s="1"/>
  <c r="E54" i="18"/>
  <c r="E57" i="18" s="1"/>
  <c r="F53" i="18" s="1"/>
  <c r="E64" i="18"/>
  <c r="E68" i="18" s="1"/>
  <c r="F64" i="18" s="1"/>
  <c r="F68" i="18" s="1"/>
  <c r="E151" i="18"/>
  <c r="F17" i="18"/>
  <c r="E25" i="18"/>
  <c r="F140" i="18"/>
  <c r="G122" i="18"/>
  <c r="F104" i="18"/>
  <c r="E115" i="18"/>
  <c r="F86" i="18"/>
  <c r="F50" i="18"/>
  <c r="F14" i="18"/>
  <c r="R12" i="2" l="1"/>
  <c r="S60" i="2"/>
  <c r="R60" i="2"/>
  <c r="S36" i="2"/>
  <c r="S65" i="2" s="1"/>
  <c r="R65" i="2"/>
  <c r="D16" i="17"/>
  <c r="D14" i="17"/>
  <c r="P16" i="1"/>
  <c r="Q71" i="2"/>
  <c r="Q13" i="1"/>
  <c r="R74" i="2"/>
  <c r="S50" i="2"/>
  <c r="S14" i="2" s="1"/>
  <c r="D15" i="17"/>
  <c r="S38" i="2"/>
  <c r="R66" i="2"/>
  <c r="Q12" i="1"/>
  <c r="Q67" i="2"/>
  <c r="P76" i="2"/>
  <c r="S44" i="2"/>
  <c r="S13" i="2" s="1"/>
  <c r="R70" i="2"/>
  <c r="C9" i="6"/>
  <c r="E26" i="20" s="1"/>
  <c r="Q14" i="1"/>
  <c r="Q75" i="2"/>
  <c r="Q11" i="1"/>
  <c r="Q62" i="2"/>
  <c r="S29" i="2"/>
  <c r="S11" i="2" s="1"/>
  <c r="R61" i="2"/>
  <c r="S33" i="2"/>
  <c r="R35" i="2"/>
  <c r="R64" i="2" s="1"/>
  <c r="E97" i="18"/>
  <c r="F90" i="18" s="1"/>
  <c r="F93" i="18" s="1"/>
  <c r="G89" i="18" s="1"/>
  <c r="F144" i="18"/>
  <c r="F147" i="18" s="1"/>
  <c r="G143" i="18" s="1"/>
  <c r="F108" i="18"/>
  <c r="F111" i="18" s="1"/>
  <c r="G107" i="18" s="1"/>
  <c r="G126" i="18"/>
  <c r="G125" i="18"/>
  <c r="F18" i="18"/>
  <c r="F21" i="18" s="1"/>
  <c r="G17" i="18" s="1"/>
  <c r="E61" i="18"/>
  <c r="F54" i="18" s="1"/>
  <c r="F57" i="18" s="1"/>
  <c r="G53" i="18" s="1"/>
  <c r="E71" i="18"/>
  <c r="D79" i="18"/>
  <c r="E72" i="18" s="1"/>
  <c r="G136" i="18"/>
  <c r="H118" i="18"/>
  <c r="G100" i="18"/>
  <c r="G82" i="18"/>
  <c r="G64" i="18"/>
  <c r="G46" i="18"/>
  <c r="G10" i="18"/>
  <c r="S66" i="2" l="1"/>
  <c r="S12" i="2"/>
  <c r="S61" i="2"/>
  <c r="Q76" i="2"/>
  <c r="Q16" i="1"/>
  <c r="C11" i="6"/>
  <c r="C12" i="6" s="1"/>
  <c r="K9" i="17" s="1"/>
  <c r="S70" i="2"/>
  <c r="S74" i="2"/>
  <c r="D33" i="17"/>
  <c r="R71" i="2"/>
  <c r="R13" i="1"/>
  <c r="D52" i="29"/>
  <c r="R12" i="1"/>
  <c r="R67" i="2"/>
  <c r="K8" i="17"/>
  <c r="R14" i="1"/>
  <c r="R75" i="2"/>
  <c r="R11" i="1"/>
  <c r="R62" i="2"/>
  <c r="S35" i="2"/>
  <c r="S64" i="2" s="1"/>
  <c r="G129" i="18"/>
  <c r="H125" i="18" s="1"/>
  <c r="E75" i="18"/>
  <c r="E79" i="18" s="1"/>
  <c r="F25" i="18"/>
  <c r="F115" i="18"/>
  <c r="F97" i="18"/>
  <c r="G140" i="18"/>
  <c r="F151" i="18"/>
  <c r="H122" i="18"/>
  <c r="G104" i="18"/>
  <c r="G86" i="18"/>
  <c r="G68" i="18"/>
  <c r="F61" i="18"/>
  <c r="G50" i="18"/>
  <c r="G14" i="18"/>
  <c r="R76" i="2" l="1"/>
  <c r="D51" i="29"/>
  <c r="E28" i="20"/>
  <c r="R16" i="1"/>
  <c r="S71" i="2"/>
  <c r="S13" i="1"/>
  <c r="S14" i="1"/>
  <c r="S75" i="2"/>
  <c r="S12" i="1"/>
  <c r="S67" i="2"/>
  <c r="S11" i="1"/>
  <c r="S62" i="2"/>
  <c r="G133" i="18"/>
  <c r="H126" i="18" s="1"/>
  <c r="H129" i="18" s="1"/>
  <c r="H133" i="18" s="1"/>
  <c r="G144" i="18"/>
  <c r="G147" i="18" s="1"/>
  <c r="H143" i="18" s="1"/>
  <c r="G90" i="18"/>
  <c r="G93" i="18" s="1"/>
  <c r="H89" i="18" s="1"/>
  <c r="G18" i="18"/>
  <c r="G21" i="18" s="1"/>
  <c r="G108" i="18"/>
  <c r="G111" i="18" s="1"/>
  <c r="H107" i="18" s="1"/>
  <c r="F71" i="18"/>
  <c r="G54" i="18"/>
  <c r="G57" i="18" s="1"/>
  <c r="H53" i="18" s="1"/>
  <c r="F72" i="18"/>
  <c r="H136" i="18"/>
  <c r="H100" i="18"/>
  <c r="H82" i="18"/>
  <c r="H64" i="18"/>
  <c r="H46" i="18"/>
  <c r="H10" i="18"/>
  <c r="S76" i="2" l="1"/>
  <c r="S16" i="1"/>
  <c r="G151" i="18"/>
  <c r="F75" i="18"/>
  <c r="F79" i="18" s="1"/>
  <c r="G72" i="18" s="1"/>
  <c r="H17" i="18"/>
  <c r="G25" i="18"/>
  <c r="G115" i="18"/>
  <c r="G61" i="18"/>
  <c r="H140" i="18"/>
  <c r="H104" i="18"/>
  <c r="G97" i="18"/>
  <c r="H86" i="18"/>
  <c r="H68" i="18"/>
  <c r="H50" i="18"/>
  <c r="H14" i="18"/>
  <c r="H144" i="18" l="1"/>
  <c r="H147" i="18" s="1"/>
  <c r="H151" i="18" s="1"/>
  <c r="H18" i="18"/>
  <c r="H21" i="18" s="1"/>
  <c r="H25" i="18" s="1"/>
  <c r="G71" i="18"/>
  <c r="G75" i="18" s="1"/>
  <c r="H90" i="18"/>
  <c r="H93" i="18" s="1"/>
  <c r="H97" i="18" s="1"/>
  <c r="H54" i="18"/>
  <c r="H57" i="18" s="1"/>
  <c r="H61" i="18" s="1"/>
  <c r="H108" i="18"/>
  <c r="H111" i="18" s="1"/>
  <c r="H115" i="18" s="1"/>
  <c r="H71" i="18" l="1"/>
  <c r="G79" i="18"/>
  <c r="H72" i="18" s="1"/>
  <c r="B19" i="23"/>
  <c r="B12" i="23"/>
  <c r="B14" i="23"/>
  <c r="B15" i="23"/>
  <c r="B18" i="23"/>
  <c r="R48" i="23"/>
  <c r="S48" i="23" s="1"/>
  <c r="T48" i="23" s="1"/>
  <c r="R50" i="23"/>
  <c r="S50" i="23" s="1"/>
  <c r="T50" i="23" s="1"/>
  <c r="R54" i="23"/>
  <c r="S54" i="23" s="1"/>
  <c r="T54" i="23" s="1"/>
  <c r="R55" i="23"/>
  <c r="S55" i="23" s="1"/>
  <c r="T55" i="23" s="1"/>
  <c r="R47" i="23"/>
  <c r="S47" i="23" s="1"/>
  <c r="T47" i="23" s="1"/>
  <c r="C97" i="23" l="1"/>
  <c r="D97" i="23" s="1"/>
  <c r="C101" i="23"/>
  <c r="D101" i="23" s="1"/>
  <c r="C98" i="23"/>
  <c r="D98" i="23" s="1"/>
  <c r="C100" i="23"/>
  <c r="D100" i="23" s="1"/>
  <c r="C99" i="23"/>
  <c r="D99" i="23" s="1"/>
  <c r="C96" i="23"/>
  <c r="D16" i="23"/>
  <c r="D14" i="23"/>
  <c r="D17" i="23"/>
  <c r="D11" i="23"/>
  <c r="E57" i="23"/>
  <c r="E13" i="23" s="1"/>
  <c r="D18" i="23"/>
  <c r="D19" i="23"/>
  <c r="D12" i="23"/>
  <c r="D15" i="23"/>
  <c r="H75" i="18"/>
  <c r="H79" i="18" s="1"/>
  <c r="E109" i="28"/>
  <c r="D96" i="23" l="1"/>
  <c r="D119" i="23" s="1"/>
  <c r="C119" i="23"/>
  <c r="E18" i="23"/>
  <c r="F57" i="23"/>
  <c r="F13" i="23" s="1"/>
  <c r="E15" i="23"/>
  <c r="E19" i="23"/>
  <c r="E17" i="23"/>
  <c r="E16" i="23"/>
  <c r="E12" i="23"/>
  <c r="E11" i="23"/>
  <c r="E14" i="23"/>
  <c r="E21" i="23" l="1"/>
  <c r="E84" i="23" s="1"/>
  <c r="E34" i="23" s="1"/>
  <c r="E36" i="23" s="1"/>
  <c r="F18" i="23"/>
  <c r="G57" i="23"/>
  <c r="G13" i="23" s="1"/>
  <c r="F12" i="23"/>
  <c r="F16" i="23"/>
  <c r="F11" i="23"/>
  <c r="F14" i="23"/>
  <c r="F15" i="23"/>
  <c r="F17" i="23"/>
  <c r="F19" i="23"/>
  <c r="D109" i="28"/>
  <c r="H57" i="23" l="1"/>
  <c r="H13" i="23" s="1"/>
  <c r="G18" i="23"/>
  <c r="G19" i="23"/>
  <c r="G17" i="23"/>
  <c r="G15" i="23"/>
  <c r="G12" i="23"/>
  <c r="G14" i="23"/>
  <c r="G11" i="23"/>
  <c r="G16" i="23"/>
  <c r="F21" i="23"/>
  <c r="F84" i="23" s="1"/>
  <c r="F34" i="23" s="1"/>
  <c r="F36" i="23" s="1"/>
  <c r="E59" i="20"/>
  <c r="H109" i="28"/>
  <c r="G21" i="23" l="1"/>
  <c r="G84" i="23" s="1"/>
  <c r="G34" i="23" s="1"/>
  <c r="G36" i="23" s="1"/>
  <c r="I57" i="23"/>
  <c r="I13" i="23" s="1"/>
  <c r="H18" i="23"/>
  <c r="H12" i="23"/>
  <c r="H19" i="23"/>
  <c r="H14" i="23"/>
  <c r="H15" i="23"/>
  <c r="H17" i="23"/>
  <c r="H16" i="23"/>
  <c r="H11" i="23"/>
  <c r="D21" i="23"/>
  <c r="D84" i="23" s="1"/>
  <c r="D34" i="23" s="1"/>
  <c r="H21" i="23" l="1"/>
  <c r="H84" i="23" s="1"/>
  <c r="H34" i="23" s="1"/>
  <c r="H36" i="23" s="1"/>
  <c r="I14" i="23"/>
  <c r="I16" i="23"/>
  <c r="I15" i="23"/>
  <c r="I17" i="23"/>
  <c r="J57" i="23"/>
  <c r="J13" i="23" s="1"/>
  <c r="I11" i="23"/>
  <c r="I18" i="23"/>
  <c r="I12" i="23"/>
  <c r="I19" i="23"/>
  <c r="H59" i="20"/>
  <c r="J19" i="20"/>
  <c r="I21" i="23" l="1"/>
  <c r="I84" i="23" s="1"/>
  <c r="I34" i="23" s="1"/>
  <c r="I36" i="23" s="1"/>
  <c r="J15" i="23"/>
  <c r="J14" i="23"/>
  <c r="J12" i="23"/>
  <c r="J16" i="23"/>
  <c r="K57" i="23"/>
  <c r="K13" i="23" s="1"/>
  <c r="J11" i="23"/>
  <c r="J18" i="23"/>
  <c r="J19" i="23"/>
  <c r="J17" i="23"/>
  <c r="D39" i="28"/>
  <c r="J21" i="23" l="1"/>
  <c r="J84" i="23" s="1"/>
  <c r="J34" i="23" s="1"/>
  <c r="J36" i="23" s="1"/>
  <c r="K15" i="23"/>
  <c r="K14" i="23"/>
  <c r="L57" i="23"/>
  <c r="L13" i="23" s="1"/>
  <c r="K19" i="23"/>
  <c r="K16" i="23"/>
  <c r="K11" i="23"/>
  <c r="K17" i="23"/>
  <c r="K12" i="23"/>
  <c r="K18" i="23"/>
  <c r="H34" i="28"/>
  <c r="D41" i="28"/>
  <c r="J17" i="20"/>
  <c r="J18" i="20"/>
  <c r="J12" i="20"/>
  <c r="J13" i="20"/>
  <c r="J14" i="20"/>
  <c r="J15" i="20"/>
  <c r="J16" i="20"/>
  <c r="K21" i="23" l="1"/>
  <c r="K84" i="23" s="1"/>
  <c r="K34" i="23" s="1"/>
  <c r="K36" i="23" s="1"/>
  <c r="L14" i="23"/>
  <c r="L19" i="23"/>
  <c r="L12" i="23"/>
  <c r="L15" i="23"/>
  <c r="L17" i="23"/>
  <c r="M57" i="23"/>
  <c r="M13" i="23" s="1"/>
  <c r="L11" i="23"/>
  <c r="L16" i="23"/>
  <c r="L18" i="23"/>
  <c r="G34" i="28"/>
  <c r="M14" i="23" l="1"/>
  <c r="M19" i="23"/>
  <c r="M15" i="23"/>
  <c r="M11" i="23"/>
  <c r="M12" i="23"/>
  <c r="M16" i="23"/>
  <c r="M17" i="23"/>
  <c r="M18" i="23"/>
  <c r="N57" i="23"/>
  <c r="N13" i="23" s="1"/>
  <c r="L21" i="23"/>
  <c r="L84" i="23" s="1"/>
  <c r="L34" i="23" s="1"/>
  <c r="L36" i="23" s="1"/>
  <c r="R76" i="23"/>
  <c r="R26" i="23" s="1"/>
  <c r="R77" i="23"/>
  <c r="R27" i="23" s="1"/>
  <c r="R83" i="23"/>
  <c r="R33" i="23" s="1"/>
  <c r="R78" i="23"/>
  <c r="R28" i="23" s="1"/>
  <c r="R63" i="23"/>
  <c r="R24" i="23" s="1"/>
  <c r="E34" i="28"/>
  <c r="F34" i="28"/>
  <c r="R81" i="23"/>
  <c r="R31" i="23" s="1"/>
  <c r="R80" i="23"/>
  <c r="R30" i="23" s="1"/>
  <c r="R79" i="23"/>
  <c r="R29" i="23" s="1"/>
  <c r="R82" i="23"/>
  <c r="R32" i="23" s="1"/>
  <c r="M21" i="23" l="1"/>
  <c r="M84" i="23" s="1"/>
  <c r="M34" i="23" s="1"/>
  <c r="M36" i="23" s="1"/>
  <c r="N19" i="23"/>
  <c r="N14" i="23"/>
  <c r="N16" i="23"/>
  <c r="N17" i="23"/>
  <c r="O57" i="23"/>
  <c r="O13" i="23" s="1"/>
  <c r="P13" i="23" s="1"/>
  <c r="N11" i="23"/>
  <c r="N15" i="23"/>
  <c r="N12" i="23"/>
  <c r="N18" i="23"/>
  <c r="D42" i="28"/>
  <c r="D38" i="28"/>
  <c r="N21" i="23" l="1"/>
  <c r="N84" i="23" s="1"/>
  <c r="N34" i="23" s="1"/>
  <c r="N36" i="23" s="1"/>
  <c r="O11" i="23"/>
  <c r="P11" i="23" s="1"/>
  <c r="O12" i="23"/>
  <c r="P12" i="23" s="1"/>
  <c r="O19" i="23"/>
  <c r="P19" i="23" s="1"/>
  <c r="O16" i="23"/>
  <c r="P16" i="23" s="1"/>
  <c r="O18" i="23"/>
  <c r="P18" i="23" s="1"/>
  <c r="O14" i="23"/>
  <c r="P14" i="23" s="1"/>
  <c r="O15" i="23"/>
  <c r="P15" i="23" s="1"/>
  <c r="O17" i="23"/>
  <c r="P17" i="23" s="1"/>
  <c r="D12" i="10"/>
  <c r="D13" i="10"/>
  <c r="D36" i="9" s="1"/>
  <c r="D11" i="10"/>
  <c r="H62" i="20" s="1"/>
  <c r="D43" i="28"/>
  <c r="J10" i="20"/>
  <c r="J11" i="20"/>
  <c r="B32" i="20"/>
  <c r="B33" i="20"/>
  <c r="B31" i="20"/>
  <c r="B26" i="17"/>
  <c r="B38" i="23"/>
  <c r="E33" i="11"/>
  <c r="F33" i="11" s="1"/>
  <c r="G33" i="11" s="1"/>
  <c r="H33" i="11" s="1"/>
  <c r="E57" i="11"/>
  <c r="F57" i="11" s="1"/>
  <c r="G57" i="11" s="1"/>
  <c r="H57" i="11" s="1"/>
  <c r="P21" i="23" l="1"/>
  <c r="C14" i="6" s="1"/>
  <c r="E31" i="20" s="1"/>
  <c r="O21" i="23"/>
  <c r="O84" i="23" s="1"/>
  <c r="O34" i="23" s="1"/>
  <c r="H63" i="20"/>
  <c r="E60" i="20" s="1"/>
  <c r="D22" i="29"/>
  <c r="D37" i="28"/>
  <c r="D44" i="28"/>
  <c r="B20" i="17"/>
  <c r="B21" i="17"/>
  <c r="P34" i="23" l="1"/>
  <c r="P36" i="23" s="1"/>
  <c r="C15" i="6" s="1"/>
  <c r="E32" i="20" s="1"/>
  <c r="O36" i="23"/>
  <c r="E11" i="10"/>
  <c r="E22" i="29" s="1"/>
  <c r="E13" i="10"/>
  <c r="D36" i="28"/>
  <c r="D35" i="28"/>
  <c r="D45" i="28"/>
  <c r="Q57" i="23"/>
  <c r="Q11" i="23" l="1"/>
  <c r="Q12" i="23"/>
  <c r="Q15" i="23"/>
  <c r="Q16" i="23"/>
  <c r="Q19" i="23"/>
  <c r="Q18" i="23"/>
  <c r="Q17" i="23"/>
  <c r="Q14" i="23"/>
  <c r="R57" i="23"/>
  <c r="S57" i="23" s="1"/>
  <c r="T57" i="23" s="1"/>
  <c r="R58" i="23"/>
  <c r="R13" i="23" s="1"/>
  <c r="D10" i="6"/>
  <c r="E10" i="6"/>
  <c r="R17" i="23" l="1"/>
  <c r="R11" i="23"/>
  <c r="R16" i="23"/>
  <c r="R15" i="23"/>
  <c r="R18" i="23"/>
  <c r="R19" i="23"/>
  <c r="R12" i="23"/>
  <c r="R14" i="23"/>
  <c r="F10" i="6"/>
  <c r="G10" i="6" l="1"/>
  <c r="R21" i="23"/>
  <c r="R84" i="23" s="1"/>
  <c r="D32" i="18"/>
  <c r="D36" i="18" s="1"/>
  <c r="J22" i="20"/>
  <c r="D18" i="12"/>
  <c r="D20" i="12"/>
  <c r="P18" i="28"/>
  <c r="P19" i="28"/>
  <c r="P20" i="28"/>
  <c r="P21" i="28"/>
  <c r="P22" i="28"/>
  <c r="P23" i="28"/>
  <c r="P24" i="28"/>
  <c r="P25" i="28"/>
  <c r="P26" i="28"/>
  <c r="P27" i="28"/>
  <c r="B2" i="28"/>
  <c r="B2" i="29"/>
  <c r="B2" i="17"/>
  <c r="B2" i="8"/>
  <c r="B2" i="11"/>
  <c r="B2" i="10"/>
  <c r="B2" i="7"/>
  <c r="A2" i="27"/>
  <c r="B2" i="18"/>
  <c r="B2" i="23"/>
  <c r="B2" i="1"/>
  <c r="B2" i="2"/>
  <c r="B2" i="12"/>
  <c r="B2" i="9"/>
  <c r="B2" i="6"/>
  <c r="S58" i="23"/>
  <c r="S13" i="23" s="1"/>
  <c r="F22" i="10"/>
  <c r="D154" i="18"/>
  <c r="D156" i="18"/>
  <c r="D157" i="18"/>
  <c r="D162" i="18"/>
  <c r="D164" i="18"/>
  <c r="D165" i="18"/>
  <c r="H30" i="29"/>
  <c r="H29" i="29"/>
  <c r="G31" i="29"/>
  <c r="K15" i="28"/>
  <c r="L15" i="28" s="1"/>
  <c r="M15" i="28" s="1"/>
  <c r="D23" i="28"/>
  <c r="D21" i="28"/>
  <c r="F15" i="28"/>
  <c r="G15" i="28" s="1"/>
  <c r="H15" i="28" s="1"/>
  <c r="I15" i="28" s="1"/>
  <c r="C11" i="27"/>
  <c r="C13" i="27" s="1"/>
  <c r="D11" i="27"/>
  <c r="D13" i="27" s="1"/>
  <c r="E11" i="27"/>
  <c r="E13" i="27" s="1"/>
  <c r="F11" i="27"/>
  <c r="F13" i="27" s="1"/>
  <c r="G11" i="27"/>
  <c r="G13" i="27" s="1"/>
  <c r="H11" i="27"/>
  <c r="H13" i="27" s="1"/>
  <c r="F23" i="10"/>
  <c r="F13" i="10" s="1"/>
  <c r="E16" i="8"/>
  <c r="F16" i="8"/>
  <c r="F21" i="10"/>
  <c r="F11" i="10" s="1"/>
  <c r="F22" i="29" s="1"/>
  <c r="F155" i="18"/>
  <c r="G39" i="20" s="1"/>
  <c r="G155" i="18"/>
  <c r="H155" i="18"/>
  <c r="F156" i="18"/>
  <c r="G156" i="18"/>
  <c r="H156" i="18"/>
  <c r="F157" i="18"/>
  <c r="G157" i="18"/>
  <c r="H157" i="18"/>
  <c r="F164" i="18"/>
  <c r="G164" i="18"/>
  <c r="H164" i="18"/>
  <c r="F165" i="18"/>
  <c r="G165" i="18"/>
  <c r="H165" i="18"/>
  <c r="E164" i="18"/>
  <c r="E157" i="18"/>
  <c r="E156" i="18"/>
  <c r="D57" i="7"/>
  <c r="D59" i="7" s="1"/>
  <c r="D72" i="7"/>
  <c r="D74" i="7" s="1"/>
  <c r="D75" i="7" s="1"/>
  <c r="D29" i="7"/>
  <c r="D31" i="7" s="1"/>
  <c r="F25" i="12"/>
  <c r="G25" i="12"/>
  <c r="H25" i="12"/>
  <c r="D85" i="7"/>
  <c r="E85" i="7"/>
  <c r="E32" i="12" s="1"/>
  <c r="F85" i="7"/>
  <c r="F32" i="12" s="1"/>
  <c r="G85" i="7"/>
  <c r="G32" i="12" s="1"/>
  <c r="H85" i="7"/>
  <c r="H32" i="12" s="1"/>
  <c r="E165" i="18"/>
  <c r="E41" i="18"/>
  <c r="F41" i="18"/>
  <c r="B11" i="23"/>
  <c r="D40" i="11"/>
  <c r="E38" i="11" s="1"/>
  <c r="E40" i="11" s="1"/>
  <c r="D15" i="11"/>
  <c r="D20" i="11" s="1"/>
  <c r="E15" i="11" s="1"/>
  <c r="E20" i="11" s="1"/>
  <c r="F15" i="11" s="1"/>
  <c r="F20" i="11" s="1"/>
  <c r="G15" i="11" s="1"/>
  <c r="G20" i="11" s="1"/>
  <c r="H15" i="11" s="1"/>
  <c r="H20" i="11" s="1"/>
  <c r="H41" i="18"/>
  <c r="G41" i="18"/>
  <c r="S76" i="23" l="1"/>
  <c r="S26" i="23" s="1"/>
  <c r="S77" i="23"/>
  <c r="S27" i="23" s="1"/>
  <c r="S78" i="23"/>
  <c r="S28" i="23" s="1"/>
  <c r="S83" i="23"/>
  <c r="S33" i="23" s="1"/>
  <c r="S63" i="23"/>
  <c r="S24" i="23" s="1"/>
  <c r="S17" i="23"/>
  <c r="S11" i="23"/>
  <c r="S16" i="23"/>
  <c r="D34" i="7"/>
  <c r="D32" i="7"/>
  <c r="D33" i="7" s="1"/>
  <c r="D60" i="7"/>
  <c r="D62" i="7"/>
  <c r="D76" i="7"/>
  <c r="G22" i="10"/>
  <c r="H22" i="10" s="1"/>
  <c r="D36" i="23"/>
  <c r="S15" i="23"/>
  <c r="S18" i="23"/>
  <c r="S12" i="23"/>
  <c r="S14" i="23"/>
  <c r="S19" i="23"/>
  <c r="S80" i="23"/>
  <c r="S30" i="23" s="1"/>
  <c r="S79" i="23"/>
  <c r="S29" i="23" s="1"/>
  <c r="S81" i="23"/>
  <c r="S31" i="23" s="1"/>
  <c r="S64" i="23"/>
  <c r="S25" i="23" s="1"/>
  <c r="S82" i="23"/>
  <c r="S32" i="23" s="1"/>
  <c r="T58" i="23"/>
  <c r="T13" i="23" s="1"/>
  <c r="N15" i="28"/>
  <c r="G21" i="10"/>
  <c r="G11" i="10" s="1"/>
  <c r="G22" i="29" s="1"/>
  <c r="G23" i="10"/>
  <c r="G13" i="10" s="1"/>
  <c r="E14" i="6"/>
  <c r="G31" i="20" s="1"/>
  <c r="F24" i="12"/>
  <c r="G24" i="12"/>
  <c r="H39" i="20"/>
  <c r="H24" i="12"/>
  <c r="I39" i="20"/>
  <c r="D24" i="28"/>
  <c r="E28" i="18"/>
  <c r="D86" i="7"/>
  <c r="D20" i="28"/>
  <c r="H31" i="29"/>
  <c r="T91" i="23"/>
  <c r="F38" i="11"/>
  <c r="F40" i="11" s="1"/>
  <c r="E44" i="11"/>
  <c r="D44" i="11"/>
  <c r="D84" i="7"/>
  <c r="Q21" i="23"/>
  <c r="D155" i="18"/>
  <c r="D25" i="12"/>
  <c r="D16" i="9"/>
  <c r="D17" i="12" s="1"/>
  <c r="D14" i="6" l="1"/>
  <c r="F31" i="20" s="1"/>
  <c r="Q84" i="23"/>
  <c r="T17" i="23"/>
  <c r="T77" i="23"/>
  <c r="T27" i="23" s="1"/>
  <c r="T76" i="23"/>
  <c r="T26" i="23" s="1"/>
  <c r="T83" i="23"/>
  <c r="T33" i="23" s="1"/>
  <c r="T78" i="23"/>
  <c r="T28" i="23" s="1"/>
  <c r="T11" i="23"/>
  <c r="T63" i="23"/>
  <c r="T24" i="23" s="1"/>
  <c r="T16" i="23"/>
  <c r="D39" i="18"/>
  <c r="E35" i="18" s="1"/>
  <c r="D87" i="7"/>
  <c r="D35" i="7"/>
  <c r="D32" i="12"/>
  <c r="T14" i="23"/>
  <c r="T12" i="23"/>
  <c r="T18" i="23"/>
  <c r="T19" i="23"/>
  <c r="T15" i="23"/>
  <c r="T79" i="23"/>
  <c r="T29" i="23" s="1"/>
  <c r="T81" i="23"/>
  <c r="T31" i="23" s="1"/>
  <c r="T80" i="23"/>
  <c r="T30" i="23" s="1"/>
  <c r="T82" i="23"/>
  <c r="T32" i="23" s="1"/>
  <c r="T64" i="23"/>
  <c r="T25" i="23" s="1"/>
  <c r="H21" i="10"/>
  <c r="H11" i="10" s="1"/>
  <c r="H22" i="29" s="1"/>
  <c r="H23" i="10"/>
  <c r="H13" i="10" s="1"/>
  <c r="D25" i="28"/>
  <c r="D79" i="7"/>
  <c r="E72" i="7" s="1"/>
  <c r="E74" i="7" s="1"/>
  <c r="E75" i="7" s="1"/>
  <c r="D78" i="7"/>
  <c r="D78" i="29" s="1"/>
  <c r="D15" i="10"/>
  <c r="D16" i="10" s="1"/>
  <c r="E32" i="18"/>
  <c r="D19" i="28"/>
  <c r="D24" i="12"/>
  <c r="E39" i="20"/>
  <c r="D36" i="7"/>
  <c r="D61" i="7"/>
  <c r="D63" i="7" s="1"/>
  <c r="D158" i="18"/>
  <c r="D89" i="7"/>
  <c r="D30" i="9" s="1"/>
  <c r="G38" i="11"/>
  <c r="G40" i="11" s="1"/>
  <c r="F44" i="11"/>
  <c r="D43" i="18" l="1"/>
  <c r="E36" i="18" s="1"/>
  <c r="D90" i="7"/>
  <c r="F28" i="18"/>
  <c r="F32" i="18" s="1"/>
  <c r="T21" i="23"/>
  <c r="T84" i="23" s="1"/>
  <c r="D26" i="28"/>
  <c r="S21" i="23"/>
  <c r="S84" i="23" s="1"/>
  <c r="D15" i="9"/>
  <c r="D16" i="12" s="1"/>
  <c r="E15" i="9"/>
  <c r="D18" i="28"/>
  <c r="E154" i="18"/>
  <c r="D163" i="18"/>
  <c r="D57" i="29"/>
  <c r="D88" i="7"/>
  <c r="D64" i="7"/>
  <c r="G44" i="11"/>
  <c r="H38" i="11"/>
  <c r="H40" i="11" s="1"/>
  <c r="D53" i="29"/>
  <c r="K9" i="29" s="1"/>
  <c r="E29" i="7"/>
  <c r="E31" i="7" s="1"/>
  <c r="E155" i="18"/>
  <c r="F39" i="20" s="1"/>
  <c r="D11" i="12" l="1"/>
  <c r="C17" i="6"/>
  <c r="E39" i="18"/>
  <c r="E43" i="18" s="1"/>
  <c r="F36" i="18" s="1"/>
  <c r="E34" i="7"/>
  <c r="E32" i="7"/>
  <c r="G28" i="18"/>
  <c r="G32" i="18" s="1"/>
  <c r="D27" i="28"/>
  <c r="F14" i="6"/>
  <c r="E25" i="12"/>
  <c r="E36" i="9"/>
  <c r="E18" i="12" s="1"/>
  <c r="D17" i="28"/>
  <c r="E76" i="7"/>
  <c r="E78" i="7" s="1"/>
  <c r="E78" i="29" s="1"/>
  <c r="I11" i="27"/>
  <c r="I13" i="27" s="1"/>
  <c r="D11" i="9"/>
  <c r="E24" i="12"/>
  <c r="H44" i="11"/>
  <c r="E16" i="12"/>
  <c r="E57" i="7"/>
  <c r="D91" i="7"/>
  <c r="D166" i="18"/>
  <c r="D168" i="18" s="1"/>
  <c r="E158" i="18"/>
  <c r="F35" i="18" l="1"/>
  <c r="F39" i="18" s="1"/>
  <c r="F43" i="18" s="1"/>
  <c r="G36" i="18" s="1"/>
  <c r="H28" i="18"/>
  <c r="H32" i="18" s="1"/>
  <c r="H31" i="20"/>
  <c r="G14" i="6"/>
  <c r="D10" i="9"/>
  <c r="D12" i="9" s="1"/>
  <c r="G36" i="9"/>
  <c r="G15" i="9"/>
  <c r="F36" i="9"/>
  <c r="F18" i="12" s="1"/>
  <c r="F154" i="18"/>
  <c r="F158" i="18" s="1"/>
  <c r="E59" i="7"/>
  <c r="E84" i="7"/>
  <c r="E162" i="18"/>
  <c r="E79" i="7"/>
  <c r="E33" i="7"/>
  <c r="E35" i="7"/>
  <c r="J11" i="27"/>
  <c r="J13" i="27" s="1"/>
  <c r="E163" i="18"/>
  <c r="D17" i="6" s="1"/>
  <c r="G35" i="18" l="1"/>
  <c r="E60" i="7"/>
  <c r="E62" i="7"/>
  <c r="I31" i="20"/>
  <c r="E36" i="7"/>
  <c r="F29" i="7" s="1"/>
  <c r="F31" i="7" s="1"/>
  <c r="H36" i="9"/>
  <c r="H18" i="12" s="1"/>
  <c r="H15" i="9"/>
  <c r="H16" i="12" s="1"/>
  <c r="F15" i="9"/>
  <c r="G18" i="12"/>
  <c r="F72" i="7"/>
  <c r="F74" i="7" s="1"/>
  <c r="F75" i="7" s="1"/>
  <c r="E166" i="18"/>
  <c r="E168" i="18" s="1"/>
  <c r="E86" i="7"/>
  <c r="E11" i="12"/>
  <c r="G39" i="18" l="1"/>
  <c r="H35" i="18" s="1"/>
  <c r="F34" i="7"/>
  <c r="F32" i="7"/>
  <c r="F33" i="7" s="1"/>
  <c r="F16" i="12"/>
  <c r="G16" i="12"/>
  <c r="G154" i="18"/>
  <c r="G158" i="18" s="1"/>
  <c r="E10" i="9"/>
  <c r="E63" i="7"/>
  <c r="E61" i="7"/>
  <c r="E88" i="7" s="1"/>
  <c r="E87" i="7"/>
  <c r="G43" i="18" l="1"/>
  <c r="H36" i="18" s="1"/>
  <c r="H39" i="18" s="1"/>
  <c r="H43" i="18" s="1"/>
  <c r="E89" i="7"/>
  <c r="E90" i="7"/>
  <c r="F162" i="18"/>
  <c r="F76" i="7"/>
  <c r="F78" i="7" s="1"/>
  <c r="F78" i="29" s="1"/>
  <c r="E11" i="9"/>
  <c r="E12" i="9" s="1"/>
  <c r="F163" i="18"/>
  <c r="E17" i="6" s="1"/>
  <c r="F35" i="7"/>
  <c r="F36" i="7" s="1"/>
  <c r="E30" i="9" l="1"/>
  <c r="E64" i="7"/>
  <c r="E91" i="7" s="1"/>
  <c r="F11" i="9"/>
  <c r="G29" i="7"/>
  <c r="G31" i="7" s="1"/>
  <c r="H154" i="18"/>
  <c r="H158" i="18" s="1"/>
  <c r="F11" i="12"/>
  <c r="F79" i="7"/>
  <c r="F166" i="18"/>
  <c r="F168" i="18" s="1"/>
  <c r="F57" i="7" l="1"/>
  <c r="G34" i="7"/>
  <c r="G32" i="7"/>
  <c r="G162" i="18"/>
  <c r="F10" i="9"/>
  <c r="G72" i="7"/>
  <c r="G74" i="7" s="1"/>
  <c r="G75" i="7" s="1"/>
  <c r="F59" i="7"/>
  <c r="F84" i="7"/>
  <c r="G163" i="18"/>
  <c r="F17" i="6" s="1"/>
  <c r="G76" i="7" l="1"/>
  <c r="G78" i="7" s="1"/>
  <c r="G78" i="29" s="1"/>
  <c r="F62" i="7"/>
  <c r="F60" i="7"/>
  <c r="G166" i="18"/>
  <c r="G168" i="18" s="1"/>
  <c r="F12" i="9"/>
  <c r="G33" i="7"/>
  <c r="G35" i="7"/>
  <c r="G36" i="7" s="1"/>
  <c r="F86" i="7"/>
  <c r="G11" i="12"/>
  <c r="G11" i="9" l="1"/>
  <c r="H29" i="7"/>
  <c r="H31" i="7" s="1"/>
  <c r="F61" i="7"/>
  <c r="F88" i="7" s="1"/>
  <c r="F87" i="7"/>
  <c r="H162" i="18"/>
  <c r="F63" i="7"/>
  <c r="G79" i="7"/>
  <c r="H34" i="7" l="1"/>
  <c r="H32" i="7"/>
  <c r="G10" i="9"/>
  <c r="G12" i="9" s="1"/>
  <c r="H163" i="18"/>
  <c r="G17" i="6" s="1"/>
  <c r="F90" i="7"/>
  <c r="H72" i="7"/>
  <c r="H74" i="7" s="1"/>
  <c r="H75" i="7" s="1"/>
  <c r="H33" i="7"/>
  <c r="H11" i="9" l="1"/>
  <c r="H166" i="18"/>
  <c r="H168" i="18" s="1"/>
  <c r="H11" i="12"/>
  <c r="F89" i="7"/>
  <c r="F30" i="9" s="1"/>
  <c r="F64" i="7"/>
  <c r="H35" i="7"/>
  <c r="H36" i="7" s="1"/>
  <c r="H76" i="7" l="1"/>
  <c r="H78" i="7" s="1"/>
  <c r="H78" i="29" s="1"/>
  <c r="D79" i="29" s="1"/>
  <c r="H10" i="9"/>
  <c r="H12" i="9" s="1"/>
  <c r="G57" i="7"/>
  <c r="F91" i="7"/>
  <c r="H79" i="7" l="1"/>
  <c r="G59" i="7"/>
  <c r="G84" i="7"/>
  <c r="G62" i="7" l="1"/>
  <c r="G60" i="7"/>
  <c r="G63" i="7" s="1"/>
  <c r="G86" i="7"/>
  <c r="G90" i="7" l="1"/>
  <c r="G61" i="7"/>
  <c r="G88" i="7" s="1"/>
  <c r="G87" i="7"/>
  <c r="G89" i="7" l="1"/>
  <c r="G30" i="9" s="1"/>
  <c r="G64" i="7"/>
  <c r="H57" i="7" l="1"/>
  <c r="G91" i="7"/>
  <c r="H59" i="7" l="1"/>
  <c r="H84" i="7"/>
  <c r="H62" i="7" l="1"/>
  <c r="H60" i="7"/>
  <c r="H63" i="7" s="1"/>
  <c r="H86" i="7"/>
  <c r="H90" i="7" l="1"/>
  <c r="H61" i="7"/>
  <c r="H87" i="7"/>
  <c r="H88" i="7" l="1"/>
  <c r="H89" i="7"/>
  <c r="H30" i="9" s="1"/>
  <c r="H64" i="7" l="1"/>
  <c r="H91" i="7" s="1"/>
  <c r="P18" i="2" l="1"/>
  <c r="Q38" i="23" s="1"/>
  <c r="E16" i="17" l="1"/>
  <c r="E15" i="17"/>
  <c r="E14" i="17"/>
  <c r="E17" i="17"/>
  <c r="D16" i="6"/>
  <c r="F33" i="20" s="1"/>
  <c r="E12" i="10"/>
  <c r="E16" i="9" s="1"/>
  <c r="E17" i="12" s="1"/>
  <c r="D9" i="6"/>
  <c r="L8" i="17" s="1"/>
  <c r="Q34" i="23"/>
  <c r="Q36" i="23" l="1"/>
  <c r="D15" i="6" s="1"/>
  <c r="E15" i="10"/>
  <c r="E16" i="10" s="1"/>
  <c r="E33" i="17"/>
  <c r="D11" i="6"/>
  <c r="E52" i="29"/>
  <c r="F26" i="20"/>
  <c r="Q40" i="23" l="1"/>
  <c r="E57" i="29"/>
  <c r="D12" i="6"/>
  <c r="L9" i="17" s="1"/>
  <c r="E51" i="29"/>
  <c r="E53" i="29" s="1"/>
  <c r="L9" i="29" s="1"/>
  <c r="F28" i="20"/>
  <c r="E9" i="17"/>
  <c r="L10" i="17" s="1"/>
  <c r="F32" i="20"/>
  <c r="F34" i="20" s="1"/>
  <c r="L11" i="17" l="1"/>
  <c r="L12" i="17" s="1"/>
  <c r="D18" i="6"/>
  <c r="E11" i="17"/>
  <c r="E21" i="17" l="1"/>
  <c r="E23" i="17"/>
  <c r="E20" i="17"/>
  <c r="E26" i="17" s="1"/>
  <c r="E29" i="17" s="1"/>
  <c r="E22" i="17"/>
  <c r="E56" i="29"/>
  <c r="E58" i="29" s="1"/>
  <c r="L10" i="29" s="1"/>
  <c r="R18" i="2"/>
  <c r="S38" i="23" s="1"/>
  <c r="S18" i="2"/>
  <c r="T38" i="23" s="1"/>
  <c r="Q18" i="2"/>
  <c r="R38" i="23" s="1"/>
  <c r="E32" i="17"/>
  <c r="E34" i="17" s="1"/>
  <c r="H15" i="17" l="1"/>
  <c r="H17" i="17"/>
  <c r="H16" i="17"/>
  <c r="H14" i="17"/>
  <c r="F15" i="17"/>
  <c r="F17" i="17"/>
  <c r="F14" i="17"/>
  <c r="F16" i="17"/>
  <c r="G14" i="17"/>
  <c r="G16" i="17"/>
  <c r="G15" i="17"/>
  <c r="G17" i="17"/>
  <c r="G16" i="6"/>
  <c r="I33" i="20" s="1"/>
  <c r="H12" i="10"/>
  <c r="H16" i="9" s="1"/>
  <c r="F16" i="6"/>
  <c r="H33" i="20" s="1"/>
  <c r="G12" i="10"/>
  <c r="G16" i="9" s="1"/>
  <c r="E16" i="6"/>
  <c r="G33" i="20" s="1"/>
  <c r="F12" i="10"/>
  <c r="F16" i="9" s="1"/>
  <c r="S34" i="23"/>
  <c r="F9" i="6"/>
  <c r="N8" i="17" s="1"/>
  <c r="T34" i="23"/>
  <c r="G9" i="6"/>
  <c r="O8" i="17" s="1"/>
  <c r="R34" i="23"/>
  <c r="E9" i="6"/>
  <c r="M8" i="17" s="1"/>
  <c r="F15" i="10" l="1"/>
  <c r="F16" i="10" s="1"/>
  <c r="S36" i="23"/>
  <c r="F15" i="6" s="1"/>
  <c r="H15" i="10"/>
  <c r="T36" i="23"/>
  <c r="G15" i="6" s="1"/>
  <c r="R36" i="23"/>
  <c r="E15" i="6" s="1"/>
  <c r="G15" i="10"/>
  <c r="F17" i="12"/>
  <c r="H52" i="29"/>
  <c r="G11" i="6"/>
  <c r="H33" i="17"/>
  <c r="I26" i="20"/>
  <c r="G17" i="12"/>
  <c r="F11" i="6"/>
  <c r="G33" i="17"/>
  <c r="G52" i="29"/>
  <c r="H26" i="20"/>
  <c r="E11" i="6"/>
  <c r="F33" i="17"/>
  <c r="F52" i="29"/>
  <c r="G26" i="20"/>
  <c r="H17" i="12"/>
  <c r="T40" i="23" l="1"/>
  <c r="G16" i="10"/>
  <c r="H16" i="10"/>
  <c r="S40" i="23"/>
  <c r="R40" i="23"/>
  <c r="H57" i="29"/>
  <c r="F9" i="17"/>
  <c r="M10" i="17" s="1"/>
  <c r="G32" i="20"/>
  <c r="G34" i="20" s="1"/>
  <c r="F51" i="29"/>
  <c r="F53" i="29" s="1"/>
  <c r="M9" i="29" s="1"/>
  <c r="E12" i="6"/>
  <c r="M9" i="17" s="1"/>
  <c r="G28" i="20"/>
  <c r="G9" i="17"/>
  <c r="N10" i="17" s="1"/>
  <c r="H32" i="20"/>
  <c r="H34" i="20" s="1"/>
  <c r="G57" i="29"/>
  <c r="H51" i="29"/>
  <c r="H53" i="29" s="1"/>
  <c r="O9" i="29" s="1"/>
  <c r="G12" i="6"/>
  <c r="O9" i="17" s="1"/>
  <c r="I28" i="20"/>
  <c r="H9" i="17"/>
  <c r="O10" i="17" s="1"/>
  <c r="I32" i="20"/>
  <c r="I34" i="20" s="1"/>
  <c r="G51" i="29"/>
  <c r="G53" i="29" s="1"/>
  <c r="N9" i="29" s="1"/>
  <c r="F12" i="6"/>
  <c r="N9" i="17" s="1"/>
  <c r="H28" i="20"/>
  <c r="F57" i="29"/>
  <c r="M11" i="17" l="1"/>
  <c r="M12" i="17" s="1"/>
  <c r="N11" i="17"/>
  <c r="N12" i="17" s="1"/>
  <c r="O11" i="17"/>
  <c r="O12" i="17" s="1"/>
  <c r="F18" i="6"/>
  <c r="E18" i="6"/>
  <c r="G18" i="6"/>
  <c r="F11" i="17"/>
  <c r="H11" i="17"/>
  <c r="G11" i="17"/>
  <c r="H21" i="17" l="1"/>
  <c r="H23" i="17"/>
  <c r="H22" i="17"/>
  <c r="H20" i="17"/>
  <c r="H26" i="17" s="1"/>
  <c r="H29" i="17" s="1"/>
  <c r="G20" i="17"/>
  <c r="G26" i="17" s="1"/>
  <c r="G29" i="17" s="1"/>
  <c r="G22" i="17"/>
  <c r="G21" i="17"/>
  <c r="G23" i="17"/>
  <c r="F21" i="17"/>
  <c r="F23" i="17"/>
  <c r="F22" i="17"/>
  <c r="F20" i="17"/>
  <c r="F26" i="17" s="1"/>
  <c r="F29" i="17" s="1"/>
  <c r="G56" i="29"/>
  <c r="G58" i="29" s="1"/>
  <c r="N10" i="29" s="1"/>
  <c r="H56" i="29"/>
  <c r="H58" i="29" s="1"/>
  <c r="O10" i="29" s="1"/>
  <c r="F56" i="29"/>
  <c r="F58" i="29" s="1"/>
  <c r="M10" i="29" s="1"/>
  <c r="H32" i="17"/>
  <c r="H34" i="17" s="1"/>
  <c r="F32" i="17"/>
  <c r="F34" i="17" s="1"/>
  <c r="G32" i="17"/>
  <c r="G34" i="17" s="1"/>
  <c r="D42" i="7" l="1"/>
  <c r="D34" i="12"/>
  <c r="D35" i="12"/>
  <c r="D26" i="12" l="1"/>
  <c r="D27" i="12" s="1"/>
  <c r="E52" i="28" l="1"/>
  <c r="E70" i="28"/>
  <c r="E16" i="28"/>
  <c r="D95" i="28" l="1"/>
  <c r="D96" i="28"/>
  <c r="D97" i="28" l="1"/>
  <c r="D99" i="28" l="1"/>
  <c r="D98" i="28"/>
  <c r="E66" i="20" l="1"/>
  <c r="D40" i="23"/>
  <c r="F40" i="23"/>
  <c r="G40" i="23"/>
  <c r="H40" i="23"/>
  <c r="I40" i="23"/>
  <c r="N40" i="23"/>
  <c r="O40" i="23"/>
  <c r="P38" i="23"/>
  <c r="P40" i="23" s="1"/>
  <c r="E40" i="23"/>
  <c r="J40" i="23"/>
  <c r="K40" i="23"/>
  <c r="L40" i="23"/>
  <c r="M40" i="23"/>
  <c r="C16" i="6" l="1"/>
  <c r="D9" i="17" l="1"/>
  <c r="C18" i="6"/>
  <c r="E33" i="20"/>
  <c r="E34" i="20" s="1"/>
  <c r="C22" i="6" l="1"/>
  <c r="D56" i="29"/>
  <c r="D58" i="29" s="1"/>
  <c r="K10" i="29" s="1"/>
  <c r="K10" i="17"/>
  <c r="K11" i="17" s="1"/>
  <c r="K12" i="17" s="1"/>
  <c r="D11" i="17"/>
  <c r="D22" i="17" l="1"/>
  <c r="D23" i="17"/>
  <c r="D20" i="17"/>
  <c r="D26" i="17" s="1"/>
  <c r="D29" i="17" s="1"/>
  <c r="D21" i="17"/>
  <c r="D32" i="17"/>
  <c r="D34" i="17" s="1"/>
  <c r="D9" i="12"/>
  <c r="D15" i="12" s="1"/>
  <c r="D19" i="12" s="1"/>
  <c r="D21" i="12" s="1"/>
  <c r="E9" i="8"/>
  <c r="E11" i="8" s="1"/>
  <c r="E36" i="20"/>
  <c r="E13" i="8" l="1"/>
  <c r="F10" i="8"/>
  <c r="D49" i="11"/>
  <c r="E43" i="20"/>
  <c r="C10" i="7"/>
  <c r="E45" i="20" l="1"/>
  <c r="E54" i="20"/>
  <c r="D14" i="7"/>
  <c r="H48" i="20"/>
  <c r="D30" i="12"/>
  <c r="K50" i="20" s="1"/>
  <c r="D50" i="11"/>
  <c r="G16" i="8"/>
  <c r="E15" i="8"/>
  <c r="E17" i="8" s="1"/>
  <c r="C24" i="6" s="1"/>
  <c r="D37" i="9" l="1"/>
  <c r="E20" i="12" s="1"/>
  <c r="C25" i="6"/>
  <c r="E48" i="11"/>
  <c r="D54" i="11"/>
  <c r="D12" i="11" s="1"/>
  <c r="D24" i="9" s="1"/>
  <c r="D41" i="7"/>
  <c r="D31" i="12" s="1"/>
  <c r="K49" i="20" s="1"/>
  <c r="D16" i="7"/>
  <c r="K51" i="20" l="1"/>
  <c r="L49" i="20" s="1"/>
  <c r="D43" i="7"/>
  <c r="D17" i="7"/>
  <c r="D19" i="7"/>
  <c r="E37" i="20"/>
  <c r="D24" i="11"/>
  <c r="D66" i="29"/>
  <c r="D61" i="29"/>
  <c r="C26" i="6"/>
  <c r="D46" i="7" l="1"/>
  <c r="D29" i="9" s="1"/>
  <c r="D18" i="7"/>
  <c r="D45" i="7" s="1"/>
  <c r="D20" i="6" s="1"/>
  <c r="D44" i="7"/>
  <c r="D28" i="11"/>
  <c r="D36" i="12" s="1"/>
  <c r="D37" i="12" s="1"/>
  <c r="D39" i="12" s="1"/>
  <c r="E53" i="20"/>
  <c r="L50" i="20"/>
  <c r="H49" i="20" s="1"/>
  <c r="D21" i="7" l="1"/>
  <c r="D48" i="7" s="1"/>
  <c r="D29" i="11"/>
  <c r="D25" i="9" s="1"/>
  <c r="D26" i="9" s="1"/>
  <c r="D31" i="9"/>
  <c r="D62" i="29" s="1"/>
  <c r="D63" i="29" s="1"/>
  <c r="E13" i="12"/>
  <c r="E34" i="12" s="1"/>
  <c r="D20" i="7"/>
  <c r="D47" i="7" s="1"/>
  <c r="D94" i="7"/>
  <c r="D95" i="7" s="1"/>
  <c r="J16" i="28"/>
  <c r="E41" i="20"/>
  <c r="J70" i="28"/>
  <c r="D41" i="12"/>
  <c r="D99" i="7"/>
  <c r="D100" i="7" s="1"/>
  <c r="J52" i="28"/>
  <c r="E33" i="12"/>
  <c r="D35" i="9"/>
  <c r="D43" i="29" s="1"/>
  <c r="E14" i="7" l="1"/>
  <c r="E41" i="7" s="1"/>
  <c r="D31" i="11"/>
  <c r="E23" i="11"/>
  <c r="D21" i="6"/>
  <c r="E14" i="12" s="1"/>
  <c r="E35" i="12" s="1"/>
  <c r="D17" i="9"/>
  <c r="D18" i="9" s="1"/>
  <c r="E40" i="12"/>
  <c r="D34" i="9"/>
  <c r="D38" i="9" s="1"/>
  <c r="D12" i="29" s="1"/>
  <c r="D44" i="29"/>
  <c r="D45" i="29" s="1"/>
  <c r="K15" i="29" s="1"/>
  <c r="D67" i="29"/>
  <c r="D68" i="29" s="1"/>
  <c r="K8" i="29" s="1"/>
  <c r="D38" i="29"/>
  <c r="E26" i="12" l="1"/>
  <c r="E27" i="12" s="1"/>
  <c r="D22" i="6"/>
  <c r="E9" i="12" s="1"/>
  <c r="E15" i="12" s="1"/>
  <c r="E19" i="12" s="1"/>
  <c r="E21" i="12" s="1"/>
  <c r="D23" i="29"/>
  <c r="D17" i="29"/>
  <c r="D20" i="9"/>
  <c r="D11" i="29"/>
  <c r="F36" i="20" l="1"/>
  <c r="F9" i="8"/>
  <c r="F11" i="8" s="1"/>
  <c r="G10" i="8" s="1"/>
  <c r="D13" i="29"/>
  <c r="D21" i="29"/>
  <c r="D24" i="29" s="1"/>
  <c r="D16" i="29"/>
  <c r="D18" i="29" s="1"/>
  <c r="K12" i="29" s="1"/>
  <c r="D40" i="9"/>
  <c r="D42" i="9" s="1"/>
  <c r="D39" i="29"/>
  <c r="D40" i="29" s="1"/>
  <c r="K14" i="29" s="1"/>
  <c r="E65" i="20"/>
  <c r="E49" i="11"/>
  <c r="E15" i="7"/>
  <c r="F43" i="20"/>
  <c r="F13" i="8" l="1"/>
  <c r="H16" i="8" s="1"/>
  <c r="F45" i="20"/>
  <c r="F54" i="20"/>
  <c r="E42" i="7"/>
  <c r="E31" i="12" s="1"/>
  <c r="E16" i="7"/>
  <c r="E17" i="11"/>
  <c r="E30" i="12"/>
  <c r="E50" i="11"/>
  <c r="F15" i="8" l="1"/>
  <c r="F17" i="8" s="1"/>
  <c r="D24" i="6" s="1"/>
  <c r="E37" i="9" s="1"/>
  <c r="F20" i="12" s="1"/>
  <c r="E17" i="7"/>
  <c r="E19" i="7"/>
  <c r="E43" i="7"/>
  <c r="E54" i="11"/>
  <c r="E12" i="11" s="1"/>
  <c r="E24" i="9" s="1"/>
  <c r="F48" i="11"/>
  <c r="D25" i="6" l="1"/>
  <c r="F16" i="28" s="1"/>
  <c r="E46" i="7"/>
  <c r="E44" i="7"/>
  <c r="E18" i="7"/>
  <c r="E20" i="7" s="1"/>
  <c r="E47" i="7" s="1"/>
  <c r="E66" i="29" l="1"/>
  <c r="E61" i="29"/>
  <c r="E24" i="11"/>
  <c r="E28" i="11" s="1"/>
  <c r="E36" i="12" s="1"/>
  <c r="E37" i="12" s="1"/>
  <c r="E39" i="12" s="1"/>
  <c r="F70" i="28"/>
  <c r="F37" i="20"/>
  <c r="F52" i="28"/>
  <c r="D26" i="6"/>
  <c r="E45" i="7"/>
  <c r="E20" i="6" s="1"/>
  <c r="F13" i="12" s="1"/>
  <c r="F34" i="12" s="1"/>
  <c r="E21" i="7"/>
  <c r="E29" i="9"/>
  <c r="F33" i="12"/>
  <c r="E35" i="9"/>
  <c r="E38" i="29" l="1"/>
  <c r="E29" i="11"/>
  <c r="E25" i="9" s="1"/>
  <c r="E26" i="9" s="1"/>
  <c r="E31" i="9"/>
  <c r="E43" i="29"/>
  <c r="E48" i="7"/>
  <c r="F14" i="7"/>
  <c r="F41" i="7" s="1"/>
  <c r="K52" i="28"/>
  <c r="F41" i="20"/>
  <c r="E41" i="12"/>
  <c r="K70" i="28"/>
  <c r="K16" i="28"/>
  <c r="E99" i="7"/>
  <c r="E100" i="7" s="1"/>
  <c r="E94" i="7"/>
  <c r="E95" i="7" s="1"/>
  <c r="E31" i="11" l="1"/>
  <c r="F23" i="11"/>
  <c r="E67" i="29"/>
  <c r="E68" i="29" s="1"/>
  <c r="L8" i="29" s="1"/>
  <c r="E44" i="29"/>
  <c r="E45" i="29" s="1"/>
  <c r="L15" i="29" s="1"/>
  <c r="F40" i="12"/>
  <c r="E17" i="9"/>
  <c r="E18" i="9" s="1"/>
  <c r="E34" i="9"/>
  <c r="E38" i="9" s="1"/>
  <c r="E12" i="29" s="1"/>
  <c r="E21" i="6"/>
  <c r="E62" i="29"/>
  <c r="E63" i="29" s="1"/>
  <c r="E44" i="9" l="1"/>
  <c r="E23" i="29"/>
  <c r="E17" i="29"/>
  <c r="E22" i="6"/>
  <c r="F14" i="12"/>
  <c r="E20" i="9"/>
  <c r="E11" i="29"/>
  <c r="E39" i="29" l="1"/>
  <c r="E40" i="29" s="1"/>
  <c r="L14" i="29" s="1"/>
  <c r="E40" i="9"/>
  <c r="E42" i="9" s="1"/>
  <c r="F26" i="12"/>
  <c r="F27" i="12" s="1"/>
  <c r="F35" i="12"/>
  <c r="E13" i="29"/>
  <c r="E16" i="29"/>
  <c r="E18" i="29" s="1"/>
  <c r="L12" i="29" s="1"/>
  <c r="E21" i="29"/>
  <c r="E24" i="29" s="1"/>
  <c r="G9" i="8"/>
  <c r="G11" i="8" s="1"/>
  <c r="F9" i="12"/>
  <c r="F15" i="12" s="1"/>
  <c r="F19" i="12" s="1"/>
  <c r="F21" i="12" s="1"/>
  <c r="G36" i="20"/>
  <c r="F15" i="7" l="1"/>
  <c r="G43" i="20"/>
  <c r="F49" i="11"/>
  <c r="G13" i="8"/>
  <c r="H10" i="8"/>
  <c r="G15" i="8" l="1"/>
  <c r="G17" i="8" s="1"/>
  <c r="E24" i="6" s="1"/>
  <c r="I16" i="8"/>
  <c r="G45" i="20"/>
  <c r="G54" i="20"/>
  <c r="F50" i="11"/>
  <c r="F17" i="11"/>
  <c r="F30" i="12"/>
  <c r="F16" i="7"/>
  <c r="F42" i="7"/>
  <c r="F31" i="12" s="1"/>
  <c r="F17" i="7" l="1"/>
  <c r="F43" i="7"/>
  <c r="F19" i="7"/>
  <c r="G48" i="11"/>
  <c r="F54" i="11"/>
  <c r="F12" i="11" s="1"/>
  <c r="F24" i="9" s="1"/>
  <c r="F37" i="9"/>
  <c r="G20" i="12" s="1"/>
  <c r="E25" i="6"/>
  <c r="G16" i="28" l="1"/>
  <c r="F24" i="11"/>
  <c r="E26" i="6"/>
  <c r="F66" i="29"/>
  <c r="G52" i="28"/>
  <c r="G37" i="20"/>
  <c r="G70" i="28"/>
  <c r="F61" i="29"/>
  <c r="F46" i="7"/>
  <c r="F44" i="7"/>
  <c r="F18" i="7"/>
  <c r="F20" i="7" s="1"/>
  <c r="F47" i="7" s="1"/>
  <c r="F28" i="11" l="1"/>
  <c r="F36" i="12" s="1"/>
  <c r="F37" i="12" s="1"/>
  <c r="F39" i="12" s="1"/>
  <c r="F45" i="7"/>
  <c r="F20" i="6" s="1"/>
  <c r="G13" i="12" s="1"/>
  <c r="G34" i="12" s="1"/>
  <c r="F21" i="7"/>
  <c r="F29" i="9"/>
  <c r="F35" i="9"/>
  <c r="G33" i="12"/>
  <c r="F43" i="29" l="1"/>
  <c r="F29" i="11"/>
  <c r="G23" i="11" s="1"/>
  <c r="F31" i="9"/>
  <c r="F38" i="29"/>
  <c r="G14" i="7"/>
  <c r="G41" i="7" s="1"/>
  <c r="F48" i="7"/>
  <c r="G41" i="20"/>
  <c r="L70" i="28"/>
  <c r="F41" i="12"/>
  <c r="L16" i="28"/>
  <c r="F99" i="7"/>
  <c r="F100" i="7" s="1"/>
  <c r="F94" i="7"/>
  <c r="F95" i="7" s="1"/>
  <c r="L52" i="28"/>
  <c r="F31" i="11" l="1"/>
  <c r="F25" i="9"/>
  <c r="F26" i="9" s="1"/>
  <c r="F44" i="29" s="1"/>
  <c r="F45" i="29" s="1"/>
  <c r="M15" i="29" s="1"/>
  <c r="F21" i="6"/>
  <c r="G14" i="12" s="1"/>
  <c r="G26" i="12" s="1"/>
  <c r="G27" i="12" s="1"/>
  <c r="F62" i="29"/>
  <c r="F63" i="29" s="1"/>
  <c r="F34" i="9"/>
  <c r="F38" i="9" s="1"/>
  <c r="F12" i="29" s="1"/>
  <c r="G40" i="12"/>
  <c r="F17" i="9"/>
  <c r="F18" i="9" s="1"/>
  <c r="F67" i="29" l="1"/>
  <c r="F68" i="29" s="1"/>
  <c r="M8" i="29" s="1"/>
  <c r="F22" i="6"/>
  <c r="G9" i="12" s="1"/>
  <c r="G15" i="12" s="1"/>
  <c r="G19" i="12" s="1"/>
  <c r="G21" i="12" s="1"/>
  <c r="G35" i="12"/>
  <c r="F17" i="29"/>
  <c r="F23" i="29"/>
  <c r="F44" i="9"/>
  <c r="F11" i="29"/>
  <c r="F20" i="9"/>
  <c r="H36" i="20" l="1"/>
  <c r="H9" i="8"/>
  <c r="H11" i="8" s="1"/>
  <c r="H13" i="8" s="1"/>
  <c r="H15" i="8" s="1"/>
  <c r="H17" i="8" s="1"/>
  <c r="F24" i="6" s="1"/>
  <c r="G49" i="11"/>
  <c r="H43" i="20"/>
  <c r="G15" i="7"/>
  <c r="F39" i="29"/>
  <c r="F40" i="29" s="1"/>
  <c r="M14" i="29" s="1"/>
  <c r="F40" i="9"/>
  <c r="F42" i="9" s="1"/>
  <c r="F16" i="29"/>
  <c r="F18" i="29" s="1"/>
  <c r="M12" i="29" s="1"/>
  <c r="F13" i="29"/>
  <c r="F21" i="29"/>
  <c r="F24" i="29" s="1"/>
  <c r="I10" i="8" l="1"/>
  <c r="F25" i="6"/>
  <c r="G37" i="9"/>
  <c r="H20" i="12" s="1"/>
  <c r="H54" i="20"/>
  <c r="I44" i="20"/>
  <c r="H45" i="20"/>
  <c r="G42" i="7"/>
  <c r="G31" i="12" s="1"/>
  <c r="G16" i="7"/>
  <c r="G17" i="11"/>
  <c r="G50" i="11"/>
  <c r="G30" i="12"/>
  <c r="G19" i="7" l="1"/>
  <c r="G46" i="7" s="1"/>
  <c r="G35" i="9" s="1"/>
  <c r="G17" i="7"/>
  <c r="G43" i="7"/>
  <c r="H48" i="11"/>
  <c r="G54" i="11"/>
  <c r="G12" i="11" s="1"/>
  <c r="G24" i="9" s="1"/>
  <c r="F26" i="6"/>
  <c r="H70" i="28"/>
  <c r="G24" i="11"/>
  <c r="G28" i="11" s="1"/>
  <c r="G36" i="12" s="1"/>
  <c r="G37" i="12" s="1"/>
  <c r="G39" i="12" s="1"/>
  <c r="M52" i="28" s="1"/>
  <c r="G61" i="29"/>
  <c r="H16" i="28"/>
  <c r="H52" i="28"/>
  <c r="G66" i="29"/>
  <c r="H37" i="20"/>
  <c r="I109" i="28" s="1"/>
  <c r="H33" i="12" l="1"/>
  <c r="G29" i="9"/>
  <c r="G31" i="9" s="1"/>
  <c r="G62" i="29" s="1"/>
  <c r="G63" i="29" s="1"/>
  <c r="G99" i="7"/>
  <c r="G100" i="7" s="1"/>
  <c r="G94" i="7"/>
  <c r="G95" i="7" s="1"/>
  <c r="G29" i="11"/>
  <c r="G41" i="12"/>
  <c r="G34" i="9" s="1"/>
  <c r="G38" i="9" s="1"/>
  <c r="G12" i="29" s="1"/>
  <c r="M70" i="28"/>
  <c r="H41" i="20"/>
  <c r="G44" i="7"/>
  <c r="G18" i="7"/>
  <c r="M16" i="28"/>
  <c r="G43" i="29" l="1"/>
  <c r="G21" i="6"/>
  <c r="H14" i="12" s="1"/>
  <c r="H35" i="12" s="1"/>
  <c r="G38" i="29"/>
  <c r="G17" i="9"/>
  <c r="G18" i="9" s="1"/>
  <c r="G20" i="9" s="1"/>
  <c r="H40" i="12"/>
  <c r="G45" i="7"/>
  <c r="G20" i="6" s="1"/>
  <c r="G21" i="7"/>
  <c r="G20" i="7"/>
  <c r="G47" i="7" s="1"/>
  <c r="H23" i="11"/>
  <c r="G31" i="11"/>
  <c r="G25" i="9"/>
  <c r="G26" i="9" s="1"/>
  <c r="G44" i="9" s="1"/>
  <c r="J109" i="28"/>
  <c r="G23" i="29"/>
  <c r="G17" i="29"/>
  <c r="H26" i="12" l="1"/>
  <c r="H27" i="12" s="1"/>
  <c r="G11" i="29"/>
  <c r="G16" i="29" s="1"/>
  <c r="G18" i="29" s="1"/>
  <c r="N12" i="29" s="1"/>
  <c r="G67" i="29"/>
  <c r="G68" i="29" s="1"/>
  <c r="N8" i="29" s="1"/>
  <c r="G44" i="29"/>
  <c r="G45" i="29" s="1"/>
  <c r="N15" i="29" s="1"/>
  <c r="G48" i="7"/>
  <c r="H14" i="7"/>
  <c r="H41" i="7" s="1"/>
  <c r="G22" i="6"/>
  <c r="H13" i="12"/>
  <c r="H34" i="12" s="1"/>
  <c r="G40" i="9"/>
  <c r="G42" i="9" s="1"/>
  <c r="G39" i="29"/>
  <c r="G40" i="29" s="1"/>
  <c r="N14" i="29" s="1"/>
  <c r="G21" i="29" l="1"/>
  <c r="G24" i="29" s="1"/>
  <c r="G13" i="29"/>
  <c r="H9" i="12"/>
  <c r="H15" i="12" s="1"/>
  <c r="H19" i="12" s="1"/>
  <c r="H21" i="12" s="1"/>
  <c r="I9" i="8"/>
  <c r="I11" i="8" s="1"/>
  <c r="I13" i="8" s="1"/>
  <c r="I15" i="8" s="1"/>
  <c r="I17" i="8" s="1"/>
  <c r="G24" i="6" s="1"/>
  <c r="H37" i="9" s="1"/>
  <c r="I36" i="20"/>
  <c r="G25" i="6" l="1"/>
  <c r="H49" i="11"/>
  <c r="H15" i="7"/>
  <c r="I43" i="20"/>
  <c r="H42" i="7" l="1"/>
  <c r="H31" i="12" s="1"/>
  <c r="H16" i="7"/>
  <c r="H17" i="11"/>
  <c r="H30" i="12"/>
  <c r="D74" i="29" s="1"/>
  <c r="H50" i="11"/>
  <c r="H54" i="11" s="1"/>
  <c r="H12" i="11" s="1"/>
  <c r="H24" i="9" s="1"/>
  <c r="I45" i="20"/>
  <c r="H53" i="20"/>
  <c r="I54" i="20"/>
  <c r="D55" i="20" s="1"/>
  <c r="F55" i="20" s="1"/>
  <c r="I16" i="28"/>
  <c r="G26" i="6"/>
  <c r="I37" i="20"/>
  <c r="I52" i="28"/>
  <c r="H66" i="29"/>
  <c r="H24" i="11"/>
  <c r="H28" i="11" s="1"/>
  <c r="H36" i="12" s="1"/>
  <c r="I70" i="28"/>
  <c r="D73" i="29"/>
  <c r="H61" i="29"/>
  <c r="H37" i="12" l="1"/>
  <c r="H39" i="12" s="1"/>
  <c r="H94" i="7" s="1"/>
  <c r="H95" i="7" s="1"/>
  <c r="E47" i="20"/>
  <c r="G109" i="28" s="1"/>
  <c r="E49" i="20"/>
  <c r="D75" i="29"/>
  <c r="H29" i="11"/>
  <c r="H19" i="7"/>
  <c r="H46" i="7" s="1"/>
  <c r="H35" i="9" s="1"/>
  <c r="H43" i="7"/>
  <c r="H17" i="7"/>
  <c r="H29" i="9" l="1"/>
  <c r="H38" i="29" s="1"/>
  <c r="N16" i="28"/>
  <c r="N52" i="28"/>
  <c r="I41" i="20"/>
  <c r="H99" i="7"/>
  <c r="H100" i="7" s="1"/>
  <c r="N70" i="28"/>
  <c r="H41" i="12"/>
  <c r="D34" i="28"/>
  <c r="O70" i="28"/>
  <c r="D88" i="28"/>
  <c r="F109" i="28"/>
  <c r="O52" i="28"/>
  <c r="O16" i="28"/>
  <c r="H18" i="7"/>
  <c r="H44" i="7"/>
  <c r="H25" i="9"/>
  <c r="H26" i="9" s="1"/>
  <c r="H31" i="11"/>
  <c r="H43" i="29" l="1"/>
  <c r="H31" i="9"/>
  <c r="H62" i="29" s="1"/>
  <c r="H63" i="29" s="1"/>
  <c r="H17" i="9"/>
  <c r="H18" i="9" s="1"/>
  <c r="H34" i="9"/>
  <c r="H38" i="9" s="1"/>
  <c r="H12" i="29" s="1"/>
  <c r="H67" i="29"/>
  <c r="H68" i="29" s="1"/>
  <c r="O8" i="29" s="1"/>
  <c r="H44" i="29"/>
  <c r="H45" i="7"/>
  <c r="H20" i="7"/>
  <c r="H47" i="7" s="1"/>
  <c r="H21" i="7"/>
  <c r="H48" i="7" s="1"/>
  <c r="H45" i="29" l="1"/>
  <c r="O15" i="29" s="1"/>
  <c r="H17" i="29"/>
  <c r="H23" i="29"/>
  <c r="H20" i="9"/>
  <c r="H11" i="29"/>
  <c r="H44" i="9"/>
  <c r="H21" i="29" l="1"/>
  <c r="H24" i="29" s="1"/>
  <c r="H16" i="29"/>
  <c r="H18" i="29" s="1"/>
  <c r="O12" i="29" s="1"/>
  <c r="H13" i="29"/>
  <c r="H40" i="9"/>
  <c r="H42" i="9" s="1"/>
  <c r="H39" i="29"/>
  <c r="H40" i="29" s="1"/>
  <c r="O14" i="29" s="1"/>
</calcChain>
</file>

<file path=xl/sharedStrings.xml><?xml version="1.0" encoding="utf-8"?>
<sst xmlns="http://schemas.openxmlformats.org/spreadsheetml/2006/main" count="996" uniqueCount="505">
  <si>
    <t>T1</t>
  </si>
  <si>
    <t>T2</t>
  </si>
  <si>
    <t>T3</t>
  </si>
  <si>
    <t>T4</t>
  </si>
  <si>
    <t>T5</t>
  </si>
  <si>
    <t>T6</t>
  </si>
  <si>
    <t>Total</t>
  </si>
  <si>
    <t>Depreciation</t>
  </si>
  <si>
    <t>Sales Revenue</t>
  </si>
  <si>
    <t>Expenses</t>
  </si>
  <si>
    <t>Fixed Assets Note</t>
  </si>
  <si>
    <t>brought forward</t>
  </si>
  <si>
    <t>acquisitions</t>
  </si>
  <si>
    <t>disposals</t>
  </si>
  <si>
    <t>carried forward</t>
  </si>
  <si>
    <t>charge</t>
  </si>
  <si>
    <t>Average</t>
  </si>
  <si>
    <t>Depreciation % charge</t>
  </si>
  <si>
    <t>Net Book value</t>
  </si>
  <si>
    <t>Pre-operating expenses</t>
  </si>
  <si>
    <t>Profit &amp; Loss</t>
  </si>
  <si>
    <t>Profit before financing charges</t>
  </si>
  <si>
    <t>Profit before tax</t>
  </si>
  <si>
    <t>Tax</t>
  </si>
  <si>
    <t>Finance charges</t>
  </si>
  <si>
    <t>Year End: 31 December</t>
  </si>
  <si>
    <t>Data</t>
  </si>
  <si>
    <t>Principal amount</t>
  </si>
  <si>
    <t>Loan repayment period</t>
  </si>
  <si>
    <t>Interest rate</t>
  </si>
  <si>
    <t>Principal balance</t>
  </si>
  <si>
    <t>Additions to Principal balance</t>
  </si>
  <si>
    <t>Interest Expenses</t>
  </si>
  <si>
    <t>Interest Payment</t>
  </si>
  <si>
    <t>Principal Repayment</t>
  </si>
  <si>
    <t>Total Repayments</t>
  </si>
  <si>
    <t>End of Year Loan balance</t>
  </si>
  <si>
    <t>Bank Overdraft</t>
  </si>
  <si>
    <t>Interest Expense</t>
  </si>
  <si>
    <t xml:space="preserve">Yearly Interest Rate </t>
  </si>
  <si>
    <t>Repayment</t>
  </si>
  <si>
    <t>Cash at Bank</t>
  </si>
  <si>
    <t>Interest income</t>
  </si>
  <si>
    <t>Taxation</t>
  </si>
  <si>
    <t>Assets</t>
  </si>
  <si>
    <t>Non-current assets</t>
  </si>
  <si>
    <t>Property, plant &amp; equip.</t>
  </si>
  <si>
    <t>Current assets</t>
  </si>
  <si>
    <t>Stocks</t>
  </si>
  <si>
    <t>Debtors</t>
  </si>
  <si>
    <t>Cash at bank</t>
  </si>
  <si>
    <t>Total assets</t>
  </si>
  <si>
    <t>Equity and liabilities</t>
  </si>
  <si>
    <t>Capital and reserves</t>
  </si>
  <si>
    <t>Reserves</t>
  </si>
  <si>
    <t>Non current liabilities</t>
  </si>
  <si>
    <t>Bank loans</t>
  </si>
  <si>
    <t>Current liabilities</t>
  </si>
  <si>
    <t>Bank overdraft</t>
  </si>
  <si>
    <t>Creditors</t>
  </si>
  <si>
    <t>Working capital</t>
  </si>
  <si>
    <t>Change in WC</t>
  </si>
  <si>
    <t>Projected Shareholders' Equity</t>
  </si>
  <si>
    <t>SHAREHOLDERS' EQUITY</t>
  </si>
  <si>
    <t>Beginning Of The Year</t>
  </si>
  <si>
    <t>Land &amp; Buildings Revaluation Surplus</t>
  </si>
  <si>
    <t>Bonus Issue of Shares</t>
  </si>
  <si>
    <t>Deferred Tax</t>
  </si>
  <si>
    <t xml:space="preserve">Additional Depreciation on Revaluation </t>
  </si>
  <si>
    <t>End Of The Year</t>
  </si>
  <si>
    <t>Reserves:</t>
  </si>
  <si>
    <t>Net Profit/ (Loss) For The Year</t>
  </si>
  <si>
    <t>Write off of share capital expenses</t>
  </si>
  <si>
    <t>Dividends Declared/Paid</t>
  </si>
  <si>
    <t>Total Shareholders' Equity</t>
  </si>
  <si>
    <t>Dividend Policy</t>
  </si>
  <si>
    <t>SHARE CAPITAL</t>
  </si>
  <si>
    <t>Authorised:</t>
  </si>
  <si>
    <t xml:space="preserve">Ordinary shares - 'A' </t>
  </si>
  <si>
    <t>Beginning Balance B/F</t>
  </si>
  <si>
    <t>Additions</t>
  </si>
  <si>
    <t>Ending Balance C/F</t>
  </si>
  <si>
    <t>Issued &amp; Fully Paid:</t>
  </si>
  <si>
    <t>Net asset value</t>
  </si>
  <si>
    <t>Cash flow from operations</t>
  </si>
  <si>
    <t>Profit/(loss) before tax</t>
  </si>
  <si>
    <t>Adjust for:</t>
  </si>
  <si>
    <t xml:space="preserve">  Depreciation</t>
  </si>
  <si>
    <t xml:space="preserve">  Interest paid</t>
  </si>
  <si>
    <t>Profit from operation before changes in WC</t>
  </si>
  <si>
    <t>(Decrease)/increase in creditors</t>
  </si>
  <si>
    <t>Cash inflow from operations</t>
  </si>
  <si>
    <t>Tax paid</t>
  </si>
  <si>
    <t>Net cash flow from operations</t>
  </si>
  <si>
    <t>Cash flow from investment activities</t>
  </si>
  <si>
    <t>Cash flow from/(to) financing activities</t>
  </si>
  <si>
    <t>Interest paid</t>
  </si>
  <si>
    <t>Net cash flow from/(to) financing activities</t>
  </si>
  <si>
    <t>Net increase/(decrease) in cash and cash equivalent</t>
  </si>
  <si>
    <t>Cash at the beginning of year</t>
  </si>
  <si>
    <t>Cash at the end of year</t>
  </si>
  <si>
    <t xml:space="preserve">  Amortisation</t>
  </si>
  <si>
    <t>Additions in pre-operating expenses</t>
  </si>
  <si>
    <t>Additions in fixed assets</t>
  </si>
  <si>
    <t>T7</t>
  </si>
  <si>
    <t>Payroll Costs</t>
  </si>
  <si>
    <t>Revenue Calculation</t>
  </si>
  <si>
    <t>Break Even Analysis</t>
  </si>
  <si>
    <t>Revenue analysis</t>
  </si>
  <si>
    <t>Growth in salary</t>
  </si>
  <si>
    <t>revaluation</t>
  </si>
  <si>
    <t>readjustment for revaluation</t>
  </si>
  <si>
    <t>Net cash flow from investment activities</t>
  </si>
  <si>
    <t>Cost of Sales</t>
  </si>
  <si>
    <t>Cost of sales</t>
  </si>
  <si>
    <t>Balance Sheet</t>
  </si>
  <si>
    <t>Cash Flow</t>
  </si>
  <si>
    <t>Revenue basis</t>
  </si>
  <si>
    <t>Gross Profit</t>
  </si>
  <si>
    <t>Working Capital</t>
  </si>
  <si>
    <t>Stock</t>
  </si>
  <si>
    <t>Working Capital Calculation</t>
  </si>
  <si>
    <t>Revenue Breakdown</t>
  </si>
  <si>
    <t>Main Results</t>
  </si>
  <si>
    <t>Cost of Sales Analysis</t>
  </si>
  <si>
    <t>Secretary</t>
  </si>
  <si>
    <t>Total Bank Loans</t>
  </si>
  <si>
    <t>Loans</t>
  </si>
  <si>
    <t>Repayment of loans</t>
  </si>
  <si>
    <t>Interest on current account</t>
  </si>
  <si>
    <t xml:space="preserve">  Interest on current account</t>
  </si>
  <si>
    <t>Interest receivable on current account</t>
  </si>
  <si>
    <t>Interest payable on current account</t>
  </si>
  <si>
    <t>Furniture &amp; Fittings</t>
  </si>
  <si>
    <t>Sales Volume Required</t>
  </si>
  <si>
    <t>Net inflows/ (outflows)</t>
  </si>
  <si>
    <t>Terminal Value</t>
  </si>
  <si>
    <t>Net inflows/ (outflows) with terminal value</t>
  </si>
  <si>
    <t>Internal Rate of Return (IRR)</t>
  </si>
  <si>
    <t>Net Present Value (NPV)</t>
  </si>
  <si>
    <t>Drivers</t>
  </si>
  <si>
    <t xml:space="preserve">TOTAL </t>
  </si>
  <si>
    <t>Changes in</t>
  </si>
  <si>
    <t>IRR</t>
  </si>
  <si>
    <t>%</t>
  </si>
  <si>
    <t>BASE</t>
  </si>
  <si>
    <t>Gross Profit Margin</t>
  </si>
  <si>
    <t>Investment</t>
  </si>
  <si>
    <t>Amount</t>
  </si>
  <si>
    <t>Total Capital Investment</t>
  </si>
  <si>
    <t>Net Profit for the year (after tax)</t>
  </si>
  <si>
    <t>Profit &amp; Loss Account - Net Profit for the year (after tax)</t>
  </si>
  <si>
    <t>Alternative Scenarios - Sensitivity Analysis</t>
  </si>
  <si>
    <t>Key Parameters</t>
  </si>
  <si>
    <t>Break Even Revenue</t>
  </si>
  <si>
    <t>Projected Revenue</t>
  </si>
  <si>
    <t>SI and other contributions</t>
  </si>
  <si>
    <t>Stock days</t>
  </si>
  <si>
    <t>Revenue Split</t>
  </si>
  <si>
    <t>Total Cost of Sales</t>
  </si>
  <si>
    <t>Administration &amp; Operating Expenses</t>
  </si>
  <si>
    <t>Other admin &amp; operating expenses</t>
  </si>
  <si>
    <t>Total admin &amp; operating costs</t>
  </si>
  <si>
    <t>Administration &amp; Operating expenses</t>
  </si>
  <si>
    <t>T0</t>
  </si>
  <si>
    <t>Financing Analysis</t>
  </si>
  <si>
    <t>Shareholder's contribution</t>
  </si>
  <si>
    <t>Profit/(loss) for the year</t>
  </si>
  <si>
    <t>Loss brought forward</t>
  </si>
  <si>
    <t>Profit/(loss) carried forward</t>
  </si>
  <si>
    <t>Taxable income</t>
  </si>
  <si>
    <t>Deemed distribution</t>
  </si>
  <si>
    <t>Total taxation</t>
  </si>
  <si>
    <t>Shareholders' contribution</t>
  </si>
  <si>
    <t>WACC</t>
  </si>
  <si>
    <t>Cost of Equity</t>
  </si>
  <si>
    <t>Cost of Debt</t>
  </si>
  <si>
    <t>Contingent Liabilities</t>
  </si>
  <si>
    <t>Performance Guarantee</t>
  </si>
  <si>
    <t>Total Contingent Liabilities</t>
  </si>
  <si>
    <t>VAT</t>
  </si>
  <si>
    <t>Increase/ (decrease) in stock</t>
  </si>
  <si>
    <t>Increase/ (decrease) in debtors</t>
  </si>
  <si>
    <t>Net increase/ (decrease) in cash &amp; cash equivalent</t>
  </si>
  <si>
    <t>Issue of new shares and shareholders' contribution</t>
  </si>
  <si>
    <t>LIQUIDITY RATIOS</t>
  </si>
  <si>
    <t>Net Working Capital:</t>
  </si>
  <si>
    <t xml:space="preserve">  Current assets (CA)</t>
  </si>
  <si>
    <t xml:space="preserve">  Current liabilities (CL)</t>
  </si>
  <si>
    <t>CA - CL</t>
  </si>
  <si>
    <t>Current Ratio:</t>
  </si>
  <si>
    <t>CA / CL</t>
  </si>
  <si>
    <t>Quick Ratio:</t>
  </si>
  <si>
    <t xml:space="preserve">  Inventory (I)</t>
  </si>
  <si>
    <t>(CA-I) / CL</t>
  </si>
  <si>
    <t xml:space="preserve">ACTIVITY RATIOS </t>
  </si>
  <si>
    <t>Average Collection Period:</t>
  </si>
  <si>
    <t xml:space="preserve">  Debtors (D) - less Deferred Income</t>
  </si>
  <si>
    <t xml:space="preserve">  Average recognised sales per day (ASD)</t>
  </si>
  <si>
    <t xml:space="preserve"> </t>
  </si>
  <si>
    <t>Debtor days:</t>
  </si>
  <si>
    <t>D / ASD</t>
  </si>
  <si>
    <t>DEBT RATIOS</t>
  </si>
  <si>
    <t>Debt Ratio:</t>
  </si>
  <si>
    <t xml:space="preserve">  Total assets (TA)</t>
  </si>
  <si>
    <t>PROFITABILITY RATIOS</t>
  </si>
  <si>
    <t>Gross Profit Margin:</t>
  </si>
  <si>
    <t xml:space="preserve">  Gross profits (GP)</t>
  </si>
  <si>
    <t xml:space="preserve">  Sales (S)</t>
  </si>
  <si>
    <t>GP / S</t>
  </si>
  <si>
    <t>Operating Profit Margin:</t>
  </si>
  <si>
    <t xml:space="preserve">  Operating profit (OP)</t>
  </si>
  <si>
    <t>OP / S</t>
  </si>
  <si>
    <t>Ratio Analysis</t>
  </si>
  <si>
    <t xml:space="preserve">  Total debt (TD)</t>
  </si>
  <si>
    <t>TD / TA</t>
  </si>
  <si>
    <t>Fixed Assets (additions)</t>
  </si>
  <si>
    <t>VAT charge</t>
  </si>
  <si>
    <t>Summary Sheet</t>
  </si>
  <si>
    <t>Net increase/(decrease) in cash for the year</t>
  </si>
  <si>
    <t xml:space="preserve">Comments </t>
  </si>
  <si>
    <t>% of time devoted to project operations</t>
  </si>
  <si>
    <t>Payroll Costs (monthly)</t>
  </si>
  <si>
    <t>Legal and other professional fees</t>
  </si>
  <si>
    <t>Marketing/ advertising expenses</t>
  </si>
  <si>
    <t>Equipment &amp; machinery</t>
  </si>
  <si>
    <t>Dividends paid out</t>
  </si>
  <si>
    <t>Payroll expenses</t>
  </si>
  <si>
    <t xml:space="preserve">Growth rate </t>
  </si>
  <si>
    <t>Payback period</t>
  </si>
  <si>
    <t>months</t>
  </si>
  <si>
    <t>years and</t>
  </si>
  <si>
    <t>Audit and accounting</t>
  </si>
  <si>
    <t>Currency: US Dollars</t>
  </si>
  <si>
    <t>Year 1</t>
  </si>
  <si>
    <t>Year 2</t>
  </si>
  <si>
    <t>Year 3</t>
  </si>
  <si>
    <t>Year 4</t>
  </si>
  <si>
    <t>Year 5</t>
  </si>
  <si>
    <t>Number of monthly salaries within the year</t>
  </si>
  <si>
    <t>Office personnel</t>
  </si>
  <si>
    <t>Licence/ software fees</t>
  </si>
  <si>
    <t>Water &amp; electricity</t>
  </si>
  <si>
    <t>Entertainment</t>
  </si>
  <si>
    <t>Contingencies (% on revenues)</t>
  </si>
  <si>
    <t>Building</t>
  </si>
  <si>
    <t>Computers (hardware)</t>
  </si>
  <si>
    <t>Self-propelled machinery</t>
  </si>
  <si>
    <t>Machinery &amp; Equipment</t>
  </si>
  <si>
    <t>Cars</t>
  </si>
  <si>
    <t>TOTAL</t>
  </si>
  <si>
    <t>Salary</t>
  </si>
  <si>
    <t>Marketing/advertising expenses (% on revenues)</t>
  </si>
  <si>
    <t>Marketing/advertising/ promotional expenses</t>
  </si>
  <si>
    <t>Annual increase in expenses</t>
  </si>
  <si>
    <r>
      <t xml:space="preserve">Share Capital </t>
    </r>
    <r>
      <rPr>
        <sz val="11"/>
        <rFont val="Calibri"/>
        <family val="2"/>
        <scheme val="minor"/>
      </rPr>
      <t>(see below)</t>
    </r>
  </si>
  <si>
    <t xml:space="preserve">Preference shares - 'B' </t>
  </si>
  <si>
    <t>Tax Calculations</t>
  </si>
  <si>
    <t>Investors' loan</t>
  </si>
  <si>
    <t>Shareholders' loan</t>
  </si>
  <si>
    <t>Bank loan 2</t>
  </si>
  <si>
    <t>Bank loan 1</t>
  </si>
  <si>
    <t>Increase in bank loans</t>
  </si>
  <si>
    <t>Increase in shareholder and investor loans</t>
  </si>
  <si>
    <t>Shareholders/ investors loan</t>
  </si>
  <si>
    <t>Total Shareholders' &amp; Investors loans</t>
  </si>
  <si>
    <t>Interest receiving deposits threshold</t>
  </si>
  <si>
    <t>Yearly Interest Rate for deposits above threshold</t>
  </si>
  <si>
    <t>Yearly Interest Rate for deposits below threshold</t>
  </si>
  <si>
    <t>Shareholders' equity</t>
  </si>
  <si>
    <t>Basic Scenario</t>
  </si>
  <si>
    <t>New Scenario</t>
  </si>
  <si>
    <t>Factory construction</t>
  </si>
  <si>
    <t>Furniture &amp; fittings</t>
  </si>
  <si>
    <t xml:space="preserve">Cumulative cash inflows </t>
  </si>
  <si>
    <t>Market share of Homeco in Cyprus (parabola parameters)</t>
  </si>
  <si>
    <t>Selling price of 10cm C-EPS panel (Y1)</t>
  </si>
  <si>
    <t>Proportion of sales of 10cm C-EPS panel to total sales</t>
  </si>
  <si>
    <t>Contingency difference on calculation of initial investments</t>
  </si>
  <si>
    <t>Contingencies</t>
  </si>
  <si>
    <t>Stock days of raw material</t>
  </si>
  <si>
    <t>Break even revenue</t>
  </si>
  <si>
    <t>Return on Capital Employed (ROCE):</t>
  </si>
  <si>
    <t xml:space="preserve">  Net profit (NP)</t>
  </si>
  <si>
    <t xml:space="preserve">  Capital employed (CE)</t>
  </si>
  <si>
    <t>NP / CE</t>
  </si>
  <si>
    <t>Return on investment (ROI):</t>
  </si>
  <si>
    <t xml:space="preserve">  Cost of Investment (CI)</t>
  </si>
  <si>
    <t>€</t>
  </si>
  <si>
    <t>1) Sensitivity of profitability, net changes in cash, and IRR in variances of the estimated demand of bricks in 2018</t>
  </si>
  <si>
    <t>Estimated</t>
  </si>
  <si>
    <t>demand of bricks</t>
  </si>
  <si>
    <t>in 2018</t>
  </si>
  <si>
    <t>estimated</t>
  </si>
  <si>
    <t>Bank loan amount</t>
  </si>
  <si>
    <t>Investors' loan amount</t>
  </si>
  <si>
    <t>Initial market share gained by Homeco (year 1)</t>
  </si>
  <si>
    <t>Sensitivity parameters</t>
  </si>
  <si>
    <t>Basic value</t>
  </si>
  <si>
    <t>Change steps</t>
  </si>
  <si>
    <t>Cost of production per m2 of 10cm C-EPS panels (Y1)</t>
  </si>
  <si>
    <t>2) Sensitivity of IRR in covariances of the demand of bricks in 2018 and the initial market share gained by Homeco (year 1)</t>
  </si>
  <si>
    <t>3) Sensitivity of profitability, net changes in cash, and IRR in variances of the selling price of 10cm C-EPS panel (Y1)</t>
  </si>
  <si>
    <t>Selling price</t>
  </si>
  <si>
    <t>of 10cm C-EPS</t>
  </si>
  <si>
    <t>panel (Y1)</t>
  </si>
  <si>
    <t>selling price</t>
  </si>
  <si>
    <t>4) Sensitivity of profitability, net changes in cash, and IRR in variances of the cost of production per m2 of 10cm C-EPS panels (Y1)</t>
  </si>
  <si>
    <t>Cost of production</t>
  </si>
  <si>
    <t>per m2 of 10cm</t>
  </si>
  <si>
    <t>C-EPS panels</t>
  </si>
  <si>
    <t>cost of production</t>
  </si>
  <si>
    <t>5) Sensitivity of IRR in covariances of the selling price and the cost of production of 10cm C-EPS panels</t>
  </si>
  <si>
    <t>Selling price of</t>
  </si>
  <si>
    <t>10cm C-EPS panel</t>
  </si>
  <si>
    <t>Cost of production per m2 of 10cm C-EPS panel</t>
  </si>
  <si>
    <t>INVESTORS RATIOS</t>
  </si>
  <si>
    <t>Investors IRR</t>
  </si>
  <si>
    <t xml:space="preserve">  Investors Net Cash Flows</t>
  </si>
  <si>
    <t xml:space="preserve">  Investors IRR</t>
  </si>
  <si>
    <t>NPV</t>
  </si>
  <si>
    <t>Production</t>
  </si>
  <si>
    <t>Net profit</t>
  </si>
  <si>
    <t>Cash balance</t>
  </si>
  <si>
    <t>SCENARIO</t>
  </si>
  <si>
    <t>Market share of Homeco</t>
  </si>
  <si>
    <t>sq.m.</t>
  </si>
  <si>
    <t>Pessimistic</t>
  </si>
  <si>
    <t xml:space="preserve">Basic </t>
  </si>
  <si>
    <t>Optimistic</t>
  </si>
  <si>
    <t>in year 4</t>
  </si>
  <si>
    <t>6) Sensitivity of project's main results in variances of Homeco's market share in year 1</t>
  </si>
  <si>
    <t>Payroll</t>
  </si>
  <si>
    <t>Administration</t>
  </si>
  <si>
    <t>Marketing</t>
  </si>
  <si>
    <t>Total capital investment required</t>
  </si>
  <si>
    <t>Courier services - documents and parcels</t>
  </si>
  <si>
    <t>Percentage using Cursa app</t>
  </si>
  <si>
    <t>Average number of daily transactions per company</t>
  </si>
  <si>
    <t>Annual increase in % using Cursa app</t>
  </si>
  <si>
    <t>Annual increase in fee per transacion</t>
  </si>
  <si>
    <t>Average fee per transaction charged to customer</t>
  </si>
  <si>
    <t>Fee depends on time, distance of delivery, item category, weight &amp; volume of item</t>
  </si>
  <si>
    <t xml:space="preserve">Food delivery </t>
  </si>
  <si>
    <t>Average number of daily moving requests</t>
  </si>
  <si>
    <t>Fee depends on time, distance of delivery</t>
  </si>
  <si>
    <t>Average number of daily waste disposal requests</t>
  </si>
  <si>
    <t>Total Revenues</t>
  </si>
  <si>
    <t>Fee paid to service providers</t>
  </si>
  <si>
    <t>General Manager/ Recruiting Officer</t>
  </si>
  <si>
    <t>COO/ Head Programmer</t>
  </si>
  <si>
    <t>Operations/ Quality Control Officer</t>
  </si>
  <si>
    <t>Customer Service Officer</t>
  </si>
  <si>
    <t>Marketing Officer</t>
  </si>
  <si>
    <t>Accountant/ Administrator</t>
  </si>
  <si>
    <t>Office rent</t>
  </si>
  <si>
    <t>Insurance cover</t>
  </si>
  <si>
    <t>Hardware maintenance</t>
  </si>
  <si>
    <t>Operating expenses (monthly)</t>
  </si>
  <si>
    <t>Third-party mobile application developer</t>
  </si>
  <si>
    <t>Mobile application software</t>
  </si>
  <si>
    <t>Hardware</t>
  </si>
  <si>
    <t>Laptops</t>
  </si>
  <si>
    <t>Printer</t>
  </si>
  <si>
    <t>Office expenses &amp; supplies (incl. printing facilities)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</si>
  <si>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</si>
  <si>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</si>
  <si>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</si>
  <si>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</si>
  <si>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</si>
  <si>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</si>
  <si>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</si>
  <si>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</si>
  <si>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</si>
  <si>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</si>
  <si>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</si>
  <si>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</si>
  <si>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of companies using Cursa</t>
  </si>
  <si>
    <t>Break Even Point (% on sales)</t>
  </si>
  <si>
    <t>Fixed (Admin) Cost (€)</t>
  </si>
  <si>
    <t>Sales (€)</t>
  </si>
  <si>
    <t>Break Even Point (€)</t>
  </si>
  <si>
    <t>ROE</t>
  </si>
  <si>
    <t xml:space="preserve">Net Income / Owner’s Equity </t>
  </si>
  <si>
    <t>ROI</t>
  </si>
  <si>
    <t xml:space="preserve">Net Income / Investment </t>
  </si>
  <si>
    <t>Current Assets / Current Liabilities x 100</t>
  </si>
  <si>
    <t>Quick Ratio (%)</t>
  </si>
  <si>
    <t>Current Assets – Inventory / Current Liabilities x 100</t>
  </si>
  <si>
    <t>Receivables Day Ratio (in days)</t>
  </si>
  <si>
    <t xml:space="preserve">Trade Receivables / Sales x 365 </t>
  </si>
  <si>
    <t>Payables Day Ratio (in days)</t>
  </si>
  <si>
    <t xml:space="preserve">Trade Payables / Gross Purchases x 365 </t>
  </si>
  <si>
    <t>Gross Profit Ratio (%)</t>
  </si>
  <si>
    <t xml:space="preserve">Gross Profit / Sales x 100 </t>
  </si>
  <si>
    <t>Operations Profit / Sales x 100</t>
  </si>
  <si>
    <t xml:space="preserve">Debt (LT+ST) / Equity      (&gt;1 = Bankruptcy)     </t>
  </si>
  <si>
    <t>Return on Equity (ROE):</t>
  </si>
  <si>
    <t xml:space="preserve">  Total Return (TR)</t>
  </si>
  <si>
    <t>TR / CI</t>
  </si>
  <si>
    <t>Debt to Equity Ratio:</t>
  </si>
  <si>
    <t>NP / E</t>
  </si>
  <si>
    <t xml:space="preserve">  Equity (E)</t>
  </si>
  <si>
    <t>TD / E</t>
  </si>
  <si>
    <t xml:space="preserve">Operating Profit Ratio (%) </t>
  </si>
  <si>
    <t>Return on Equity (ROE)</t>
  </si>
  <si>
    <t>Debt Ratio</t>
  </si>
  <si>
    <t>Current Ratio</t>
  </si>
  <si>
    <t>Debt to Equity Ratio</t>
  </si>
  <si>
    <t>Profitability Ratios</t>
  </si>
  <si>
    <t>Debt Ratios</t>
  </si>
  <si>
    <t>Liquidity Ratios</t>
  </si>
  <si>
    <t>Average fee per transaction</t>
  </si>
  <si>
    <t>Sales</t>
  </si>
  <si>
    <t>S/N</t>
  </si>
  <si>
    <t>Cost description</t>
  </si>
  <si>
    <t>Cost (Euros)</t>
  </si>
  <si>
    <t>Minimum</t>
  </si>
  <si>
    <t>Maximum</t>
  </si>
  <si>
    <t>Operating expenses</t>
  </si>
  <si>
    <t>Monthly</t>
  </si>
  <si>
    <t>Annual</t>
  </si>
  <si>
    <t>Total amount</t>
  </si>
  <si>
    <t>Marketing/advertising expenses (average)</t>
  </si>
  <si>
    <t>Contingencies (average)</t>
  </si>
  <si>
    <t>Basic</t>
  </si>
  <si>
    <t>Co's</t>
  </si>
  <si>
    <t>Fee</t>
  </si>
  <si>
    <t>Qty</t>
  </si>
  <si>
    <t>Courier services</t>
  </si>
  <si>
    <t>Category</t>
  </si>
  <si>
    <t>Telephone system</t>
  </si>
  <si>
    <t>Scenario</t>
  </si>
  <si>
    <t>€0 - €3</t>
  </si>
  <si>
    <t>Market range</t>
  </si>
  <si>
    <t>Estimated total number of companies using courier services</t>
  </si>
  <si>
    <t>Estimated number of restaurants offering delivery services</t>
  </si>
  <si>
    <t>€20 - €80</t>
  </si>
  <si>
    <t>€3 - €10</t>
  </si>
  <si>
    <t>Loan</t>
  </si>
  <si>
    <t>Equity</t>
  </si>
  <si>
    <t>Number of companies offering delivery services</t>
  </si>
  <si>
    <t>Average number of daily transactions (co's+individuals)</t>
  </si>
  <si>
    <t>Percentage increase in daily transactions</t>
  </si>
  <si>
    <t>Freight services</t>
  </si>
  <si>
    <t>Concierge services</t>
  </si>
  <si>
    <t>Food delivery</t>
  </si>
  <si>
    <t>Freight services - heavy items (&gt;70kg)</t>
  </si>
  <si>
    <t>Cursa Platform</t>
  </si>
  <si>
    <t>Subscription fees</t>
  </si>
  <si>
    <t>Number of service providers</t>
  </si>
  <si>
    <t xml:space="preserve">Monthly fee </t>
  </si>
  <si>
    <t>Zoho Books</t>
  </si>
  <si>
    <t>Hosting (web server, traffic, storage)</t>
  </si>
  <si>
    <t>Requests</t>
  </si>
  <si>
    <r>
      <t xml:space="preserve">iTranslate </t>
    </r>
    <r>
      <rPr>
        <i/>
        <sz val="9"/>
        <rFont val="Calibri"/>
        <family val="2"/>
        <scheme val="minor"/>
      </rPr>
      <t>($15 per million characters per month)</t>
    </r>
  </si>
  <si>
    <t>Other expenses</t>
  </si>
  <si>
    <t>Google Maps (variable above 1000 requests)</t>
  </si>
  <si>
    <t>User Interface (UI) Design - IOS, Android, Web</t>
  </si>
  <si>
    <t>Corporate logistics services</t>
  </si>
  <si>
    <t>Senior Developer</t>
  </si>
  <si>
    <t>CTO/COO</t>
  </si>
  <si>
    <t>Figma design</t>
  </si>
  <si>
    <t>Branding</t>
  </si>
  <si>
    <t>Special marketing activities</t>
  </si>
  <si>
    <t>Introduction fee</t>
  </si>
  <si>
    <t>on gross profit (fee minus service provider fee)</t>
  </si>
  <si>
    <t>Operations and revenues to start in month 11</t>
  </si>
  <si>
    <t>AWS</t>
  </si>
  <si>
    <t>Google</t>
  </si>
  <si>
    <t>Credit</t>
  </si>
  <si>
    <t>2. Google credit of 200 is provided, no questions asked</t>
  </si>
  <si>
    <t>1. Assumming no sales to limited sales for year 2 (30 per day = 1000 month)</t>
  </si>
  <si>
    <t>YEAR2</t>
  </si>
  <si>
    <t>YEAR3</t>
  </si>
  <si>
    <t>Per month</t>
  </si>
  <si>
    <t>https://termly.io/pricing/ for compliance</t>
  </si>
  <si>
    <t>2fa https://www.typingdna.com/pricing/auth-api</t>
  </si>
  <si>
    <t>Per user per month, up to 10 authentications</t>
  </si>
  <si>
    <t>Per request</t>
  </si>
  <si>
    <t>twilo web/app calling https://www.twilio.com/en-us/voice/pricing/us</t>
  </si>
  <si>
    <t>Per minute</t>
  </si>
  <si>
    <t>twilo 2-way messaging https://www.twilio.com/en-us/messaging/pricing/conversations-api</t>
  </si>
  <si>
    <t>Per user per month</t>
  </si>
  <si>
    <t>5000 images</t>
  </si>
  <si>
    <t>social login https://auth0.com/pricing</t>
  </si>
  <si>
    <t>https://quickblox.com/pricing/ for chat, push notification, voip</t>
  </si>
  <si>
    <t>4.33 payments per month</t>
  </si>
  <si>
    <t>Twilo Verify user authentication https://www.twilio.com/en-us/trusted-activation/verify</t>
  </si>
  <si>
    <t>https://surepass.io/video-kyc/ (for withdrawls more than X amount of money)</t>
  </si>
  <si>
    <t>Realtime Graphs, charts, locations and push notification https://pusher.com/channels/pricing/</t>
  </si>
  <si>
    <t>Chatbot https://livechatai.com/pricing</t>
  </si>
  <si>
    <t>google analytics</t>
  </si>
  <si>
    <t>Wire Payment fee  https://assets-global.website-files.com/63b43f001c7774d38d5f3a2d/648327ae40565db854879cab_20220530%20-%20Pricing%20Sheet%20EN-EN.pdf</t>
  </si>
  <si>
    <t>George, see bunq pricing</t>
  </si>
  <si>
    <t>2.5% + €0.25</t>
  </si>
  <si>
    <t>Stripe (Receive Payments)</t>
  </si>
  <si>
    <r>
      <t>Customer Service Officer (</t>
    </r>
    <r>
      <rPr>
        <b/>
        <sz val="11"/>
        <rFont val="Calibri"/>
        <family val="2"/>
        <scheme val="minor"/>
      </rPr>
      <t>Egypt based</t>
    </r>
    <r>
      <rPr>
        <sz val="11"/>
        <rFont val="Calibri"/>
        <family val="2"/>
        <scheme val="minor"/>
      </rPr>
      <t>)</t>
    </r>
  </si>
  <si>
    <r>
      <t>Accountant/ Administrator (</t>
    </r>
    <r>
      <rPr>
        <b/>
        <sz val="11"/>
        <rFont val="Calibri"/>
        <family val="2"/>
        <scheme val="minor"/>
      </rPr>
      <t>Egypt based</t>
    </r>
    <r>
      <rPr>
        <sz val="11"/>
        <rFont val="Calibri"/>
        <family val="2"/>
        <scheme val="minor"/>
      </rPr>
      <t>)</t>
    </r>
  </si>
  <si>
    <t>Licence/ software fees (Fixed Expenses)</t>
  </si>
  <si>
    <t>Google Maps</t>
  </si>
  <si>
    <t>Support desk https://www.freshworks.com/freshdesk/pricing/</t>
  </si>
  <si>
    <t>3. AWS credit up to $100,000 -- assuming 1200 credit for year 3</t>
  </si>
  <si>
    <t>3. AWS credit up to $100,000 -- assuming 1200 credit for year 2</t>
  </si>
  <si>
    <t>Photo Size Reduction https://picwish.com/pricing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</si>
</sst>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_-* #,##0.00\ _Δ_ρ_χ_-;\-* #,##0.00\ _Δ_ρ_χ_-;_-* &quot;-&quot;??\ _Δ_ρ_χ_-;_-@_-"/>
    <numFmt numFmtId="165" formatCode="0.0%"/>
    <numFmt numFmtId="166" formatCode="#,##0_ ;[Red]\-#,##0\ "/>
    <numFmt numFmtId="167" formatCode="#,##0.00;\(#,##0.00\);&quot;-&quot;"/>
    <numFmt numFmtId="168" formatCode="[$€-2]\ #,##0;[Red]\-[$€-2]\ #,##0"/>
    <numFmt numFmtId="169" formatCode="[$$-409]#,##0_ ;[Red]\-[$$-409]#,##0\ "/>
    <numFmt numFmtId="170" formatCode="\$#,##0\ ;[Red]\(\$#,##0\)"/>
    <numFmt numFmtId="171" formatCode="\€\ #,##0\ ;[Red]\(\€\ #,##0\)"/>
    <numFmt numFmtId="172" formatCode="#,##0;[Red]\(#,##0\)"/>
    <numFmt numFmtId="173" formatCode="#,##0\ ;[Red]\(#,##0\)"/>
    <numFmt numFmtId="174" formatCode="\€\ #,##0.00\ ;[Red]\(\€\ #,##0.00\)"/>
    <numFmt numFmtId="175" formatCode="#,##0\ ;[Red]\-#,##0\ "/>
    <numFmt numFmtId="176" formatCode="_-* #,##0_-;\-* #,##0_-;_-* &quot;-&quot;??_-;_-@_-"/>
    <numFmt numFmtId="177" formatCode="#,##0.00\ ;[Red]\(#,##0.00\)"/>
    <numFmt numFmtId="178" formatCode="0.0"/>
    <numFmt numFmtId="179" formatCode="\$\ #,##0\ ;[Red]\(\$\ #,##0\)"/>
    <numFmt numFmtId="180" formatCode="[$€-2]\ #,##0.00"/>
    <numFmt numFmtId="181" formatCode="[$€-2]\ #,##0"/>
    <numFmt numFmtId="182" formatCode="\$\ #,##0.00\ ;[Red]\(\$\ #,##0.00\)"/>
    <numFmt numFmtId="183" formatCode="_-[$$-409]* #,##0.00_ ;_-[$$-409]* \-#,##0.00\ ;_-[$$-409]* &quot;-&quot;??_ ;_-@_ "/>
    <numFmt numFmtId="184" formatCode="_-[$$-409]* #,##0.0000_ ;_-[$$-409]* \-#,##0.0000\ ;_-[$$-409]* &quot;-&quot;??_ ;_-@_ "/>
  </numFmts>
  <fonts count="41" x14ac:knownFonts="1">
    <font>
      <sz val="10"/>
      <name val="Arial"/>
      <charset val="16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charset val="161"/>
    </font>
    <font>
      <b/>
      <sz val="14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u/>
      <sz val="14"/>
      <name val="Arial"/>
      <family val="2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12"/>
      <name val="Calibri"/>
      <family val="2"/>
      <scheme val="minor"/>
    </font>
    <font>
      <b/>
      <i/>
      <sz val="11"/>
      <color indexed="12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indexed="44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1"/>
      <name val="Calibri"/>
      <family val="2"/>
    </font>
    <font>
      <i/>
      <sz val="9"/>
      <name val="Calibri"/>
      <family val="2"/>
      <scheme val="minor"/>
    </font>
    <font>
      <i/>
      <u/>
      <sz val="11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</cellStyleXfs>
  <cellXfs count="59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4" fillId="0" borderId="0" xfId="0" applyNumberFormat="1" applyFont="1"/>
    <xf numFmtId="2" fontId="4" fillId="0" borderId="0" xfId="0" applyNumberFormat="1" applyFont="1"/>
    <xf numFmtId="10" fontId="4" fillId="0" borderId="0" xfId="3" applyNumberFormat="1" applyFont="1"/>
    <xf numFmtId="2" fontId="5" fillId="0" borderId="0" xfId="0" applyNumberFormat="1" applyFont="1"/>
    <xf numFmtId="9" fontId="5" fillId="0" borderId="0" xfId="0" applyNumberFormat="1" applyFont="1"/>
    <xf numFmtId="0" fontId="5" fillId="5" borderId="3" xfId="0" applyFont="1" applyFill="1" applyBorder="1" applyAlignment="1">
      <alignment horizontal="centerContinuous"/>
    </xf>
    <xf numFmtId="0" fontId="5" fillId="5" borderId="4" xfId="0" applyFont="1" applyFill="1" applyBorder="1" applyAlignment="1">
      <alignment horizontal="centerContinuous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5" fillId="6" borderId="4" xfId="0" applyFont="1" applyFill="1" applyBorder="1"/>
    <xf numFmtId="0" fontId="5" fillId="0" borderId="0" xfId="0" applyFont="1" applyAlignment="1">
      <alignment horizontal="justify"/>
    </xf>
    <xf numFmtId="0" fontId="6" fillId="6" borderId="5" xfId="0" applyFont="1" applyFill="1" applyBorder="1" applyAlignment="1">
      <alignment vertical="center"/>
    </xf>
    <xf numFmtId="0" fontId="5" fillId="4" borderId="0" xfId="0" applyFont="1" applyFill="1"/>
    <xf numFmtId="0" fontId="7" fillId="4" borderId="0" xfId="0" applyFont="1" applyFill="1"/>
    <xf numFmtId="0" fontId="7" fillId="0" borderId="0" xfId="0" applyFont="1"/>
    <xf numFmtId="0" fontId="11" fillId="0" borderId="0" xfId="0" applyFont="1"/>
    <xf numFmtId="174" fontId="5" fillId="0" borderId="0" xfId="0" applyNumberFormat="1" applyFont="1"/>
    <xf numFmtId="173" fontId="5" fillId="0" borderId="0" xfId="0" applyNumberFormat="1" applyFont="1"/>
    <xf numFmtId="171" fontId="5" fillId="0" borderId="0" xfId="0" applyNumberFormat="1" applyFont="1"/>
    <xf numFmtId="171" fontId="10" fillId="0" borderId="0" xfId="0" applyNumberFormat="1" applyFont="1"/>
    <xf numFmtId="0" fontId="5" fillId="5" borderId="0" xfId="0" applyFont="1" applyFill="1" applyAlignment="1">
      <alignment horizontal="centerContinuous"/>
    </xf>
    <xf numFmtId="0" fontId="9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3" fillId="4" borderId="0" xfId="0" applyFont="1" applyFill="1"/>
    <xf numFmtId="0" fontId="15" fillId="0" borderId="0" xfId="0" applyFont="1"/>
    <xf numFmtId="0" fontId="13" fillId="0" borderId="0" xfId="0" applyFont="1"/>
    <xf numFmtId="0" fontId="13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13" fillId="0" borderId="0" xfId="0" applyFont="1" applyAlignment="1">
      <alignment horizontal="center"/>
    </xf>
    <xf numFmtId="0" fontId="13" fillId="5" borderId="5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5" fillId="4" borderId="0" xfId="0" applyFont="1" applyFill="1"/>
    <xf numFmtId="0" fontId="17" fillId="0" borderId="0" xfId="0" applyFont="1"/>
    <xf numFmtId="171" fontId="17" fillId="0" borderId="0" xfId="0" applyNumberFormat="1" applyFont="1"/>
    <xf numFmtId="0" fontId="18" fillId="0" borderId="0" xfId="0" applyFont="1"/>
    <xf numFmtId="171" fontId="18" fillId="0" borderId="0" xfId="0" applyNumberFormat="1" applyFont="1"/>
    <xf numFmtId="0" fontId="13" fillId="6" borderId="5" xfId="0" applyFont="1" applyFill="1" applyBorder="1" applyAlignment="1">
      <alignment vertical="center"/>
    </xf>
    <xf numFmtId="0" fontId="15" fillId="6" borderId="3" xfId="0" applyFont="1" applyFill="1" applyBorder="1"/>
    <xf numFmtId="0" fontId="16" fillId="0" borderId="0" xfId="0" applyFont="1"/>
    <xf numFmtId="2" fontId="15" fillId="0" borderId="0" xfId="0" applyNumberFormat="1" applyFont="1"/>
    <xf numFmtId="10" fontId="15" fillId="0" borderId="0" xfId="3" applyNumberFormat="1" applyFont="1"/>
    <xf numFmtId="171" fontId="15" fillId="0" borderId="0" xfId="0" applyNumberFormat="1" applyFont="1"/>
    <xf numFmtId="0" fontId="19" fillId="0" borderId="0" xfId="0" applyFont="1" applyAlignment="1">
      <alignment horizontal="centerContinuous"/>
    </xf>
    <xf numFmtId="0" fontId="19" fillId="0" borderId="0" xfId="0" applyFont="1"/>
    <xf numFmtId="0" fontId="20" fillId="0" borderId="0" xfId="0" applyFont="1" applyAlignment="1">
      <alignment horizontal="centerContinuous"/>
    </xf>
    <xf numFmtId="173" fontId="15" fillId="0" borderId="0" xfId="0" applyNumberFormat="1" applyFont="1"/>
    <xf numFmtId="0" fontId="13" fillId="0" borderId="0" xfId="0" applyFont="1" applyAlignment="1">
      <alignment horizontal="centerContinuous" vertical="center"/>
    </xf>
    <xf numFmtId="0" fontId="15" fillId="0" borderId="0" xfId="0" applyFont="1" applyAlignment="1">
      <alignment horizontal="centerContinuous" vertical="center"/>
    </xf>
    <xf numFmtId="0" fontId="22" fillId="0" borderId="0" xfId="0" applyFont="1"/>
    <xf numFmtId="0" fontId="19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Continuous" vertical="center"/>
    </xf>
    <xf numFmtId="173" fontId="21" fillId="0" borderId="0" xfId="0" applyNumberFormat="1" applyFont="1" applyAlignment="1">
      <alignment horizontal="center"/>
    </xf>
    <xf numFmtId="0" fontId="15" fillId="6" borderId="4" xfId="0" applyFont="1" applyFill="1" applyBorder="1"/>
    <xf numFmtId="170" fontId="15" fillId="0" borderId="0" xfId="0" applyNumberFormat="1" applyFont="1"/>
    <xf numFmtId="165" fontId="15" fillId="0" borderId="0" xfId="0" applyNumberFormat="1" applyFont="1"/>
    <xf numFmtId="9" fontId="15" fillId="0" borderId="0" xfId="0" applyNumberFormat="1" applyFont="1"/>
    <xf numFmtId="10" fontId="15" fillId="0" borderId="0" xfId="3" applyNumberFormat="1" applyFont="1" applyFill="1"/>
    <xf numFmtId="173" fontId="15" fillId="14" borderId="0" xfId="0" applyNumberFormat="1" applyFont="1" applyFill="1"/>
    <xf numFmtId="173" fontId="15" fillId="14" borderId="0" xfId="3" applyNumberFormat="1" applyFont="1" applyFill="1"/>
    <xf numFmtId="173" fontId="15" fillId="0" borderId="0" xfId="3" applyNumberFormat="1" applyFont="1" applyFill="1"/>
    <xf numFmtId="173" fontId="17" fillId="0" borderId="0" xfId="0" applyNumberFormat="1" applyFont="1"/>
    <xf numFmtId="0" fontId="13" fillId="5" borderId="4" xfId="0" applyFont="1" applyFill="1" applyBorder="1" applyAlignment="1">
      <alignment horizontal="center" vertical="center"/>
    </xf>
    <xf numFmtId="0" fontId="13" fillId="6" borderId="5" xfId="0" applyFont="1" applyFill="1" applyBorder="1"/>
    <xf numFmtId="3" fontId="15" fillId="0" borderId="0" xfId="0" applyNumberFormat="1" applyFont="1"/>
    <xf numFmtId="3" fontId="13" fillId="0" borderId="0" xfId="0" applyNumberFormat="1" applyFont="1"/>
    <xf numFmtId="10" fontId="13" fillId="0" borderId="0" xfId="3" applyNumberFormat="1" applyFont="1" applyAlignment="1">
      <alignment horizontal="center"/>
    </xf>
    <xf numFmtId="0" fontId="13" fillId="6" borderId="8" xfId="0" applyFont="1" applyFill="1" applyBorder="1"/>
    <xf numFmtId="0" fontId="15" fillId="6" borderId="6" xfId="0" applyFont="1" applyFill="1" applyBorder="1"/>
    <xf numFmtId="3" fontId="15" fillId="6" borderId="10" xfId="0" applyNumberFormat="1" applyFont="1" applyFill="1" applyBorder="1"/>
    <xf numFmtId="0" fontId="15" fillId="0" borderId="8" xfId="0" applyFont="1" applyBorder="1"/>
    <xf numFmtId="0" fontId="15" fillId="0" borderId="6" xfId="0" applyFont="1" applyBorder="1"/>
    <xf numFmtId="175" fontId="15" fillId="0" borderId="6" xfId="0" applyNumberFormat="1" applyFont="1" applyBorder="1"/>
    <xf numFmtId="0" fontId="15" fillId="4" borderId="7" xfId="0" applyFont="1" applyFill="1" applyBorder="1"/>
    <xf numFmtId="175" fontId="15" fillId="4" borderId="0" xfId="0" applyNumberFormat="1" applyFont="1" applyFill="1"/>
    <xf numFmtId="0" fontId="15" fillId="0" borderId="7" xfId="0" applyFont="1" applyBorder="1"/>
    <xf numFmtId="175" fontId="15" fillId="0" borderId="0" xfId="0" applyNumberFormat="1" applyFont="1"/>
    <xf numFmtId="0" fontId="13" fillId="2" borderId="7" xfId="0" applyFont="1" applyFill="1" applyBorder="1"/>
    <xf numFmtId="0" fontId="13" fillId="2" borderId="0" xfId="0" applyFont="1" applyFill="1"/>
    <xf numFmtId="175" fontId="13" fillId="2" borderId="0" xfId="0" applyNumberFormat="1" applyFont="1" applyFill="1"/>
    <xf numFmtId="0" fontId="13" fillId="0" borderId="7" xfId="0" applyFont="1" applyBorder="1"/>
    <xf numFmtId="175" fontId="13" fillId="0" borderId="0" xfId="0" applyNumberFormat="1" applyFont="1"/>
    <xf numFmtId="175" fontId="13" fillId="0" borderId="0" xfId="3" applyNumberFormat="1" applyFont="1" applyBorder="1"/>
    <xf numFmtId="0" fontId="13" fillId="2" borderId="9" xfId="0" applyFont="1" applyFill="1" applyBorder="1"/>
    <xf numFmtId="0" fontId="13" fillId="2" borderId="2" xfId="0" applyFont="1" applyFill="1" applyBorder="1"/>
    <xf numFmtId="175" fontId="13" fillId="2" borderId="2" xfId="0" applyNumberFormat="1" applyFont="1" applyFill="1" applyBorder="1"/>
    <xf numFmtId="0" fontId="24" fillId="0" borderId="0" xfId="0" applyFont="1"/>
    <xf numFmtId="0" fontId="25" fillId="0" borderId="0" xfId="0" applyFont="1"/>
    <xf numFmtId="0" fontId="2" fillId="0" borderId="0" xfId="0" applyFont="1"/>
    <xf numFmtId="180" fontId="23" fillId="0" borderId="0" xfId="0" applyNumberFormat="1" applyFont="1" applyAlignment="1">
      <alignment horizontal="center"/>
    </xf>
    <xf numFmtId="173" fontId="13" fillId="0" borderId="0" xfId="0" applyNumberFormat="1" applyFont="1"/>
    <xf numFmtId="181" fontId="15" fillId="0" borderId="0" xfId="0" applyNumberFormat="1" applyFont="1"/>
    <xf numFmtId="181" fontId="15" fillId="0" borderId="2" xfId="0" applyNumberFormat="1" applyFont="1" applyBorder="1"/>
    <xf numFmtId="181" fontId="18" fillId="0" borderId="0" xfId="0" applyNumberFormat="1" applyFont="1"/>
    <xf numFmtId="0" fontId="13" fillId="0" borderId="5" xfId="0" applyFont="1" applyBorder="1"/>
    <xf numFmtId="181" fontId="13" fillId="0" borderId="4" xfId="0" applyNumberFormat="1" applyFont="1" applyBorder="1"/>
    <xf numFmtId="0" fontId="13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27" fillId="0" borderId="0" xfId="0" quotePrefix="1" applyFont="1"/>
    <xf numFmtId="173" fontId="16" fillId="0" borderId="0" xfId="0" applyNumberFormat="1" applyFont="1"/>
    <xf numFmtId="165" fontId="15" fillId="14" borderId="0" xfId="0" applyNumberFormat="1" applyFont="1" applyFill="1"/>
    <xf numFmtId="9" fontId="15" fillId="14" borderId="0" xfId="0" applyNumberFormat="1" applyFont="1" applyFill="1"/>
    <xf numFmtId="10" fontId="17" fillId="0" borderId="0" xfId="3" applyNumberFormat="1" applyFont="1" applyFill="1"/>
    <xf numFmtId="0" fontId="17" fillId="0" borderId="0" xfId="0" applyFont="1" applyAlignment="1">
      <alignment horizontal="center"/>
    </xf>
    <xf numFmtId="166" fontId="13" fillId="2" borderId="1" xfId="0" applyNumberFormat="1" applyFont="1" applyFill="1" applyBorder="1" applyAlignment="1">
      <alignment horizontal="center"/>
    </xf>
    <xf numFmtId="10" fontId="29" fillId="0" borderId="0" xfId="0" applyNumberFormat="1" applyFont="1"/>
    <xf numFmtId="166" fontId="15" fillId="0" borderId="0" xfId="0" applyNumberFormat="1" applyFont="1"/>
    <xf numFmtId="169" fontId="15" fillId="0" borderId="0" xfId="0" applyNumberFormat="1" applyFont="1"/>
    <xf numFmtId="179" fontId="15" fillId="0" borderId="0" xfId="0" applyNumberFormat="1" applyFont="1"/>
    <xf numFmtId="168" fontId="15" fillId="0" borderId="0" xfId="0" applyNumberFormat="1" applyFont="1"/>
    <xf numFmtId="165" fontId="30" fillId="0" borderId="1" xfId="3" applyNumberFormat="1" applyFont="1" applyBorder="1" applyAlignment="1">
      <alignment horizontal="center"/>
    </xf>
    <xf numFmtId="166" fontId="15" fillId="0" borderId="1" xfId="0" applyNumberFormat="1" applyFont="1" applyBorder="1"/>
    <xf numFmtId="0" fontId="16" fillId="0" borderId="0" xfId="0" applyFont="1" applyAlignment="1">
      <alignment horizontal="centerContinuous" vertical="center"/>
    </xf>
    <xf numFmtId="10" fontId="13" fillId="0" borderId="5" xfId="0" applyNumberFormat="1" applyFont="1" applyBorder="1" applyAlignment="1">
      <alignment horizontal="center"/>
    </xf>
    <xf numFmtId="166" fontId="15" fillId="0" borderId="0" xfId="0" applyNumberFormat="1" applyFont="1" applyAlignment="1">
      <alignment horizontal="left"/>
    </xf>
    <xf numFmtId="166" fontId="29" fillId="4" borderId="0" xfId="0" applyNumberFormat="1" applyFont="1" applyFill="1" applyAlignment="1">
      <alignment horizontal="center"/>
    </xf>
    <xf numFmtId="10" fontId="29" fillId="4" borderId="0" xfId="3" applyNumberFormat="1" applyFont="1" applyFill="1" applyAlignment="1">
      <alignment horizontal="center"/>
    </xf>
    <xf numFmtId="166" fontId="15" fillId="0" borderId="2" xfId="0" applyNumberFormat="1" applyFont="1" applyBorder="1" applyAlignment="1">
      <alignment horizontal="left"/>
    </xf>
    <xf numFmtId="166" fontId="31" fillId="0" borderId="0" xfId="0" applyNumberFormat="1" applyFont="1" applyAlignment="1">
      <alignment horizontal="center"/>
    </xf>
    <xf numFmtId="166" fontId="13" fillId="0" borderId="0" xfId="0" applyNumberFormat="1" applyFont="1" applyAlignment="1">
      <alignment horizontal="left"/>
    </xf>
    <xf numFmtId="166" fontId="13" fillId="0" borderId="0" xfId="0" applyNumberFormat="1" applyFont="1"/>
    <xf numFmtId="166" fontId="15" fillId="0" borderId="2" xfId="0" applyNumberFormat="1" applyFont="1" applyBorder="1" applyAlignment="1">
      <alignment horizontal="left" indent="1"/>
    </xf>
    <xf numFmtId="166" fontId="29" fillId="0" borderId="0" xfId="0" applyNumberFormat="1" applyFont="1"/>
    <xf numFmtId="166" fontId="15" fillId="0" borderId="0" xfId="0" applyNumberFormat="1" applyFont="1" applyAlignment="1">
      <alignment horizontal="left" indent="1"/>
    </xf>
    <xf numFmtId="166" fontId="13" fillId="0" borderId="3" xfId="0" applyNumberFormat="1" applyFont="1" applyBorder="1" applyAlignment="1">
      <alignment horizontal="left"/>
    </xf>
    <xf numFmtId="0" fontId="16" fillId="0" borderId="0" xfId="0" applyFont="1" applyAlignment="1">
      <alignment horizontal="centerContinuous"/>
    </xf>
    <xf numFmtId="171" fontId="13" fillId="0" borderId="0" xfId="0" applyNumberFormat="1" applyFont="1"/>
    <xf numFmtId="9" fontId="15" fillId="0" borderId="0" xfId="3" applyFont="1"/>
    <xf numFmtId="171" fontId="15" fillId="0" borderId="2" xfId="0" applyNumberFormat="1" applyFont="1" applyBorder="1"/>
    <xf numFmtId="171" fontId="15" fillId="0" borderId="0" xfId="3" applyNumberFormat="1" applyFont="1"/>
    <xf numFmtId="9" fontId="15" fillId="3" borderId="0" xfId="0" applyNumberFormat="1" applyFont="1" applyFill="1"/>
    <xf numFmtId="166" fontId="13" fillId="0" borderId="0" xfId="0" applyNumberFormat="1" applyFont="1" applyAlignment="1">
      <alignment horizontal="center"/>
    </xf>
    <xf numFmtId="173" fontId="13" fillId="0" borderId="3" xfId="0" applyNumberFormat="1" applyFont="1" applyBorder="1"/>
    <xf numFmtId="166" fontId="15" fillId="0" borderId="0" xfId="0" applyNumberFormat="1" applyFont="1" applyAlignment="1">
      <alignment horizontal="left" indent="2"/>
    </xf>
    <xf numFmtId="173" fontId="13" fillId="0" borderId="6" xfId="0" applyNumberFormat="1" applyFont="1" applyBorder="1"/>
    <xf numFmtId="173" fontId="13" fillId="0" borderId="16" xfId="0" applyNumberFormat="1" applyFont="1" applyBorder="1"/>
    <xf numFmtId="166" fontId="18" fillId="0" borderId="0" xfId="0" applyNumberFormat="1" applyFont="1" applyAlignment="1">
      <alignment horizontal="left"/>
    </xf>
    <xf numFmtId="9" fontId="30" fillId="0" borderId="0" xfId="3" applyFont="1" applyAlignment="1">
      <alignment horizontal="center"/>
    </xf>
    <xf numFmtId="173" fontId="13" fillId="0" borderId="0" xfId="0" applyNumberFormat="1" applyFont="1" applyAlignment="1">
      <alignment horizontal="center"/>
    </xf>
    <xf numFmtId="166" fontId="22" fillId="0" borderId="0" xfId="0" applyNumberFormat="1" applyFont="1"/>
    <xf numFmtId="166" fontId="17" fillId="0" borderId="0" xfId="0" applyNumberFormat="1" applyFont="1"/>
    <xf numFmtId="173" fontId="15" fillId="0" borderId="3" xfId="0" applyNumberFormat="1" applyFont="1" applyBorder="1"/>
    <xf numFmtId="38" fontId="15" fillId="0" borderId="0" xfId="0" applyNumberFormat="1" applyFont="1" applyAlignment="1">
      <alignment horizontal="left" indent="1"/>
    </xf>
    <xf numFmtId="38" fontId="15" fillId="0" borderId="0" xfId="0" applyNumberFormat="1" applyFont="1"/>
    <xf numFmtId="166" fontId="13" fillId="4" borderId="5" xfId="0" applyNumberFormat="1" applyFont="1" applyFill="1" applyBorder="1"/>
    <xf numFmtId="166" fontId="13" fillId="4" borderId="3" xfId="0" applyNumberFormat="1" applyFont="1" applyFill="1" applyBorder="1"/>
    <xf numFmtId="9" fontId="13" fillId="4" borderId="3" xfId="3" applyFont="1" applyFill="1" applyBorder="1"/>
    <xf numFmtId="171" fontId="13" fillId="0" borderId="6" xfId="0" applyNumberFormat="1" applyFont="1" applyBorder="1"/>
    <xf numFmtId="171" fontId="13" fillId="0" borderId="2" xfId="0" applyNumberFormat="1" applyFont="1" applyBorder="1"/>
    <xf numFmtId="171" fontId="15" fillId="0" borderId="3" xfId="0" applyNumberFormat="1" applyFont="1" applyBorder="1"/>
    <xf numFmtId="171" fontId="29" fillId="4" borderId="0" xfId="0" applyNumberFormat="1" applyFont="1" applyFill="1" applyAlignment="1">
      <alignment horizontal="center"/>
    </xf>
    <xf numFmtId="171" fontId="15" fillId="0" borderId="5" xfId="0" applyNumberFormat="1" applyFont="1" applyBorder="1"/>
    <xf numFmtId="0" fontId="32" fillId="0" borderId="0" xfId="0" applyFont="1" applyAlignment="1">
      <alignment horizontal="centerContinuous"/>
    </xf>
    <xf numFmtId="0" fontId="15" fillId="0" borderId="0" xfId="0" applyFont="1" applyAlignment="1">
      <alignment horizontal="center"/>
    </xf>
    <xf numFmtId="171" fontId="13" fillId="0" borderId="3" xfId="0" applyNumberFormat="1" applyFont="1" applyBorder="1"/>
    <xf numFmtId="171" fontId="13" fillId="0" borderId="16" xfId="0" applyNumberFormat="1" applyFont="1" applyBorder="1"/>
    <xf numFmtId="167" fontId="13" fillId="0" borderId="0" xfId="1" applyNumberFormat="1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10" fontId="17" fillId="0" borderId="0" xfId="3" applyNumberFormat="1" applyFont="1"/>
    <xf numFmtId="0" fontId="13" fillId="6" borderId="11" xfId="0" applyFont="1" applyFill="1" applyBorder="1" applyAlignment="1">
      <alignment vertical="center"/>
    </xf>
    <xf numFmtId="0" fontId="16" fillId="6" borderId="8" xfId="0" applyFont="1" applyFill="1" applyBorder="1" applyAlignment="1">
      <alignment horizontal="right" vertical="center"/>
    </xf>
    <xf numFmtId="0" fontId="16" fillId="6" borderId="6" xfId="0" applyFont="1" applyFill="1" applyBorder="1" applyAlignment="1">
      <alignment horizontal="right" vertical="center"/>
    </xf>
    <xf numFmtId="0" fontId="13" fillId="6" borderId="12" xfId="0" applyFont="1" applyFill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171" fontId="13" fillId="6" borderId="7" xfId="0" applyNumberFormat="1" applyFont="1" applyFill="1" applyBorder="1" applyAlignment="1">
      <alignment horizontal="right"/>
    </xf>
    <xf numFmtId="171" fontId="13" fillId="6" borderId="0" xfId="0" applyNumberFormat="1" applyFont="1" applyFill="1" applyAlignment="1">
      <alignment horizontal="right"/>
    </xf>
    <xf numFmtId="171" fontId="13" fillId="6" borderId="9" xfId="0" applyNumberFormat="1" applyFont="1" applyFill="1" applyBorder="1" applyAlignment="1">
      <alignment horizontal="right"/>
    </xf>
    <xf numFmtId="171" fontId="13" fillId="6" borderId="2" xfId="0" applyNumberFormat="1" applyFont="1" applyFill="1" applyBorder="1" applyAlignment="1">
      <alignment horizontal="right"/>
    </xf>
    <xf numFmtId="0" fontId="26" fillId="0" borderId="0" xfId="0" applyFont="1" applyAlignment="1">
      <alignment horizontal="centerContinuous" vertical="center"/>
    </xf>
    <xf numFmtId="0" fontId="15" fillId="0" borderId="0" xfId="2" applyFont="1"/>
    <xf numFmtId="172" fontId="15" fillId="0" borderId="0" xfId="0" applyNumberFormat="1" applyFont="1"/>
    <xf numFmtId="0" fontId="31" fillId="0" borderId="0" xfId="0" applyFont="1"/>
    <xf numFmtId="177" fontId="13" fillId="0" borderId="0" xfId="0" applyNumberFormat="1" applyFont="1"/>
    <xf numFmtId="172" fontId="31" fillId="9" borderId="0" xfId="0" applyNumberFormat="1" applyFont="1" applyFill="1"/>
    <xf numFmtId="172" fontId="15" fillId="9" borderId="0" xfId="0" applyNumberFormat="1" applyFont="1" applyFill="1"/>
    <xf numFmtId="2" fontId="31" fillId="0" borderId="0" xfId="0" applyNumberFormat="1" applyFont="1"/>
    <xf numFmtId="176" fontId="15" fillId="9" borderId="0" xfId="1" applyNumberFormat="1" applyFont="1" applyFill="1" applyBorder="1"/>
    <xf numFmtId="0" fontId="15" fillId="0" borderId="0" xfId="0" applyFont="1" applyAlignment="1">
      <alignment horizontal="right"/>
    </xf>
    <xf numFmtId="1" fontId="15" fillId="0" borderId="0" xfId="0" applyNumberFormat="1" applyFont="1"/>
    <xf numFmtId="171" fontId="15" fillId="0" borderId="0" xfId="2" applyNumberFormat="1" applyFont="1"/>
    <xf numFmtId="10" fontId="13" fillId="0" borderId="0" xfId="3" applyNumberFormat="1" applyFont="1" applyBorder="1"/>
    <xf numFmtId="171" fontId="15" fillId="12" borderId="0" xfId="0" applyNumberFormat="1" applyFont="1" applyFill="1"/>
    <xf numFmtId="171" fontId="31" fillId="0" borderId="0" xfId="0" applyNumberFormat="1" applyFont="1"/>
    <xf numFmtId="0" fontId="13" fillId="6" borderId="4" xfId="0" applyFont="1" applyFill="1" applyBorder="1"/>
    <xf numFmtId="0" fontId="13" fillId="7" borderId="8" xfId="0" applyFont="1" applyFill="1" applyBorder="1" applyAlignment="1">
      <alignment vertical="center"/>
    </xf>
    <xf numFmtId="0" fontId="13" fillId="7" borderId="6" xfId="0" applyFont="1" applyFill="1" applyBorder="1" applyAlignment="1">
      <alignment vertical="center"/>
    </xf>
    <xf numFmtId="0" fontId="15" fillId="7" borderId="6" xfId="0" applyFont="1" applyFill="1" applyBorder="1" applyAlignment="1">
      <alignment vertical="center"/>
    </xf>
    <xf numFmtId="0" fontId="13" fillId="7" borderId="7" xfId="0" applyFont="1" applyFill="1" applyBorder="1" applyAlignment="1">
      <alignment vertical="center"/>
    </xf>
    <xf numFmtId="0" fontId="13" fillId="7" borderId="0" xfId="0" applyFont="1" applyFill="1" applyAlignment="1">
      <alignment vertical="center"/>
    </xf>
    <xf numFmtId="0" fontId="15" fillId="7" borderId="0" xfId="0" applyFont="1" applyFill="1" applyAlignment="1">
      <alignment vertical="center"/>
    </xf>
    <xf numFmtId="10" fontId="13" fillId="15" borderId="7" xfId="3" applyNumberFormat="1" applyFont="1" applyFill="1" applyBorder="1" applyAlignment="1">
      <alignment horizontal="right" vertical="center" indent="1"/>
    </xf>
    <xf numFmtId="9" fontId="13" fillId="15" borderId="7" xfId="3" applyFont="1" applyFill="1" applyBorder="1" applyAlignment="1">
      <alignment horizontal="right" vertical="center" indent="1"/>
    </xf>
    <xf numFmtId="173" fontId="13" fillId="15" borderId="7" xfId="0" applyNumberFormat="1" applyFont="1" applyFill="1" applyBorder="1" applyAlignment="1">
      <alignment horizontal="right" vertical="center" indent="1"/>
    </xf>
    <xf numFmtId="0" fontId="13" fillId="7" borderId="9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/>
    </xf>
    <xf numFmtId="9" fontId="13" fillId="15" borderId="9" xfId="3" applyFont="1" applyFill="1" applyBorder="1" applyAlignment="1">
      <alignment horizontal="right" vertical="center" indent="1"/>
    </xf>
    <xf numFmtId="0" fontId="13" fillId="0" borderId="0" xfId="0" applyFont="1" applyAlignment="1">
      <alignment vertical="center"/>
    </xf>
    <xf numFmtId="0" fontId="13" fillId="4" borderId="5" xfId="0" applyFont="1" applyFill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13" fillId="4" borderId="5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vertical="center"/>
    </xf>
    <xf numFmtId="0" fontId="15" fillId="7" borderId="8" xfId="0" applyFont="1" applyFill="1" applyBorder="1" applyAlignment="1">
      <alignment horizontal="left" vertical="center"/>
    </xf>
    <xf numFmtId="10" fontId="15" fillId="7" borderId="10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5" fillId="7" borderId="7" xfId="0" applyFont="1" applyFill="1" applyBorder="1" applyAlignment="1">
      <alignment horizontal="left" vertical="center"/>
    </xf>
    <xf numFmtId="10" fontId="15" fillId="7" borderId="15" xfId="0" applyNumberFormat="1" applyFont="1" applyFill="1" applyBorder="1" applyAlignment="1">
      <alignment horizontal="right" vertical="center"/>
    </xf>
    <xf numFmtId="10" fontId="13" fillId="4" borderId="1" xfId="0" applyNumberFormat="1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left" vertical="center"/>
    </xf>
    <xf numFmtId="10" fontId="13" fillId="7" borderId="15" xfId="0" applyNumberFormat="1" applyFont="1" applyFill="1" applyBorder="1" applyAlignment="1">
      <alignment horizontal="right" vertical="center"/>
    </xf>
    <xf numFmtId="0" fontId="13" fillId="11" borderId="5" xfId="0" applyFont="1" applyFill="1" applyBorder="1"/>
    <xf numFmtId="165" fontId="13" fillId="11" borderId="4" xfId="0" applyNumberFormat="1" applyFont="1" applyFill="1" applyBorder="1"/>
    <xf numFmtId="0" fontId="21" fillId="0" borderId="0" xfId="0" applyFont="1"/>
    <xf numFmtId="179" fontId="21" fillId="0" borderId="0" xfId="0" applyNumberFormat="1" applyFont="1"/>
    <xf numFmtId="0" fontId="13" fillId="13" borderId="5" xfId="0" applyFont="1" applyFill="1" applyBorder="1"/>
    <xf numFmtId="0" fontId="13" fillId="13" borderId="3" xfId="0" applyFont="1" applyFill="1" applyBorder="1"/>
    <xf numFmtId="0" fontId="13" fillId="13" borderId="3" xfId="0" applyFont="1" applyFill="1" applyBorder="1" applyAlignment="1">
      <alignment horizontal="right" indent="1"/>
    </xf>
    <xf numFmtId="0" fontId="13" fillId="13" borderId="3" xfId="0" applyFont="1" applyFill="1" applyBorder="1" applyAlignment="1">
      <alignment horizontal="center"/>
    </xf>
    <xf numFmtId="0" fontId="13" fillId="13" borderId="4" xfId="0" applyFont="1" applyFill="1" applyBorder="1"/>
    <xf numFmtId="178" fontId="28" fillId="0" borderId="0" xfId="0" applyNumberFormat="1" applyFont="1" applyAlignment="1">
      <alignment horizontal="center"/>
    </xf>
    <xf numFmtId="10" fontId="13" fillId="6" borderId="4" xfId="0" applyNumberFormat="1" applyFont="1" applyFill="1" applyBorder="1"/>
    <xf numFmtId="0" fontId="16" fillId="6" borderId="8" xfId="0" applyFont="1" applyFill="1" applyBorder="1"/>
    <xf numFmtId="10" fontId="15" fillId="6" borderId="6" xfId="0" applyNumberFormat="1" applyFont="1" applyFill="1" applyBorder="1"/>
    <xf numFmtId="0" fontId="16" fillId="6" borderId="10" xfId="0" applyFont="1" applyFill="1" applyBorder="1" applyAlignment="1">
      <alignment horizontal="center"/>
    </xf>
    <xf numFmtId="0" fontId="15" fillId="6" borderId="7" xfId="0" applyFont="1" applyFill="1" applyBorder="1"/>
    <xf numFmtId="10" fontId="15" fillId="6" borderId="0" xfId="0" applyNumberFormat="1" applyFont="1" applyFill="1"/>
    <xf numFmtId="0" fontId="15" fillId="6" borderId="0" xfId="0" applyFont="1" applyFill="1"/>
    <xf numFmtId="0" fontId="13" fillId="6" borderId="9" xfId="0" applyFont="1" applyFill="1" applyBorder="1"/>
    <xf numFmtId="10" fontId="15" fillId="6" borderId="2" xfId="0" applyNumberFormat="1" applyFont="1" applyFill="1" applyBorder="1"/>
    <xf numFmtId="0" fontId="15" fillId="6" borderId="2" xfId="0" applyFont="1" applyFill="1" applyBorder="1"/>
    <xf numFmtId="171" fontId="13" fillId="4" borderId="5" xfId="0" applyNumberFormat="1" applyFont="1" applyFill="1" applyBorder="1"/>
    <xf numFmtId="171" fontId="13" fillId="4" borderId="3" xfId="0" applyNumberFormat="1" applyFont="1" applyFill="1" applyBorder="1"/>
    <xf numFmtId="171" fontId="13" fillId="4" borderId="1" xfId="0" applyNumberFormat="1" applyFont="1" applyFill="1" applyBorder="1" applyAlignment="1">
      <alignment vertical="center"/>
    </xf>
    <xf numFmtId="171" fontId="15" fillId="6" borderId="14" xfId="0" applyNumberFormat="1" applyFont="1" applyFill="1" applyBorder="1"/>
    <xf numFmtId="171" fontId="13" fillId="6" borderId="15" xfId="0" applyNumberFormat="1" applyFont="1" applyFill="1" applyBorder="1"/>
    <xf numFmtId="171" fontId="15" fillId="6" borderId="15" xfId="0" applyNumberFormat="1" applyFont="1" applyFill="1" applyBorder="1"/>
    <xf numFmtId="173" fontId="13" fillId="15" borderId="14" xfId="0" applyNumberFormat="1" applyFont="1" applyFill="1" applyBorder="1" applyAlignment="1">
      <alignment horizontal="right" vertical="center" indent="1"/>
    </xf>
    <xf numFmtId="10" fontId="13" fillId="15" borderId="14" xfId="3" applyNumberFormat="1" applyFont="1" applyFill="1" applyBorder="1" applyAlignment="1">
      <alignment horizontal="right" vertical="center" indent="1"/>
    </xf>
    <xf numFmtId="9" fontId="13" fillId="15" borderId="14" xfId="3" applyFont="1" applyFill="1" applyBorder="1" applyAlignment="1">
      <alignment horizontal="right" vertical="center" indent="1"/>
    </xf>
    <xf numFmtId="171" fontId="13" fillId="15" borderId="14" xfId="0" applyNumberFormat="1" applyFont="1" applyFill="1" applyBorder="1" applyAlignment="1">
      <alignment horizontal="right" vertical="center" indent="1"/>
    </xf>
    <xf numFmtId="9" fontId="13" fillId="15" borderId="15" xfId="3" applyFont="1" applyFill="1" applyBorder="1" applyAlignment="1">
      <alignment horizontal="right" vertical="center" indent="1"/>
    </xf>
    <xf numFmtId="0" fontId="17" fillId="14" borderId="0" xfId="0" applyFont="1" applyFill="1"/>
    <xf numFmtId="174" fontId="13" fillId="15" borderId="14" xfId="0" applyNumberFormat="1" applyFont="1" applyFill="1" applyBorder="1" applyAlignment="1">
      <alignment horizontal="right" vertical="center" indent="1"/>
    </xf>
    <xf numFmtId="0" fontId="13" fillId="15" borderId="5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9" fontId="13" fillId="4" borderId="4" xfId="3" applyFont="1" applyFill="1" applyBorder="1"/>
    <xf numFmtId="0" fontId="16" fillId="6" borderId="10" xfId="0" applyFont="1" applyFill="1" applyBorder="1" applyAlignment="1">
      <alignment horizontal="right" vertical="center"/>
    </xf>
    <xf numFmtId="171" fontId="13" fillId="6" borderId="14" xfId="0" applyNumberFormat="1" applyFont="1" applyFill="1" applyBorder="1" applyAlignment="1">
      <alignment horizontal="right"/>
    </xf>
    <xf numFmtId="171" fontId="13" fillId="6" borderId="15" xfId="0" applyNumberFormat="1" applyFont="1" applyFill="1" applyBorder="1" applyAlignment="1">
      <alignment horizontal="right"/>
    </xf>
    <xf numFmtId="2" fontId="13" fillId="0" borderId="0" xfId="0" applyNumberFormat="1" applyFont="1"/>
    <xf numFmtId="0" fontId="13" fillId="4" borderId="8" xfId="0" applyFont="1" applyFill="1" applyBorder="1" applyAlignment="1">
      <alignment horizontal="centerContinuous"/>
    </xf>
    <xf numFmtId="0" fontId="15" fillId="4" borderId="6" xfId="0" applyFont="1" applyFill="1" applyBorder="1" applyAlignment="1">
      <alignment horizontal="centerContinuous"/>
    </xf>
    <xf numFmtId="0" fontId="13" fillId="8" borderId="1" xfId="0" applyFont="1" applyFill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0" fontId="15" fillId="8" borderId="11" xfId="0" applyFont="1" applyFill="1" applyBorder="1"/>
    <xf numFmtId="0" fontId="16" fillId="0" borderId="7" xfId="0" applyFont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8" borderId="12" xfId="0" applyFont="1" applyFill="1" applyBorder="1" applyAlignment="1">
      <alignment horizontal="center"/>
    </xf>
    <xf numFmtId="1" fontId="31" fillId="0" borderId="8" xfId="0" applyNumberFormat="1" applyFont="1" applyBorder="1"/>
    <xf numFmtId="1" fontId="31" fillId="0" borderId="6" xfId="0" applyNumberFormat="1" applyFont="1" applyBorder="1"/>
    <xf numFmtId="1" fontId="31" fillId="0" borderId="10" xfId="0" applyNumberFormat="1" applyFont="1" applyBorder="1"/>
    <xf numFmtId="9" fontId="33" fillId="0" borderId="11" xfId="0" applyNumberFormat="1" applyFont="1" applyBorder="1" applyAlignment="1">
      <alignment horizontal="center"/>
    </xf>
    <xf numFmtId="165" fontId="15" fillId="0" borderId="7" xfId="3" applyNumberFormat="1" applyFont="1" applyBorder="1" applyAlignment="1">
      <alignment horizontal="center"/>
    </xf>
    <xf numFmtId="173" fontId="15" fillId="0" borderId="7" xfId="0" applyNumberFormat="1" applyFont="1" applyBorder="1"/>
    <xf numFmtId="173" fontId="15" fillId="0" borderId="14" xfId="0" applyNumberFormat="1" applyFont="1" applyBorder="1"/>
    <xf numFmtId="10" fontId="15" fillId="0" borderId="12" xfId="3" applyNumberFormat="1" applyFont="1" applyBorder="1" applyAlignment="1">
      <alignment horizontal="center"/>
    </xf>
    <xf numFmtId="173" fontId="15" fillId="0" borderId="9" xfId="0" applyNumberFormat="1" applyFont="1" applyBorder="1"/>
    <xf numFmtId="173" fontId="15" fillId="0" borderId="2" xfId="0" applyNumberFormat="1" applyFont="1" applyBorder="1"/>
    <xf numFmtId="173" fontId="15" fillId="0" borderId="15" xfId="0" applyNumberFormat="1" applyFont="1" applyBorder="1"/>
    <xf numFmtId="10" fontId="15" fillId="0" borderId="13" xfId="3" applyNumberFormat="1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165" fontId="13" fillId="6" borderId="8" xfId="3" applyNumberFormat="1" applyFont="1" applyFill="1" applyBorder="1" applyAlignment="1">
      <alignment horizontal="center"/>
    </xf>
    <xf numFmtId="10" fontId="13" fillId="6" borderId="1" xfId="3" applyNumberFormat="1" applyFont="1" applyFill="1" applyBorder="1" applyAlignment="1">
      <alignment horizontal="center"/>
    </xf>
    <xf numFmtId="173" fontId="13" fillId="6" borderId="0" xfId="0" applyNumberFormat="1" applyFont="1" applyFill="1"/>
    <xf numFmtId="173" fontId="13" fillId="6" borderId="7" xfId="0" applyNumberFormat="1" applyFont="1" applyFill="1" applyBorder="1"/>
    <xf numFmtId="10" fontId="13" fillId="6" borderId="12" xfId="3" applyNumberFormat="1" applyFont="1" applyFill="1" applyBorder="1" applyAlignment="1">
      <alignment horizontal="center"/>
    </xf>
    <xf numFmtId="173" fontId="15" fillId="0" borderId="6" xfId="0" applyNumberFormat="1" applyFont="1" applyBorder="1"/>
    <xf numFmtId="173" fontId="15" fillId="0" borderId="8" xfId="0" applyNumberFormat="1" applyFont="1" applyBorder="1"/>
    <xf numFmtId="10" fontId="15" fillId="0" borderId="11" xfId="3" applyNumberFormat="1" applyFont="1" applyBorder="1" applyAlignment="1">
      <alignment horizontal="center"/>
    </xf>
    <xf numFmtId="165" fontId="15" fillId="0" borderId="11" xfId="3" applyNumberFormat="1" applyFont="1" applyBorder="1" applyAlignment="1">
      <alignment horizontal="center"/>
    </xf>
    <xf numFmtId="165" fontId="15" fillId="0" borderId="12" xfId="3" applyNumberFormat="1" applyFont="1" applyBorder="1" applyAlignment="1">
      <alignment horizontal="center"/>
    </xf>
    <xf numFmtId="165" fontId="15" fillId="0" borderId="13" xfId="3" applyNumberFormat="1" applyFont="1" applyBorder="1" applyAlignment="1">
      <alignment horizontal="center"/>
    </xf>
    <xf numFmtId="165" fontId="15" fillId="0" borderId="0" xfId="3" applyNumberFormat="1" applyFont="1" applyBorder="1" applyAlignment="1">
      <alignment horizontal="center"/>
    </xf>
    <xf numFmtId="38" fontId="15" fillId="0" borderId="0" xfId="3" applyNumberFormat="1" applyFont="1" applyBorder="1" applyAlignment="1">
      <alignment horizontal="center"/>
    </xf>
    <xf numFmtId="10" fontId="15" fillId="0" borderId="0" xfId="3" applyNumberFormat="1" applyFont="1" applyBorder="1" applyAlignment="1">
      <alignment horizontal="center"/>
    </xf>
    <xf numFmtId="0" fontId="13" fillId="0" borderId="4" xfId="0" applyFont="1" applyBorder="1" applyAlignment="1">
      <alignment horizontal="centerContinuous"/>
    </xf>
    <xf numFmtId="0" fontId="13" fillId="6" borderId="11" xfId="0" applyFont="1" applyFill="1" applyBorder="1" applyAlignment="1">
      <alignment horizontal="center"/>
    </xf>
    <xf numFmtId="165" fontId="13" fillId="6" borderId="12" xfId="3" applyNumberFormat="1" applyFont="1" applyFill="1" applyBorder="1" applyAlignment="1">
      <alignment horizontal="center"/>
    </xf>
    <xf numFmtId="10" fontId="15" fillId="0" borderId="7" xfId="3" applyNumberFormat="1" applyFont="1" applyFill="1" applyBorder="1" applyAlignment="1">
      <alignment horizontal="center"/>
    </xf>
    <xf numFmtId="10" fontId="15" fillId="0" borderId="0" xfId="3" applyNumberFormat="1" applyFont="1" applyFill="1" applyBorder="1" applyAlignment="1">
      <alignment horizontal="center"/>
    </xf>
    <xf numFmtId="10" fontId="15" fillId="0" borderId="14" xfId="3" applyNumberFormat="1" applyFont="1" applyFill="1" applyBorder="1" applyAlignment="1">
      <alignment horizontal="center"/>
    </xf>
    <xf numFmtId="38" fontId="15" fillId="0" borderId="10" xfId="3" applyNumberFormat="1" applyFont="1" applyBorder="1" applyAlignment="1">
      <alignment horizontal="center"/>
    </xf>
    <xf numFmtId="38" fontId="15" fillId="0" borderId="14" xfId="3" applyNumberFormat="1" applyFont="1" applyBorder="1" applyAlignment="1">
      <alignment horizontal="center"/>
    </xf>
    <xf numFmtId="38" fontId="15" fillId="0" borderId="15" xfId="3" applyNumberFormat="1" applyFont="1" applyBorder="1" applyAlignment="1">
      <alignment horizontal="center"/>
    </xf>
    <xf numFmtId="10" fontId="15" fillId="0" borderId="9" xfId="3" applyNumberFormat="1" applyFont="1" applyFill="1" applyBorder="1" applyAlignment="1">
      <alignment horizontal="center"/>
    </xf>
    <xf numFmtId="10" fontId="15" fillId="0" borderId="2" xfId="3" applyNumberFormat="1" applyFont="1" applyFill="1" applyBorder="1" applyAlignment="1">
      <alignment horizontal="center"/>
    </xf>
    <xf numFmtId="10" fontId="15" fillId="0" borderId="15" xfId="3" applyNumberFormat="1" applyFont="1" applyFill="1" applyBorder="1" applyAlignment="1">
      <alignment horizontal="center"/>
    </xf>
    <xf numFmtId="173" fontId="15" fillId="0" borderId="7" xfId="0" applyNumberFormat="1" applyFont="1" applyBorder="1" applyAlignment="1">
      <alignment horizontal="center"/>
    </xf>
    <xf numFmtId="173" fontId="15" fillId="0" borderId="9" xfId="0" applyNumberFormat="1" applyFont="1" applyBorder="1" applyAlignment="1">
      <alignment horizontal="center"/>
    </xf>
    <xf numFmtId="173" fontId="15" fillId="0" borderId="10" xfId="0" applyNumberFormat="1" applyFont="1" applyBorder="1" applyAlignment="1">
      <alignment horizontal="center"/>
    </xf>
    <xf numFmtId="173" fontId="15" fillId="0" borderId="14" xfId="0" applyNumberFormat="1" applyFont="1" applyBorder="1" applyAlignment="1">
      <alignment horizontal="center"/>
    </xf>
    <xf numFmtId="173" fontId="15" fillId="0" borderId="15" xfId="0" applyNumberFormat="1" applyFont="1" applyBorder="1" applyAlignment="1">
      <alignment horizontal="center"/>
    </xf>
    <xf numFmtId="165" fontId="13" fillId="6" borderId="13" xfId="3" applyNumberFormat="1" applyFont="1" applyFill="1" applyBorder="1" applyAlignment="1">
      <alignment horizontal="center"/>
    </xf>
    <xf numFmtId="177" fontId="15" fillId="0" borderId="7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177" fontId="15" fillId="0" borderId="10" xfId="0" applyNumberFormat="1" applyFont="1" applyBorder="1" applyAlignment="1">
      <alignment horizontal="center"/>
    </xf>
    <xf numFmtId="177" fontId="15" fillId="0" borderId="14" xfId="0" applyNumberFormat="1" applyFont="1" applyBorder="1" applyAlignment="1">
      <alignment horizontal="center"/>
    </xf>
    <xf numFmtId="177" fontId="15" fillId="0" borderId="15" xfId="0" applyNumberFormat="1" applyFont="1" applyBorder="1" applyAlignment="1">
      <alignment horizontal="center"/>
    </xf>
    <xf numFmtId="173" fontId="13" fillId="6" borderId="1" xfId="0" applyNumberFormat="1" applyFont="1" applyFill="1" applyBorder="1" applyAlignment="1">
      <alignment horizontal="center"/>
    </xf>
    <xf numFmtId="177" fontId="13" fillId="6" borderId="1" xfId="0" applyNumberFormat="1" applyFont="1" applyFill="1" applyBorder="1" applyAlignment="1">
      <alignment horizontal="center"/>
    </xf>
    <xf numFmtId="9" fontId="34" fillId="4" borderId="15" xfId="0" applyNumberFormat="1" applyFont="1" applyFill="1" applyBorder="1" applyAlignment="1">
      <alignment horizontal="center"/>
    </xf>
    <xf numFmtId="38" fontId="13" fillId="6" borderId="4" xfId="3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Continuous" vertical="center"/>
    </xf>
    <xf numFmtId="165" fontId="13" fillId="6" borderId="1" xfId="3" applyNumberFormat="1" applyFont="1" applyFill="1" applyBorder="1" applyAlignment="1">
      <alignment horizontal="center"/>
    </xf>
    <xf numFmtId="2" fontId="13" fillId="6" borderId="13" xfId="3" applyNumberFormat="1" applyFont="1" applyFill="1" applyBorder="1" applyAlignment="1">
      <alignment horizontal="center"/>
    </xf>
    <xf numFmtId="0" fontId="13" fillId="14" borderId="8" xfId="0" applyFont="1" applyFill="1" applyBorder="1" applyAlignment="1">
      <alignment horizontal="centerContinuous"/>
    </xf>
    <xf numFmtId="0" fontId="13" fillId="14" borderId="6" xfId="0" applyFont="1" applyFill="1" applyBorder="1" applyAlignment="1">
      <alignment horizontal="centerContinuous"/>
    </xf>
    <xf numFmtId="0" fontId="13" fillId="14" borderId="10" xfId="0" applyFont="1" applyFill="1" applyBorder="1" applyAlignment="1">
      <alignment horizontal="centerContinuous"/>
    </xf>
    <xf numFmtId="0" fontId="15" fillId="14" borderId="6" xfId="0" applyFont="1" applyFill="1" applyBorder="1"/>
    <xf numFmtId="165" fontId="15" fillId="14" borderId="0" xfId="3" applyNumberFormat="1" applyFont="1" applyFill="1" applyBorder="1" applyAlignment="1">
      <alignment horizontal="center"/>
    </xf>
    <xf numFmtId="165" fontId="15" fillId="14" borderId="2" xfId="3" applyNumberFormat="1" applyFont="1" applyFill="1" applyBorder="1" applyAlignment="1">
      <alignment horizontal="center"/>
    </xf>
    <xf numFmtId="0" fontId="15" fillId="14" borderId="11" xfId="0" applyFont="1" applyFill="1" applyBorder="1" applyAlignment="1">
      <alignment horizontal="centerContinuous"/>
    </xf>
    <xf numFmtId="0" fontId="15" fillId="14" borderId="10" xfId="0" applyFont="1" applyFill="1" applyBorder="1"/>
    <xf numFmtId="0" fontId="15" fillId="14" borderId="8" xfId="0" applyFont="1" applyFill="1" applyBorder="1"/>
    <xf numFmtId="165" fontId="15" fillId="14" borderId="7" xfId="3" applyNumberFormat="1" applyFont="1" applyFill="1" applyBorder="1" applyAlignment="1">
      <alignment horizontal="center"/>
    </xf>
    <xf numFmtId="165" fontId="15" fillId="14" borderId="14" xfId="3" applyNumberFormat="1" applyFont="1" applyFill="1" applyBorder="1" applyAlignment="1">
      <alignment horizontal="center"/>
    </xf>
    <xf numFmtId="165" fontId="15" fillId="14" borderId="9" xfId="3" applyNumberFormat="1" applyFont="1" applyFill="1" applyBorder="1" applyAlignment="1">
      <alignment horizontal="center"/>
    </xf>
    <xf numFmtId="165" fontId="15" fillId="14" borderId="15" xfId="3" applyNumberFormat="1" applyFont="1" applyFill="1" applyBorder="1" applyAlignment="1">
      <alignment horizontal="center"/>
    </xf>
    <xf numFmtId="0" fontId="13" fillId="14" borderId="5" xfId="0" applyFont="1" applyFill="1" applyBorder="1" applyAlignment="1">
      <alignment horizontal="centerContinuous"/>
    </xf>
    <xf numFmtId="0" fontId="15" fillId="14" borderId="3" xfId="0" applyFont="1" applyFill="1" applyBorder="1" applyAlignment="1">
      <alignment horizontal="centerContinuous"/>
    </xf>
    <xf numFmtId="0" fontId="15" fillId="14" borderId="4" xfId="0" applyFont="1" applyFill="1" applyBorder="1" applyAlignment="1">
      <alignment horizontal="centerContinuous"/>
    </xf>
    <xf numFmtId="0" fontId="13" fillId="14" borderId="6" xfId="0" applyFont="1" applyFill="1" applyBorder="1" applyAlignment="1">
      <alignment horizontal="center"/>
    </xf>
    <xf numFmtId="0" fontId="13" fillId="14" borderId="0" xfId="0" applyFont="1" applyFill="1" applyAlignment="1">
      <alignment horizontal="center"/>
    </xf>
    <xf numFmtId="2" fontId="13" fillId="14" borderId="15" xfId="3" applyNumberFormat="1" applyFont="1" applyFill="1" applyBorder="1" applyAlignment="1">
      <alignment horizontal="center"/>
    </xf>
    <xf numFmtId="0" fontId="13" fillId="0" borderId="10" xfId="0" applyFont="1" applyBorder="1" applyAlignment="1">
      <alignment horizontal="centerContinuous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9" fontId="34" fillId="4" borderId="2" xfId="0" applyNumberFormat="1" applyFont="1" applyFill="1" applyBorder="1" applyAlignment="1">
      <alignment horizontal="center"/>
    </xf>
    <xf numFmtId="2" fontId="13" fillId="14" borderId="9" xfId="3" applyNumberFormat="1" applyFont="1" applyFill="1" applyBorder="1" applyAlignment="1">
      <alignment horizontal="center"/>
    </xf>
    <xf numFmtId="2" fontId="13" fillId="14" borderId="2" xfId="3" applyNumberFormat="1" applyFont="1" applyFill="1" applyBorder="1" applyAlignment="1">
      <alignment horizontal="center"/>
    </xf>
    <xf numFmtId="40" fontId="15" fillId="0" borderId="14" xfId="3" applyNumberFormat="1" applyFont="1" applyBorder="1" applyAlignment="1">
      <alignment horizontal="center"/>
    </xf>
    <xf numFmtId="40" fontId="13" fillId="6" borderId="4" xfId="3" applyNumberFormat="1" applyFont="1" applyFill="1" applyBorder="1" applyAlignment="1">
      <alignment horizontal="center"/>
    </xf>
    <xf numFmtId="40" fontId="15" fillId="0" borderId="15" xfId="3" applyNumberFormat="1" applyFont="1" applyBorder="1" applyAlignment="1">
      <alignment horizontal="center"/>
    </xf>
    <xf numFmtId="0" fontId="15" fillId="16" borderId="0" xfId="0" applyFont="1" applyFill="1"/>
    <xf numFmtId="165" fontId="15" fillId="16" borderId="0" xfId="0" applyNumberFormat="1" applyFont="1" applyFill="1" applyAlignment="1">
      <alignment horizontal="center"/>
    </xf>
    <xf numFmtId="174" fontId="15" fillId="16" borderId="0" xfId="0" applyNumberFormat="1" applyFont="1" applyFill="1"/>
    <xf numFmtId="0" fontId="26" fillId="16" borderId="0" xfId="0" applyFont="1" applyFill="1"/>
    <xf numFmtId="0" fontId="16" fillId="16" borderId="0" xfId="0" applyFont="1" applyFill="1" applyAlignment="1">
      <alignment horizontal="center"/>
    </xf>
    <xf numFmtId="0" fontId="35" fillId="16" borderId="0" xfId="0" applyFont="1" applyFill="1"/>
    <xf numFmtId="1" fontId="13" fillId="13" borderId="3" xfId="0" applyNumberFormat="1" applyFont="1" applyFill="1" applyBorder="1" applyAlignment="1">
      <alignment horizontal="center"/>
    </xf>
    <xf numFmtId="0" fontId="13" fillId="15" borderId="7" xfId="0" applyFont="1" applyFill="1" applyBorder="1" applyAlignment="1">
      <alignment horizontal="center" vertical="center"/>
    </xf>
    <xf numFmtId="0" fontId="15" fillId="17" borderId="0" xfId="0" applyFont="1" applyFill="1"/>
    <xf numFmtId="0" fontId="13" fillId="16" borderId="11" xfId="0" applyFont="1" applyFill="1" applyBorder="1" applyAlignment="1">
      <alignment horizontal="center"/>
    </xf>
    <xf numFmtId="0" fontId="16" fillId="17" borderId="11" xfId="0" applyFont="1" applyFill="1" applyBorder="1" applyAlignment="1">
      <alignment horizontal="center"/>
    </xf>
    <xf numFmtId="0" fontId="13" fillId="16" borderId="12" xfId="0" applyFont="1" applyFill="1" applyBorder="1" applyAlignment="1">
      <alignment horizontal="center"/>
    </xf>
    <xf numFmtId="0" fontId="16" fillId="17" borderId="12" xfId="0" applyFont="1" applyFill="1" applyBorder="1" applyAlignment="1">
      <alignment horizontal="center"/>
    </xf>
    <xf numFmtId="0" fontId="16" fillId="17" borderId="7" xfId="0" applyFont="1" applyFill="1" applyBorder="1" applyAlignment="1">
      <alignment horizontal="center"/>
    </xf>
    <xf numFmtId="0" fontId="13" fillId="16" borderId="13" xfId="0" applyFont="1" applyFill="1" applyBorder="1" applyAlignment="1">
      <alignment horizontal="center"/>
    </xf>
    <xf numFmtId="165" fontId="15" fillId="17" borderId="13" xfId="3" applyNumberFormat="1" applyFont="1" applyFill="1" applyBorder="1" applyAlignment="1">
      <alignment horizontal="center"/>
    </xf>
    <xf numFmtId="10" fontId="15" fillId="17" borderId="13" xfId="3" applyNumberFormat="1" applyFont="1" applyFill="1" applyBorder="1" applyAlignment="1">
      <alignment horizontal="center"/>
    </xf>
    <xf numFmtId="10" fontId="15" fillId="17" borderId="1" xfId="3" applyNumberFormat="1" applyFont="1" applyFill="1" applyBorder="1" applyAlignment="1">
      <alignment horizontal="center"/>
    </xf>
    <xf numFmtId="173" fontId="15" fillId="17" borderId="11" xfId="0" applyNumberFormat="1" applyFont="1" applyFill="1" applyBorder="1"/>
    <xf numFmtId="173" fontId="13" fillId="6" borderId="1" xfId="0" applyNumberFormat="1" applyFont="1" applyFill="1" applyBorder="1"/>
    <xf numFmtId="173" fontId="15" fillId="17" borderId="13" xfId="0" applyNumberFormat="1" applyFont="1" applyFill="1" applyBorder="1"/>
    <xf numFmtId="173" fontId="14" fillId="0" borderId="0" xfId="0" applyNumberFormat="1" applyFont="1"/>
    <xf numFmtId="10" fontId="14" fillId="0" borderId="0" xfId="0" applyNumberFormat="1" applyFont="1" applyAlignment="1">
      <alignment horizontal="center"/>
    </xf>
    <xf numFmtId="171" fontId="13" fillId="4" borderId="4" xfId="0" applyNumberFormat="1" applyFont="1" applyFill="1" applyBorder="1"/>
    <xf numFmtId="0" fontId="15" fillId="0" borderId="0" xfId="0" applyFont="1" applyAlignment="1">
      <alignment horizontal="left" indent="1"/>
    </xf>
    <xf numFmtId="10" fontId="15" fillId="0" borderId="0" xfId="0" applyNumberFormat="1" applyFont="1"/>
    <xf numFmtId="10" fontId="15" fillId="14" borderId="0" xfId="0" applyNumberFormat="1" applyFont="1" applyFill="1"/>
    <xf numFmtId="174" fontId="15" fillId="0" borderId="0" xfId="0" applyNumberFormat="1" applyFont="1"/>
    <xf numFmtId="9" fontId="15" fillId="14" borderId="0" xfId="3" applyFont="1" applyFill="1"/>
    <xf numFmtId="0" fontId="18" fillId="18" borderId="5" xfId="0" applyFont="1" applyFill="1" applyBorder="1" applyAlignment="1">
      <alignment horizontal="center" vertical="center"/>
    </xf>
    <xf numFmtId="0" fontId="18" fillId="18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left" indent="1"/>
    </xf>
    <xf numFmtId="173" fontId="18" fillId="0" borderId="0" xfId="0" applyNumberFormat="1" applyFont="1"/>
    <xf numFmtId="0" fontId="13" fillId="16" borderId="11" xfId="0" applyFont="1" applyFill="1" applyBorder="1"/>
    <xf numFmtId="0" fontId="13" fillId="16" borderId="12" xfId="0" applyFont="1" applyFill="1" applyBorder="1"/>
    <xf numFmtId="0" fontId="13" fillId="16" borderId="13" xfId="0" applyFont="1" applyFill="1" applyBorder="1"/>
    <xf numFmtId="0" fontId="13" fillId="16" borderId="8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13" fillId="16" borderId="10" xfId="0" applyFont="1" applyFill="1" applyBorder="1" applyAlignment="1">
      <alignment horizontal="center" vertical="center"/>
    </xf>
    <xf numFmtId="171" fontId="15" fillId="17" borderId="6" xfId="0" applyNumberFormat="1" applyFont="1" applyFill="1" applyBorder="1"/>
    <xf numFmtId="171" fontId="15" fillId="17" borderId="10" xfId="0" applyNumberFormat="1" applyFont="1" applyFill="1" applyBorder="1"/>
    <xf numFmtId="10" fontId="15" fillId="17" borderId="0" xfId="3" applyNumberFormat="1" applyFont="1" applyFill="1" applyBorder="1"/>
    <xf numFmtId="10" fontId="15" fillId="17" borderId="14" xfId="3" applyNumberFormat="1" applyFont="1" applyFill="1" applyBorder="1"/>
    <xf numFmtId="171" fontId="15" fillId="17" borderId="0" xfId="0" applyNumberFormat="1" applyFont="1" applyFill="1"/>
    <xf numFmtId="171" fontId="15" fillId="17" borderId="14" xfId="0" applyNumberFormat="1" applyFont="1" applyFill="1" applyBorder="1"/>
    <xf numFmtId="171" fontId="18" fillId="17" borderId="0" xfId="0" applyNumberFormat="1" applyFont="1" applyFill="1"/>
    <xf numFmtId="171" fontId="18" fillId="17" borderId="14" xfId="0" applyNumberFormat="1" applyFont="1" applyFill="1" applyBorder="1"/>
    <xf numFmtId="9" fontId="18" fillId="17" borderId="2" xfId="3" applyFont="1" applyFill="1" applyBorder="1"/>
    <xf numFmtId="9" fontId="18" fillId="17" borderId="15" xfId="3" applyFont="1" applyFill="1" applyBorder="1"/>
    <xf numFmtId="0" fontId="15" fillId="19" borderId="0" xfId="2" applyFont="1" applyFill="1"/>
    <xf numFmtId="0" fontId="15" fillId="16" borderId="7" xfId="2" applyFont="1" applyFill="1" applyBorder="1"/>
    <xf numFmtId="0" fontId="15" fillId="16" borderId="9" xfId="2" applyFont="1" applyFill="1" applyBorder="1"/>
    <xf numFmtId="10" fontId="15" fillId="17" borderId="8" xfId="0" applyNumberFormat="1" applyFont="1" applyFill="1" applyBorder="1"/>
    <xf numFmtId="10" fontId="15" fillId="17" borderId="6" xfId="0" applyNumberFormat="1" applyFont="1" applyFill="1" applyBorder="1"/>
    <xf numFmtId="10" fontId="15" fillId="17" borderId="10" xfId="0" applyNumberFormat="1" applyFont="1" applyFill="1" applyBorder="1"/>
    <xf numFmtId="10" fontId="15" fillId="17" borderId="7" xfId="2" applyNumberFormat="1" applyFont="1" applyFill="1" applyBorder="1"/>
    <xf numFmtId="10" fontId="15" fillId="17" borderId="0" xfId="2" applyNumberFormat="1" applyFont="1" applyFill="1"/>
    <xf numFmtId="10" fontId="15" fillId="17" borderId="14" xfId="2" applyNumberFormat="1" applyFont="1" applyFill="1" applyBorder="1"/>
    <xf numFmtId="177" fontId="15" fillId="17" borderId="7" xfId="2" applyNumberFormat="1" applyFont="1" applyFill="1" applyBorder="1"/>
    <xf numFmtId="177" fontId="15" fillId="17" borderId="0" xfId="2" applyNumberFormat="1" applyFont="1" applyFill="1"/>
    <xf numFmtId="177" fontId="15" fillId="17" borderId="14" xfId="2" applyNumberFormat="1" applyFont="1" applyFill="1" applyBorder="1"/>
    <xf numFmtId="177" fontId="15" fillId="17" borderId="9" xfId="2" applyNumberFormat="1" applyFont="1" applyFill="1" applyBorder="1"/>
    <xf numFmtId="177" fontId="15" fillId="17" borderId="2" xfId="2" applyNumberFormat="1" applyFont="1" applyFill="1" applyBorder="1"/>
    <xf numFmtId="177" fontId="15" fillId="17" borderId="15" xfId="2" applyNumberFormat="1" applyFont="1" applyFill="1" applyBorder="1"/>
    <xf numFmtId="0" fontId="16" fillId="16" borderId="7" xfId="2" applyFont="1" applyFill="1" applyBorder="1"/>
    <xf numFmtId="0" fontId="16" fillId="16" borderId="8" xfId="0" applyFont="1" applyFill="1" applyBorder="1"/>
    <xf numFmtId="0" fontId="18" fillId="18" borderId="8" xfId="0" applyFont="1" applyFill="1" applyBorder="1" applyAlignment="1">
      <alignment horizontal="center" vertical="center"/>
    </xf>
    <xf numFmtId="0" fontId="18" fillId="18" borderId="6" xfId="0" applyFont="1" applyFill="1" applyBorder="1" applyAlignment="1">
      <alignment horizontal="center" vertical="center"/>
    </xf>
    <xf numFmtId="0" fontId="13" fillId="16" borderId="5" xfId="0" applyFont="1" applyFill="1" applyBorder="1"/>
    <xf numFmtId="0" fontId="13" fillId="5" borderId="11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171" fontId="13" fillId="16" borderId="5" xfId="0" applyNumberFormat="1" applyFont="1" applyFill="1" applyBorder="1"/>
    <xf numFmtId="171" fontId="13" fillId="16" borderId="3" xfId="0" applyNumberFormat="1" applyFont="1" applyFill="1" applyBorder="1"/>
    <xf numFmtId="171" fontId="13" fillId="16" borderId="4" xfId="0" applyNumberFormat="1" applyFont="1" applyFill="1" applyBorder="1"/>
    <xf numFmtId="171" fontId="13" fillId="16" borderId="1" xfId="0" applyNumberFormat="1" applyFont="1" applyFill="1" applyBorder="1"/>
    <xf numFmtId="0" fontId="13" fillId="16" borderId="8" xfId="0" applyFont="1" applyFill="1" applyBorder="1" applyAlignment="1">
      <alignment horizontal="center"/>
    </xf>
    <xf numFmtId="0" fontId="23" fillId="16" borderId="6" xfId="0" applyFont="1" applyFill="1" applyBorder="1"/>
    <xf numFmtId="0" fontId="13" fillId="16" borderId="9" xfId="0" applyFont="1" applyFill="1" applyBorder="1" applyAlignment="1">
      <alignment horizontal="center"/>
    </xf>
    <xf numFmtId="0" fontId="13" fillId="16" borderId="2" xfId="0" applyFont="1" applyFill="1" applyBorder="1"/>
    <xf numFmtId="0" fontId="13" fillId="16" borderId="2" xfId="0" applyFont="1" applyFill="1" applyBorder="1" applyAlignment="1">
      <alignment horizontal="center"/>
    </xf>
    <xf numFmtId="0" fontId="13" fillId="16" borderId="15" xfId="0" applyFont="1" applyFill="1" applyBorder="1" applyAlignment="1">
      <alignment horizontal="center"/>
    </xf>
    <xf numFmtId="0" fontId="18" fillId="16" borderId="5" xfId="0" applyFont="1" applyFill="1" applyBorder="1" applyAlignment="1">
      <alignment horizontal="right"/>
    </xf>
    <xf numFmtId="0" fontId="15" fillId="16" borderId="3" xfId="0" applyFont="1" applyFill="1" applyBorder="1"/>
    <xf numFmtId="0" fontId="13" fillId="17" borderId="8" xfId="0" applyFont="1" applyFill="1" applyBorder="1" applyAlignment="1">
      <alignment horizontal="center"/>
    </xf>
    <xf numFmtId="0" fontId="15" fillId="17" borderId="6" xfId="0" applyFont="1" applyFill="1" applyBorder="1"/>
    <xf numFmtId="0" fontId="13" fillId="17" borderId="7" xfId="0" applyFont="1" applyFill="1" applyBorder="1" applyAlignment="1">
      <alignment horizontal="center"/>
    </xf>
    <xf numFmtId="0" fontId="1" fillId="17" borderId="0" xfId="0" applyFont="1" applyFill="1"/>
    <xf numFmtId="0" fontId="17" fillId="17" borderId="0" xfId="0" applyFont="1" applyFill="1" applyAlignment="1">
      <alignment horizontal="left" indent="1"/>
    </xf>
    <xf numFmtId="0" fontId="13" fillId="17" borderId="9" xfId="0" applyFont="1" applyFill="1" applyBorder="1" applyAlignment="1">
      <alignment horizontal="center"/>
    </xf>
    <xf numFmtId="0" fontId="17" fillId="17" borderId="2" xfId="0" applyFont="1" applyFill="1" applyBorder="1" applyAlignment="1">
      <alignment horizontal="left" indent="1"/>
    </xf>
    <xf numFmtId="181" fontId="15" fillId="17" borderId="6" xfId="0" applyNumberFormat="1" applyFont="1" applyFill="1" applyBorder="1" applyAlignment="1">
      <alignment horizontal="right" indent="1"/>
    </xf>
    <xf numFmtId="181" fontId="15" fillId="17" borderId="10" xfId="0" applyNumberFormat="1" applyFont="1" applyFill="1" applyBorder="1" applyAlignment="1">
      <alignment horizontal="right" indent="1"/>
    </xf>
    <xf numFmtId="181" fontId="15" fillId="17" borderId="0" xfId="0" applyNumberFormat="1" applyFont="1" applyFill="1" applyAlignment="1">
      <alignment horizontal="right" indent="1"/>
    </xf>
    <xf numFmtId="181" fontId="15" fillId="17" borderId="14" xfId="0" applyNumberFormat="1" applyFont="1" applyFill="1" applyBorder="1" applyAlignment="1">
      <alignment horizontal="right" indent="1"/>
    </xf>
    <xf numFmtId="181" fontId="15" fillId="17" borderId="2" xfId="0" applyNumberFormat="1" applyFont="1" applyFill="1" applyBorder="1" applyAlignment="1">
      <alignment horizontal="right" indent="1"/>
    </xf>
    <xf numFmtId="181" fontId="15" fillId="17" borderId="15" xfId="0" applyNumberFormat="1" applyFont="1" applyFill="1" applyBorder="1" applyAlignment="1">
      <alignment horizontal="right" indent="1"/>
    </xf>
    <xf numFmtId="181" fontId="18" fillId="16" borderId="3" xfId="0" applyNumberFormat="1" applyFont="1" applyFill="1" applyBorder="1" applyAlignment="1">
      <alignment horizontal="right" indent="1"/>
    </xf>
    <xf numFmtId="181" fontId="18" fillId="16" borderId="4" xfId="0" applyNumberFormat="1" applyFont="1" applyFill="1" applyBorder="1" applyAlignment="1">
      <alignment horizontal="right" indent="1"/>
    </xf>
    <xf numFmtId="0" fontId="13" fillId="16" borderId="3" xfId="0" applyFont="1" applyFill="1" applyBorder="1" applyAlignment="1">
      <alignment horizontal="center"/>
    </xf>
    <xf numFmtId="0" fontId="13" fillId="16" borderId="4" xfId="0" applyFont="1" applyFill="1" applyBorder="1" applyAlignment="1">
      <alignment horizontal="center"/>
    </xf>
    <xf numFmtId="173" fontId="13" fillId="16" borderId="3" xfId="0" applyNumberFormat="1" applyFont="1" applyFill="1" applyBorder="1"/>
    <xf numFmtId="173" fontId="13" fillId="16" borderId="4" xfId="0" applyNumberFormat="1" applyFont="1" applyFill="1" applyBorder="1"/>
    <xf numFmtId="0" fontId="26" fillId="20" borderId="6" xfId="0" applyFont="1" applyFill="1" applyBorder="1" applyAlignment="1">
      <alignment horizontal="center"/>
    </xf>
    <xf numFmtId="0" fontId="26" fillId="17" borderId="6" xfId="0" applyFont="1" applyFill="1" applyBorder="1" applyAlignment="1">
      <alignment horizontal="center"/>
    </xf>
    <xf numFmtId="0" fontId="26" fillId="17" borderId="10" xfId="0" applyFont="1" applyFill="1" applyBorder="1" applyAlignment="1">
      <alignment horizontal="center"/>
    </xf>
    <xf numFmtId="0" fontId="13" fillId="0" borderId="9" xfId="0" applyFont="1" applyBorder="1"/>
    <xf numFmtId="0" fontId="26" fillId="17" borderId="8" xfId="0" applyFont="1" applyFill="1" applyBorder="1" applyAlignment="1">
      <alignment horizontal="center"/>
    </xf>
    <xf numFmtId="0" fontId="15" fillId="20" borderId="0" xfId="0" applyFont="1" applyFill="1" applyAlignment="1">
      <alignment horizontal="center"/>
    </xf>
    <xf numFmtId="9" fontId="15" fillId="20" borderId="0" xfId="0" applyNumberFormat="1" applyFont="1" applyFill="1" applyAlignment="1">
      <alignment horizontal="center"/>
    </xf>
    <xf numFmtId="0" fontId="15" fillId="17" borderId="7" xfId="0" applyFont="1" applyFill="1" applyBorder="1" applyAlignment="1">
      <alignment horizontal="center"/>
    </xf>
    <xf numFmtId="9" fontId="15" fillId="17" borderId="0" xfId="0" applyNumberFormat="1" applyFont="1" applyFill="1" applyAlignment="1">
      <alignment horizontal="center"/>
    </xf>
    <xf numFmtId="2" fontId="15" fillId="17" borderId="14" xfId="0" applyNumberFormat="1" applyFont="1" applyFill="1" applyBorder="1" applyAlignment="1">
      <alignment horizontal="center"/>
    </xf>
    <xf numFmtId="0" fontId="15" fillId="17" borderId="14" xfId="0" applyFont="1" applyFill="1" applyBorder="1" applyAlignment="1">
      <alignment horizontal="center"/>
    </xf>
    <xf numFmtId="0" fontId="13" fillId="20" borderId="0" xfId="0" applyFont="1" applyFill="1" applyAlignment="1">
      <alignment horizontal="center"/>
    </xf>
    <xf numFmtId="9" fontId="13" fillId="20" borderId="0" xfId="0" applyNumberFormat="1" applyFont="1" applyFill="1" applyAlignment="1">
      <alignment horizontal="center"/>
    </xf>
    <xf numFmtId="9" fontId="13" fillId="17" borderId="0" xfId="0" applyNumberFormat="1" applyFont="1" applyFill="1" applyAlignment="1">
      <alignment horizontal="center"/>
    </xf>
    <xf numFmtId="2" fontId="13" fillId="17" borderId="14" xfId="0" applyNumberFormat="1" applyFont="1" applyFill="1" applyBorder="1" applyAlignment="1">
      <alignment horizontal="center"/>
    </xf>
    <xf numFmtId="0" fontId="15" fillId="20" borderId="2" xfId="0" applyFont="1" applyFill="1" applyBorder="1" applyAlignment="1">
      <alignment horizontal="center"/>
    </xf>
    <xf numFmtId="9" fontId="15" fillId="20" borderId="2" xfId="0" applyNumberFormat="1" applyFont="1" applyFill="1" applyBorder="1" applyAlignment="1">
      <alignment horizontal="center"/>
    </xf>
    <xf numFmtId="0" fontId="15" fillId="17" borderId="9" xfId="0" applyFont="1" applyFill="1" applyBorder="1" applyAlignment="1">
      <alignment horizontal="center"/>
    </xf>
    <xf numFmtId="9" fontId="15" fillId="17" borderId="2" xfId="0" applyNumberFormat="1" applyFont="1" applyFill="1" applyBorder="1" applyAlignment="1">
      <alignment horizontal="center"/>
    </xf>
    <xf numFmtId="2" fontId="15" fillId="17" borderId="15" xfId="0" applyNumberFormat="1" applyFont="1" applyFill="1" applyBorder="1" applyAlignment="1">
      <alignment horizontal="center"/>
    </xf>
    <xf numFmtId="0" fontId="15" fillId="17" borderId="15" xfId="0" applyFont="1" applyFill="1" applyBorder="1" applyAlignment="1">
      <alignment horizontal="center"/>
    </xf>
    <xf numFmtId="0" fontId="26" fillId="20" borderId="8" xfId="0" applyFont="1" applyFill="1" applyBorder="1" applyAlignment="1">
      <alignment horizontal="center"/>
    </xf>
    <xf numFmtId="0" fontId="26" fillId="20" borderId="10" xfId="0" applyFont="1" applyFill="1" applyBorder="1" applyAlignment="1">
      <alignment horizontal="center"/>
    </xf>
    <xf numFmtId="2" fontId="15" fillId="20" borderId="14" xfId="0" applyNumberFormat="1" applyFont="1" applyFill="1" applyBorder="1" applyAlignment="1">
      <alignment horizontal="center"/>
    </xf>
    <xf numFmtId="2" fontId="13" fillId="20" borderId="14" xfId="0" applyNumberFormat="1" applyFont="1" applyFill="1" applyBorder="1" applyAlignment="1">
      <alignment horizontal="center"/>
    </xf>
    <xf numFmtId="2" fontId="15" fillId="20" borderId="15" xfId="0" applyNumberFormat="1" applyFont="1" applyFill="1" applyBorder="1" applyAlignment="1">
      <alignment horizontal="center"/>
    </xf>
    <xf numFmtId="0" fontId="13" fillId="16" borderId="5" xfId="0" applyFont="1" applyFill="1" applyBorder="1" applyAlignment="1">
      <alignment horizontal="center" vertical="center"/>
    </xf>
    <xf numFmtId="0" fontId="13" fillId="16" borderId="3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171" fontId="15" fillId="17" borderId="2" xfId="0" applyNumberFormat="1" applyFont="1" applyFill="1" applyBorder="1"/>
    <xf numFmtId="0" fontId="13" fillId="17" borderId="0" xfId="0" applyFont="1" applyFill="1"/>
    <xf numFmtId="0" fontId="17" fillId="17" borderId="0" xfId="0" applyFont="1" applyFill="1" applyAlignment="1">
      <alignment vertical="center"/>
    </xf>
    <xf numFmtId="10" fontId="17" fillId="17" borderId="0" xfId="3" applyNumberFormat="1" applyFont="1" applyFill="1" applyAlignment="1">
      <alignment vertical="center"/>
    </xf>
    <xf numFmtId="9" fontId="17" fillId="17" borderId="0" xfId="3" applyFont="1" applyFill="1" applyAlignment="1">
      <alignment vertical="center"/>
    </xf>
    <xf numFmtId="171" fontId="13" fillId="17" borderId="0" xfId="0" applyNumberFormat="1" applyFont="1" applyFill="1"/>
    <xf numFmtId="0" fontId="16" fillId="17" borderId="0" xfId="0" applyFont="1" applyFill="1"/>
    <xf numFmtId="171" fontId="18" fillId="17" borderId="3" xfId="0" applyNumberFormat="1" applyFont="1" applyFill="1" applyBorder="1"/>
    <xf numFmtId="171" fontId="13" fillId="17" borderId="5" xfId="0" applyNumberFormat="1" applyFont="1" applyFill="1" applyBorder="1"/>
    <xf numFmtId="171" fontId="13" fillId="17" borderId="3" xfId="0" applyNumberFormat="1" applyFont="1" applyFill="1" applyBorder="1"/>
    <xf numFmtId="171" fontId="13" fillId="17" borderId="4" xfId="0" applyNumberFormat="1" applyFont="1" applyFill="1" applyBorder="1"/>
    <xf numFmtId="173" fontId="15" fillId="20" borderId="7" xfId="0" applyNumberFormat="1" applyFont="1" applyFill="1" applyBorder="1" applyAlignment="1">
      <alignment horizontal="center"/>
    </xf>
    <xf numFmtId="173" fontId="13" fillId="20" borderId="7" xfId="0" applyNumberFormat="1" applyFont="1" applyFill="1" applyBorder="1" applyAlignment="1">
      <alignment horizontal="center"/>
    </xf>
    <xf numFmtId="173" fontId="15" fillId="20" borderId="9" xfId="0" applyNumberFormat="1" applyFont="1" applyFill="1" applyBorder="1" applyAlignment="1">
      <alignment horizontal="center"/>
    </xf>
    <xf numFmtId="0" fontId="16" fillId="17" borderId="8" xfId="0" applyFont="1" applyFill="1" applyBorder="1"/>
    <xf numFmtId="0" fontId="15" fillId="17" borderId="10" xfId="0" applyFont="1" applyFill="1" applyBorder="1"/>
    <xf numFmtId="0" fontId="15" fillId="17" borderId="7" xfId="0" applyFont="1" applyFill="1" applyBorder="1"/>
    <xf numFmtId="173" fontId="15" fillId="17" borderId="0" xfId="0" applyNumberFormat="1" applyFont="1" applyFill="1"/>
    <xf numFmtId="173" fontId="15" fillId="17" borderId="14" xfId="0" applyNumberFormat="1" applyFont="1" applyFill="1" applyBorder="1"/>
    <xf numFmtId="0" fontId="15" fillId="17" borderId="14" xfId="0" applyFont="1" applyFill="1" applyBorder="1"/>
    <xf numFmtId="0" fontId="16" fillId="17" borderId="7" xfId="0" applyFont="1" applyFill="1" applyBorder="1"/>
    <xf numFmtId="0" fontId="13" fillId="17" borderId="17" xfId="0" applyFont="1" applyFill="1" applyBorder="1"/>
    <xf numFmtId="0" fontId="15" fillId="17" borderId="17" xfId="0" applyFont="1" applyFill="1" applyBorder="1"/>
    <xf numFmtId="0" fontId="15" fillId="17" borderId="18" xfId="0" applyFont="1" applyFill="1" applyBorder="1"/>
    <xf numFmtId="0" fontId="15" fillId="17" borderId="19" xfId="0" applyFont="1" applyFill="1" applyBorder="1"/>
    <xf numFmtId="0" fontId="15" fillId="17" borderId="20" xfId="0" applyFont="1" applyFill="1" applyBorder="1"/>
    <xf numFmtId="0" fontId="15" fillId="17" borderId="21" xfId="0" applyFont="1" applyFill="1" applyBorder="1" applyAlignment="1">
      <alignment horizontal="left" indent="1"/>
    </xf>
    <xf numFmtId="173" fontId="15" fillId="17" borderId="21" xfId="0" applyNumberFormat="1" applyFont="1" applyFill="1" applyBorder="1"/>
    <xf numFmtId="173" fontId="15" fillId="17" borderId="22" xfId="0" applyNumberFormat="1" applyFont="1" applyFill="1" applyBorder="1"/>
    <xf numFmtId="173" fontId="15" fillId="17" borderId="23" xfId="0" applyNumberFormat="1" applyFont="1" applyFill="1" applyBorder="1"/>
    <xf numFmtId="173" fontId="15" fillId="17" borderId="24" xfId="0" applyNumberFormat="1" applyFont="1" applyFill="1" applyBorder="1"/>
    <xf numFmtId="174" fontId="15" fillId="17" borderId="21" xfId="0" applyNumberFormat="1" applyFont="1" applyFill="1" applyBorder="1"/>
    <xf numFmtId="174" fontId="15" fillId="17" borderId="22" xfId="0" applyNumberFormat="1" applyFont="1" applyFill="1" applyBorder="1"/>
    <xf numFmtId="174" fontId="15" fillId="17" borderId="23" xfId="0" applyNumberFormat="1" applyFont="1" applyFill="1" applyBorder="1"/>
    <xf numFmtId="174" fontId="15" fillId="17" borderId="24" xfId="0" applyNumberFormat="1" applyFont="1" applyFill="1" applyBorder="1"/>
    <xf numFmtId="171" fontId="15" fillId="17" borderId="21" xfId="0" applyNumberFormat="1" applyFont="1" applyFill="1" applyBorder="1"/>
    <xf numFmtId="171" fontId="15" fillId="17" borderId="22" xfId="0" applyNumberFormat="1" applyFont="1" applyFill="1" applyBorder="1"/>
    <xf numFmtId="171" fontId="15" fillId="17" borderId="23" xfId="0" applyNumberFormat="1" applyFont="1" applyFill="1" applyBorder="1"/>
    <xf numFmtId="171" fontId="15" fillId="17" borderId="24" xfId="0" applyNumberFormat="1" applyFont="1" applyFill="1" applyBorder="1"/>
    <xf numFmtId="0" fontId="13" fillId="17" borderId="21" xfId="0" applyFont="1" applyFill="1" applyBorder="1"/>
    <xf numFmtId="0" fontId="15" fillId="17" borderId="21" xfId="0" applyFont="1" applyFill="1" applyBorder="1"/>
    <xf numFmtId="0" fontId="15" fillId="17" borderId="22" xfId="0" applyFont="1" applyFill="1" applyBorder="1"/>
    <xf numFmtId="0" fontId="15" fillId="17" borderId="25" xfId="0" applyFont="1" applyFill="1" applyBorder="1" applyAlignment="1">
      <alignment horizontal="left" indent="1"/>
    </xf>
    <xf numFmtId="171" fontId="15" fillId="17" borderId="25" xfId="0" applyNumberFormat="1" applyFont="1" applyFill="1" applyBorder="1"/>
    <xf numFmtId="171" fontId="15" fillId="17" borderId="26" xfId="0" applyNumberFormat="1" applyFont="1" applyFill="1" applyBorder="1"/>
    <xf numFmtId="171" fontId="15" fillId="17" borderId="27" xfId="0" applyNumberFormat="1" applyFont="1" applyFill="1" applyBorder="1"/>
    <xf numFmtId="171" fontId="15" fillId="17" borderId="28" xfId="0" applyNumberFormat="1" applyFont="1" applyFill="1" applyBorder="1"/>
    <xf numFmtId="0" fontId="15" fillId="16" borderId="13" xfId="0" applyFont="1" applyFill="1" applyBorder="1" applyAlignment="1">
      <alignment horizontal="center"/>
    </xf>
    <xf numFmtId="0" fontId="16" fillId="16" borderId="1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173" fontId="15" fillId="21" borderId="0" xfId="0" applyNumberFormat="1" applyFont="1" applyFill="1"/>
    <xf numFmtId="9" fontId="15" fillId="21" borderId="0" xfId="0" applyNumberFormat="1" applyFont="1" applyFill="1"/>
    <xf numFmtId="174" fontId="15" fillId="21" borderId="0" xfId="0" applyNumberFormat="1" applyFont="1" applyFill="1"/>
    <xf numFmtId="0" fontId="15" fillId="17" borderId="0" xfId="0" applyFont="1" applyFill="1" applyAlignment="1">
      <alignment horizontal="left" indent="1"/>
    </xf>
    <xf numFmtId="173" fontId="15" fillId="17" borderId="0" xfId="0" applyNumberFormat="1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16" fillId="17" borderId="0" xfId="0" applyFont="1" applyFill="1" applyAlignment="1">
      <alignment horizontal="center" vertical="center"/>
    </xf>
    <xf numFmtId="0" fontId="13" fillId="20" borderId="0" xfId="0" applyFont="1" applyFill="1"/>
    <xf numFmtId="0" fontId="15" fillId="20" borderId="0" xfId="0" applyFont="1" applyFill="1"/>
    <xf numFmtId="174" fontId="15" fillId="17" borderId="2" xfId="0" applyNumberFormat="1" applyFont="1" applyFill="1" applyBorder="1"/>
    <xf numFmtId="10" fontId="37" fillId="17" borderId="0" xfId="3" applyNumberFormat="1" applyFont="1" applyFill="1" applyBorder="1"/>
    <xf numFmtId="0" fontId="16" fillId="20" borderId="0" xfId="0" applyFont="1" applyFill="1" applyAlignment="1">
      <alignment horizontal="center" vertical="center"/>
    </xf>
    <xf numFmtId="0" fontId="0" fillId="20" borderId="0" xfId="0" applyFill="1"/>
    <xf numFmtId="0" fontId="36" fillId="20" borderId="29" xfId="0" applyFont="1" applyFill="1" applyBorder="1" applyAlignment="1">
      <alignment horizontal="center" vertical="center" wrapText="1"/>
    </xf>
    <xf numFmtId="0" fontId="4" fillId="20" borderId="0" xfId="0" applyFont="1" applyFill="1"/>
    <xf numFmtId="0" fontId="0" fillId="17" borderId="0" xfId="0" applyFill="1"/>
    <xf numFmtId="0" fontId="0" fillId="17" borderId="2" xfId="0" applyFill="1" applyBorder="1"/>
    <xf numFmtId="0" fontId="16" fillId="0" borderId="0" xfId="0" applyFont="1" applyAlignment="1">
      <alignment horizontal="center"/>
    </xf>
    <xf numFmtId="174" fontId="13" fillId="20" borderId="0" xfId="0" applyNumberFormat="1" applyFont="1" applyFill="1" applyAlignment="1">
      <alignment horizontal="center"/>
    </xf>
    <xf numFmtId="174" fontId="13" fillId="17" borderId="14" xfId="0" applyNumberFormat="1" applyFont="1" applyFill="1" applyBorder="1" applyAlignment="1">
      <alignment horizontal="center"/>
    </xf>
    <xf numFmtId="182" fontId="15" fillId="0" borderId="0" xfId="0" applyNumberFormat="1" applyFont="1"/>
    <xf numFmtId="0" fontId="17" fillId="0" borderId="0" xfId="0" applyFont="1" applyAlignment="1">
      <alignment horizontal="left" indent="2"/>
    </xf>
    <xf numFmtId="0" fontId="38" fillId="0" borderId="0" xfId="0" applyFont="1"/>
    <xf numFmtId="0" fontId="39" fillId="0" borderId="0" xfId="0" applyFont="1"/>
    <xf numFmtId="183" fontId="15" fillId="0" borderId="0" xfId="0" applyNumberFormat="1" applyFont="1"/>
    <xf numFmtId="184" fontId="15" fillId="0" borderId="0" xfId="0" applyNumberFormat="1" applyFont="1"/>
    <xf numFmtId="9" fontId="15" fillId="0" borderId="0" xfId="0" applyNumberFormat="1" applyFont="1" applyAlignment="1">
      <alignment horizontal="center"/>
    </xf>
    <xf numFmtId="0" fontId="17" fillId="0" borderId="0" xfId="0" applyFont="1" applyAlignment="1">
      <alignment horizontal="left" wrapText="1" indent="2"/>
    </xf>
    <xf numFmtId="0" fontId="15" fillId="0" borderId="0" xfId="0" applyFont="1" applyAlignment="1">
      <alignment wrapText="1"/>
    </xf>
    <xf numFmtId="0" fontId="13" fillId="10" borderId="2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16" borderId="6" xfId="0" applyFont="1" applyFill="1" applyBorder="1" applyAlignment="1">
      <alignment horizontal="center"/>
    </xf>
    <xf numFmtId="0" fontId="13" fillId="16" borderId="10" xfId="0" applyFont="1" applyFill="1" applyBorder="1" applyAlignment="1">
      <alignment horizontal="center"/>
    </xf>
    <xf numFmtId="0" fontId="16" fillId="17" borderId="8" xfId="0" applyFont="1" applyFill="1" applyBorder="1" applyAlignment="1">
      <alignment horizontal="center"/>
    </xf>
    <xf numFmtId="0" fontId="16" fillId="17" borderId="10" xfId="0" applyFont="1" applyFill="1" applyBorder="1" applyAlignment="1">
      <alignment horizontal="center"/>
    </xf>
    <xf numFmtId="0" fontId="15" fillId="0" borderId="30" xfId="0" applyFont="1" applyBorder="1"/>
    <xf numFmtId="0" fontId="15" fillId="0" borderId="31" xfId="0" applyFont="1" applyBorder="1"/>
    <xf numFmtId="0" fontId="15" fillId="0" borderId="32" xfId="0" applyFont="1" applyBorder="1"/>
    <xf numFmtId="0" fontId="15" fillId="0" borderId="33" xfId="0" applyFont="1" applyBorder="1"/>
    <xf numFmtId="0" fontId="15" fillId="0" borderId="0" xfId="0" applyFont="1" applyBorder="1"/>
    <xf numFmtId="0" fontId="15" fillId="0" borderId="34" xfId="0" applyFont="1" applyBorder="1"/>
    <xf numFmtId="171" fontId="15" fillId="0" borderId="0" xfId="0" applyNumberFormat="1" applyFont="1" applyBorder="1"/>
    <xf numFmtId="171" fontId="15" fillId="0" borderId="34" xfId="0" applyNumberFormat="1" applyFont="1" applyBorder="1"/>
    <xf numFmtId="0" fontId="40" fillId="0" borderId="33" xfId="0" applyFont="1" applyBorder="1"/>
    <xf numFmtId="0" fontId="15" fillId="0" borderId="35" xfId="0" applyFont="1" applyBorder="1"/>
    <xf numFmtId="0" fontId="15" fillId="0" borderId="36" xfId="0" applyFont="1" applyBorder="1"/>
    <xf numFmtId="0" fontId="15" fillId="0" borderId="37" xfId="0" applyFont="1" applyBorder="1"/>
    <xf numFmtId="173" fontId="15" fillId="0" borderId="0" xfId="0" applyNumberFormat="1" applyFont="1" applyAlignment="1">
      <alignment vertical="center"/>
    </xf>
    <xf numFmtId="184" fontId="15" fillId="0" borderId="0" xfId="0" applyNumberFormat="1" applyFont="1" applyAlignment="1">
      <alignment vertical="center" wrapText="1"/>
    </xf>
  </cellXfs>
  <cellStyles count="4">
    <cellStyle name="Comma" xfId="1" builtinId="3"/>
    <cellStyle name="Normal" xfId="0" builtinId="0"/>
    <cellStyle name="Normal_SHEET" xfId="2" xr:uid="{00000000-0005-0000-0000-000002000000}"/>
    <cellStyle name="Percent" xfId="3" builtinId="5"/>
  </cellStyles>
  <dxfs count="2"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 Even'!$B$32:$C$32</c:f>
              <c:strCache>
                <c:ptCount val="2"/>
                <c:pt idx="0">
                  <c:v>Break Even Revenue</c:v>
                </c:pt>
              </c:strCache>
            </c:strRef>
          </c:tx>
          <c:cat>
            <c:strRef>
              <c:f>'Break Even'!$D$31:$H$31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'Break Even'!$D$32:$H$32</c:f>
              <c:numCache>
                <c:formatCode>\€\ #,##0\ ;[Red]\(\€\ #,##0\)</c:formatCode>
                <c:ptCount val="5"/>
                <c:pt idx="0">
                  <c:v>58293.582125000015</c:v>
                </c:pt>
                <c:pt idx="1">
                  <c:v>64998.932836048007</c:v>
                </c:pt>
                <c:pt idx="2">
                  <c:v>145425.91667306778</c:v>
                </c:pt>
                <c:pt idx="3">
                  <c:v>155518.33039201592</c:v>
                </c:pt>
                <c:pt idx="4">
                  <c:v>166979.877484617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B-421C-8366-9EF684A01758}"/>
            </c:ext>
          </c:extLst>
        </c:ser>
        <c:ser>
          <c:idx val="2"/>
          <c:order val="1"/>
          <c:tx>
            <c:strRef>
              <c:f>'Break Even'!$B$33:$C$33</c:f>
              <c:strCache>
                <c:ptCount val="2"/>
                <c:pt idx="0">
                  <c:v>Projected Revenue</c:v>
                </c:pt>
              </c:strCache>
            </c:strRef>
          </c:tx>
          <c:cat>
            <c:strRef>
              <c:f>'Break Even'!$D$31:$H$31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'Break Even'!$D$33:$H$33</c:f>
              <c:numCache>
                <c:formatCode>\€\ #,##0\ ;[Red]\(\€\ #,##0\)</c:formatCode>
                <c:ptCount val="5"/>
                <c:pt idx="0">
                  <c:v>90591.285000000003</c:v>
                </c:pt>
                <c:pt idx="1">
                  <c:v>508786.93852500006</c:v>
                </c:pt>
                <c:pt idx="2">
                  <c:v>667364.92847377504</c:v>
                </c:pt>
                <c:pt idx="3">
                  <c:v>877426.88274134183</c:v>
                </c:pt>
                <c:pt idx="4">
                  <c:v>1155889.2073031433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B-421C-8366-9EF684A01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86432"/>
        <c:axId val="167588224"/>
      </c:lineChart>
      <c:catAx>
        <c:axId val="16758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588224"/>
        <c:crosses val="autoZero"/>
        <c:auto val="1"/>
        <c:lblAlgn val="ctr"/>
        <c:lblOffset val="100"/>
        <c:noMultiLvlLbl val="0"/>
      </c:catAx>
      <c:valAx>
        <c:axId val="167588224"/>
        <c:scaling>
          <c:orientation val="minMax"/>
        </c:scaling>
        <c:delete val="0"/>
        <c:axPos val="l"/>
        <c:majorGridlines/>
        <c:numFmt formatCode="\€\ #,##0\ ;[Red]\(\€\ #,##0\)" sourceLinked="1"/>
        <c:majorTickMark val="out"/>
        <c:minorTickMark val="none"/>
        <c:tickLblPos val="nextTo"/>
        <c:crossAx val="1675864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19</xdr:col>
      <xdr:colOff>156578</xdr:colOff>
      <xdr:row>201</xdr:row>
      <xdr:rowOff>104300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36CC3E-CF08-DEAC-97C2-B34D4C98A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" y="8362950"/>
          <a:ext cx="17371428" cy="29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35</xdr:row>
      <xdr:rowOff>4762</xdr:rowOff>
    </xdr:from>
    <xdr:to>
      <xdr:col>8</xdr:col>
      <xdr:colOff>0</xdr:colOff>
      <xdr:row>51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\Desktop\December%2004%20-%20Kanika%20developments%20Ltd%20-%20Management%20accou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ntents"/>
      <sheetName val="Clarifications"/>
      <sheetName val="Comments"/>
      <sheetName val="BS"/>
      <sheetName val="Cash flow"/>
      <sheetName val="PL"/>
      <sheetName val="PROJECTS ANALYSIS - IAS"/>
      <sheetName val="COMPLETED PROJECTS ANALYSIS"/>
      <sheetName val="Ratios"/>
      <sheetName val="TB"/>
      <sheetName val="Chart of accounts"/>
      <sheetName val="Instruction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">
          <cell r="O10">
            <v>-77865.989999999991</v>
          </cell>
        </row>
        <row r="13">
          <cell r="J13">
            <v>3470867.1999999997</v>
          </cell>
        </row>
        <row r="14">
          <cell r="J14">
            <v>266736.05</v>
          </cell>
        </row>
      </sheetData>
      <sheetData sheetId="5" refreshError="1"/>
      <sheetData sheetId="6">
        <row r="10">
          <cell r="O10">
            <v>3885020.594673458</v>
          </cell>
        </row>
      </sheetData>
      <sheetData sheetId="7">
        <row r="46">
          <cell r="P46">
            <v>-1592858.803128737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L66"/>
  <sheetViews>
    <sheetView zoomScaleNormal="100" workbookViewId="0">
      <selection activeCell="M27" sqref="M27"/>
    </sheetView>
  </sheetViews>
  <sheetFormatPr defaultColWidth="9.08984375" defaultRowHeight="14.5" x14ac:dyDescent="0.35"/>
  <cols>
    <col min="1" max="1" width="5.36328125" style="31" customWidth="1"/>
    <col min="2" max="2" width="30.90625" style="31" customWidth="1"/>
    <col min="3" max="3" width="10" style="31" customWidth="1"/>
    <col min="4" max="4" width="5" style="31" customWidth="1"/>
    <col min="5" max="5" width="12.90625" style="31" bestFit="1" customWidth="1"/>
    <col min="6" max="6" width="12.453125" style="31" bestFit="1" customWidth="1"/>
    <col min="7" max="8" width="14.90625" style="31" customWidth="1"/>
    <col min="9" max="9" width="13.54296875" style="31" customWidth="1"/>
    <col min="10" max="10" width="13.453125" style="31" bestFit="1" customWidth="1"/>
    <col min="11" max="11" width="10.6328125" style="31" customWidth="1"/>
    <col min="12" max="14" width="9.08984375" style="31"/>
    <col min="15" max="15" width="15.453125" style="31" customWidth="1"/>
    <col min="16" max="16384" width="9.08984375" style="31"/>
  </cols>
  <sheetData>
    <row r="1" spans="2:11" ht="7.5" customHeight="1" x14ac:dyDescent="0.35"/>
    <row r="2" spans="2:11" ht="21" x14ac:dyDescent="0.5">
      <c r="B2" s="49" t="s">
        <v>448</v>
      </c>
      <c r="C2" s="33"/>
      <c r="D2" s="33"/>
      <c r="E2" s="33"/>
      <c r="F2" s="33"/>
      <c r="G2" s="33"/>
      <c r="H2" s="33"/>
      <c r="I2" s="33"/>
      <c r="J2" s="33"/>
    </row>
    <row r="3" spans="2:11" ht="6.75" customHeight="1" x14ac:dyDescent="0.5">
      <c r="B3" s="92"/>
    </row>
    <row r="4" spans="2:11" ht="21" x14ac:dyDescent="0.5">
      <c r="B4" s="51" t="s">
        <v>218</v>
      </c>
      <c r="C4" s="33"/>
      <c r="D4" s="33"/>
      <c r="E4" s="33"/>
      <c r="F4" s="33"/>
      <c r="G4" s="33"/>
      <c r="H4" s="33"/>
      <c r="I4" s="33"/>
      <c r="J4" s="33"/>
    </row>
    <row r="5" spans="2:11" ht="8.25" customHeight="1" x14ac:dyDescent="0.35"/>
    <row r="6" spans="2:11" x14ac:dyDescent="0.35">
      <c r="B6" s="69" t="s">
        <v>153</v>
      </c>
      <c r="C6" s="190"/>
    </row>
    <row r="7" spans="2:11" ht="12.75" customHeight="1" x14ac:dyDescent="0.35">
      <c r="B7" s="32"/>
      <c r="C7" s="32"/>
    </row>
    <row r="8" spans="2:11" ht="15.75" customHeight="1" x14ac:dyDescent="0.35">
      <c r="B8" s="191"/>
      <c r="C8" s="192"/>
      <c r="D8" s="193"/>
      <c r="E8" s="193"/>
      <c r="F8" s="249"/>
      <c r="G8" s="250" t="s">
        <v>270</v>
      </c>
      <c r="H8" s="249"/>
      <c r="I8" s="250" t="s">
        <v>271</v>
      </c>
      <c r="J8" s="568" t="s">
        <v>220</v>
      </c>
      <c r="K8" s="569"/>
    </row>
    <row r="9" spans="2:11" ht="15.75" customHeight="1" x14ac:dyDescent="0.35">
      <c r="B9" s="194" t="s">
        <v>336</v>
      </c>
      <c r="C9" s="195"/>
      <c r="D9" s="196">
        <v>4</v>
      </c>
      <c r="E9" s="196"/>
      <c r="F9" s="361"/>
      <c r="G9" s="248">
        <v>4</v>
      </c>
      <c r="H9" s="361"/>
      <c r="I9" s="248">
        <f>Sens!F6</f>
        <v>4</v>
      </c>
      <c r="J9" s="566" t="str">
        <f t="shared" ref="J9" si="0">IF(I9=G9,"Same with basic value","Different from basic value")</f>
        <v>Same with basic value</v>
      </c>
      <c r="K9" s="567"/>
    </row>
    <row r="10" spans="2:11" ht="15.75" customHeight="1" x14ac:dyDescent="0.35">
      <c r="B10" s="194" t="s">
        <v>343</v>
      </c>
      <c r="C10" s="195"/>
      <c r="D10" s="196">
        <v>3.5</v>
      </c>
      <c r="E10" s="196"/>
      <c r="F10" s="199"/>
      <c r="G10" s="248">
        <v>3.5</v>
      </c>
      <c r="H10" s="199"/>
      <c r="I10" s="248">
        <f>Sens!F7</f>
        <v>3.5</v>
      </c>
      <c r="J10" s="566" t="str">
        <f t="shared" ref="J10:J19" si="1">IF(I10=G10,"Same with basic value","Different from basic value")</f>
        <v>Same with basic value</v>
      </c>
      <c r="K10" s="567"/>
    </row>
    <row r="11" spans="2:11" ht="15.75" customHeight="1" x14ac:dyDescent="0.35">
      <c r="B11" s="194" t="s">
        <v>447</v>
      </c>
      <c r="C11" s="195"/>
      <c r="D11" s="196">
        <v>40</v>
      </c>
      <c r="E11" s="196"/>
      <c r="F11" s="199"/>
      <c r="G11" s="248">
        <v>40</v>
      </c>
      <c r="H11" s="199"/>
      <c r="I11" s="248">
        <f>Sens!F8</f>
        <v>40</v>
      </c>
      <c r="J11" s="566" t="str">
        <f t="shared" si="1"/>
        <v>Same with basic value</v>
      </c>
      <c r="K11" s="567"/>
    </row>
    <row r="12" spans="2:11" ht="15.75" customHeight="1" x14ac:dyDescent="0.35">
      <c r="B12" s="194" t="s">
        <v>445</v>
      </c>
      <c r="C12" s="195"/>
      <c r="D12" s="196">
        <v>15</v>
      </c>
      <c r="E12" s="196"/>
      <c r="F12" s="197"/>
      <c r="G12" s="248">
        <v>15</v>
      </c>
      <c r="H12" s="197"/>
      <c r="I12" s="248">
        <f>Sens!F9</f>
        <v>15</v>
      </c>
      <c r="J12" s="566" t="str">
        <f t="shared" si="1"/>
        <v>Same with basic value</v>
      </c>
      <c r="K12" s="567"/>
    </row>
    <row r="13" spans="2:11" ht="15.75" customHeight="1" x14ac:dyDescent="0.35">
      <c r="B13" s="194" t="s">
        <v>275</v>
      </c>
      <c r="C13" s="195"/>
      <c r="D13" s="196"/>
      <c r="E13" s="196"/>
      <c r="F13" s="199"/>
      <c r="G13" s="242">
        <v>15</v>
      </c>
      <c r="H13" s="199"/>
      <c r="I13" s="242">
        <v>15</v>
      </c>
      <c r="J13" s="566" t="str">
        <f t="shared" si="1"/>
        <v>Same with basic value</v>
      </c>
      <c r="K13" s="567"/>
    </row>
    <row r="14" spans="2:11" ht="15.75" customHeight="1" x14ac:dyDescent="0.35">
      <c r="B14" s="194" t="s">
        <v>276</v>
      </c>
      <c r="C14" s="195"/>
      <c r="D14" s="196"/>
      <c r="E14" s="196"/>
      <c r="F14" s="197"/>
      <c r="G14" s="245">
        <v>20</v>
      </c>
      <c r="H14" s="197"/>
      <c r="I14" s="245">
        <f>Sens!F8</f>
        <v>40</v>
      </c>
      <c r="J14" s="566" t="str">
        <f t="shared" si="1"/>
        <v>Different from basic value</v>
      </c>
      <c r="K14" s="567"/>
    </row>
    <row r="15" spans="2:11" ht="15.75" customHeight="1" x14ac:dyDescent="0.35">
      <c r="B15" s="194" t="s">
        <v>277</v>
      </c>
      <c r="C15" s="195"/>
      <c r="D15" s="196"/>
      <c r="E15" s="196"/>
      <c r="F15" s="197"/>
      <c r="G15" s="243">
        <v>0.5</v>
      </c>
      <c r="H15" s="197"/>
      <c r="I15" s="243">
        <v>0.5</v>
      </c>
      <c r="J15" s="566" t="str">
        <f t="shared" si="1"/>
        <v>Same with basic value</v>
      </c>
      <c r="K15" s="567"/>
    </row>
    <row r="16" spans="2:11" ht="15.75" customHeight="1" x14ac:dyDescent="0.35">
      <c r="B16" s="194" t="s">
        <v>300</v>
      </c>
      <c r="C16" s="195"/>
      <c r="D16" s="196"/>
      <c r="E16" s="196"/>
      <c r="F16" s="197"/>
      <c r="G16" s="248">
        <v>9.25</v>
      </c>
      <c r="H16" s="197"/>
      <c r="I16" s="248">
        <f>Sens!F9</f>
        <v>15</v>
      </c>
      <c r="J16" s="566" t="str">
        <f t="shared" si="1"/>
        <v>Different from basic value</v>
      </c>
      <c r="K16" s="567"/>
    </row>
    <row r="17" spans="2:11" ht="15.75" customHeight="1" x14ac:dyDescent="0.35">
      <c r="B17" s="194" t="s">
        <v>252</v>
      </c>
      <c r="C17" s="195"/>
      <c r="D17" s="196"/>
      <c r="E17" s="196"/>
      <c r="F17" s="197"/>
      <c r="G17" s="243">
        <v>0.03</v>
      </c>
      <c r="H17" s="197"/>
      <c r="I17" s="243">
        <v>0.03</v>
      </c>
      <c r="J17" s="566" t="str">
        <f t="shared" si="1"/>
        <v>Same with basic value</v>
      </c>
      <c r="K17" s="567"/>
    </row>
    <row r="18" spans="2:11" ht="15.75" customHeight="1" x14ac:dyDescent="0.35">
      <c r="B18" s="194" t="s">
        <v>278</v>
      </c>
      <c r="C18" s="195"/>
      <c r="D18" s="196"/>
      <c r="E18" s="196"/>
      <c r="F18" s="198"/>
      <c r="G18" s="244">
        <v>0</v>
      </c>
      <c r="H18" s="198"/>
      <c r="I18" s="244">
        <v>0</v>
      </c>
      <c r="J18" s="566" t="str">
        <f t="shared" si="1"/>
        <v>Same with basic value</v>
      </c>
      <c r="K18" s="567"/>
    </row>
    <row r="19" spans="2:11" ht="15.75" customHeight="1" x14ac:dyDescent="0.35">
      <c r="B19" s="194" t="s">
        <v>280</v>
      </c>
      <c r="C19" s="195"/>
      <c r="D19" s="196"/>
      <c r="E19" s="196"/>
      <c r="F19" s="199"/>
      <c r="G19" s="242">
        <v>30</v>
      </c>
      <c r="H19" s="199"/>
      <c r="I19" s="242">
        <v>0</v>
      </c>
      <c r="J19" s="566" t="str">
        <f t="shared" si="1"/>
        <v>Different from basic value</v>
      </c>
      <c r="K19" s="567"/>
    </row>
    <row r="20" spans="2:11" ht="15.75" customHeight="1" x14ac:dyDescent="0.35">
      <c r="B20" s="194" t="s">
        <v>294</v>
      </c>
      <c r="C20" s="195"/>
      <c r="D20" s="196"/>
      <c r="E20" s="196"/>
      <c r="F20" s="199"/>
      <c r="G20" s="242">
        <v>1250000</v>
      </c>
      <c r="H20" s="199"/>
      <c r="I20" s="242">
        <v>1250000</v>
      </c>
      <c r="J20" s="566" t="str">
        <f t="shared" ref="J20:J21" si="2">IF(I20=G20,"Same with basic value","Different from basic value")</f>
        <v>Same with basic value</v>
      </c>
      <c r="K20" s="567"/>
    </row>
    <row r="21" spans="2:11" ht="15.75" customHeight="1" x14ac:dyDescent="0.35">
      <c r="B21" s="194" t="s">
        <v>295</v>
      </c>
      <c r="C21" s="195"/>
      <c r="D21" s="196"/>
      <c r="E21" s="196"/>
      <c r="F21" s="199"/>
      <c r="G21" s="242">
        <v>3750000</v>
      </c>
      <c r="H21" s="199"/>
      <c r="I21" s="242">
        <v>3750000</v>
      </c>
      <c r="J21" s="566" t="str">
        <f t="shared" si="2"/>
        <v>Same with basic value</v>
      </c>
      <c r="K21" s="567"/>
    </row>
    <row r="22" spans="2:11" ht="15" customHeight="1" x14ac:dyDescent="0.35">
      <c r="B22" s="200" t="s">
        <v>173</v>
      </c>
      <c r="C22" s="201"/>
      <c r="D22" s="201"/>
      <c r="E22" s="201"/>
      <c r="F22" s="202"/>
      <c r="G22" s="246">
        <v>0</v>
      </c>
      <c r="H22" s="202"/>
      <c r="I22" s="246">
        <v>0</v>
      </c>
      <c r="J22" s="564" t="str">
        <f>IF(I22=G22,"Same with basic value","Different from basic value")</f>
        <v>Same with basic value</v>
      </c>
      <c r="K22" s="565"/>
    </row>
    <row r="24" spans="2:11" x14ac:dyDescent="0.35">
      <c r="B24" s="69" t="s">
        <v>123</v>
      </c>
      <c r="C24" s="190"/>
      <c r="E24" s="36" t="s">
        <v>234</v>
      </c>
      <c r="F24" s="37" t="s">
        <v>235</v>
      </c>
      <c r="G24" s="37" t="s">
        <v>236</v>
      </c>
      <c r="H24" s="37" t="s">
        <v>237</v>
      </c>
      <c r="I24" s="68" t="s">
        <v>238</v>
      </c>
    </row>
    <row r="26" spans="2:11" x14ac:dyDescent="0.35">
      <c r="B26" s="32" t="s">
        <v>8</v>
      </c>
      <c r="C26" s="32"/>
      <c r="E26" s="48">
        <f>'P&amp;L'!C9</f>
        <v>90591.285000000003</v>
      </c>
      <c r="F26" s="48">
        <f>'P&amp;L'!D9</f>
        <v>508786.93852500006</v>
      </c>
      <c r="G26" s="48">
        <f>'P&amp;L'!E9</f>
        <v>667364.92847377504</v>
      </c>
      <c r="H26" s="48">
        <f>'P&amp;L'!F9</f>
        <v>877426.88274134183</v>
      </c>
      <c r="I26" s="48">
        <f>'P&amp;L'!G9</f>
        <v>1155889.2073031433</v>
      </c>
    </row>
    <row r="27" spans="2:11" x14ac:dyDescent="0.35">
      <c r="C27" s="32"/>
      <c r="E27" s="48"/>
      <c r="F27" s="48"/>
      <c r="G27" s="48"/>
      <c r="H27" s="48"/>
      <c r="I27" s="48"/>
    </row>
    <row r="28" spans="2:11" x14ac:dyDescent="0.35">
      <c r="B28" s="32" t="s">
        <v>118</v>
      </c>
      <c r="C28" s="32"/>
      <c r="E28" s="48">
        <f>'P&amp;L'!C11</f>
        <v>18118.256999999998</v>
      </c>
      <c r="F28" s="48">
        <f>'P&amp;L'!D11</f>
        <v>111822.98770499998</v>
      </c>
      <c r="G28" s="48">
        <f>'P&amp;L'!E11</f>
        <v>143538.5856947549</v>
      </c>
      <c r="H28" s="48">
        <f>'P&amp;L'!F11</f>
        <v>185550.97654826834</v>
      </c>
      <c r="I28" s="48">
        <f>'P&amp;L'!G11</f>
        <v>241243.44146062864</v>
      </c>
    </row>
    <row r="29" spans="2:11" x14ac:dyDescent="0.35">
      <c r="E29" s="48"/>
      <c r="F29" s="48"/>
      <c r="G29" s="48"/>
      <c r="H29" s="48"/>
      <c r="I29" s="48"/>
    </row>
    <row r="30" spans="2:11" x14ac:dyDescent="0.35">
      <c r="B30" s="32" t="s">
        <v>9</v>
      </c>
      <c r="C30" s="32"/>
      <c r="E30" s="48"/>
      <c r="F30" s="48"/>
      <c r="G30" s="48"/>
      <c r="H30" s="48"/>
      <c r="I30" s="48"/>
    </row>
    <row r="31" spans="2:11" x14ac:dyDescent="0.35">
      <c r="B31" s="31" t="str">
        <f>'P&amp;L'!B14</f>
        <v>Payroll expenses</v>
      </c>
      <c r="C31" s="32"/>
      <c r="E31" s="48">
        <f>'P&amp;L'!C14</f>
        <v>0</v>
      </c>
      <c r="F31" s="48">
        <f>'P&amp;L'!D14</f>
        <v>0</v>
      </c>
      <c r="G31" s="48">
        <f>'P&amp;L'!E14</f>
        <v>0</v>
      </c>
      <c r="H31" s="48">
        <f>'P&amp;L'!F14</f>
        <v>0</v>
      </c>
      <c r="I31" s="48">
        <f>'P&amp;L'!G14</f>
        <v>0</v>
      </c>
    </row>
    <row r="32" spans="2:11" x14ac:dyDescent="0.35">
      <c r="B32" s="31" t="str">
        <f>'P&amp;L'!B15</f>
        <v>Administration &amp; Operating expenses</v>
      </c>
      <c r="E32" s="48">
        <f>'P&amp;L'!C15</f>
        <v>-7205.76</v>
      </c>
      <c r="F32" s="48">
        <f>'P&amp;L'!D15</f>
        <v>-11741.76</v>
      </c>
      <c r="G32" s="48">
        <f>'P&amp;L'!E15</f>
        <v>-27941.760000000002</v>
      </c>
      <c r="H32" s="48">
        <f>'P&amp;L'!F15</f>
        <v>-28500.595200000003</v>
      </c>
      <c r="I32" s="48">
        <f>'P&amp;L'!G15</f>
        <v>-29070.607104000006</v>
      </c>
    </row>
    <row r="33" spans="2:9" x14ac:dyDescent="0.35">
      <c r="B33" s="31" t="str">
        <f>'P&amp;L'!B16</f>
        <v>Marketing/ advertising expenses</v>
      </c>
      <c r="E33" s="48">
        <f>'P&amp;L'!C16</f>
        <v>-4452.9564250000003</v>
      </c>
      <c r="F33" s="48">
        <f>'P&amp;L'!D16</f>
        <v>-2543.9346926250005</v>
      </c>
      <c r="G33" s="48">
        <f>'P&amp;L'!E16</f>
        <v>-3336.8246423688752</v>
      </c>
      <c r="H33" s="48">
        <f>'P&amp;L'!F16</f>
        <v>-4387.134413706709</v>
      </c>
      <c r="I33" s="48">
        <f>'P&amp;L'!G16</f>
        <v>-5779.4460365157165</v>
      </c>
    </row>
    <row r="34" spans="2:9" s="32" customFormat="1" x14ac:dyDescent="0.35">
      <c r="B34" s="32" t="s">
        <v>6</v>
      </c>
      <c r="E34" s="132">
        <f>SUM(E31:E33)</f>
        <v>-11658.716425000001</v>
      </c>
      <c r="F34" s="132">
        <f t="shared" ref="F34:I34" si="3">SUM(F31:F33)</f>
        <v>-14285.694692625</v>
      </c>
      <c r="G34" s="132">
        <f t="shared" si="3"/>
        <v>-31278.584642368878</v>
      </c>
      <c r="H34" s="132">
        <f t="shared" si="3"/>
        <v>-32887.72961370671</v>
      </c>
      <c r="I34" s="132">
        <f t="shared" si="3"/>
        <v>-34850.053140515723</v>
      </c>
    </row>
    <row r="35" spans="2:9" x14ac:dyDescent="0.35">
      <c r="E35" s="48"/>
      <c r="F35" s="48"/>
      <c r="G35" s="48"/>
      <c r="H35" s="48"/>
      <c r="I35" s="48"/>
    </row>
    <row r="36" spans="2:9" ht="16.5" customHeight="1" x14ac:dyDescent="0.35">
      <c r="B36" s="203" t="s">
        <v>85</v>
      </c>
      <c r="C36" s="203"/>
      <c r="E36" s="48">
        <f>'P&amp;L'!C22</f>
        <v>6459.5405749999982</v>
      </c>
      <c r="F36" s="48">
        <f>'P&amp;L'!D22</f>
        <v>97537.293012374983</v>
      </c>
      <c r="G36" s="48">
        <f>'P&amp;L'!E22</f>
        <v>112260.00105238604</v>
      </c>
      <c r="H36" s="48">
        <f>'P&amp;L'!F22</f>
        <v>152663.24693456161</v>
      </c>
      <c r="I36" s="48">
        <f>'P&amp;L'!G22</f>
        <v>207124.67535215287</v>
      </c>
    </row>
    <row r="37" spans="2:9" ht="15" customHeight="1" x14ac:dyDescent="0.35">
      <c r="B37" s="204" t="s">
        <v>150</v>
      </c>
      <c r="C37" s="205"/>
      <c r="E37" s="236">
        <f>'P&amp;L'!C25</f>
        <v>5652.5405749999982</v>
      </c>
      <c r="F37" s="237">
        <f>'P&amp;L'!D25</f>
        <v>85345.293012374983</v>
      </c>
      <c r="G37" s="237">
        <f>'P&amp;L'!E25</f>
        <v>97338.491246294783</v>
      </c>
      <c r="H37" s="237">
        <f>'P&amp;L'!F25</f>
        <v>120163.99228070944</v>
      </c>
      <c r="I37" s="377">
        <f>'P&amp;L'!G25</f>
        <v>165792.31220739719</v>
      </c>
    </row>
    <row r="38" spans="2:9" x14ac:dyDescent="0.35">
      <c r="B38" s="32"/>
      <c r="C38" s="32"/>
      <c r="E38" s="48"/>
      <c r="F38" s="132"/>
      <c r="G38" s="132"/>
      <c r="H38" s="132"/>
      <c r="I38" s="132"/>
    </row>
    <row r="39" spans="2:9" x14ac:dyDescent="0.35">
      <c r="B39" s="32" t="s">
        <v>216</v>
      </c>
      <c r="C39" s="32"/>
      <c r="E39" s="132">
        <f>-FA!D155</f>
        <v>0</v>
      </c>
      <c r="F39" s="132">
        <f>-FA!E155</f>
        <v>0</v>
      </c>
      <c r="G39" s="132">
        <f>-FA!F155</f>
        <v>0</v>
      </c>
      <c r="H39" s="132">
        <f>-FA!G155</f>
        <v>0</v>
      </c>
      <c r="I39" s="132">
        <f>-FA!H155</f>
        <v>0</v>
      </c>
    </row>
    <row r="40" spans="2:9" x14ac:dyDescent="0.35">
      <c r="E40" s="48"/>
      <c r="F40" s="48"/>
      <c r="G40" s="48"/>
      <c r="H40" s="48"/>
      <c r="I40" s="48"/>
    </row>
    <row r="41" spans="2:9" x14ac:dyDescent="0.35">
      <c r="B41" s="204" t="s">
        <v>219</v>
      </c>
      <c r="C41" s="205"/>
      <c r="E41" s="236">
        <f>CF!D39</f>
        <v>7459.5405749999982</v>
      </c>
      <c r="F41" s="237">
        <f>CF!E39</f>
        <v>96730.293012374983</v>
      </c>
      <c r="G41" s="237">
        <f>CF!F39</f>
        <v>100068.00105238604</v>
      </c>
      <c r="H41" s="237">
        <f>CF!G39</f>
        <v>137741.73712847035</v>
      </c>
      <c r="I41" s="377">
        <f>CF!H39</f>
        <v>174625.4206983007</v>
      </c>
    </row>
    <row r="42" spans="2:9" x14ac:dyDescent="0.35">
      <c r="E42" s="218">
        <v>1</v>
      </c>
      <c r="F42" s="218">
        <v>2</v>
      </c>
      <c r="G42" s="218">
        <v>3</v>
      </c>
      <c r="H42" s="218">
        <v>4</v>
      </c>
      <c r="I42" s="218">
        <v>5</v>
      </c>
    </row>
    <row r="43" spans="2:9" ht="21.75" customHeight="1" x14ac:dyDescent="0.35">
      <c r="B43" s="41" t="s">
        <v>135</v>
      </c>
      <c r="C43" s="41"/>
      <c r="E43" s="42">
        <f>CF!D21+CF!D24+CF!D25</f>
        <v>6459.5405749999982</v>
      </c>
      <c r="F43" s="42">
        <f>CF!E21+CF!E24+CF!E25</f>
        <v>96730.293012374983</v>
      </c>
      <c r="G43" s="42">
        <f>CF!F21+CF!F24+CF!F25</f>
        <v>100068.00105238604</v>
      </c>
      <c r="H43" s="42">
        <f>CF!G21+CF!G24+CF!G25</f>
        <v>137741.73712847035</v>
      </c>
      <c r="I43" s="42">
        <f>CF!H21+CF!H24+CF!H25</f>
        <v>173894.13366626075</v>
      </c>
    </row>
    <row r="44" spans="2:9" ht="21.75" customHeight="1" x14ac:dyDescent="0.35">
      <c r="B44" s="41" t="s">
        <v>136</v>
      </c>
      <c r="C44" s="39"/>
      <c r="E44" s="48"/>
      <c r="F44" s="48"/>
      <c r="G44" s="48"/>
      <c r="H44" s="48"/>
      <c r="I44" s="48" t="e">
        <f>H43*(1+H50)/(H49-H50)</f>
        <v>#DIV/0!</v>
      </c>
    </row>
    <row r="45" spans="2:9" ht="21.75" customHeight="1" x14ac:dyDescent="0.35">
      <c r="B45" s="32" t="s">
        <v>137</v>
      </c>
      <c r="E45" s="132">
        <f>SUM(E43:E44)</f>
        <v>6459.5405749999982</v>
      </c>
      <c r="F45" s="132">
        <f t="shared" ref="F45:G45" si="4">SUM(F43:F44)</f>
        <v>96730.293012374983</v>
      </c>
      <c r="G45" s="132">
        <f t="shared" si="4"/>
        <v>100068.00105238604</v>
      </c>
      <c r="H45" s="132">
        <f>SUM(H43:H44)</f>
        <v>137741.73712847035</v>
      </c>
      <c r="I45" s="132" t="e">
        <f>SUM(I43:I44)</f>
        <v>#DIV/0!</v>
      </c>
    </row>
    <row r="46" spans="2:9" ht="15" customHeight="1" x14ac:dyDescent="0.35"/>
    <row r="47" spans="2:9" ht="16.5" customHeight="1" x14ac:dyDescent="0.35">
      <c r="B47" s="206" t="s">
        <v>139</v>
      </c>
      <c r="C47" s="207"/>
      <c r="E47" s="238" t="e">
        <f>NPV(H49,E45:I45)</f>
        <v>#DIV/0!</v>
      </c>
      <c r="G47" s="208" t="s">
        <v>175</v>
      </c>
      <c r="H47" s="209">
        <v>0.125</v>
      </c>
    </row>
    <row r="48" spans="2:9" ht="16.5" customHeight="1" x14ac:dyDescent="0.35">
      <c r="B48" s="210"/>
      <c r="C48" s="210"/>
      <c r="F48" s="210"/>
      <c r="G48" s="211" t="s">
        <v>176</v>
      </c>
      <c r="H48" s="212" t="e">
        <f>((Loan!C10*Loan!C12+Loan!C25*Loan!C27+Loan!C53*Loan!C55+Loan!C68*Loan!C70)/(Loan!C10+Loan!C25+Loan!C53+Loan!C68))*(1-Tax!C15)</f>
        <v>#DIV/0!</v>
      </c>
    </row>
    <row r="49" spans="2:12" ht="16.5" customHeight="1" x14ac:dyDescent="0.35">
      <c r="B49" s="206" t="s">
        <v>138</v>
      </c>
      <c r="C49" s="207"/>
      <c r="E49" s="213" t="e">
        <f>IRR(E45:I45)</f>
        <v>#VALUE!</v>
      </c>
      <c r="G49" s="214" t="s">
        <v>174</v>
      </c>
      <c r="H49" s="215" t="e">
        <f>H47*L50+H48*(1-L50)</f>
        <v>#DIV/0!</v>
      </c>
      <c r="J49" s="32" t="s">
        <v>439</v>
      </c>
      <c r="K49" s="48">
        <f>CF!D31</f>
        <v>0</v>
      </c>
      <c r="L49" s="165">
        <f>K49/K51</f>
        <v>0</v>
      </c>
    </row>
    <row r="50" spans="2:12" x14ac:dyDescent="0.35">
      <c r="G50" s="216" t="s">
        <v>228</v>
      </c>
      <c r="H50" s="217">
        <v>5.0000000000000001E-3</v>
      </c>
      <c r="J50" s="32" t="s">
        <v>440</v>
      </c>
      <c r="K50" s="134">
        <f>CF!D30</f>
        <v>1000</v>
      </c>
      <c r="L50" s="165">
        <f>K50/K51</f>
        <v>1</v>
      </c>
    </row>
    <row r="51" spans="2:12" x14ac:dyDescent="0.35">
      <c r="K51" s="132">
        <f>SUM(K49:K50)</f>
        <v>1000</v>
      </c>
    </row>
    <row r="52" spans="2:12" x14ac:dyDescent="0.35">
      <c r="B52" s="206" t="s">
        <v>229</v>
      </c>
      <c r="C52" s="207"/>
      <c r="E52" s="218"/>
      <c r="F52" s="218"/>
      <c r="G52" s="218"/>
      <c r="H52" s="218"/>
      <c r="I52" s="218"/>
    </row>
    <row r="53" spans="2:12" x14ac:dyDescent="0.35">
      <c r="B53" s="31" t="s">
        <v>335</v>
      </c>
      <c r="E53" s="48">
        <f>K51</f>
        <v>1000</v>
      </c>
      <c r="F53" s="114"/>
      <c r="G53" s="114"/>
      <c r="H53" s="219">
        <f>I43</f>
        <v>173894.13366626075</v>
      </c>
      <c r="I53" s="219">
        <f>J43</f>
        <v>0</v>
      </c>
    </row>
    <row r="54" spans="2:12" x14ac:dyDescent="0.35">
      <c r="B54" s="31" t="s">
        <v>274</v>
      </c>
      <c r="E54" s="48">
        <f>E43</f>
        <v>6459.5405749999982</v>
      </c>
      <c r="F54" s="48">
        <f>F43+E54</f>
        <v>103189.83358737497</v>
      </c>
      <c r="G54" s="48">
        <f t="shared" ref="G54:I54" si="5">G43+F54</f>
        <v>203257.83463976101</v>
      </c>
      <c r="H54" s="48">
        <f t="shared" si="5"/>
        <v>340999.57176823134</v>
      </c>
      <c r="I54" s="48">
        <f t="shared" si="5"/>
        <v>514893.70543449209</v>
      </c>
      <c r="J54" s="48"/>
    </row>
    <row r="55" spans="2:12" x14ac:dyDescent="0.35">
      <c r="B55" s="220" t="s">
        <v>229</v>
      </c>
      <c r="C55" s="221"/>
      <c r="D55" s="222">
        <f>ROUNDDOWN(COUNTIF(E54:I54,"&lt;"&amp;0),0)</f>
        <v>0</v>
      </c>
      <c r="E55" s="223" t="s">
        <v>231</v>
      </c>
      <c r="F55" s="360" t="e">
        <f>-(HLOOKUP(D55,E42:I54,13,0)/HLOOKUP(D55+1,E42:I54,2,0))*12</f>
        <v>#N/A</v>
      </c>
      <c r="G55" s="224" t="s">
        <v>230</v>
      </c>
    </row>
    <row r="56" spans="2:12" x14ac:dyDescent="0.35">
      <c r="G56" s="225"/>
    </row>
    <row r="57" spans="2:12" ht="15" customHeight="1" x14ac:dyDescent="0.35">
      <c r="B57" s="69" t="s">
        <v>149</v>
      </c>
      <c r="C57" s="226"/>
      <c r="F57" s="48"/>
      <c r="G57" s="48"/>
      <c r="H57" s="48"/>
      <c r="I57" s="48"/>
    </row>
    <row r="58" spans="2:12" ht="15" customHeight="1" x14ac:dyDescent="0.35">
      <c r="B58" s="227" t="s">
        <v>147</v>
      </c>
      <c r="C58" s="228"/>
      <c r="D58" s="74"/>
      <c r="E58" s="229" t="s">
        <v>148</v>
      </c>
      <c r="G58" s="45" t="s">
        <v>19</v>
      </c>
    </row>
    <row r="59" spans="2:12" ht="15.75" customHeight="1" x14ac:dyDescent="0.35">
      <c r="B59" s="230" t="s">
        <v>272</v>
      </c>
      <c r="C59" s="231"/>
      <c r="D59" s="232"/>
      <c r="E59" s="239">
        <f>SUM(FA!D29:H29)</f>
        <v>0</v>
      </c>
      <c r="G59" s="31" t="s">
        <v>332</v>
      </c>
      <c r="H59" s="48" t="e">
        <f>-'Admin &amp; Operating'!#REF!-'Admin &amp; Operating'!#REF!</f>
        <v>#REF!</v>
      </c>
    </row>
    <row r="60" spans="2:12" ht="15.75" customHeight="1" x14ac:dyDescent="0.35">
      <c r="B60" s="230" t="s">
        <v>19</v>
      </c>
      <c r="C60" s="231"/>
      <c r="D60" s="232"/>
      <c r="E60" s="239" t="e">
        <f>SUM(FA!D11:H11)+H63</f>
        <v>#REF!</v>
      </c>
      <c r="G60" s="31" t="s">
        <v>333</v>
      </c>
      <c r="H60" s="48" t="e">
        <f>-'Admin &amp; Operating'!#REF!-'Admin &amp; Operating'!#REF!</f>
        <v>#REF!</v>
      </c>
    </row>
    <row r="61" spans="2:12" ht="15.75" customHeight="1" x14ac:dyDescent="0.35">
      <c r="B61" s="230" t="s">
        <v>273</v>
      </c>
      <c r="C61" s="231"/>
      <c r="D61" s="232"/>
      <c r="E61" s="239">
        <f>+SUM(FA!D47:H47)</f>
        <v>0</v>
      </c>
      <c r="G61" s="31" t="s">
        <v>334</v>
      </c>
      <c r="H61" s="48" t="e">
        <f>-'Admin &amp; Operating'!#REF!</f>
        <v>#REF!</v>
      </c>
    </row>
    <row r="62" spans="2:12" ht="15.75" customHeight="1" x14ac:dyDescent="0.35">
      <c r="B62" s="230" t="s">
        <v>225</v>
      </c>
      <c r="C62" s="231"/>
      <c r="D62" s="232"/>
      <c r="E62" s="239">
        <f>SUM(FA!D65:H65)</f>
        <v>0</v>
      </c>
      <c r="G62" s="31" t="s">
        <v>120</v>
      </c>
      <c r="H62" s="134" t="e">
        <f>(WC!D11/'Admin &amp; Operating'!#REF!)*WC!D21/30</f>
        <v>#REF!</v>
      </c>
    </row>
    <row r="63" spans="2:12" ht="15.75" customHeight="1" x14ac:dyDescent="0.35">
      <c r="B63" s="230" t="s">
        <v>247</v>
      </c>
      <c r="C63" s="231"/>
      <c r="D63" s="232"/>
      <c r="E63" s="239">
        <f>+SUM(FA!D83:H83)</f>
        <v>0</v>
      </c>
      <c r="G63" s="45"/>
      <c r="H63" s="132" t="e">
        <f>SUM(H59:H62)</f>
        <v>#REF!</v>
      </c>
    </row>
    <row r="64" spans="2:12" ht="15.75" customHeight="1" x14ac:dyDescent="0.35">
      <c r="B64" s="230" t="s">
        <v>249</v>
      </c>
      <c r="C64" s="231"/>
      <c r="D64" s="232"/>
      <c r="E64" s="239">
        <f>SUM(FA!D101:H101)</f>
        <v>0</v>
      </c>
    </row>
    <row r="65" spans="2:5" ht="15.75" customHeight="1" x14ac:dyDescent="0.35">
      <c r="B65" s="230" t="s">
        <v>119</v>
      </c>
      <c r="C65" s="231"/>
      <c r="D65" s="232"/>
      <c r="E65" s="241">
        <f>-IF(CF!D21&lt;0,IF(CF!E21&lt;0,IF(CF!F21&lt;0,IF(CF!G21&lt;0,IF(CF!H21&lt;0,SUM(CF!D21:H21),SUM(CF!D21:G21)),SUM(CF!D21:G21)),SUM(CF!D21:F21)),SUM(CF!D21:E21)),0)</f>
        <v>0</v>
      </c>
    </row>
    <row r="66" spans="2:5" ht="15.75" customHeight="1" x14ac:dyDescent="0.35">
      <c r="B66" s="233" t="s">
        <v>149</v>
      </c>
      <c r="C66" s="234"/>
      <c r="D66" s="235"/>
      <c r="E66" s="240" t="e">
        <f>SUM(E59:E65)</f>
        <v>#REF!</v>
      </c>
    </row>
  </sheetData>
  <mergeCells count="15">
    <mergeCell ref="J8:K8"/>
    <mergeCell ref="J10:K10"/>
    <mergeCell ref="J11:K11"/>
    <mergeCell ref="J12:K12"/>
    <mergeCell ref="J13:K13"/>
    <mergeCell ref="J9:K9"/>
    <mergeCell ref="J22:K22"/>
    <mergeCell ref="J19:K19"/>
    <mergeCell ref="J20:K20"/>
    <mergeCell ref="J21:K21"/>
    <mergeCell ref="J14:K14"/>
    <mergeCell ref="J15:K15"/>
    <mergeCell ref="J16:K16"/>
    <mergeCell ref="J17:K17"/>
    <mergeCell ref="J18:K18"/>
  </mergeCells>
  <phoneticPr fontId="0" type="noConversion"/>
  <conditionalFormatting sqref="J9:K22">
    <cfRule type="cellIs" dxfId="1" priority="1" operator="equal">
      <formula>"Different from basic value"</formula>
    </cfRule>
    <cfRule type="cellIs" dxfId="0" priority="2" stopIfTrue="1" operator="equal">
      <formula>#REF!</formula>
    </cfRule>
  </conditionalFormatting>
  <printOptions horizontalCentered="1"/>
  <pageMargins left="0.39370078740157483" right="0.39370078740157483" top="0.78740157480314965" bottom="0.39370078740157483" header="0.51181102362204722" footer="0.51181102362204722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I28"/>
  <sheetViews>
    <sheetView zoomScaleNormal="100" workbookViewId="0">
      <selection activeCell="D15" sqref="D15"/>
    </sheetView>
  </sheetViews>
  <sheetFormatPr defaultColWidth="9.08984375" defaultRowHeight="14.5" x14ac:dyDescent="0.35"/>
  <cols>
    <col min="1" max="1" width="2.6328125" style="31" customWidth="1"/>
    <col min="2" max="2" width="32.54296875" style="31" bestFit="1" customWidth="1"/>
    <col min="3" max="3" width="10.36328125" style="31" bestFit="1" customWidth="1"/>
    <col min="4" max="7" width="11.453125" style="31" bestFit="1" customWidth="1"/>
    <col min="8" max="16384" width="9.08984375" style="31"/>
  </cols>
  <sheetData>
    <row r="1" spans="2:9" x14ac:dyDescent="0.35">
      <c r="B1" s="32"/>
    </row>
    <row r="2" spans="2:9" ht="21" x14ac:dyDescent="0.5">
      <c r="B2" s="49" t="str">
        <f>Summary!B2</f>
        <v>Cursa Platform</v>
      </c>
      <c r="C2" s="34"/>
      <c r="D2" s="34"/>
      <c r="E2" s="34"/>
      <c r="F2" s="34"/>
      <c r="G2" s="34"/>
    </row>
    <row r="3" spans="2:9" ht="6.75" customHeight="1" x14ac:dyDescent="0.5">
      <c r="B3" s="50"/>
    </row>
    <row r="4" spans="2:9" ht="21" x14ac:dyDescent="0.5">
      <c r="B4" s="51" t="s">
        <v>20</v>
      </c>
      <c r="C4" s="34"/>
      <c r="D4" s="34"/>
      <c r="E4" s="34"/>
      <c r="F4" s="34"/>
      <c r="G4" s="34"/>
    </row>
    <row r="7" spans="2:9" ht="18.75" customHeight="1" x14ac:dyDescent="0.35">
      <c r="B7" s="464"/>
      <c r="C7" s="482" t="s">
        <v>234</v>
      </c>
      <c r="D7" s="483" t="s">
        <v>235</v>
      </c>
      <c r="E7" s="483" t="s">
        <v>236</v>
      </c>
      <c r="F7" s="483" t="s">
        <v>237</v>
      </c>
      <c r="G7" s="484" t="s">
        <v>238</v>
      </c>
    </row>
    <row r="8" spans="2:9" ht="18.75" customHeight="1" x14ac:dyDescent="0.35">
      <c r="B8" s="362"/>
      <c r="C8" s="362"/>
      <c r="D8" s="362"/>
      <c r="E8" s="362"/>
      <c r="F8" s="362"/>
      <c r="G8" s="362"/>
    </row>
    <row r="9" spans="2:9" ht="18.75" customHeight="1" x14ac:dyDescent="0.6">
      <c r="B9" s="362" t="s">
        <v>8</v>
      </c>
      <c r="C9" s="397">
        <f>Revenue!O18</f>
        <v>90591.285000000003</v>
      </c>
      <c r="D9" s="397">
        <f>Revenue!P18</f>
        <v>508786.93852500006</v>
      </c>
      <c r="E9" s="397">
        <f>Revenue!Q18</f>
        <v>667364.92847377504</v>
      </c>
      <c r="F9" s="397">
        <f>Revenue!R18</f>
        <v>877426.88274134183</v>
      </c>
      <c r="G9" s="397">
        <f>Revenue!S18</f>
        <v>1155889.2073031433</v>
      </c>
      <c r="I9" s="558" t="s">
        <v>467</v>
      </c>
    </row>
    <row r="10" spans="2:9" ht="18.75" customHeight="1" x14ac:dyDescent="0.35">
      <c r="B10" s="362" t="s">
        <v>114</v>
      </c>
      <c r="C10" s="485">
        <f>CoS!O16</f>
        <v>-72473.028000000006</v>
      </c>
      <c r="D10" s="485">
        <f>CoS!P16</f>
        <v>-396963.95082000009</v>
      </c>
      <c r="E10" s="485">
        <f>CoS!Q16</f>
        <v>-523826.34277902014</v>
      </c>
      <c r="F10" s="485">
        <f>CoS!R16</f>
        <v>-691875.90619307349</v>
      </c>
      <c r="G10" s="485">
        <f>CoS!S16</f>
        <v>-914645.76584251469</v>
      </c>
    </row>
    <row r="11" spans="2:9" s="32" customFormat="1" ht="18.75" customHeight="1" x14ac:dyDescent="0.35">
      <c r="B11" s="486" t="s">
        <v>118</v>
      </c>
      <c r="C11" s="399">
        <f t="shared" ref="C11" si="0">SUM(C9:C10)</f>
        <v>18118.256999999998</v>
      </c>
      <c r="D11" s="399">
        <f t="shared" ref="D11:G11" si="1">SUM(D9:D10)</f>
        <v>111822.98770499998</v>
      </c>
      <c r="E11" s="399">
        <f t="shared" si="1"/>
        <v>143538.5856947549</v>
      </c>
      <c r="F11" s="399">
        <f t="shared" si="1"/>
        <v>185550.97654826834</v>
      </c>
      <c r="G11" s="399">
        <f t="shared" si="1"/>
        <v>241243.44146062864</v>
      </c>
    </row>
    <row r="12" spans="2:9" s="32" customFormat="1" ht="18.75" customHeight="1" x14ac:dyDescent="0.35">
      <c r="B12" s="487" t="s">
        <v>146</v>
      </c>
      <c r="C12" s="488">
        <f t="shared" ref="C12" si="2">IF(ISERROR(C11/C9)=TRUE,0,C11/C9)</f>
        <v>0.19999999999999996</v>
      </c>
      <c r="D12" s="488">
        <f t="shared" ref="D12:G12" si="3">IF(ISERROR(D11/D9)=TRUE,0,D11/D9)</f>
        <v>0.2197835267335688</v>
      </c>
      <c r="E12" s="488">
        <f t="shared" si="3"/>
        <v>0.21508260259198717</v>
      </c>
      <c r="F12" s="488">
        <f t="shared" si="3"/>
        <v>0.21147172510665738</v>
      </c>
      <c r="G12" s="488">
        <f t="shared" si="3"/>
        <v>0.20870810103287016</v>
      </c>
    </row>
    <row r="13" spans="2:9" s="32" customFormat="1" ht="18.75" customHeight="1" x14ac:dyDescent="0.35">
      <c r="B13" s="486"/>
      <c r="C13" s="486"/>
      <c r="D13" s="489"/>
      <c r="E13" s="490"/>
      <c r="F13" s="490"/>
      <c r="G13" s="490"/>
    </row>
    <row r="14" spans="2:9" s="32" customFormat="1" ht="18.75" customHeight="1" x14ac:dyDescent="0.35">
      <c r="B14" s="362" t="s">
        <v>227</v>
      </c>
      <c r="C14" s="397">
        <f>'Admin &amp; Operating'!P21</f>
        <v>0</v>
      </c>
      <c r="D14" s="397">
        <f>'Admin &amp; Operating'!Q21</f>
        <v>0</v>
      </c>
      <c r="E14" s="397">
        <f>'Admin &amp; Operating'!R21</f>
        <v>0</v>
      </c>
      <c r="F14" s="397">
        <f>'Admin &amp; Operating'!S21</f>
        <v>0</v>
      </c>
      <c r="G14" s="397">
        <f>'Admin &amp; Operating'!T21</f>
        <v>0</v>
      </c>
    </row>
    <row r="15" spans="2:9" s="32" customFormat="1" ht="18.75" customHeight="1" x14ac:dyDescent="0.35">
      <c r="B15" s="362" t="s">
        <v>163</v>
      </c>
      <c r="C15" s="397">
        <f>'Admin &amp; Operating'!P36</f>
        <v>-7205.76</v>
      </c>
      <c r="D15" s="397">
        <f>'Admin &amp; Operating'!Q36</f>
        <v>-11741.76</v>
      </c>
      <c r="E15" s="397">
        <f>'Admin &amp; Operating'!R36</f>
        <v>-27941.760000000002</v>
      </c>
      <c r="F15" s="397">
        <f>'Admin &amp; Operating'!S36</f>
        <v>-28500.595200000003</v>
      </c>
      <c r="G15" s="397">
        <f>'Admin &amp; Operating'!T36</f>
        <v>-29070.607104000006</v>
      </c>
    </row>
    <row r="16" spans="2:9" s="32" customFormat="1" ht="18.75" customHeight="1" x14ac:dyDescent="0.35">
      <c r="B16" s="362" t="s">
        <v>224</v>
      </c>
      <c r="C16" s="397">
        <f>'Admin &amp; Operating'!P38</f>
        <v>-4452.9564250000003</v>
      </c>
      <c r="D16" s="397">
        <f>'Admin &amp; Operating'!Q38</f>
        <v>-2543.9346926250005</v>
      </c>
      <c r="E16" s="397">
        <f>'Admin &amp; Operating'!R38</f>
        <v>-3336.8246423688752</v>
      </c>
      <c r="F16" s="397">
        <f>'Admin &amp; Operating'!S38</f>
        <v>-4387.134413706709</v>
      </c>
      <c r="G16" s="397">
        <f>'Admin &amp; Operating'!T38</f>
        <v>-5779.4460365157165</v>
      </c>
    </row>
    <row r="17" spans="2:7" s="32" customFormat="1" ht="18.75" customHeight="1" x14ac:dyDescent="0.35">
      <c r="B17" s="362" t="s">
        <v>7</v>
      </c>
      <c r="C17" s="485">
        <f>-FA!D163</f>
        <v>0</v>
      </c>
      <c r="D17" s="485">
        <f>-FA!E163</f>
        <v>0</v>
      </c>
      <c r="E17" s="485">
        <f>-FA!F163</f>
        <v>0</v>
      </c>
      <c r="F17" s="485">
        <f>-FA!G163</f>
        <v>0</v>
      </c>
      <c r="G17" s="485">
        <f>-FA!H163</f>
        <v>0</v>
      </c>
    </row>
    <row r="18" spans="2:7" s="32" customFormat="1" ht="18.75" customHeight="1" x14ac:dyDescent="0.35">
      <c r="B18" s="486" t="s">
        <v>21</v>
      </c>
      <c r="C18" s="490">
        <f t="shared" ref="C18" si="4">SUM(C11:C17)-C12</f>
        <v>6459.5405749999982</v>
      </c>
      <c r="D18" s="490">
        <f>SUM(D11:D17)-D12</f>
        <v>97537.293012374983</v>
      </c>
      <c r="E18" s="490">
        <f>SUM(E11:E17)-E12</f>
        <v>112260.00105238604</v>
      </c>
      <c r="F18" s="490">
        <f>SUM(F11:F17)-F12</f>
        <v>152663.24693456161</v>
      </c>
      <c r="G18" s="490">
        <f>SUM(G11:G17)-G12</f>
        <v>206393.38832011292</v>
      </c>
    </row>
    <row r="19" spans="2:7" s="32" customFormat="1" ht="18.75" customHeight="1" x14ac:dyDescent="0.35">
      <c r="B19" s="486"/>
      <c r="C19" s="490"/>
      <c r="D19" s="490"/>
      <c r="E19" s="490"/>
      <c r="F19" s="490"/>
      <c r="G19" s="490"/>
    </row>
    <row r="20" spans="2:7" ht="18.75" customHeight="1" x14ac:dyDescent="0.35">
      <c r="B20" s="362" t="s">
        <v>24</v>
      </c>
      <c r="C20" s="397">
        <v>0</v>
      </c>
      <c r="D20" s="397">
        <f>Loan!D45+Loan!D88</f>
        <v>0</v>
      </c>
      <c r="E20" s="397">
        <f>Loan!E45+Loan!E88</f>
        <v>0</v>
      </c>
      <c r="F20" s="397">
        <f>Loan!F45+Loan!F88</f>
        <v>0</v>
      </c>
      <c r="G20" s="397">
        <f>Loan!G45+Loan!G88</f>
        <v>0</v>
      </c>
    </row>
    <row r="21" spans="2:7" ht="18.75" customHeight="1" x14ac:dyDescent="0.35">
      <c r="B21" s="362" t="s">
        <v>129</v>
      </c>
      <c r="C21" s="485">
        <v>0</v>
      </c>
      <c r="D21" s="485">
        <f>Loan!D95+Loan!D100</f>
        <v>0</v>
      </c>
      <c r="E21" s="485">
        <f>Loan!E95+Loan!E100</f>
        <v>0</v>
      </c>
      <c r="F21" s="485">
        <f>Loan!F95+Loan!F100</f>
        <v>0</v>
      </c>
      <c r="G21" s="485">
        <f>Loan!G95+Loan!G100</f>
        <v>731.28703203996179</v>
      </c>
    </row>
    <row r="22" spans="2:7" s="32" customFormat="1" ht="18.75" customHeight="1" x14ac:dyDescent="0.35">
      <c r="B22" s="486" t="s">
        <v>22</v>
      </c>
      <c r="C22" s="490">
        <f t="shared" ref="C22" si="5">SUM(C18:C21)</f>
        <v>6459.5405749999982</v>
      </c>
      <c r="D22" s="490">
        <f>SUM(D18:D21)</f>
        <v>97537.293012374983</v>
      </c>
      <c r="E22" s="490">
        <f t="shared" ref="E22:G22" si="6">SUM(E18:E21)</f>
        <v>112260.00105238604</v>
      </c>
      <c r="F22" s="490">
        <f t="shared" si="6"/>
        <v>152663.24693456161</v>
      </c>
      <c r="G22" s="490">
        <f t="shared" si="6"/>
        <v>207124.67535215287</v>
      </c>
    </row>
    <row r="23" spans="2:7" s="32" customFormat="1" ht="18.75" customHeight="1" x14ac:dyDescent="0.35">
      <c r="B23" s="486"/>
      <c r="C23" s="490"/>
      <c r="D23" s="490"/>
      <c r="E23" s="490"/>
      <c r="F23" s="490"/>
      <c r="G23" s="490"/>
    </row>
    <row r="24" spans="2:7" ht="18.75" customHeight="1" x14ac:dyDescent="0.35">
      <c r="B24" s="362" t="s">
        <v>23</v>
      </c>
      <c r="C24" s="485">
        <f>-Tax!E17</f>
        <v>-807</v>
      </c>
      <c r="D24" s="485">
        <f>-Tax!F17</f>
        <v>-12192</v>
      </c>
      <c r="E24" s="485">
        <f>-Tax!G17</f>
        <v>-14921.50980609125</v>
      </c>
      <c r="F24" s="485">
        <f>-Tax!H17</f>
        <v>-32499.254653852178</v>
      </c>
      <c r="G24" s="485">
        <f>-Tax!I17</f>
        <v>-41332.363144755698</v>
      </c>
    </row>
    <row r="25" spans="2:7" s="32" customFormat="1" ht="23.25" customHeight="1" x14ac:dyDescent="0.35">
      <c r="B25" s="486" t="s">
        <v>322</v>
      </c>
      <c r="C25" s="490">
        <f>SUM(C22:C24)</f>
        <v>5652.5405749999982</v>
      </c>
      <c r="D25" s="490">
        <f>SUM(D22:D24)</f>
        <v>85345.293012374983</v>
      </c>
      <c r="E25" s="490">
        <f t="shared" ref="E25:G25" si="7">SUM(E22:E24)</f>
        <v>97338.491246294783</v>
      </c>
      <c r="F25" s="490">
        <f t="shared" si="7"/>
        <v>120163.99228070944</v>
      </c>
      <c r="G25" s="490">
        <f t="shared" si="7"/>
        <v>165792.31220739719</v>
      </c>
    </row>
    <row r="26" spans="2:7" x14ac:dyDescent="0.35">
      <c r="B26" s="362"/>
      <c r="C26" s="488">
        <f>IF(ISERROR(C25/C9)=TRUE,0,C25/C9)</f>
        <v>6.2396074578255488E-2</v>
      </c>
      <c r="D26" s="488">
        <f>IF(ISERROR(D25/D9)=TRUE,0,D25/D9)</f>
        <v>0.16774269650041618</v>
      </c>
      <c r="E26" s="488">
        <f>IF(ISERROR(E25/E9)=TRUE,0,E25/E9)</f>
        <v>0.14585496943763929</v>
      </c>
      <c r="F26" s="488">
        <f>IF(ISERROR(F25/F9)=TRUE,0,F25/F9)</f>
        <v>0.1369504338700924</v>
      </c>
      <c r="G26" s="488">
        <f>IF(ISERROR(G25/G9)=TRUE,0,G25/G9)</f>
        <v>0.14343270199244668</v>
      </c>
    </row>
    <row r="27" spans="2:7" x14ac:dyDescent="0.35">
      <c r="E27" s="133"/>
      <c r="F27" s="133"/>
      <c r="G27" s="133"/>
    </row>
    <row r="28" spans="2:7" x14ac:dyDescent="0.35">
      <c r="D28" s="46"/>
      <c r="E28" s="46"/>
      <c r="F28" s="46"/>
      <c r="G28" s="46"/>
    </row>
  </sheetData>
  <phoneticPr fontId="0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8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H63"/>
  <sheetViews>
    <sheetView zoomScaleNormal="100" workbookViewId="0">
      <pane ySplit="7" topLeftCell="A30" activePane="bottomLeft" state="frozen"/>
      <selection pane="bottomLeft" activeCell="K39" sqref="K39"/>
    </sheetView>
  </sheetViews>
  <sheetFormatPr defaultColWidth="9.08984375" defaultRowHeight="14.5" x14ac:dyDescent="0.35"/>
  <cols>
    <col min="1" max="1" width="3.6328125" style="31" customWidth="1"/>
    <col min="2" max="2" width="24.453125" style="31" bestFit="1" customWidth="1"/>
    <col min="3" max="3" width="3" style="31" customWidth="1"/>
    <col min="4" max="8" width="10.453125" style="31" customWidth="1"/>
    <col min="9" max="16384" width="9.08984375" style="31"/>
  </cols>
  <sheetData>
    <row r="1" spans="2:8" x14ac:dyDescent="0.35">
      <c r="B1" s="32"/>
    </row>
    <row r="2" spans="2:8" ht="21" x14ac:dyDescent="0.5">
      <c r="B2" s="49" t="str">
        <f>Summary!B2</f>
        <v>Cursa Platform</v>
      </c>
      <c r="C2" s="34"/>
      <c r="D2" s="34"/>
      <c r="E2" s="34"/>
      <c r="F2" s="34"/>
      <c r="G2" s="34"/>
      <c r="H2" s="34"/>
    </row>
    <row r="3" spans="2:8" ht="6" customHeight="1" x14ac:dyDescent="0.5">
      <c r="B3" s="50"/>
    </row>
    <row r="4" spans="2:8" ht="21" x14ac:dyDescent="0.5">
      <c r="B4" s="51" t="s">
        <v>115</v>
      </c>
      <c r="C4" s="34"/>
      <c r="D4" s="34"/>
      <c r="E4" s="34"/>
      <c r="F4" s="34"/>
      <c r="G4" s="34"/>
      <c r="H4" s="34"/>
    </row>
    <row r="5" spans="2:8" x14ac:dyDescent="0.35">
      <c r="B5" s="33"/>
      <c r="C5" s="34"/>
      <c r="D5" s="34"/>
      <c r="E5" s="34"/>
      <c r="F5" s="34"/>
      <c r="G5" s="34"/>
      <c r="H5" s="34"/>
    </row>
    <row r="7" spans="2:8" x14ac:dyDescent="0.35">
      <c r="B7" s="362"/>
      <c r="C7" s="362"/>
      <c r="D7" s="482" t="s">
        <v>234</v>
      </c>
      <c r="E7" s="483" t="s">
        <v>235</v>
      </c>
      <c r="F7" s="483" t="s">
        <v>236</v>
      </c>
      <c r="G7" s="483" t="s">
        <v>237</v>
      </c>
      <c r="H7" s="484" t="s">
        <v>238</v>
      </c>
    </row>
    <row r="8" spans="2:8" x14ac:dyDescent="0.35">
      <c r="B8" s="491" t="s">
        <v>44</v>
      </c>
      <c r="C8" s="362"/>
      <c r="D8" s="362"/>
      <c r="E8" s="362"/>
      <c r="F8" s="362"/>
      <c r="G8" s="362"/>
      <c r="H8" s="362"/>
    </row>
    <row r="9" spans="2:8" ht="18" customHeight="1" x14ac:dyDescent="0.35">
      <c r="B9" s="486" t="s">
        <v>45</v>
      </c>
      <c r="C9" s="362"/>
      <c r="D9" s="362"/>
      <c r="E9" s="362"/>
      <c r="F9" s="362"/>
      <c r="G9" s="362"/>
      <c r="H9" s="362"/>
    </row>
    <row r="10" spans="2:8" x14ac:dyDescent="0.35">
      <c r="B10" s="362" t="s">
        <v>46</v>
      </c>
      <c r="C10" s="362"/>
      <c r="D10" s="397">
        <f>FA!D168-FA!D25</f>
        <v>0</v>
      </c>
      <c r="E10" s="397">
        <f>FA!E168-FA!E25</f>
        <v>0</v>
      </c>
      <c r="F10" s="397">
        <f>FA!F168-FA!F25</f>
        <v>0</v>
      </c>
      <c r="G10" s="397">
        <f>FA!G168-FA!G25</f>
        <v>0</v>
      </c>
      <c r="H10" s="397">
        <f>FA!H168-FA!H25</f>
        <v>0</v>
      </c>
    </row>
    <row r="11" spans="2:8" x14ac:dyDescent="0.35">
      <c r="B11" s="362" t="s">
        <v>19</v>
      </c>
      <c r="C11" s="362"/>
      <c r="D11" s="397">
        <f>FA!D25</f>
        <v>0</v>
      </c>
      <c r="E11" s="397">
        <f>FA!E25</f>
        <v>0</v>
      </c>
      <c r="F11" s="397">
        <f>FA!F25</f>
        <v>0</v>
      </c>
      <c r="G11" s="397">
        <f>FA!G25</f>
        <v>0</v>
      </c>
      <c r="H11" s="397">
        <f>FA!H25</f>
        <v>0</v>
      </c>
    </row>
    <row r="12" spans="2:8" x14ac:dyDescent="0.35">
      <c r="B12" s="362"/>
      <c r="C12" s="362"/>
      <c r="D12" s="492">
        <f t="shared" ref="D12:H12" si="0">SUM(D10:D11)</f>
        <v>0</v>
      </c>
      <c r="E12" s="492">
        <f t="shared" si="0"/>
        <v>0</v>
      </c>
      <c r="F12" s="492">
        <f t="shared" si="0"/>
        <v>0</v>
      </c>
      <c r="G12" s="492">
        <f t="shared" si="0"/>
        <v>0</v>
      </c>
      <c r="H12" s="492">
        <f t="shared" si="0"/>
        <v>0</v>
      </c>
    </row>
    <row r="13" spans="2:8" x14ac:dyDescent="0.35">
      <c r="B13" s="362"/>
      <c r="C13" s="362"/>
      <c r="D13" s="397"/>
      <c r="E13" s="397"/>
      <c r="F13" s="397"/>
      <c r="G13" s="397"/>
      <c r="H13" s="397"/>
    </row>
    <row r="14" spans="2:8" x14ac:dyDescent="0.35">
      <c r="B14" s="486" t="s">
        <v>47</v>
      </c>
      <c r="C14" s="362"/>
      <c r="D14" s="397"/>
      <c r="E14" s="397"/>
      <c r="F14" s="397"/>
      <c r="G14" s="397"/>
      <c r="H14" s="397"/>
    </row>
    <row r="15" spans="2:8" x14ac:dyDescent="0.35">
      <c r="B15" s="362" t="s">
        <v>48</v>
      </c>
      <c r="C15" s="362"/>
      <c r="D15" s="397">
        <f>WC!D11</f>
        <v>0</v>
      </c>
      <c r="E15" s="397">
        <f>WC!E11</f>
        <v>0</v>
      </c>
      <c r="F15" s="397">
        <f>WC!F11</f>
        <v>0</v>
      </c>
      <c r="G15" s="397">
        <f>WC!G11</f>
        <v>0</v>
      </c>
      <c r="H15" s="397">
        <f>WC!H11</f>
        <v>0</v>
      </c>
    </row>
    <row r="16" spans="2:8" x14ac:dyDescent="0.35">
      <c r="B16" s="362" t="s">
        <v>49</v>
      </c>
      <c r="C16" s="362"/>
      <c r="D16" s="397">
        <f>WC!D12</f>
        <v>0</v>
      </c>
      <c r="E16" s="397">
        <f>WC!E12</f>
        <v>0</v>
      </c>
      <c r="F16" s="397">
        <f>WC!F12</f>
        <v>0</v>
      </c>
      <c r="G16" s="397">
        <f>WC!G12</f>
        <v>0</v>
      </c>
      <c r="H16" s="397">
        <f>WC!H12</f>
        <v>0</v>
      </c>
    </row>
    <row r="17" spans="2:8" x14ac:dyDescent="0.35">
      <c r="B17" s="362" t="s">
        <v>50</v>
      </c>
      <c r="C17" s="362"/>
      <c r="D17" s="397">
        <f>IF(CF!D41&gt;0,CF!D41,0)</f>
        <v>7459.5405749999982</v>
      </c>
      <c r="E17" s="397">
        <f>IF(CF!E41&gt;0,CF!E41,0)</f>
        <v>104189.83358737497</v>
      </c>
      <c r="F17" s="397">
        <f>IF(CF!F41&gt;0,CF!F41,0)</f>
        <v>204257.83463976101</v>
      </c>
      <c r="G17" s="397">
        <f>IF(CF!G41&gt;0,CF!G41,0)</f>
        <v>341999.57176823134</v>
      </c>
      <c r="H17" s="397">
        <f>IF(CF!H41&gt;0,CF!H41,0)</f>
        <v>516624.99246653204</v>
      </c>
    </row>
    <row r="18" spans="2:8" x14ac:dyDescent="0.35">
      <c r="B18" s="362"/>
      <c r="C18" s="362"/>
      <c r="D18" s="492">
        <f t="shared" ref="D18:H18" si="1">SUM(D15:D17)</f>
        <v>7459.5405749999982</v>
      </c>
      <c r="E18" s="492">
        <f t="shared" si="1"/>
        <v>104189.83358737497</v>
      </c>
      <c r="F18" s="492">
        <f t="shared" si="1"/>
        <v>204257.83463976101</v>
      </c>
      <c r="G18" s="492">
        <f t="shared" si="1"/>
        <v>341999.57176823134</v>
      </c>
      <c r="H18" s="492">
        <f t="shared" si="1"/>
        <v>516624.99246653204</v>
      </c>
    </row>
    <row r="19" spans="2:8" x14ac:dyDescent="0.35">
      <c r="B19" s="362"/>
      <c r="C19" s="362"/>
      <c r="D19" s="397"/>
      <c r="E19" s="397"/>
      <c r="F19" s="397"/>
      <c r="G19" s="397"/>
      <c r="H19" s="397"/>
    </row>
    <row r="20" spans="2:8" x14ac:dyDescent="0.35">
      <c r="B20" s="486" t="s">
        <v>51</v>
      </c>
      <c r="C20" s="362"/>
      <c r="D20" s="493">
        <f t="shared" ref="D20:H20" si="2">D12+D18</f>
        <v>7459.5405749999982</v>
      </c>
      <c r="E20" s="494">
        <f t="shared" si="2"/>
        <v>104189.83358737497</v>
      </c>
      <c r="F20" s="494">
        <f t="shared" si="2"/>
        <v>204257.83463976101</v>
      </c>
      <c r="G20" s="494">
        <f t="shared" si="2"/>
        <v>341999.57176823134</v>
      </c>
      <c r="H20" s="494">
        <f t="shared" si="2"/>
        <v>516624.99246653204</v>
      </c>
    </row>
    <row r="21" spans="2:8" x14ac:dyDescent="0.35">
      <c r="B21" s="362"/>
      <c r="C21" s="362"/>
      <c r="D21" s="397"/>
      <c r="E21" s="397"/>
      <c r="F21" s="397"/>
      <c r="G21" s="397"/>
      <c r="H21" s="397"/>
    </row>
    <row r="22" spans="2:8" x14ac:dyDescent="0.35">
      <c r="B22" s="491" t="s">
        <v>52</v>
      </c>
      <c r="C22" s="362"/>
      <c r="D22" s="397"/>
      <c r="E22" s="397"/>
      <c r="F22" s="397"/>
      <c r="G22" s="397"/>
      <c r="H22" s="397"/>
    </row>
    <row r="23" spans="2:8" ht="18.75" customHeight="1" x14ac:dyDescent="0.35">
      <c r="B23" s="486" t="s">
        <v>53</v>
      </c>
      <c r="C23" s="362"/>
      <c r="D23" s="397"/>
      <c r="E23" s="397"/>
      <c r="F23" s="397"/>
      <c r="G23" s="397"/>
      <c r="H23" s="397"/>
    </row>
    <row r="24" spans="2:8" x14ac:dyDescent="0.35">
      <c r="B24" s="362" t="s">
        <v>269</v>
      </c>
      <c r="C24" s="362"/>
      <c r="D24" s="397">
        <f>Equity!D12</f>
        <v>1000</v>
      </c>
      <c r="E24" s="397">
        <f>Equity!E12</f>
        <v>1000</v>
      </c>
      <c r="F24" s="397">
        <f>Equity!F12</f>
        <v>1000</v>
      </c>
      <c r="G24" s="397">
        <f>Equity!G12</f>
        <v>1000</v>
      </c>
      <c r="H24" s="397">
        <f>Equity!H12</f>
        <v>1000</v>
      </c>
    </row>
    <row r="25" spans="2:8" x14ac:dyDescent="0.35">
      <c r="B25" s="362" t="s">
        <v>54</v>
      </c>
      <c r="C25" s="362"/>
      <c r="D25" s="397">
        <f>Equity!D29</f>
        <v>5652.5405749999982</v>
      </c>
      <c r="E25" s="397">
        <f>Equity!E29</f>
        <v>90997.833587374975</v>
      </c>
      <c r="F25" s="397">
        <f>Equity!F29</f>
        <v>188336.32483366976</v>
      </c>
      <c r="G25" s="397">
        <f>Equity!G29</f>
        <v>308500.3171143792</v>
      </c>
      <c r="H25" s="397">
        <f>Equity!H29</f>
        <v>474292.62932177639</v>
      </c>
    </row>
    <row r="26" spans="2:8" x14ac:dyDescent="0.35">
      <c r="B26" s="362"/>
      <c r="C26" s="362"/>
      <c r="D26" s="494">
        <f t="shared" ref="D26:H26" si="3">SUM(D24:D25)</f>
        <v>6652.5405749999982</v>
      </c>
      <c r="E26" s="494">
        <f t="shared" si="3"/>
        <v>91997.833587374975</v>
      </c>
      <c r="F26" s="494">
        <f t="shared" si="3"/>
        <v>189336.32483366976</v>
      </c>
      <c r="G26" s="494">
        <f t="shared" si="3"/>
        <v>309500.3171143792</v>
      </c>
      <c r="H26" s="494">
        <f t="shared" si="3"/>
        <v>475292.62932177639</v>
      </c>
    </row>
    <row r="27" spans="2:8" x14ac:dyDescent="0.35">
      <c r="B27" s="362"/>
      <c r="C27" s="362"/>
      <c r="D27" s="397"/>
      <c r="E27" s="397"/>
      <c r="F27" s="397"/>
      <c r="G27" s="397"/>
      <c r="H27" s="397"/>
    </row>
    <row r="28" spans="2:8" x14ac:dyDescent="0.35">
      <c r="B28" s="486" t="s">
        <v>55</v>
      </c>
      <c r="C28" s="362"/>
      <c r="D28" s="397"/>
      <c r="E28" s="397"/>
      <c r="F28" s="397"/>
      <c r="G28" s="397"/>
      <c r="H28" s="397"/>
    </row>
    <row r="29" spans="2:8" x14ac:dyDescent="0.35">
      <c r="B29" s="362" t="s">
        <v>56</v>
      </c>
      <c r="C29" s="362"/>
      <c r="D29" s="397">
        <f>Loan!D43+Loan!D46</f>
        <v>0</v>
      </c>
      <c r="E29" s="397">
        <f>Loan!E43+Loan!E46</f>
        <v>0</v>
      </c>
      <c r="F29" s="397">
        <f>Loan!F43+Loan!F46</f>
        <v>0</v>
      </c>
      <c r="G29" s="397">
        <f>Loan!G43+Loan!G46</f>
        <v>0</v>
      </c>
      <c r="H29" s="397">
        <f>Loan!H43+Loan!H46</f>
        <v>0</v>
      </c>
    </row>
    <row r="30" spans="2:8" x14ac:dyDescent="0.35">
      <c r="B30" s="362" t="s">
        <v>264</v>
      </c>
      <c r="C30" s="362"/>
      <c r="D30" s="397">
        <f>Loan!D84+Loan!D89</f>
        <v>0</v>
      </c>
      <c r="E30" s="397">
        <f>Loan!D91+Loan!E89</f>
        <v>0</v>
      </c>
      <c r="F30" s="397">
        <f>Loan!E91+Loan!F89</f>
        <v>0</v>
      </c>
      <c r="G30" s="397">
        <f>Loan!F91+Loan!G89</f>
        <v>0</v>
      </c>
      <c r="H30" s="397">
        <f>Loan!G91+Loan!H89</f>
        <v>0</v>
      </c>
    </row>
    <row r="31" spans="2:8" x14ac:dyDescent="0.35">
      <c r="B31" s="362"/>
      <c r="C31" s="362"/>
      <c r="D31" s="492">
        <f>SUM(D29:D30)</f>
        <v>0</v>
      </c>
      <c r="E31" s="492">
        <f>SUM(E29:E30)</f>
        <v>0</v>
      </c>
      <c r="F31" s="492">
        <f>SUM(F29:F30)</f>
        <v>0</v>
      </c>
      <c r="G31" s="492">
        <f>SUM(G29:G30)</f>
        <v>0</v>
      </c>
      <c r="H31" s="492">
        <f>SUM(H29:H30)</f>
        <v>0</v>
      </c>
    </row>
    <row r="32" spans="2:8" x14ac:dyDescent="0.35">
      <c r="B32" s="362"/>
      <c r="C32" s="362"/>
      <c r="D32" s="397"/>
      <c r="E32" s="397"/>
      <c r="F32" s="397"/>
      <c r="G32" s="397"/>
      <c r="H32" s="397"/>
    </row>
    <row r="33" spans="2:8" x14ac:dyDescent="0.35">
      <c r="B33" s="486" t="s">
        <v>57</v>
      </c>
      <c r="C33" s="362"/>
      <c r="D33" s="397"/>
      <c r="E33" s="397"/>
      <c r="F33" s="397"/>
      <c r="G33" s="397"/>
      <c r="H33" s="397"/>
    </row>
    <row r="34" spans="2:8" x14ac:dyDescent="0.35">
      <c r="B34" s="362" t="s">
        <v>58</v>
      </c>
      <c r="C34" s="362"/>
      <c r="D34" s="397">
        <f>IF(CF!D41&lt;0,-CF!D41,0)</f>
        <v>0</v>
      </c>
      <c r="E34" s="397">
        <f>IF(CF!E41&lt;0,-CF!E41,0)</f>
        <v>0</v>
      </c>
      <c r="F34" s="397">
        <f>IF(CF!F41&lt;0,-CF!F41,0)</f>
        <v>0</v>
      </c>
      <c r="G34" s="397">
        <f>IF(CF!G41&lt;0,-CF!G41,0)</f>
        <v>0</v>
      </c>
      <c r="H34" s="397">
        <f>IF(CF!H41&lt;0,-CF!H41,0)</f>
        <v>0</v>
      </c>
    </row>
    <row r="35" spans="2:8" x14ac:dyDescent="0.35">
      <c r="B35" s="362" t="s">
        <v>127</v>
      </c>
      <c r="C35" s="362"/>
      <c r="D35" s="397">
        <f>-Loan!D46-Loan!D89</f>
        <v>0</v>
      </c>
      <c r="E35" s="397">
        <f>-Loan!E46-Loan!E89</f>
        <v>0</v>
      </c>
      <c r="F35" s="397">
        <f>-Loan!F46-Loan!F89</f>
        <v>0</v>
      </c>
      <c r="G35" s="397">
        <f>-Loan!G46-Loan!G89</f>
        <v>0</v>
      </c>
      <c r="H35" s="397">
        <f>-Loan!H46-Loan!H89</f>
        <v>0</v>
      </c>
    </row>
    <row r="36" spans="2:8" x14ac:dyDescent="0.35">
      <c r="B36" s="362" t="s">
        <v>59</v>
      </c>
      <c r="C36" s="362"/>
      <c r="D36" s="397">
        <f>WC!D13</f>
        <v>0</v>
      </c>
      <c r="E36" s="397">
        <f>WC!E13</f>
        <v>0</v>
      </c>
      <c r="F36" s="397">
        <f>WC!F13</f>
        <v>0</v>
      </c>
      <c r="G36" s="397">
        <f>WC!G13</f>
        <v>0</v>
      </c>
      <c r="H36" s="397">
        <f>WC!H13</f>
        <v>0</v>
      </c>
    </row>
    <row r="37" spans="2:8" x14ac:dyDescent="0.35">
      <c r="B37" s="362" t="s">
        <v>43</v>
      </c>
      <c r="C37" s="362"/>
      <c r="D37" s="397">
        <f>-'P&amp;L'!C24</f>
        <v>807</v>
      </c>
      <c r="E37" s="397">
        <f>-'P&amp;L'!D24</f>
        <v>12192</v>
      </c>
      <c r="F37" s="397">
        <f>-'P&amp;L'!E24</f>
        <v>14921.50980609125</v>
      </c>
      <c r="G37" s="397">
        <f>-'P&amp;L'!F24</f>
        <v>32499.254653852178</v>
      </c>
      <c r="H37" s="397">
        <f>-'P&amp;L'!G24</f>
        <v>41332.363144755698</v>
      </c>
    </row>
    <row r="38" spans="2:8" x14ac:dyDescent="0.35">
      <c r="B38" s="362"/>
      <c r="C38" s="362"/>
      <c r="D38" s="492">
        <f>SUM(D34:D37)</f>
        <v>807</v>
      </c>
      <c r="E38" s="492">
        <f>SUM(E34:E37)</f>
        <v>12192</v>
      </c>
      <c r="F38" s="492">
        <f>SUM(F34:F37)</f>
        <v>14921.50980609125</v>
      </c>
      <c r="G38" s="492">
        <f>SUM(G34:G37)</f>
        <v>32499.254653852178</v>
      </c>
      <c r="H38" s="492">
        <f>SUM(H34:H37)</f>
        <v>41332.363144755698</v>
      </c>
    </row>
    <row r="39" spans="2:8" x14ac:dyDescent="0.35">
      <c r="B39" s="362"/>
      <c r="C39" s="362"/>
      <c r="D39" s="397"/>
      <c r="E39" s="397"/>
      <c r="F39" s="397"/>
      <c r="G39" s="397"/>
      <c r="H39" s="397"/>
    </row>
    <row r="40" spans="2:8" x14ac:dyDescent="0.35">
      <c r="B40" s="486" t="s">
        <v>83</v>
      </c>
      <c r="C40" s="362"/>
      <c r="D40" s="493">
        <f>D20-D31-D38</f>
        <v>6652.5405749999982</v>
      </c>
      <c r="E40" s="494">
        <f>E20-E31-E38</f>
        <v>91997.833587374975</v>
      </c>
      <c r="F40" s="494">
        <f>F20-F31-F38</f>
        <v>189336.32483366976</v>
      </c>
      <c r="G40" s="494">
        <f>G20-G31-G38</f>
        <v>309500.31711437914</v>
      </c>
      <c r="H40" s="495">
        <f>H20-H31-H38</f>
        <v>475292.62932177633</v>
      </c>
    </row>
    <row r="41" spans="2:8" x14ac:dyDescent="0.35">
      <c r="D41" s="114"/>
      <c r="E41" s="114"/>
      <c r="F41" s="114"/>
      <c r="G41" s="114"/>
      <c r="H41" s="114"/>
    </row>
    <row r="42" spans="2:8" x14ac:dyDescent="0.35">
      <c r="D42" s="48">
        <f>D26-D40</f>
        <v>0</v>
      </c>
      <c r="E42" s="48">
        <f>E26-E40</f>
        <v>0</v>
      </c>
      <c r="F42" s="48">
        <f>F26-F40</f>
        <v>0</v>
      </c>
      <c r="G42" s="48">
        <f>G26-G40</f>
        <v>0</v>
      </c>
      <c r="H42" s="48">
        <f>H26-H40</f>
        <v>0</v>
      </c>
    </row>
    <row r="43" spans="2:8" x14ac:dyDescent="0.35">
      <c r="D43" s="48"/>
      <c r="E43" s="48"/>
      <c r="F43" s="48"/>
      <c r="G43" s="48"/>
      <c r="H43" s="48"/>
    </row>
    <row r="44" spans="2:8" x14ac:dyDescent="0.35">
      <c r="D44" s="48"/>
      <c r="E44" s="48">
        <f>E12+E15+E16-E31-E38-E26</f>
        <v>-104189.83358737497</v>
      </c>
      <c r="F44" s="48">
        <f>F12+F15+F16-F31-F38-F26</f>
        <v>-204257.83463976101</v>
      </c>
      <c r="G44" s="48">
        <f>G12+G15+G16-G31-G38-G26</f>
        <v>-341999.5717682314</v>
      </c>
      <c r="H44" s="48">
        <f>H12+H15+H16-H31-H38-H26</f>
        <v>-516624.9924665321</v>
      </c>
    </row>
    <row r="45" spans="2:8" x14ac:dyDescent="0.35">
      <c r="D45" s="48"/>
      <c r="E45" s="48"/>
      <c r="F45" s="48"/>
      <c r="G45" s="48"/>
      <c r="H45" s="48"/>
    </row>
    <row r="46" spans="2:8" x14ac:dyDescent="0.35">
      <c r="E46" s="135"/>
      <c r="F46" s="135"/>
      <c r="G46" s="135"/>
      <c r="H46" s="135"/>
    </row>
    <row r="47" spans="2:8" x14ac:dyDescent="0.35">
      <c r="E47" s="48"/>
      <c r="F47" s="48"/>
      <c r="G47" s="48"/>
      <c r="H47" s="48"/>
    </row>
    <row r="48" spans="2:8" x14ac:dyDescent="0.35">
      <c r="E48" s="48"/>
      <c r="F48" s="48"/>
      <c r="G48" s="48"/>
      <c r="H48" s="48"/>
    </row>
    <row r="49" spans="5:8" x14ac:dyDescent="0.35">
      <c r="E49" s="115"/>
      <c r="F49" s="115"/>
      <c r="G49" s="115"/>
      <c r="H49" s="115"/>
    </row>
    <row r="50" spans="5:8" x14ac:dyDescent="0.35">
      <c r="E50" s="115"/>
      <c r="F50" s="115"/>
      <c r="G50" s="115"/>
      <c r="H50" s="115"/>
    </row>
    <row r="51" spans="5:8" x14ac:dyDescent="0.35">
      <c r="E51" s="115"/>
      <c r="F51" s="115"/>
      <c r="G51" s="115"/>
      <c r="H51" s="115"/>
    </row>
    <row r="52" spans="5:8" x14ac:dyDescent="0.35">
      <c r="E52" s="115"/>
      <c r="F52" s="115"/>
      <c r="G52" s="115"/>
      <c r="H52" s="115"/>
    </row>
    <row r="53" spans="5:8" x14ac:dyDescent="0.35">
      <c r="E53" s="115"/>
      <c r="F53" s="115"/>
      <c r="G53" s="115"/>
      <c r="H53" s="115"/>
    </row>
    <row r="54" spans="5:8" x14ac:dyDescent="0.35">
      <c r="E54" s="115"/>
      <c r="F54" s="115"/>
      <c r="G54" s="115"/>
      <c r="H54" s="115"/>
    </row>
    <row r="55" spans="5:8" x14ac:dyDescent="0.35">
      <c r="E55" s="115"/>
      <c r="F55" s="115"/>
      <c r="G55" s="115"/>
      <c r="H55" s="115"/>
    </row>
    <row r="56" spans="5:8" x14ac:dyDescent="0.35">
      <c r="E56" s="115"/>
      <c r="F56" s="115"/>
      <c r="G56" s="115"/>
      <c r="H56" s="115"/>
    </row>
    <row r="57" spans="5:8" x14ac:dyDescent="0.35">
      <c r="E57" s="115"/>
      <c r="F57" s="115"/>
      <c r="G57" s="115"/>
      <c r="H57" s="115"/>
    </row>
    <row r="58" spans="5:8" x14ac:dyDescent="0.35">
      <c r="E58" s="115"/>
      <c r="F58" s="115"/>
      <c r="G58" s="115"/>
      <c r="H58" s="115"/>
    </row>
    <row r="59" spans="5:8" x14ac:dyDescent="0.35">
      <c r="E59" s="115"/>
      <c r="F59" s="115"/>
      <c r="G59" s="115"/>
      <c r="H59" s="115"/>
    </row>
    <row r="60" spans="5:8" x14ac:dyDescent="0.35">
      <c r="E60" s="115"/>
      <c r="F60" s="115"/>
      <c r="G60" s="115"/>
      <c r="H60" s="115"/>
    </row>
    <row r="61" spans="5:8" x14ac:dyDescent="0.35">
      <c r="E61" s="115"/>
      <c r="F61" s="115"/>
      <c r="G61" s="115"/>
      <c r="H61" s="115"/>
    </row>
    <row r="62" spans="5:8" x14ac:dyDescent="0.35">
      <c r="E62" s="115"/>
      <c r="F62" s="115"/>
      <c r="G62" s="115"/>
      <c r="H62" s="115"/>
    </row>
    <row r="63" spans="5:8" x14ac:dyDescent="0.35">
      <c r="E63" s="115"/>
      <c r="F63" s="115"/>
      <c r="G63" s="115"/>
      <c r="H63" s="115"/>
    </row>
  </sheetData>
  <phoneticPr fontId="0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8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1:Q49"/>
  <sheetViews>
    <sheetView zoomScaleNormal="100" workbookViewId="0">
      <pane ySplit="7" topLeftCell="A8" activePane="bottomLeft" state="frozen"/>
      <selection pane="bottomLeft" activeCell="L32" sqref="L32"/>
    </sheetView>
  </sheetViews>
  <sheetFormatPr defaultColWidth="9.08984375" defaultRowHeight="14.5" x14ac:dyDescent="0.35"/>
  <cols>
    <col min="1" max="1" width="2.6328125" style="31" customWidth="1"/>
    <col min="2" max="2" width="46.54296875" style="31" customWidth="1"/>
    <col min="3" max="3" width="4" style="31" customWidth="1"/>
    <col min="4" max="8" width="13.54296875" style="31" bestFit="1" customWidth="1"/>
    <col min="9" max="16384" width="9.08984375" style="31"/>
  </cols>
  <sheetData>
    <row r="1" spans="2:17" x14ac:dyDescent="0.35">
      <c r="B1" s="32"/>
    </row>
    <row r="2" spans="2:17" x14ac:dyDescent="0.35">
      <c r="B2" s="33" t="str">
        <f>Summary!B2</f>
        <v>Cursa Platform</v>
      </c>
      <c r="C2" s="34"/>
      <c r="D2" s="34"/>
      <c r="E2" s="34"/>
      <c r="F2" s="34"/>
      <c r="G2" s="34"/>
      <c r="H2" s="34"/>
    </row>
    <row r="3" spans="2:17" x14ac:dyDescent="0.35">
      <c r="B3" s="32"/>
    </row>
    <row r="4" spans="2:17" x14ac:dyDescent="0.35">
      <c r="B4" s="131" t="s">
        <v>116</v>
      </c>
      <c r="C4" s="34"/>
      <c r="D4" s="34"/>
      <c r="E4" s="34"/>
      <c r="F4" s="34"/>
      <c r="G4" s="34"/>
      <c r="H4" s="34"/>
    </row>
    <row r="5" spans="2:17" x14ac:dyDescent="0.35">
      <c r="B5" s="33"/>
      <c r="C5" s="34"/>
      <c r="D5" s="34"/>
      <c r="E5" s="34"/>
      <c r="F5" s="158"/>
      <c r="G5" s="34"/>
      <c r="H5" s="34"/>
    </row>
    <row r="7" spans="2:17" ht="16.5" customHeight="1" x14ac:dyDescent="0.35">
      <c r="D7" s="36" t="s">
        <v>234</v>
      </c>
      <c r="E7" s="37" t="s">
        <v>235</v>
      </c>
      <c r="F7" s="37" t="s">
        <v>236</v>
      </c>
      <c r="G7" s="37" t="s">
        <v>237</v>
      </c>
      <c r="H7" s="68" t="s">
        <v>238</v>
      </c>
    </row>
    <row r="8" spans="2:17" ht="16.5" customHeight="1" x14ac:dyDescent="0.35">
      <c r="B8" s="32" t="s">
        <v>84</v>
      </c>
    </row>
    <row r="9" spans="2:17" ht="16.5" customHeight="1" x14ac:dyDescent="0.35">
      <c r="B9" s="41" t="s">
        <v>85</v>
      </c>
      <c r="C9" s="41"/>
      <c r="D9" s="42">
        <f>'P&amp;L'!C22</f>
        <v>6459.5405749999982</v>
      </c>
      <c r="E9" s="42">
        <f>'P&amp;L'!D22</f>
        <v>97537.293012374983</v>
      </c>
      <c r="F9" s="42">
        <f>'P&amp;L'!E22</f>
        <v>112260.00105238604</v>
      </c>
      <c r="G9" s="42">
        <f>'P&amp;L'!F22</f>
        <v>152663.24693456161</v>
      </c>
      <c r="H9" s="42">
        <f>'P&amp;L'!G22</f>
        <v>207124.67535215287</v>
      </c>
    </row>
    <row r="10" spans="2:17" ht="16.5" customHeight="1" x14ac:dyDescent="0.35">
      <c r="B10" s="31" t="s">
        <v>86</v>
      </c>
      <c r="D10" s="48"/>
      <c r="E10" s="48"/>
      <c r="F10" s="48"/>
      <c r="G10" s="48"/>
      <c r="H10" s="48"/>
    </row>
    <row r="11" spans="2:17" ht="16.5" customHeight="1" x14ac:dyDescent="0.35">
      <c r="B11" s="31" t="s">
        <v>87</v>
      </c>
      <c r="D11" s="48">
        <f>FA!D163</f>
        <v>0</v>
      </c>
      <c r="E11" s="48">
        <f>FA!E163</f>
        <v>0</v>
      </c>
      <c r="F11" s="48">
        <f>FA!F163</f>
        <v>0</v>
      </c>
      <c r="G11" s="48">
        <f>FA!G163</f>
        <v>0</v>
      </c>
      <c r="H11" s="48">
        <f>FA!H163</f>
        <v>0</v>
      </c>
    </row>
    <row r="12" spans="2:17" ht="16.5" customHeight="1" x14ac:dyDescent="0.35">
      <c r="B12" s="31" t="s">
        <v>101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</row>
    <row r="13" spans="2:17" ht="16.5" customHeight="1" x14ac:dyDescent="0.35">
      <c r="B13" s="31" t="s">
        <v>88</v>
      </c>
      <c r="D13" s="48">
        <f>-'P&amp;L'!C20</f>
        <v>0</v>
      </c>
      <c r="E13" s="48">
        <f>-'P&amp;L'!D20</f>
        <v>0</v>
      </c>
      <c r="F13" s="48">
        <f>-'P&amp;L'!E20</f>
        <v>0</v>
      </c>
      <c r="G13" s="48">
        <f>-'P&amp;L'!F20</f>
        <v>0</v>
      </c>
      <c r="H13" s="48">
        <f>-'P&amp;L'!G20</f>
        <v>0</v>
      </c>
    </row>
    <row r="14" spans="2:17" ht="16.5" customHeight="1" x14ac:dyDescent="0.35">
      <c r="B14" s="31" t="s">
        <v>130</v>
      </c>
      <c r="D14" s="48">
        <f>-'P&amp;L'!C21</f>
        <v>0</v>
      </c>
      <c r="E14" s="48">
        <f>-'P&amp;L'!D21</f>
        <v>0</v>
      </c>
      <c r="F14" s="48">
        <f>-'P&amp;L'!E21</f>
        <v>0</v>
      </c>
      <c r="G14" s="48">
        <f>-'P&amp;L'!F21</f>
        <v>0</v>
      </c>
      <c r="H14" s="48">
        <f>-'P&amp;L'!G21</f>
        <v>-731.28703203996179</v>
      </c>
    </row>
    <row r="15" spans="2:17" s="32" customFormat="1" ht="16.5" customHeight="1" x14ac:dyDescent="0.35">
      <c r="B15" s="32" t="s">
        <v>89</v>
      </c>
      <c r="D15" s="132">
        <f>SUM(D9:D14)</f>
        <v>6459.5405749999982</v>
      </c>
      <c r="E15" s="132">
        <f t="shared" ref="E15:H15" si="0">SUM(E9:E14)</f>
        <v>97537.293012374983</v>
      </c>
      <c r="F15" s="132">
        <f t="shared" si="0"/>
        <v>112260.00105238604</v>
      </c>
      <c r="G15" s="132">
        <f t="shared" si="0"/>
        <v>152663.24693456161</v>
      </c>
      <c r="H15" s="132">
        <f t="shared" si="0"/>
        <v>206393.38832011292</v>
      </c>
      <c r="I15" s="71"/>
      <c r="J15" s="71"/>
      <c r="K15" s="71"/>
      <c r="L15" s="71"/>
      <c r="M15" s="71"/>
      <c r="N15" s="71"/>
      <c r="O15" s="71"/>
      <c r="P15" s="71"/>
      <c r="Q15" s="71"/>
    </row>
    <row r="16" spans="2:17" ht="16.5" customHeight="1" x14ac:dyDescent="0.35">
      <c r="B16" s="31" t="s">
        <v>181</v>
      </c>
      <c r="D16" s="48">
        <f>-BS!D15</f>
        <v>0</v>
      </c>
      <c r="E16" s="48">
        <f>-(BS!E15-BS!D15)</f>
        <v>0</v>
      </c>
      <c r="F16" s="48">
        <f>-(BS!F15-BS!E15)</f>
        <v>0</v>
      </c>
      <c r="G16" s="48">
        <f>-(BS!G15-BS!F15)</f>
        <v>0</v>
      </c>
      <c r="H16" s="48">
        <f>-(BS!H15-BS!G15)</f>
        <v>0</v>
      </c>
    </row>
    <row r="17" spans="2:8" ht="16.5" customHeight="1" x14ac:dyDescent="0.35">
      <c r="B17" s="31" t="s">
        <v>182</v>
      </c>
      <c r="D17" s="48">
        <f>-BS!D16</f>
        <v>0</v>
      </c>
      <c r="E17" s="48">
        <f>-(BS!E16-BS!D16)</f>
        <v>0</v>
      </c>
      <c r="F17" s="48">
        <f>-(BS!F16-BS!E16)</f>
        <v>0</v>
      </c>
      <c r="G17" s="48">
        <f>-(BS!G16-BS!F16)</f>
        <v>0</v>
      </c>
      <c r="H17" s="48">
        <f>-(BS!H16-BS!G16)</f>
        <v>0</v>
      </c>
    </row>
    <row r="18" spans="2:8" ht="16.5" customHeight="1" x14ac:dyDescent="0.35">
      <c r="B18" s="31" t="s">
        <v>90</v>
      </c>
      <c r="D18" s="48">
        <f>BS!D36</f>
        <v>0</v>
      </c>
      <c r="E18" s="48">
        <f>BS!E36-BS!D36</f>
        <v>0</v>
      </c>
      <c r="F18" s="48">
        <f>BS!F36-BS!E36</f>
        <v>0</v>
      </c>
      <c r="G18" s="48">
        <f>BS!G36-BS!F36</f>
        <v>0</v>
      </c>
      <c r="H18" s="48">
        <f>BS!H36-BS!G36</f>
        <v>0</v>
      </c>
    </row>
    <row r="19" spans="2:8" s="32" customFormat="1" ht="16.5" customHeight="1" x14ac:dyDescent="0.35">
      <c r="B19" s="32" t="s">
        <v>91</v>
      </c>
      <c r="D19" s="132">
        <f>SUM(D15:D18)</f>
        <v>6459.5405749999982</v>
      </c>
      <c r="E19" s="132">
        <f>SUM(E15:E18)</f>
        <v>97537.293012374983</v>
      </c>
      <c r="F19" s="132">
        <f>SUM(F15:F18)</f>
        <v>112260.00105238604</v>
      </c>
      <c r="G19" s="132">
        <f>SUM(G15:G18)</f>
        <v>152663.24693456161</v>
      </c>
      <c r="H19" s="132">
        <f>SUM(H15:H18)</f>
        <v>206393.38832011292</v>
      </c>
    </row>
    <row r="20" spans="2:8" ht="16.5" customHeight="1" x14ac:dyDescent="0.35">
      <c r="B20" s="31" t="s">
        <v>92</v>
      </c>
      <c r="D20" s="48">
        <f>-BS!C37</f>
        <v>0</v>
      </c>
      <c r="E20" s="48">
        <f>-BS!D37</f>
        <v>-807</v>
      </c>
      <c r="F20" s="48">
        <f>-BS!E37</f>
        <v>-12192</v>
      </c>
      <c r="G20" s="48">
        <f>-BS!F37</f>
        <v>-14921.50980609125</v>
      </c>
      <c r="H20" s="48">
        <f>-BS!G37</f>
        <v>-32499.254653852178</v>
      </c>
    </row>
    <row r="21" spans="2:8" ht="16.5" customHeight="1" x14ac:dyDescent="0.35">
      <c r="B21" s="32" t="s">
        <v>93</v>
      </c>
      <c r="D21" s="132">
        <f>SUM(D19:D20)</f>
        <v>6459.5405749999982</v>
      </c>
      <c r="E21" s="132">
        <f t="shared" ref="E21:H21" si="1">SUM(E19:E20)</f>
        <v>96730.293012374983</v>
      </c>
      <c r="F21" s="132">
        <f t="shared" si="1"/>
        <v>100068.00105238604</v>
      </c>
      <c r="G21" s="132">
        <f t="shared" si="1"/>
        <v>137741.73712847035</v>
      </c>
      <c r="H21" s="132">
        <f t="shared" si="1"/>
        <v>173894.13366626075</v>
      </c>
    </row>
    <row r="22" spans="2:8" ht="16.5" customHeight="1" x14ac:dyDescent="0.35">
      <c r="D22" s="48"/>
      <c r="E22" s="48"/>
      <c r="F22" s="48"/>
      <c r="G22" s="48"/>
      <c r="H22" s="48"/>
    </row>
    <row r="23" spans="2:8" ht="16.5" customHeight="1" x14ac:dyDescent="0.35">
      <c r="B23" s="32" t="s">
        <v>94</v>
      </c>
      <c r="D23" s="48"/>
      <c r="E23" s="48"/>
      <c r="F23" s="48"/>
      <c r="G23" s="48"/>
      <c r="H23" s="48"/>
    </row>
    <row r="24" spans="2:8" ht="16.5" customHeight="1" x14ac:dyDescent="0.35">
      <c r="B24" s="31" t="s">
        <v>103</v>
      </c>
      <c r="D24" s="48">
        <f>-FA!D155+FA!D11</f>
        <v>0</v>
      </c>
      <c r="E24" s="48">
        <f>-FA!E155+FA!E11</f>
        <v>0</v>
      </c>
      <c r="F24" s="48">
        <f>-FA!F155+FA!F11</f>
        <v>0</v>
      </c>
      <c r="G24" s="48">
        <f>-FA!G155+FA!G11</f>
        <v>0</v>
      </c>
      <c r="H24" s="48">
        <f>-FA!H155+FA!H11</f>
        <v>0</v>
      </c>
    </row>
    <row r="25" spans="2:8" ht="16.5" customHeight="1" x14ac:dyDescent="0.35">
      <c r="B25" s="31" t="s">
        <v>102</v>
      </c>
      <c r="D25" s="48">
        <f>-FA!D11</f>
        <v>0</v>
      </c>
      <c r="E25" s="48">
        <f>-FA!E11</f>
        <v>0</v>
      </c>
      <c r="F25" s="48">
        <f>-FA!F11</f>
        <v>0</v>
      </c>
      <c r="G25" s="48">
        <f>-FA!G11</f>
        <v>0</v>
      </c>
      <c r="H25" s="48">
        <f>-FA!H11</f>
        <v>0</v>
      </c>
    </row>
    <row r="26" spans="2:8" ht="16.5" customHeight="1" x14ac:dyDescent="0.35">
      <c r="B26" s="31" t="s">
        <v>131</v>
      </c>
      <c r="D26" s="48">
        <f>IF(-D14&gt;0,-D14,0)</f>
        <v>0</v>
      </c>
      <c r="E26" s="48">
        <f>IF(-E14&gt;0,-E14,0)</f>
        <v>0</v>
      </c>
      <c r="F26" s="48">
        <f>IF(-F14&gt;0,-F14,0)</f>
        <v>0</v>
      </c>
      <c r="G26" s="48">
        <f>IF(-G14&gt;0,-G14,0)</f>
        <v>0</v>
      </c>
      <c r="H26" s="48">
        <f>IF(-H14&gt;0,-H14,0)</f>
        <v>731.28703203996179</v>
      </c>
    </row>
    <row r="27" spans="2:8" ht="16.5" customHeight="1" x14ac:dyDescent="0.35">
      <c r="B27" s="32" t="s">
        <v>112</v>
      </c>
      <c r="D27" s="132">
        <f>SUM(D24:D26)</f>
        <v>0</v>
      </c>
      <c r="E27" s="132">
        <f t="shared" ref="E27:H27" si="2">SUM(E24:E26)</f>
        <v>0</v>
      </c>
      <c r="F27" s="132">
        <f t="shared" si="2"/>
        <v>0</v>
      </c>
      <c r="G27" s="132">
        <f t="shared" si="2"/>
        <v>0</v>
      </c>
      <c r="H27" s="132">
        <f t="shared" si="2"/>
        <v>731.28703203996179</v>
      </c>
    </row>
    <row r="28" spans="2:8" ht="16.5" customHeight="1" x14ac:dyDescent="0.35">
      <c r="D28" s="48"/>
      <c r="E28" s="48"/>
      <c r="F28" s="48"/>
      <c r="G28" s="48"/>
      <c r="H28" s="48"/>
    </row>
    <row r="29" spans="2:8" ht="16.5" customHeight="1" x14ac:dyDescent="0.35">
      <c r="B29" s="32" t="s">
        <v>95</v>
      </c>
      <c r="D29" s="48"/>
      <c r="E29" s="48"/>
      <c r="F29" s="48"/>
      <c r="G29" s="48"/>
      <c r="H29" s="48"/>
    </row>
    <row r="30" spans="2:8" ht="16.5" customHeight="1" x14ac:dyDescent="0.35">
      <c r="B30" s="31" t="s">
        <v>184</v>
      </c>
      <c r="D30" s="48">
        <f>Equity!D49</f>
        <v>1000</v>
      </c>
      <c r="E30" s="48">
        <f>Equity!E49</f>
        <v>0</v>
      </c>
      <c r="F30" s="48">
        <f>Equity!F49</f>
        <v>0</v>
      </c>
      <c r="G30" s="48">
        <f>Equity!G49</f>
        <v>0</v>
      </c>
      <c r="H30" s="48">
        <f>Equity!H49</f>
        <v>0</v>
      </c>
    </row>
    <row r="31" spans="2:8" ht="16.5" customHeight="1" x14ac:dyDescent="0.35">
      <c r="B31" s="31" t="s">
        <v>262</v>
      </c>
      <c r="D31" s="48">
        <f>Loan!D41</f>
        <v>0</v>
      </c>
      <c r="E31" s="48">
        <f>Loan!E42</f>
        <v>0</v>
      </c>
      <c r="F31" s="48">
        <f>Loan!F42</f>
        <v>0</v>
      </c>
      <c r="G31" s="48">
        <f>Loan!G42</f>
        <v>0</v>
      </c>
      <c r="H31" s="48">
        <f>Loan!H42</f>
        <v>0</v>
      </c>
    </row>
    <row r="32" spans="2:8" ht="16.5" customHeight="1" x14ac:dyDescent="0.35">
      <c r="B32" s="31" t="s">
        <v>263</v>
      </c>
      <c r="D32" s="48">
        <f>+Loan!D84</f>
        <v>0</v>
      </c>
      <c r="E32" s="48">
        <f>+Loan!E85</f>
        <v>0</v>
      </c>
      <c r="F32" s="48">
        <f>+Loan!F85</f>
        <v>0</v>
      </c>
      <c r="G32" s="48">
        <f>+Loan!G85</f>
        <v>0</v>
      </c>
      <c r="H32" s="48">
        <f>+Loan!H85</f>
        <v>0</v>
      </c>
    </row>
    <row r="33" spans="2:8" ht="16.5" customHeight="1" x14ac:dyDescent="0.35">
      <c r="B33" s="31" t="s">
        <v>128</v>
      </c>
      <c r="D33" s="48">
        <v>0</v>
      </c>
      <c r="E33" s="48">
        <f>Loan!D46+Loan!D89</f>
        <v>0</v>
      </c>
      <c r="F33" s="48">
        <f>Loan!E46+Loan!E89</f>
        <v>0</v>
      </c>
      <c r="G33" s="48">
        <f>Loan!F46+Loan!F89</f>
        <v>0</v>
      </c>
      <c r="H33" s="48">
        <f>Loan!G46+Loan!G89</f>
        <v>0</v>
      </c>
    </row>
    <row r="34" spans="2:8" ht="16.5" customHeight="1" x14ac:dyDescent="0.35">
      <c r="B34" s="31" t="s">
        <v>96</v>
      </c>
      <c r="D34" s="48">
        <f>-D13</f>
        <v>0</v>
      </c>
      <c r="E34" s="48">
        <f t="shared" ref="E34:H34" si="3">-E13</f>
        <v>0</v>
      </c>
      <c r="F34" s="48">
        <f t="shared" si="3"/>
        <v>0</v>
      </c>
      <c r="G34" s="48">
        <f t="shared" si="3"/>
        <v>0</v>
      </c>
      <c r="H34" s="48">
        <f t="shared" si="3"/>
        <v>0</v>
      </c>
    </row>
    <row r="35" spans="2:8" ht="16.5" customHeight="1" x14ac:dyDescent="0.35">
      <c r="B35" s="31" t="s">
        <v>132</v>
      </c>
      <c r="D35" s="48">
        <f>IF(-D14&gt;0,0,-D14)</f>
        <v>0</v>
      </c>
      <c r="E35" s="48">
        <f t="shared" ref="E35:H35" si="4">IF(-E14&gt;0,0,-E14)</f>
        <v>0</v>
      </c>
      <c r="F35" s="48">
        <f t="shared" si="4"/>
        <v>0</v>
      </c>
      <c r="G35" s="48">
        <f t="shared" si="4"/>
        <v>0</v>
      </c>
      <c r="H35" s="48">
        <f t="shared" si="4"/>
        <v>0</v>
      </c>
    </row>
    <row r="36" spans="2:8" ht="16.5" customHeight="1" x14ac:dyDescent="0.35">
      <c r="B36" s="31" t="s">
        <v>226</v>
      </c>
      <c r="D36" s="48">
        <f>Equity!D28</f>
        <v>0</v>
      </c>
      <c r="E36" s="48">
        <f>Equity!E28</f>
        <v>0</v>
      </c>
      <c r="F36" s="48">
        <f>Equity!F28</f>
        <v>0</v>
      </c>
      <c r="G36" s="48">
        <f>Equity!G28</f>
        <v>0</v>
      </c>
      <c r="H36" s="48">
        <f>Equity!H28</f>
        <v>0</v>
      </c>
    </row>
    <row r="37" spans="2:8" ht="16.5" customHeight="1" x14ac:dyDescent="0.35">
      <c r="B37" s="32" t="s">
        <v>97</v>
      </c>
      <c r="D37" s="132">
        <f>SUM(D30:D36)</f>
        <v>1000</v>
      </c>
      <c r="E37" s="132">
        <f t="shared" ref="E37:H37" si="5">SUM(E30:E36)</f>
        <v>0</v>
      </c>
      <c r="F37" s="132">
        <f t="shared" si="5"/>
        <v>0</v>
      </c>
      <c r="G37" s="132">
        <f t="shared" si="5"/>
        <v>0</v>
      </c>
      <c r="H37" s="132">
        <f t="shared" si="5"/>
        <v>0</v>
      </c>
    </row>
    <row r="38" spans="2:8" ht="16.5" customHeight="1" x14ac:dyDescent="0.35">
      <c r="D38" s="48"/>
      <c r="E38" s="48"/>
      <c r="F38" s="48"/>
      <c r="G38" s="48"/>
      <c r="H38" s="48"/>
    </row>
    <row r="39" spans="2:8" ht="16.5" customHeight="1" x14ac:dyDescent="0.35">
      <c r="B39" s="32" t="s">
        <v>98</v>
      </c>
      <c r="D39" s="132">
        <f>D21+D27+D37</f>
        <v>7459.5405749999982</v>
      </c>
      <c r="E39" s="132">
        <f>E21+E27+E37</f>
        <v>96730.293012374983</v>
      </c>
      <c r="F39" s="132">
        <f>F21+F27+F37</f>
        <v>100068.00105238604</v>
      </c>
      <c r="G39" s="132">
        <f>G21+G27+G37</f>
        <v>137741.73712847035</v>
      </c>
      <c r="H39" s="132">
        <f>H21+H27+H37</f>
        <v>174625.4206983007</v>
      </c>
    </row>
    <row r="40" spans="2:8" ht="16.5" customHeight="1" x14ac:dyDescent="0.35">
      <c r="B40" s="31" t="s">
        <v>99</v>
      </c>
      <c r="D40" s="48">
        <v>0</v>
      </c>
      <c r="E40" s="48">
        <f>D41</f>
        <v>7459.5405749999982</v>
      </c>
      <c r="F40" s="48">
        <f t="shared" ref="F40:H40" si="6">E41</f>
        <v>104189.83358737497</v>
      </c>
      <c r="G40" s="48">
        <f t="shared" si="6"/>
        <v>204257.83463976101</v>
      </c>
      <c r="H40" s="48">
        <f t="shared" si="6"/>
        <v>341999.57176823134</v>
      </c>
    </row>
    <row r="41" spans="2:8" ht="16.5" customHeight="1" x14ac:dyDescent="0.35">
      <c r="B41" s="32" t="s">
        <v>100</v>
      </c>
      <c r="D41" s="132">
        <f>SUM(D39:D40)</f>
        <v>7459.5405749999982</v>
      </c>
      <c r="E41" s="132">
        <f t="shared" ref="E41:H41" si="7">SUM(E39:E40)</f>
        <v>104189.83358737497</v>
      </c>
      <c r="F41" s="132">
        <f t="shared" si="7"/>
        <v>204257.83463976101</v>
      </c>
      <c r="G41" s="132">
        <f t="shared" si="7"/>
        <v>341999.57176823134</v>
      </c>
      <c r="H41" s="132">
        <f t="shared" si="7"/>
        <v>516624.99246653204</v>
      </c>
    </row>
    <row r="42" spans="2:8" x14ac:dyDescent="0.35">
      <c r="D42" s="48"/>
      <c r="E42" s="48"/>
      <c r="F42" s="48"/>
      <c r="G42" s="48"/>
      <c r="H42" s="48"/>
    </row>
    <row r="43" spans="2:8" x14ac:dyDescent="0.35">
      <c r="D43" s="48"/>
      <c r="E43" s="48"/>
      <c r="F43" s="48"/>
      <c r="G43" s="48"/>
      <c r="H43" s="48"/>
    </row>
    <row r="44" spans="2:8" x14ac:dyDescent="0.35">
      <c r="D44" s="48"/>
      <c r="E44" s="48"/>
      <c r="F44" s="48"/>
      <c r="G44" s="48"/>
      <c r="H44" s="48"/>
    </row>
    <row r="45" spans="2:8" x14ac:dyDescent="0.35">
      <c r="D45" s="48"/>
      <c r="E45" s="48"/>
      <c r="F45" s="48"/>
      <c r="G45" s="48"/>
      <c r="H45" s="48"/>
    </row>
    <row r="46" spans="2:8" x14ac:dyDescent="0.35">
      <c r="D46" s="48"/>
      <c r="E46" s="48"/>
      <c r="F46" s="48"/>
      <c r="G46" s="48"/>
      <c r="H46" s="48"/>
    </row>
    <row r="47" spans="2:8" x14ac:dyDescent="0.35">
      <c r="D47" s="48"/>
      <c r="E47" s="48"/>
      <c r="F47" s="48"/>
      <c r="G47" s="48"/>
      <c r="H47" s="48"/>
    </row>
    <row r="48" spans="2:8" x14ac:dyDescent="0.35">
      <c r="E48" s="48"/>
      <c r="F48" s="48"/>
      <c r="G48" s="48"/>
      <c r="H48" s="48"/>
    </row>
    <row r="49" spans="5:8" x14ac:dyDescent="0.35">
      <c r="E49" s="48"/>
      <c r="F49" s="48"/>
      <c r="G49" s="48"/>
      <c r="H49" s="48"/>
    </row>
  </sheetData>
  <phoneticPr fontId="0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B1:V89"/>
  <sheetViews>
    <sheetView zoomScaleNormal="100" workbookViewId="0">
      <pane ySplit="7" topLeftCell="A8" activePane="bottomLeft" state="frozen"/>
      <selection pane="bottomLeft" activeCell="K18" sqref="K18"/>
    </sheetView>
  </sheetViews>
  <sheetFormatPr defaultColWidth="9.08984375" defaultRowHeight="14.5" x14ac:dyDescent="0.35"/>
  <cols>
    <col min="1" max="1" width="1.6328125" style="31" customWidth="1"/>
    <col min="2" max="2" width="46.81640625" style="31" customWidth="1"/>
    <col min="3" max="3" width="10.6328125" style="31" customWidth="1"/>
    <col min="4" max="4" width="8.1796875" style="31" bestFit="1" customWidth="1"/>
    <col min="5" max="10" width="7.54296875" style="31" bestFit="1" customWidth="1"/>
    <col min="11" max="11" width="9.08984375" style="31" bestFit="1" customWidth="1"/>
    <col min="12" max="12" width="9.1796875" style="31" bestFit="1" customWidth="1"/>
    <col min="13" max="13" width="9.90625" style="31" bestFit="1" customWidth="1"/>
    <col min="14" max="14" width="9.453125" style="31" customWidth="1"/>
    <col min="15" max="17" width="11.6328125" style="31" bestFit="1" customWidth="1"/>
    <col min="18" max="18" width="13.81640625" style="31" bestFit="1" customWidth="1"/>
    <col min="19" max="19" width="12.6328125" style="31" bestFit="1" customWidth="1"/>
    <col min="20" max="20" width="3" style="31" customWidth="1"/>
    <col min="21" max="16384" width="9.08984375" style="31"/>
  </cols>
  <sheetData>
    <row r="1" spans="2:20" x14ac:dyDescent="0.35">
      <c r="B1" s="32"/>
    </row>
    <row r="2" spans="2:20" ht="21" x14ac:dyDescent="0.5">
      <c r="B2" s="49" t="str">
        <f>Summary!B2</f>
        <v>Cursa Platform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2:20" ht="7.5" customHeight="1" x14ac:dyDescent="0.5">
      <c r="B3" s="50"/>
    </row>
    <row r="4" spans="2:20" ht="21" x14ac:dyDescent="0.5">
      <c r="B4" s="51" t="s">
        <v>106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2:20" x14ac:dyDescent="0.3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2:20" x14ac:dyDescent="0.35">
      <c r="C6" s="58">
        <v>31</v>
      </c>
      <c r="D6" s="58">
        <v>28</v>
      </c>
      <c r="E6" s="58">
        <v>31</v>
      </c>
      <c r="F6" s="58">
        <v>30</v>
      </c>
      <c r="G6" s="58">
        <v>31</v>
      </c>
      <c r="H6" s="58">
        <v>30</v>
      </c>
      <c r="I6" s="58">
        <v>31</v>
      </c>
      <c r="J6" s="58">
        <v>31</v>
      </c>
      <c r="K6" s="58">
        <v>30</v>
      </c>
      <c r="L6" s="58">
        <v>31</v>
      </c>
      <c r="M6" s="58">
        <v>30</v>
      </c>
      <c r="N6" s="58">
        <v>31</v>
      </c>
      <c r="O6" s="58"/>
      <c r="P6" s="58">
        <v>2</v>
      </c>
      <c r="Q6" s="58">
        <v>3</v>
      </c>
      <c r="R6" s="58">
        <v>4</v>
      </c>
      <c r="S6" s="58">
        <v>5</v>
      </c>
      <c r="T6" s="58">
        <v>6</v>
      </c>
    </row>
    <row r="7" spans="2:20" x14ac:dyDescent="0.35">
      <c r="C7" s="383" t="s">
        <v>365</v>
      </c>
      <c r="D7" s="384" t="s">
        <v>366</v>
      </c>
      <c r="E7" s="384" t="s">
        <v>367</v>
      </c>
      <c r="F7" s="384" t="s">
        <v>368</v>
      </c>
      <c r="G7" s="384" t="s">
        <v>369</v>
      </c>
      <c r="H7" s="384" t="s">
        <v>370</v>
      </c>
      <c r="I7" s="384" t="s">
        <v>371</v>
      </c>
      <c r="J7" s="384" t="s">
        <v>372</v>
      </c>
      <c r="K7" s="384" t="s">
        <v>373</v>
      </c>
      <c r="L7" s="384" t="s">
        <v>374</v>
      </c>
      <c r="M7" s="384" t="s">
        <v>375</v>
      </c>
      <c r="N7" s="384" t="s">
        <v>376</v>
      </c>
      <c r="O7" s="37" t="s">
        <v>234</v>
      </c>
      <c r="P7" s="37" t="s">
        <v>235</v>
      </c>
      <c r="Q7" s="37" t="s">
        <v>236</v>
      </c>
      <c r="R7" s="37" t="s">
        <v>237</v>
      </c>
      <c r="S7" s="68" t="s">
        <v>238</v>
      </c>
    </row>
    <row r="9" spans="2:20" x14ac:dyDescent="0.35">
      <c r="B9" s="30" t="s">
        <v>108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2:20" ht="18" customHeight="1" x14ac:dyDescent="0.3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2:20" ht="18" customHeight="1" x14ac:dyDescent="0.35">
      <c r="B11" s="32" t="str">
        <f>B26</f>
        <v>Courier services - documents and parcels</v>
      </c>
      <c r="C11" s="40">
        <f t="shared" ref="C11:N11" si="0">C27*C29*C6</f>
        <v>0</v>
      </c>
      <c r="D11" s="40">
        <f t="shared" si="0"/>
        <v>0</v>
      </c>
      <c r="E11" s="40">
        <f t="shared" si="0"/>
        <v>0</v>
      </c>
      <c r="F11" s="40">
        <f t="shared" si="0"/>
        <v>0</v>
      </c>
      <c r="G11" s="40">
        <f t="shared" si="0"/>
        <v>0</v>
      </c>
      <c r="H11" s="40">
        <f t="shared" si="0"/>
        <v>0</v>
      </c>
      <c r="I11" s="40">
        <f t="shared" si="0"/>
        <v>0</v>
      </c>
      <c r="J11" s="40">
        <f t="shared" si="0"/>
        <v>0</v>
      </c>
      <c r="K11" s="40">
        <f t="shared" si="0"/>
        <v>3600</v>
      </c>
      <c r="L11" s="40">
        <f t="shared" si="0"/>
        <v>4836</v>
      </c>
      <c r="M11" s="40">
        <f t="shared" si="0"/>
        <v>6084</v>
      </c>
      <c r="N11" s="40">
        <f t="shared" si="0"/>
        <v>8172.8400000000011</v>
      </c>
      <c r="O11" s="40">
        <f>SUM(C11:N11)</f>
        <v>22692.84</v>
      </c>
      <c r="P11" s="40">
        <f>P27*P29*365</f>
        <v>128850.09540000003</v>
      </c>
      <c r="Q11" s="40">
        <f t="shared" ref="Q11:S11" si="1">Q27*Q29*365</f>
        <v>172530.27774060002</v>
      </c>
      <c r="R11" s="40">
        <f t="shared" si="1"/>
        <v>231018.04189466345</v>
      </c>
      <c r="S11" s="40">
        <f t="shared" si="1"/>
        <v>309333.1580969544</v>
      </c>
    </row>
    <row r="12" spans="2:20" ht="18" customHeight="1" x14ac:dyDescent="0.35">
      <c r="B12" s="32" t="str">
        <f>B32</f>
        <v>Corporate logistics services</v>
      </c>
      <c r="C12" s="40">
        <f t="shared" ref="C12:N12" si="2">C33*C34*C36*C38*C6</f>
        <v>0</v>
      </c>
      <c r="D12" s="40">
        <f t="shared" si="2"/>
        <v>0</v>
      </c>
      <c r="E12" s="40">
        <f t="shared" si="2"/>
        <v>0</v>
      </c>
      <c r="F12" s="40">
        <f t="shared" si="2"/>
        <v>0</v>
      </c>
      <c r="G12" s="40">
        <f t="shared" si="2"/>
        <v>0</v>
      </c>
      <c r="H12" s="40">
        <f t="shared" si="2"/>
        <v>0</v>
      </c>
      <c r="I12" s="40">
        <f t="shared" si="2"/>
        <v>0</v>
      </c>
      <c r="J12" s="40">
        <f t="shared" si="2"/>
        <v>0</v>
      </c>
      <c r="K12" s="40">
        <f t="shared" si="2"/>
        <v>6300</v>
      </c>
      <c r="L12" s="40">
        <f t="shared" si="2"/>
        <v>8463</v>
      </c>
      <c r="M12" s="40">
        <f t="shared" si="2"/>
        <v>10647.000000000002</v>
      </c>
      <c r="N12" s="40">
        <f t="shared" si="2"/>
        <v>14302.470000000001</v>
      </c>
      <c r="O12" s="40">
        <f t="shared" ref="O12:O16" si="3">SUM(C12:N12)</f>
        <v>39712.47</v>
      </c>
      <c r="P12" s="40">
        <f>P33*P34*P36*P38*365</f>
        <v>225487.66695000007</v>
      </c>
      <c r="Q12" s="40">
        <f t="shared" ref="Q12:S12" si="4">Q33*Q34*Q36*Q38*365</f>
        <v>301927.98604605009</v>
      </c>
      <c r="R12" s="40">
        <f t="shared" si="4"/>
        <v>404281.57331566117</v>
      </c>
      <c r="S12" s="40">
        <f t="shared" si="4"/>
        <v>541333.02666967036</v>
      </c>
    </row>
    <row r="13" spans="2:20" ht="18" customHeight="1" x14ac:dyDescent="0.35">
      <c r="B13" s="32" t="str">
        <f>B41</f>
        <v>Freight services</v>
      </c>
      <c r="C13" s="40">
        <f t="shared" ref="C13:N13" si="5">C42*C44*C6</f>
        <v>0</v>
      </c>
      <c r="D13" s="40">
        <f t="shared" si="5"/>
        <v>0</v>
      </c>
      <c r="E13" s="40">
        <f t="shared" si="5"/>
        <v>0</v>
      </c>
      <c r="F13" s="40">
        <f t="shared" si="5"/>
        <v>0</v>
      </c>
      <c r="G13" s="40">
        <f t="shared" si="5"/>
        <v>0</v>
      </c>
      <c r="H13" s="40">
        <f t="shared" si="5"/>
        <v>0</v>
      </c>
      <c r="I13" s="40">
        <f t="shared" si="5"/>
        <v>0</v>
      </c>
      <c r="J13" s="40">
        <f t="shared" si="5"/>
        <v>0</v>
      </c>
      <c r="K13" s="40">
        <f t="shared" si="5"/>
        <v>3600</v>
      </c>
      <c r="L13" s="40">
        <f t="shared" si="5"/>
        <v>4464</v>
      </c>
      <c r="M13" s="40">
        <f t="shared" si="5"/>
        <v>5183.9999999999991</v>
      </c>
      <c r="N13" s="40">
        <f t="shared" si="5"/>
        <v>6428.1599999999989</v>
      </c>
      <c r="O13" s="40">
        <f t="shared" si="3"/>
        <v>19676.16</v>
      </c>
      <c r="P13" s="40">
        <f>P42*P44*365</f>
        <v>93548.390399999989</v>
      </c>
      <c r="Q13" s="40">
        <f t="shared" ref="Q13:S13" si="6">Q42*Q44*365</f>
        <v>115625.81053439998</v>
      </c>
      <c r="R13" s="40">
        <f t="shared" si="6"/>
        <v>142913.50182051837</v>
      </c>
      <c r="S13" s="40">
        <f t="shared" si="6"/>
        <v>176641.08825016068</v>
      </c>
    </row>
    <row r="14" spans="2:20" ht="18" customHeight="1" x14ac:dyDescent="0.35">
      <c r="B14" s="32" t="str">
        <f>B47</f>
        <v>Concierge services</v>
      </c>
      <c r="C14" s="40">
        <f t="shared" ref="C14:N14" si="7">C48*C50*C6</f>
        <v>0</v>
      </c>
      <c r="D14" s="40">
        <f t="shared" si="7"/>
        <v>0</v>
      </c>
      <c r="E14" s="40">
        <f t="shared" si="7"/>
        <v>0</v>
      </c>
      <c r="F14" s="40">
        <f t="shared" si="7"/>
        <v>0</v>
      </c>
      <c r="G14" s="40">
        <f t="shared" si="7"/>
        <v>0</v>
      </c>
      <c r="H14" s="40">
        <f t="shared" si="7"/>
        <v>0</v>
      </c>
      <c r="I14" s="40">
        <f t="shared" si="7"/>
        <v>0</v>
      </c>
      <c r="J14" s="40">
        <f t="shared" si="7"/>
        <v>0</v>
      </c>
      <c r="K14" s="40">
        <f t="shared" si="7"/>
        <v>1350</v>
      </c>
      <c r="L14" s="40">
        <f t="shared" si="7"/>
        <v>1813.5000000000002</v>
      </c>
      <c r="M14" s="40">
        <f t="shared" si="7"/>
        <v>2281.5000000000005</v>
      </c>
      <c r="N14" s="40">
        <f t="shared" si="7"/>
        <v>3064.8150000000005</v>
      </c>
      <c r="O14" s="40">
        <f t="shared" si="3"/>
        <v>8509.8150000000005</v>
      </c>
      <c r="P14" s="40">
        <f>P48*P50*365</f>
        <v>48318.785775000011</v>
      </c>
      <c r="Q14" s="40">
        <f t="shared" ref="Q14:S14" si="8">Q48*Q50*365</f>
        <v>64698.85415272502</v>
      </c>
      <c r="R14" s="40">
        <f t="shared" si="8"/>
        <v>86631.765710498788</v>
      </c>
      <c r="S14" s="40">
        <f t="shared" si="8"/>
        <v>115999.93428635788</v>
      </c>
    </row>
    <row r="15" spans="2:20" ht="18" customHeight="1" x14ac:dyDescent="0.35">
      <c r="B15" s="32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2:20" ht="18" customHeight="1" x14ac:dyDescent="0.35">
      <c r="B16" s="32" t="s">
        <v>449</v>
      </c>
      <c r="C16" s="40">
        <f>C54*C55</f>
        <v>0</v>
      </c>
      <c r="D16" s="40">
        <f t="shared" ref="D16:N16" si="9">D54*D55</f>
        <v>0</v>
      </c>
      <c r="E16" s="40">
        <f t="shared" si="9"/>
        <v>0</v>
      </c>
      <c r="F16" s="40">
        <f t="shared" si="9"/>
        <v>0</v>
      </c>
      <c r="G16" s="40">
        <f t="shared" si="9"/>
        <v>0</v>
      </c>
      <c r="H16" s="40">
        <f t="shared" si="9"/>
        <v>0</v>
      </c>
      <c r="I16" s="40">
        <f t="shared" si="9"/>
        <v>0</v>
      </c>
      <c r="J16" s="40">
        <f t="shared" si="9"/>
        <v>0</v>
      </c>
      <c r="K16" s="40">
        <f t="shared" si="9"/>
        <v>0</v>
      </c>
      <c r="L16" s="40">
        <f t="shared" si="9"/>
        <v>0</v>
      </c>
      <c r="M16" s="40">
        <f t="shared" si="9"/>
        <v>0</v>
      </c>
      <c r="N16" s="40">
        <f t="shared" si="9"/>
        <v>0</v>
      </c>
      <c r="O16" s="40">
        <f t="shared" si="3"/>
        <v>0</v>
      </c>
      <c r="P16" s="40">
        <f>P54*P55*12</f>
        <v>12582</v>
      </c>
      <c r="Q16" s="40">
        <f t="shared" ref="Q16:S16" si="10">Q54*Q55*12</f>
        <v>12582</v>
      </c>
      <c r="R16" s="40">
        <f t="shared" si="10"/>
        <v>12582</v>
      </c>
      <c r="S16" s="40">
        <f t="shared" si="10"/>
        <v>12582</v>
      </c>
    </row>
    <row r="17" spans="2:22" x14ac:dyDescent="0.35"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0"/>
      <c r="P17" s="48"/>
      <c r="Q17" s="48"/>
      <c r="R17" s="48"/>
      <c r="S17" s="48"/>
    </row>
    <row r="18" spans="2:22" s="39" customFormat="1" x14ac:dyDescent="0.35">
      <c r="B18" s="32" t="s">
        <v>347</v>
      </c>
      <c r="C18" s="42">
        <f t="shared" ref="C18:S18" si="11">SUM(C11:C17)</f>
        <v>0</v>
      </c>
      <c r="D18" s="42">
        <f t="shared" si="11"/>
        <v>0</v>
      </c>
      <c r="E18" s="42">
        <f t="shared" si="11"/>
        <v>0</v>
      </c>
      <c r="F18" s="42">
        <f t="shared" si="11"/>
        <v>0</v>
      </c>
      <c r="G18" s="42">
        <f t="shared" si="11"/>
        <v>0</v>
      </c>
      <c r="H18" s="42">
        <f t="shared" si="11"/>
        <v>0</v>
      </c>
      <c r="I18" s="42">
        <f t="shared" si="11"/>
        <v>0</v>
      </c>
      <c r="J18" s="42">
        <f t="shared" si="11"/>
        <v>0</v>
      </c>
      <c r="K18" s="42">
        <f t="shared" si="11"/>
        <v>14850</v>
      </c>
      <c r="L18" s="42">
        <f t="shared" si="11"/>
        <v>19576.5</v>
      </c>
      <c r="M18" s="42">
        <f t="shared" si="11"/>
        <v>24196.5</v>
      </c>
      <c r="N18" s="42">
        <f t="shared" si="11"/>
        <v>31968.285000000003</v>
      </c>
      <c r="O18" s="42">
        <f t="shared" si="11"/>
        <v>90591.285000000003</v>
      </c>
      <c r="P18" s="42">
        <f t="shared" si="11"/>
        <v>508786.93852500006</v>
      </c>
      <c r="Q18" s="42">
        <f t="shared" si="11"/>
        <v>667364.92847377504</v>
      </c>
      <c r="R18" s="42">
        <f t="shared" si="11"/>
        <v>877426.88274134183</v>
      </c>
      <c r="S18" s="42">
        <f t="shared" si="11"/>
        <v>1155889.2073031433</v>
      </c>
    </row>
    <row r="19" spans="2:22" x14ac:dyDescent="0.35">
      <c r="B19" s="32"/>
      <c r="P19" s="42"/>
      <c r="Q19" s="42"/>
      <c r="R19" s="42"/>
      <c r="S19" s="42"/>
    </row>
    <row r="21" spans="2:22" ht="17.25" customHeight="1" x14ac:dyDescent="0.35">
      <c r="B21" s="43" t="s">
        <v>140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59"/>
    </row>
    <row r="22" spans="2:22" x14ac:dyDescent="0.35">
      <c r="D22" s="534">
        <v>2</v>
      </c>
      <c r="E22" s="534">
        <v>3</v>
      </c>
      <c r="F22" s="534">
        <v>4</v>
      </c>
      <c r="G22" s="534">
        <v>5</v>
      </c>
      <c r="H22" s="534">
        <v>6</v>
      </c>
      <c r="I22" s="534">
        <v>7</v>
      </c>
      <c r="J22" s="534">
        <v>8</v>
      </c>
      <c r="K22" s="534">
        <v>9</v>
      </c>
      <c r="L22" s="534">
        <v>10</v>
      </c>
      <c r="M22" s="534">
        <v>11</v>
      </c>
      <c r="N22" s="534">
        <v>12</v>
      </c>
      <c r="O22" s="534">
        <v>13</v>
      </c>
    </row>
    <row r="23" spans="2:22" x14ac:dyDescent="0.35">
      <c r="B23" s="30" t="s">
        <v>108</v>
      </c>
      <c r="D23" s="570" t="s">
        <v>429</v>
      </c>
      <c r="E23" s="571"/>
      <c r="F23" s="572"/>
      <c r="G23" s="570" t="s">
        <v>446</v>
      </c>
      <c r="H23" s="571"/>
      <c r="I23" s="572"/>
      <c r="J23" s="571" t="s">
        <v>444</v>
      </c>
      <c r="K23" s="571"/>
      <c r="L23" s="571"/>
      <c r="M23" s="570" t="s">
        <v>445</v>
      </c>
      <c r="N23" s="571"/>
      <c r="O23" s="572"/>
    </row>
    <row r="24" spans="2:22" x14ac:dyDescent="0.35">
      <c r="B24" s="32"/>
      <c r="C24" s="533" t="s">
        <v>432</v>
      </c>
      <c r="D24" s="477" t="s">
        <v>428</v>
      </c>
      <c r="E24" s="456" t="s">
        <v>144</v>
      </c>
      <c r="F24" s="478" t="s">
        <v>427</v>
      </c>
      <c r="G24" s="460" t="s">
        <v>426</v>
      </c>
      <c r="H24" s="457" t="s">
        <v>144</v>
      </c>
      <c r="I24" s="458" t="s">
        <v>427</v>
      </c>
      <c r="J24" s="456" t="s">
        <v>428</v>
      </c>
      <c r="K24" s="456" t="s">
        <v>144</v>
      </c>
      <c r="L24" s="456" t="s">
        <v>427</v>
      </c>
      <c r="M24" s="460" t="s">
        <v>428</v>
      </c>
      <c r="N24" s="457" t="s">
        <v>144</v>
      </c>
      <c r="O24" s="458" t="s">
        <v>427</v>
      </c>
    </row>
    <row r="25" spans="2:22" x14ac:dyDescent="0.35">
      <c r="B25" s="32"/>
      <c r="C25" s="532" t="s">
        <v>425</v>
      </c>
      <c r="D25" s="498">
        <f t="shared" ref="D25:O25" si="12">VLOOKUP($C$25,$B$81:$N$83,D22,FALSE)</f>
        <v>50</v>
      </c>
      <c r="E25" s="472">
        <f t="shared" si="12"/>
        <v>0.4</v>
      </c>
      <c r="F25" s="481">
        <f t="shared" si="12"/>
        <v>4</v>
      </c>
      <c r="G25" s="473">
        <f t="shared" si="12"/>
        <v>400</v>
      </c>
      <c r="H25" s="474">
        <f t="shared" si="12"/>
        <v>0.5</v>
      </c>
      <c r="I25" s="475">
        <f t="shared" si="12"/>
        <v>3.5</v>
      </c>
      <c r="J25" s="471">
        <f t="shared" si="12"/>
        <v>3</v>
      </c>
      <c r="K25" s="472">
        <f t="shared" si="12"/>
        <v>0.2</v>
      </c>
      <c r="L25" s="471">
        <f t="shared" si="12"/>
        <v>40</v>
      </c>
      <c r="M25" s="473">
        <f t="shared" si="12"/>
        <v>3</v>
      </c>
      <c r="N25" s="474">
        <f t="shared" si="12"/>
        <v>0.3</v>
      </c>
      <c r="O25" s="476">
        <f t="shared" si="12"/>
        <v>15</v>
      </c>
    </row>
    <row r="26" spans="2:22" x14ac:dyDescent="0.35">
      <c r="B26" s="32" t="s">
        <v>336</v>
      </c>
    </row>
    <row r="27" spans="2:22" x14ac:dyDescent="0.35">
      <c r="B27" s="378" t="s">
        <v>442</v>
      </c>
      <c r="C27" s="52"/>
      <c r="D27" s="52"/>
      <c r="E27" s="52"/>
      <c r="F27" s="52"/>
      <c r="G27" s="52"/>
      <c r="H27" s="52"/>
      <c r="I27" s="52"/>
      <c r="J27" s="52"/>
      <c r="K27" s="535">
        <v>30</v>
      </c>
      <c r="L27" s="52">
        <f>K27*(1+L28)</f>
        <v>39</v>
      </c>
      <c r="M27" s="52">
        <f>L27*(1+M28)</f>
        <v>50.7</v>
      </c>
      <c r="N27" s="52">
        <f>M27*(1+N28)</f>
        <v>65.910000000000011</v>
      </c>
      <c r="P27" s="52">
        <f>N27*(1+P28)</f>
        <v>85.683000000000021</v>
      </c>
      <c r="Q27" s="52">
        <f>P27*(1+Q28)</f>
        <v>111.38790000000003</v>
      </c>
      <c r="R27" s="52">
        <f t="shared" ref="R27:S27" si="13">Q27*(1+R28)</f>
        <v>144.80427000000003</v>
      </c>
      <c r="S27" s="52">
        <f t="shared" si="13"/>
        <v>188.24555100000003</v>
      </c>
    </row>
    <row r="28" spans="2:22" x14ac:dyDescent="0.35">
      <c r="B28" s="378" t="s">
        <v>443</v>
      </c>
      <c r="L28" s="536">
        <v>0.3</v>
      </c>
      <c r="M28" s="62">
        <f>L28</f>
        <v>0.3</v>
      </c>
      <c r="N28" s="62">
        <f>M28</f>
        <v>0.3</v>
      </c>
      <c r="P28" s="62">
        <f>N28</f>
        <v>0.3</v>
      </c>
      <c r="Q28" s="62">
        <f>P28</f>
        <v>0.3</v>
      </c>
      <c r="R28" s="62">
        <f t="shared" ref="R28:S30" si="14">Q28</f>
        <v>0.3</v>
      </c>
      <c r="S28" s="62">
        <f t="shared" si="14"/>
        <v>0.3</v>
      </c>
      <c r="V28" s="31" t="e">
        <f>#REF!*#REF!*P27*P29*52*5</f>
        <v>#REF!</v>
      </c>
    </row>
    <row r="29" spans="2:22" x14ac:dyDescent="0.35">
      <c r="B29" s="378" t="s">
        <v>341</v>
      </c>
      <c r="C29" s="537">
        <f>Summary!I9</f>
        <v>4</v>
      </c>
      <c r="D29" s="381">
        <f>C29</f>
        <v>4</v>
      </c>
      <c r="E29" s="381">
        <f t="shared" ref="E29:N29" si="15">D29</f>
        <v>4</v>
      </c>
      <c r="F29" s="381">
        <f t="shared" si="15"/>
        <v>4</v>
      </c>
      <c r="G29" s="381">
        <f t="shared" si="15"/>
        <v>4</v>
      </c>
      <c r="H29" s="381">
        <f t="shared" si="15"/>
        <v>4</v>
      </c>
      <c r="I29" s="381">
        <f t="shared" si="15"/>
        <v>4</v>
      </c>
      <c r="J29" s="381">
        <f t="shared" si="15"/>
        <v>4</v>
      </c>
      <c r="K29" s="381">
        <f t="shared" si="15"/>
        <v>4</v>
      </c>
      <c r="L29" s="381">
        <f t="shared" si="15"/>
        <v>4</v>
      </c>
      <c r="M29" s="381">
        <f t="shared" si="15"/>
        <v>4</v>
      </c>
      <c r="N29" s="381">
        <f t="shared" si="15"/>
        <v>4</v>
      </c>
      <c r="P29" s="381">
        <f>N29*(1+P30)</f>
        <v>4.12</v>
      </c>
      <c r="Q29" s="381">
        <f>P29*(1+Q30)</f>
        <v>4.2435999999999998</v>
      </c>
      <c r="R29" s="381">
        <f>Q29*(1+R30)</f>
        <v>4.370908</v>
      </c>
      <c r="S29" s="381">
        <f>R29*(1+S30)</f>
        <v>4.5020352400000005</v>
      </c>
      <c r="U29" s="31" t="s">
        <v>342</v>
      </c>
    </row>
    <row r="30" spans="2:22" x14ac:dyDescent="0.35">
      <c r="B30" s="378" t="s">
        <v>340</v>
      </c>
      <c r="P30" s="107">
        <v>0.03</v>
      </c>
      <c r="Q30" s="62">
        <f>P30</f>
        <v>0.03</v>
      </c>
      <c r="R30" s="62">
        <f t="shared" si="14"/>
        <v>0.03</v>
      </c>
      <c r="S30" s="62">
        <f t="shared" si="14"/>
        <v>0.03</v>
      </c>
    </row>
    <row r="31" spans="2:22" x14ac:dyDescent="0.35">
      <c r="B31" s="32"/>
    </row>
    <row r="32" spans="2:22" x14ac:dyDescent="0.35">
      <c r="B32" s="32" t="s">
        <v>459</v>
      </c>
    </row>
    <row r="33" spans="2:21" x14ac:dyDescent="0.35">
      <c r="B33" s="378" t="s">
        <v>441</v>
      </c>
      <c r="C33" s="535">
        <v>400</v>
      </c>
      <c r="D33" s="52">
        <f>C33</f>
        <v>400</v>
      </c>
      <c r="E33" s="52">
        <f t="shared" ref="E33:N33" si="16">D33</f>
        <v>400</v>
      </c>
      <c r="F33" s="52">
        <f t="shared" si="16"/>
        <v>400</v>
      </c>
      <c r="G33" s="52">
        <f t="shared" si="16"/>
        <v>400</v>
      </c>
      <c r="H33" s="52">
        <f t="shared" si="16"/>
        <v>400</v>
      </c>
      <c r="I33" s="52">
        <f t="shared" si="16"/>
        <v>400</v>
      </c>
      <c r="J33" s="52">
        <f t="shared" si="16"/>
        <v>400</v>
      </c>
      <c r="K33" s="52">
        <f t="shared" si="16"/>
        <v>400</v>
      </c>
      <c r="L33" s="52">
        <f t="shared" si="16"/>
        <v>400</v>
      </c>
      <c r="M33" s="52">
        <f t="shared" si="16"/>
        <v>400</v>
      </c>
      <c r="N33" s="52">
        <f t="shared" si="16"/>
        <v>400</v>
      </c>
      <c r="P33" s="52">
        <f>N33</f>
        <v>400</v>
      </c>
      <c r="Q33" s="52">
        <f t="shared" ref="Q33" si="17">P33</f>
        <v>400</v>
      </c>
      <c r="R33" s="52">
        <f t="shared" ref="R33" si="18">Q33</f>
        <v>400</v>
      </c>
      <c r="S33" s="52">
        <f t="shared" ref="S33" si="19">R33</f>
        <v>400</v>
      </c>
    </row>
    <row r="34" spans="2:21" x14ac:dyDescent="0.35">
      <c r="B34" s="378" t="s">
        <v>337</v>
      </c>
      <c r="C34" s="379">
        <v>0</v>
      </c>
      <c r="D34" s="379">
        <v>0</v>
      </c>
      <c r="E34" s="379">
        <v>0</v>
      </c>
      <c r="F34" s="379">
        <v>0</v>
      </c>
      <c r="G34" s="379">
        <v>0</v>
      </c>
      <c r="H34" s="379">
        <v>0</v>
      </c>
      <c r="I34" s="379">
        <v>0</v>
      </c>
      <c r="J34" s="379">
        <v>0</v>
      </c>
      <c r="K34" s="380">
        <v>0.03</v>
      </c>
      <c r="L34" s="379">
        <f>K34*(1+L37)</f>
        <v>3.9E-2</v>
      </c>
      <c r="M34" s="379">
        <f t="shared" ref="M34:N34" si="20">L34*(1+M37)</f>
        <v>5.0700000000000002E-2</v>
      </c>
      <c r="N34" s="379">
        <f t="shared" si="20"/>
        <v>6.591000000000001E-2</v>
      </c>
      <c r="P34" s="379">
        <f>N34*(1+P37)</f>
        <v>8.5683000000000023E-2</v>
      </c>
      <c r="Q34" s="379">
        <f t="shared" ref="Q34" si="21">P34*(1+Q37)</f>
        <v>0.11138790000000004</v>
      </c>
      <c r="R34" s="379">
        <f t="shared" ref="R34" si="22">Q34*(1+R37)</f>
        <v>0.14480427000000007</v>
      </c>
      <c r="S34" s="379">
        <f t="shared" ref="S34" si="23">R34*(1+S37)</f>
        <v>0.18824555100000009</v>
      </c>
    </row>
    <row r="35" spans="2:21" x14ac:dyDescent="0.35">
      <c r="B35" s="385" t="s">
        <v>377</v>
      </c>
      <c r="C35" s="386">
        <f>C33*C34</f>
        <v>0</v>
      </c>
      <c r="D35" s="386">
        <f t="shared" ref="D35:S35" si="24">D33*D34</f>
        <v>0</v>
      </c>
      <c r="E35" s="386">
        <f t="shared" si="24"/>
        <v>0</v>
      </c>
      <c r="F35" s="386">
        <f t="shared" si="24"/>
        <v>0</v>
      </c>
      <c r="G35" s="386">
        <f t="shared" si="24"/>
        <v>0</v>
      </c>
      <c r="H35" s="386">
        <f t="shared" si="24"/>
        <v>0</v>
      </c>
      <c r="I35" s="386">
        <f t="shared" si="24"/>
        <v>0</v>
      </c>
      <c r="J35" s="386">
        <f t="shared" si="24"/>
        <v>0</v>
      </c>
      <c r="K35" s="386">
        <f t="shared" si="24"/>
        <v>12</v>
      </c>
      <c r="L35" s="386">
        <f t="shared" si="24"/>
        <v>15.6</v>
      </c>
      <c r="M35" s="386">
        <f t="shared" si="24"/>
        <v>20.28</v>
      </c>
      <c r="N35" s="386">
        <f t="shared" si="24"/>
        <v>26.364000000000004</v>
      </c>
      <c r="O35" s="386"/>
      <c r="P35" s="386">
        <f t="shared" si="24"/>
        <v>34.27320000000001</v>
      </c>
      <c r="Q35" s="386">
        <f t="shared" si="24"/>
        <v>44.555160000000015</v>
      </c>
      <c r="R35" s="386">
        <f t="shared" si="24"/>
        <v>57.921708000000024</v>
      </c>
      <c r="S35" s="386">
        <f t="shared" si="24"/>
        <v>75.298220400000034</v>
      </c>
    </row>
    <row r="36" spans="2:21" x14ac:dyDescent="0.35">
      <c r="B36" s="378" t="s">
        <v>338</v>
      </c>
      <c r="C36" s="64">
        <v>5</v>
      </c>
      <c r="D36" s="52">
        <f>C36</f>
        <v>5</v>
      </c>
      <c r="E36" s="52">
        <f t="shared" ref="E36:N36" si="25">D36</f>
        <v>5</v>
      </c>
      <c r="F36" s="52">
        <f t="shared" si="25"/>
        <v>5</v>
      </c>
      <c r="G36" s="52">
        <f t="shared" si="25"/>
        <v>5</v>
      </c>
      <c r="H36" s="52">
        <f t="shared" si="25"/>
        <v>5</v>
      </c>
      <c r="I36" s="52">
        <f t="shared" si="25"/>
        <v>5</v>
      </c>
      <c r="J36" s="52">
        <f t="shared" si="25"/>
        <v>5</v>
      </c>
      <c r="K36" s="52">
        <f t="shared" si="25"/>
        <v>5</v>
      </c>
      <c r="L36" s="52">
        <f t="shared" si="25"/>
        <v>5</v>
      </c>
      <c r="M36" s="52">
        <f t="shared" si="25"/>
        <v>5</v>
      </c>
      <c r="N36" s="52">
        <f t="shared" si="25"/>
        <v>5</v>
      </c>
      <c r="P36" s="52">
        <f>N36</f>
        <v>5</v>
      </c>
      <c r="Q36" s="52">
        <f t="shared" ref="Q36" si="26">P36</f>
        <v>5</v>
      </c>
      <c r="R36" s="52">
        <f t="shared" ref="R36:R39" si="27">Q36</f>
        <v>5</v>
      </c>
      <c r="S36" s="52">
        <f t="shared" ref="S36:S39" si="28">R36</f>
        <v>5</v>
      </c>
    </row>
    <row r="37" spans="2:21" x14ac:dyDescent="0.35">
      <c r="B37" s="378" t="s">
        <v>339</v>
      </c>
      <c r="L37" s="536">
        <v>0.3</v>
      </c>
      <c r="M37" s="62">
        <f>L37</f>
        <v>0.3</v>
      </c>
      <c r="N37" s="62">
        <f>M37</f>
        <v>0.3</v>
      </c>
      <c r="P37" s="62">
        <f>N37</f>
        <v>0.3</v>
      </c>
      <c r="Q37" s="62">
        <f>P37</f>
        <v>0.3</v>
      </c>
      <c r="R37" s="62">
        <f t="shared" si="27"/>
        <v>0.3</v>
      </c>
      <c r="S37" s="62">
        <f t="shared" si="28"/>
        <v>0.3</v>
      </c>
    </row>
    <row r="38" spans="2:21" x14ac:dyDescent="0.35">
      <c r="B38" s="378" t="s">
        <v>341</v>
      </c>
      <c r="C38" s="537">
        <f>Summary!I10</f>
        <v>3.5</v>
      </c>
      <c r="D38" s="381">
        <f>C38</f>
        <v>3.5</v>
      </c>
      <c r="E38" s="381">
        <f t="shared" ref="E38:N38" si="29">D38</f>
        <v>3.5</v>
      </c>
      <c r="F38" s="381">
        <f t="shared" si="29"/>
        <v>3.5</v>
      </c>
      <c r="G38" s="381">
        <f t="shared" si="29"/>
        <v>3.5</v>
      </c>
      <c r="H38" s="381">
        <f t="shared" si="29"/>
        <v>3.5</v>
      </c>
      <c r="I38" s="381">
        <f t="shared" si="29"/>
        <v>3.5</v>
      </c>
      <c r="J38" s="381">
        <f t="shared" si="29"/>
        <v>3.5</v>
      </c>
      <c r="K38" s="381">
        <f t="shared" si="29"/>
        <v>3.5</v>
      </c>
      <c r="L38" s="381">
        <f t="shared" si="29"/>
        <v>3.5</v>
      </c>
      <c r="M38" s="381">
        <f t="shared" si="29"/>
        <v>3.5</v>
      </c>
      <c r="N38" s="381">
        <f t="shared" si="29"/>
        <v>3.5</v>
      </c>
      <c r="P38" s="381">
        <f>N38*(1+P39)</f>
        <v>3.605</v>
      </c>
      <c r="Q38" s="381">
        <f>P38*(1+Q39)</f>
        <v>3.7131500000000002</v>
      </c>
      <c r="R38" s="381">
        <f>Q38*(1+R39)</f>
        <v>3.8245445000000005</v>
      </c>
      <c r="S38" s="381">
        <f>R38*(1+S39)</f>
        <v>3.9392808350000004</v>
      </c>
      <c r="U38" s="31" t="s">
        <v>345</v>
      </c>
    </row>
    <row r="39" spans="2:21" x14ac:dyDescent="0.35">
      <c r="B39" s="378" t="s">
        <v>340</v>
      </c>
      <c r="P39" s="107">
        <v>0.03</v>
      </c>
      <c r="Q39" s="62">
        <f>P39</f>
        <v>0.03</v>
      </c>
      <c r="R39" s="62">
        <f t="shared" si="27"/>
        <v>0.03</v>
      </c>
      <c r="S39" s="62">
        <f t="shared" si="28"/>
        <v>0.03</v>
      </c>
    </row>
    <row r="40" spans="2:21" x14ac:dyDescent="0.35">
      <c r="B40" s="32"/>
    </row>
    <row r="41" spans="2:21" x14ac:dyDescent="0.35">
      <c r="B41" s="32" t="s">
        <v>444</v>
      </c>
    </row>
    <row r="42" spans="2:21" x14ac:dyDescent="0.35">
      <c r="B42" s="378" t="s">
        <v>344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35">
        <f>J25</f>
        <v>3</v>
      </c>
      <c r="L42" s="52">
        <f>K42*(1+L43)</f>
        <v>3.5999999999999996</v>
      </c>
      <c r="M42" s="52">
        <f t="shared" ref="M42:N42" si="30">L42*(1+M43)</f>
        <v>4.3199999999999994</v>
      </c>
      <c r="N42" s="52">
        <f t="shared" si="30"/>
        <v>5.1839999999999993</v>
      </c>
      <c r="P42" s="52">
        <f>N42*(1+P43)</f>
        <v>6.2207999999999988</v>
      </c>
      <c r="Q42" s="52">
        <f t="shared" ref="Q42:S42" si="31">P42*(1+Q43)</f>
        <v>7.4649599999999978</v>
      </c>
      <c r="R42" s="52">
        <f t="shared" si="31"/>
        <v>8.957951999999997</v>
      </c>
      <c r="S42" s="52">
        <f t="shared" si="31"/>
        <v>10.749542399999996</v>
      </c>
    </row>
    <row r="43" spans="2:21" x14ac:dyDescent="0.35">
      <c r="B43" s="378" t="s">
        <v>339</v>
      </c>
      <c r="L43" s="536">
        <f>K25</f>
        <v>0.2</v>
      </c>
      <c r="M43" s="62">
        <f>L43</f>
        <v>0.2</v>
      </c>
      <c r="N43" s="62">
        <f>M43</f>
        <v>0.2</v>
      </c>
      <c r="P43" s="62">
        <f>N43</f>
        <v>0.2</v>
      </c>
      <c r="Q43" s="62">
        <f>P43</f>
        <v>0.2</v>
      </c>
      <c r="R43" s="62">
        <f t="shared" ref="R43:R45" si="32">Q43</f>
        <v>0.2</v>
      </c>
      <c r="S43" s="62">
        <f t="shared" ref="S43:S45" si="33">R43</f>
        <v>0.2</v>
      </c>
    </row>
    <row r="44" spans="2:21" x14ac:dyDescent="0.35">
      <c r="B44" s="378" t="s">
        <v>341</v>
      </c>
      <c r="C44" s="537">
        <f>Summary!I11</f>
        <v>40</v>
      </c>
      <c r="D44" s="381">
        <f>C44</f>
        <v>40</v>
      </c>
      <c r="E44" s="381">
        <f t="shared" ref="E44:N44" si="34">D44</f>
        <v>40</v>
      </c>
      <c r="F44" s="381">
        <f t="shared" si="34"/>
        <v>40</v>
      </c>
      <c r="G44" s="381">
        <f t="shared" si="34"/>
        <v>40</v>
      </c>
      <c r="H44" s="381">
        <f t="shared" si="34"/>
        <v>40</v>
      </c>
      <c r="I44" s="381">
        <f t="shared" si="34"/>
        <v>40</v>
      </c>
      <c r="J44" s="381">
        <f t="shared" si="34"/>
        <v>40</v>
      </c>
      <c r="K44" s="381">
        <f t="shared" si="34"/>
        <v>40</v>
      </c>
      <c r="L44" s="381">
        <f t="shared" si="34"/>
        <v>40</v>
      </c>
      <c r="M44" s="381">
        <f t="shared" si="34"/>
        <v>40</v>
      </c>
      <c r="N44" s="381">
        <f t="shared" si="34"/>
        <v>40</v>
      </c>
      <c r="P44" s="381">
        <f>N44*(1+P45)</f>
        <v>41.2</v>
      </c>
      <c r="Q44" s="381">
        <f>P44*(1+Q45)</f>
        <v>42.436000000000007</v>
      </c>
      <c r="R44" s="381">
        <f>Q44*(1+R45)</f>
        <v>43.709080000000007</v>
      </c>
      <c r="S44" s="381">
        <f>R44*(1+S45)</f>
        <v>45.020352400000007</v>
      </c>
      <c r="U44" s="31" t="s">
        <v>342</v>
      </c>
    </row>
    <row r="45" spans="2:21" x14ac:dyDescent="0.35">
      <c r="B45" s="378" t="s">
        <v>340</v>
      </c>
      <c r="P45" s="107">
        <v>0.03</v>
      </c>
      <c r="Q45" s="62">
        <f>P45</f>
        <v>0.03</v>
      </c>
      <c r="R45" s="62">
        <f t="shared" si="32"/>
        <v>0.03</v>
      </c>
      <c r="S45" s="62">
        <f t="shared" si="33"/>
        <v>0.03</v>
      </c>
    </row>
    <row r="46" spans="2:21" x14ac:dyDescent="0.35">
      <c r="B46" s="32"/>
    </row>
    <row r="47" spans="2:21" x14ac:dyDescent="0.35">
      <c r="B47" s="32" t="s">
        <v>445</v>
      </c>
    </row>
    <row r="48" spans="2:21" x14ac:dyDescent="0.35">
      <c r="B48" s="378" t="s">
        <v>346</v>
      </c>
      <c r="C48" s="52">
        <v>0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35">
        <f>M25</f>
        <v>3</v>
      </c>
      <c r="L48" s="52">
        <f>K48*(1+L49)</f>
        <v>3.9000000000000004</v>
      </c>
      <c r="M48" s="52">
        <f t="shared" ref="M48" si="35">L48*(1+M49)</f>
        <v>5.07</v>
      </c>
      <c r="N48" s="52">
        <f t="shared" ref="N48" si="36">M48*(1+N49)</f>
        <v>6.5910000000000002</v>
      </c>
      <c r="P48" s="52">
        <f>N48*(1+P49)</f>
        <v>8.5683000000000007</v>
      </c>
      <c r="Q48" s="52">
        <f t="shared" ref="Q48" si="37">P48*(1+Q49)</f>
        <v>11.138790000000002</v>
      </c>
      <c r="R48" s="52">
        <f t="shared" ref="R48" si="38">Q48*(1+R49)</f>
        <v>14.480427000000002</v>
      </c>
      <c r="S48" s="52">
        <f t="shared" ref="S48" si="39">R48*(1+S49)</f>
        <v>18.824555100000005</v>
      </c>
    </row>
    <row r="49" spans="2:21" x14ac:dyDescent="0.35">
      <c r="B49" s="378" t="s">
        <v>339</v>
      </c>
      <c r="L49" s="536">
        <f>N25</f>
        <v>0.3</v>
      </c>
      <c r="M49" s="62">
        <f>L49</f>
        <v>0.3</v>
      </c>
      <c r="N49" s="62">
        <f>M49</f>
        <v>0.3</v>
      </c>
      <c r="P49" s="62">
        <f>N49</f>
        <v>0.3</v>
      </c>
      <c r="Q49" s="62">
        <f>P49</f>
        <v>0.3</v>
      </c>
      <c r="R49" s="62">
        <f t="shared" ref="R49" si="40">Q49</f>
        <v>0.3</v>
      </c>
      <c r="S49" s="62">
        <f t="shared" ref="S49" si="41">R49</f>
        <v>0.3</v>
      </c>
    </row>
    <row r="50" spans="2:21" x14ac:dyDescent="0.35">
      <c r="B50" s="378" t="s">
        <v>341</v>
      </c>
      <c r="C50" s="537">
        <f>Summary!I12</f>
        <v>15</v>
      </c>
      <c r="D50" s="381">
        <f>C50</f>
        <v>15</v>
      </c>
      <c r="E50" s="381">
        <f t="shared" ref="E50:N50" si="42">D50</f>
        <v>15</v>
      </c>
      <c r="F50" s="381">
        <f t="shared" si="42"/>
        <v>15</v>
      </c>
      <c r="G50" s="381">
        <f t="shared" si="42"/>
        <v>15</v>
      </c>
      <c r="H50" s="381">
        <f t="shared" si="42"/>
        <v>15</v>
      </c>
      <c r="I50" s="381">
        <f t="shared" si="42"/>
        <v>15</v>
      </c>
      <c r="J50" s="381">
        <f t="shared" si="42"/>
        <v>15</v>
      </c>
      <c r="K50" s="381">
        <f t="shared" si="42"/>
        <v>15</v>
      </c>
      <c r="L50" s="381">
        <f t="shared" si="42"/>
        <v>15</v>
      </c>
      <c r="M50" s="381">
        <f t="shared" si="42"/>
        <v>15</v>
      </c>
      <c r="N50" s="381">
        <f t="shared" si="42"/>
        <v>15</v>
      </c>
      <c r="P50" s="381">
        <f>N50*(1+P51)</f>
        <v>15.450000000000001</v>
      </c>
      <c r="Q50" s="381">
        <f>P50*(1+Q51)</f>
        <v>15.913500000000001</v>
      </c>
      <c r="R50" s="381">
        <f>Q50*(1+R51)</f>
        <v>16.390905</v>
      </c>
      <c r="S50" s="381">
        <f>R50*(1+S51)</f>
        <v>16.882632149999999</v>
      </c>
      <c r="U50" s="31" t="s">
        <v>342</v>
      </c>
    </row>
    <row r="51" spans="2:21" x14ac:dyDescent="0.35">
      <c r="B51" s="378" t="s">
        <v>340</v>
      </c>
      <c r="P51" s="107">
        <v>0.03</v>
      </c>
      <c r="Q51" s="62">
        <f>P51</f>
        <v>0.03</v>
      </c>
      <c r="R51" s="62">
        <f t="shared" ref="R51" si="43">Q51</f>
        <v>0.03</v>
      </c>
      <c r="S51" s="62">
        <f t="shared" ref="S51" si="44">R51</f>
        <v>0.03</v>
      </c>
    </row>
    <row r="52" spans="2:21" x14ac:dyDescent="0.35">
      <c r="B52" s="32"/>
    </row>
    <row r="53" spans="2:21" x14ac:dyDescent="0.35">
      <c r="B53" s="32" t="s">
        <v>449</v>
      </c>
    </row>
    <row r="54" spans="2:21" x14ac:dyDescent="0.35">
      <c r="B54" s="378" t="s">
        <v>450</v>
      </c>
      <c r="J54" s="52">
        <v>50</v>
      </c>
      <c r="K54" s="52">
        <v>70</v>
      </c>
      <c r="L54" s="52">
        <v>80</v>
      </c>
      <c r="M54" s="52">
        <v>90</v>
      </c>
      <c r="N54" s="52">
        <v>100</v>
      </c>
      <c r="O54" s="52"/>
      <c r="P54" s="52">
        <v>150</v>
      </c>
      <c r="Q54" s="52">
        <f>P54</f>
        <v>150</v>
      </c>
      <c r="R54" s="52">
        <f t="shared" ref="R54:S54" si="45">Q54</f>
        <v>150</v>
      </c>
      <c r="S54" s="52">
        <f t="shared" si="45"/>
        <v>150</v>
      </c>
    </row>
    <row r="55" spans="2:21" x14ac:dyDescent="0.35">
      <c r="B55" s="378" t="s">
        <v>451</v>
      </c>
      <c r="J55" s="381">
        <v>0</v>
      </c>
      <c r="K55" s="381">
        <f>J55</f>
        <v>0</v>
      </c>
      <c r="L55" s="381">
        <f t="shared" ref="L55:N55" si="46">K55</f>
        <v>0</v>
      </c>
      <c r="M55" s="381">
        <f t="shared" si="46"/>
        <v>0</v>
      </c>
      <c r="N55" s="381">
        <f t="shared" si="46"/>
        <v>0</v>
      </c>
      <c r="O55" s="381"/>
      <c r="P55" s="381">
        <v>6.99</v>
      </c>
      <c r="Q55" s="381">
        <f>P55</f>
        <v>6.99</v>
      </c>
      <c r="R55" s="381">
        <f t="shared" ref="R55:S55" si="47">Q55</f>
        <v>6.99</v>
      </c>
      <c r="S55" s="381">
        <f t="shared" si="47"/>
        <v>6.99</v>
      </c>
    </row>
    <row r="58" spans="2:21" x14ac:dyDescent="0.35">
      <c r="B58" s="362"/>
      <c r="C58" s="420" t="s">
        <v>365</v>
      </c>
      <c r="D58" s="421" t="s">
        <v>366</v>
      </c>
      <c r="E58" s="421" t="s">
        <v>367</v>
      </c>
      <c r="F58" s="421" t="s">
        <v>368</v>
      </c>
      <c r="G58" s="421" t="s">
        <v>369</v>
      </c>
      <c r="H58" s="421" t="s">
        <v>370</v>
      </c>
      <c r="I58" s="421" t="s">
        <v>371</v>
      </c>
      <c r="J58" s="421" t="s">
        <v>372</v>
      </c>
      <c r="K58" s="421" t="s">
        <v>373</v>
      </c>
      <c r="L58" s="421" t="s">
        <v>374</v>
      </c>
      <c r="M58" s="421" t="s">
        <v>375</v>
      </c>
      <c r="N58" s="424" t="s">
        <v>376</v>
      </c>
      <c r="O58" s="423" t="s">
        <v>234</v>
      </c>
      <c r="P58" s="423" t="s">
        <v>235</v>
      </c>
      <c r="Q58" s="423" t="s">
        <v>236</v>
      </c>
      <c r="R58" s="423" t="s">
        <v>237</v>
      </c>
      <c r="S58" s="423" t="s">
        <v>238</v>
      </c>
    </row>
    <row r="59" spans="2:21" x14ac:dyDescent="0.35">
      <c r="B59" s="506" t="str">
        <f>B11</f>
        <v>Courier services - documents and parcels</v>
      </c>
      <c r="C59" s="507"/>
      <c r="D59" s="508"/>
      <c r="E59" s="508"/>
      <c r="F59" s="508"/>
      <c r="G59" s="508"/>
      <c r="H59" s="508"/>
      <c r="I59" s="508"/>
      <c r="J59" s="508"/>
      <c r="K59" s="508"/>
      <c r="L59" s="508"/>
      <c r="M59" s="508"/>
      <c r="N59" s="509"/>
      <c r="O59" s="510"/>
      <c r="P59" s="510"/>
      <c r="Q59" s="510"/>
      <c r="R59" s="510"/>
      <c r="S59" s="510"/>
    </row>
    <row r="60" spans="2:21" x14ac:dyDescent="0.35">
      <c r="B60" s="511" t="str">
        <f t="shared" ref="B60:N60" si="48">B27</f>
        <v>Average number of daily transactions (co's+individuals)</v>
      </c>
      <c r="C60" s="512">
        <f t="shared" si="48"/>
        <v>0</v>
      </c>
      <c r="D60" s="513">
        <f t="shared" si="48"/>
        <v>0</v>
      </c>
      <c r="E60" s="513">
        <f t="shared" si="48"/>
        <v>0</v>
      </c>
      <c r="F60" s="513">
        <f t="shared" si="48"/>
        <v>0</v>
      </c>
      <c r="G60" s="513">
        <f t="shared" si="48"/>
        <v>0</v>
      </c>
      <c r="H60" s="513">
        <f t="shared" si="48"/>
        <v>0</v>
      </c>
      <c r="I60" s="513">
        <f t="shared" si="48"/>
        <v>0</v>
      </c>
      <c r="J60" s="513">
        <f t="shared" si="48"/>
        <v>0</v>
      </c>
      <c r="K60" s="513">
        <f t="shared" si="48"/>
        <v>30</v>
      </c>
      <c r="L60" s="513">
        <f t="shared" si="48"/>
        <v>39</v>
      </c>
      <c r="M60" s="513">
        <f t="shared" si="48"/>
        <v>50.7</v>
      </c>
      <c r="N60" s="514">
        <f t="shared" si="48"/>
        <v>65.910000000000011</v>
      </c>
      <c r="O60" s="515">
        <f>N60</f>
        <v>65.910000000000011</v>
      </c>
      <c r="P60" s="515">
        <f>P27</f>
        <v>85.683000000000021</v>
      </c>
      <c r="Q60" s="515">
        <f>Q27</f>
        <v>111.38790000000003</v>
      </c>
      <c r="R60" s="515">
        <f>R27</f>
        <v>144.80427000000003</v>
      </c>
      <c r="S60" s="515">
        <f>S27</f>
        <v>188.24555100000003</v>
      </c>
    </row>
    <row r="61" spans="2:21" x14ac:dyDescent="0.35">
      <c r="B61" s="511" t="s">
        <v>412</v>
      </c>
      <c r="C61" s="516">
        <f t="shared" ref="C61:N61" si="49">C29</f>
        <v>4</v>
      </c>
      <c r="D61" s="517">
        <f t="shared" si="49"/>
        <v>4</v>
      </c>
      <c r="E61" s="517">
        <f t="shared" si="49"/>
        <v>4</v>
      </c>
      <c r="F61" s="517">
        <f t="shared" si="49"/>
        <v>4</v>
      </c>
      <c r="G61" s="517">
        <f t="shared" si="49"/>
        <v>4</v>
      </c>
      <c r="H61" s="517">
        <f t="shared" si="49"/>
        <v>4</v>
      </c>
      <c r="I61" s="517">
        <f t="shared" si="49"/>
        <v>4</v>
      </c>
      <c r="J61" s="517">
        <f t="shared" si="49"/>
        <v>4</v>
      </c>
      <c r="K61" s="517">
        <f t="shared" si="49"/>
        <v>4</v>
      </c>
      <c r="L61" s="517">
        <f t="shared" si="49"/>
        <v>4</v>
      </c>
      <c r="M61" s="517">
        <f t="shared" si="49"/>
        <v>4</v>
      </c>
      <c r="N61" s="518">
        <f t="shared" si="49"/>
        <v>4</v>
      </c>
      <c r="O61" s="519">
        <f>AVERAGE(C61:N61)</f>
        <v>4</v>
      </c>
      <c r="P61" s="519">
        <f>P29</f>
        <v>4.12</v>
      </c>
      <c r="Q61" s="519">
        <f>Q29</f>
        <v>4.2435999999999998</v>
      </c>
      <c r="R61" s="519">
        <f>R29</f>
        <v>4.370908</v>
      </c>
      <c r="S61" s="519">
        <f>S29</f>
        <v>4.5020352400000005</v>
      </c>
    </row>
    <row r="62" spans="2:21" x14ac:dyDescent="0.35">
      <c r="B62" s="511" t="s">
        <v>413</v>
      </c>
      <c r="C62" s="520">
        <f t="shared" ref="C62:S62" si="50">C11</f>
        <v>0</v>
      </c>
      <c r="D62" s="521">
        <f t="shared" si="50"/>
        <v>0</v>
      </c>
      <c r="E62" s="521">
        <f t="shared" si="50"/>
        <v>0</v>
      </c>
      <c r="F62" s="521">
        <f t="shared" si="50"/>
        <v>0</v>
      </c>
      <c r="G62" s="521">
        <f t="shared" si="50"/>
        <v>0</v>
      </c>
      <c r="H62" s="521">
        <f t="shared" si="50"/>
        <v>0</v>
      </c>
      <c r="I62" s="521">
        <f t="shared" si="50"/>
        <v>0</v>
      </c>
      <c r="J62" s="521">
        <f t="shared" si="50"/>
        <v>0</v>
      </c>
      <c r="K62" s="521">
        <f t="shared" si="50"/>
        <v>3600</v>
      </c>
      <c r="L62" s="521">
        <f t="shared" si="50"/>
        <v>4836</v>
      </c>
      <c r="M62" s="521">
        <f t="shared" si="50"/>
        <v>6084</v>
      </c>
      <c r="N62" s="522">
        <f t="shared" si="50"/>
        <v>8172.8400000000011</v>
      </c>
      <c r="O62" s="523">
        <f t="shared" si="50"/>
        <v>22692.84</v>
      </c>
      <c r="P62" s="523">
        <f t="shared" si="50"/>
        <v>128850.09540000003</v>
      </c>
      <c r="Q62" s="523">
        <f t="shared" si="50"/>
        <v>172530.27774060002</v>
      </c>
      <c r="R62" s="523">
        <f t="shared" si="50"/>
        <v>231018.04189466345</v>
      </c>
      <c r="S62" s="523">
        <f t="shared" si="50"/>
        <v>309333.1580969544</v>
      </c>
    </row>
    <row r="63" spans="2:21" x14ac:dyDescent="0.35">
      <c r="B63" s="524" t="str">
        <f>B12</f>
        <v>Corporate logistics services</v>
      </c>
      <c r="C63" s="525"/>
      <c r="D63" s="526"/>
      <c r="E63" s="526"/>
      <c r="F63" s="526"/>
      <c r="G63" s="526"/>
      <c r="H63" s="526"/>
      <c r="I63" s="526"/>
      <c r="J63" s="526"/>
      <c r="K63" s="526"/>
      <c r="L63" s="526"/>
      <c r="M63" s="526"/>
      <c r="N63" s="522"/>
      <c r="O63" s="523"/>
      <c r="P63" s="523"/>
      <c r="Q63" s="523"/>
      <c r="R63" s="523"/>
      <c r="S63" s="523"/>
    </row>
    <row r="64" spans="2:21" x14ac:dyDescent="0.35">
      <c r="B64" s="511" t="str">
        <f t="shared" ref="B64:N64" si="51">B35</f>
        <v>Number of companies using Cursa</v>
      </c>
      <c r="C64" s="512">
        <f t="shared" si="51"/>
        <v>0</v>
      </c>
      <c r="D64" s="513">
        <f t="shared" si="51"/>
        <v>0</v>
      </c>
      <c r="E64" s="513">
        <f t="shared" si="51"/>
        <v>0</v>
      </c>
      <c r="F64" s="513">
        <f t="shared" si="51"/>
        <v>0</v>
      </c>
      <c r="G64" s="513">
        <f t="shared" si="51"/>
        <v>0</v>
      </c>
      <c r="H64" s="513">
        <f t="shared" si="51"/>
        <v>0</v>
      </c>
      <c r="I64" s="513">
        <f t="shared" si="51"/>
        <v>0</v>
      </c>
      <c r="J64" s="513">
        <f t="shared" si="51"/>
        <v>0</v>
      </c>
      <c r="K64" s="513">
        <f t="shared" si="51"/>
        <v>12</v>
      </c>
      <c r="L64" s="513">
        <f t="shared" si="51"/>
        <v>15.6</v>
      </c>
      <c r="M64" s="513">
        <f t="shared" si="51"/>
        <v>20.28</v>
      </c>
      <c r="N64" s="514">
        <f t="shared" si="51"/>
        <v>26.364000000000004</v>
      </c>
      <c r="O64" s="515">
        <f>N64</f>
        <v>26.364000000000004</v>
      </c>
      <c r="P64" s="515">
        <f t="shared" ref="P64:S65" si="52">P35</f>
        <v>34.27320000000001</v>
      </c>
      <c r="Q64" s="515">
        <f t="shared" si="52"/>
        <v>44.555160000000015</v>
      </c>
      <c r="R64" s="515">
        <f t="shared" si="52"/>
        <v>57.921708000000024</v>
      </c>
      <c r="S64" s="515">
        <f t="shared" si="52"/>
        <v>75.298220400000034</v>
      </c>
    </row>
    <row r="65" spans="2:19" x14ac:dyDescent="0.35">
      <c r="B65" s="511" t="str">
        <f t="shared" ref="B65:N65" si="53">B36</f>
        <v>Average number of daily transactions per company</v>
      </c>
      <c r="C65" s="512">
        <f t="shared" si="53"/>
        <v>5</v>
      </c>
      <c r="D65" s="513">
        <f t="shared" si="53"/>
        <v>5</v>
      </c>
      <c r="E65" s="513">
        <f t="shared" si="53"/>
        <v>5</v>
      </c>
      <c r="F65" s="513">
        <f t="shared" si="53"/>
        <v>5</v>
      </c>
      <c r="G65" s="513">
        <f t="shared" si="53"/>
        <v>5</v>
      </c>
      <c r="H65" s="513">
        <f t="shared" si="53"/>
        <v>5</v>
      </c>
      <c r="I65" s="513">
        <f t="shared" si="53"/>
        <v>5</v>
      </c>
      <c r="J65" s="513">
        <f t="shared" si="53"/>
        <v>5</v>
      </c>
      <c r="K65" s="513">
        <f t="shared" si="53"/>
        <v>5</v>
      </c>
      <c r="L65" s="513">
        <f t="shared" si="53"/>
        <v>5</v>
      </c>
      <c r="M65" s="513">
        <f t="shared" si="53"/>
        <v>5</v>
      </c>
      <c r="N65" s="514">
        <f t="shared" si="53"/>
        <v>5</v>
      </c>
      <c r="O65" s="515">
        <f>N65</f>
        <v>5</v>
      </c>
      <c r="P65" s="515">
        <f t="shared" si="52"/>
        <v>5</v>
      </c>
      <c r="Q65" s="515">
        <f t="shared" si="52"/>
        <v>5</v>
      </c>
      <c r="R65" s="515">
        <f t="shared" si="52"/>
        <v>5</v>
      </c>
      <c r="S65" s="515">
        <f t="shared" si="52"/>
        <v>5</v>
      </c>
    </row>
    <row r="66" spans="2:19" x14ac:dyDescent="0.35">
      <c r="B66" s="511" t="s">
        <v>412</v>
      </c>
      <c r="C66" s="516">
        <f t="shared" ref="C66:N66" si="54">C38</f>
        <v>3.5</v>
      </c>
      <c r="D66" s="517">
        <f t="shared" si="54"/>
        <v>3.5</v>
      </c>
      <c r="E66" s="517">
        <f t="shared" si="54"/>
        <v>3.5</v>
      </c>
      <c r="F66" s="517">
        <f t="shared" si="54"/>
        <v>3.5</v>
      </c>
      <c r="G66" s="517">
        <f t="shared" si="54"/>
        <v>3.5</v>
      </c>
      <c r="H66" s="517">
        <f t="shared" si="54"/>
        <v>3.5</v>
      </c>
      <c r="I66" s="517">
        <f t="shared" si="54"/>
        <v>3.5</v>
      </c>
      <c r="J66" s="517">
        <f t="shared" si="54"/>
        <v>3.5</v>
      </c>
      <c r="K66" s="517">
        <f t="shared" si="54"/>
        <v>3.5</v>
      </c>
      <c r="L66" s="517">
        <f t="shared" si="54"/>
        <v>3.5</v>
      </c>
      <c r="M66" s="517">
        <f t="shared" si="54"/>
        <v>3.5</v>
      </c>
      <c r="N66" s="518">
        <f t="shared" si="54"/>
        <v>3.5</v>
      </c>
      <c r="O66" s="519">
        <f>AVERAGE(C66:N66)</f>
        <v>3.5</v>
      </c>
      <c r="P66" s="519">
        <f>P38</f>
        <v>3.605</v>
      </c>
      <c r="Q66" s="519">
        <f>Q38</f>
        <v>3.7131500000000002</v>
      </c>
      <c r="R66" s="519">
        <f>R38</f>
        <v>3.8245445000000005</v>
      </c>
      <c r="S66" s="519">
        <f>S38</f>
        <v>3.9392808350000004</v>
      </c>
    </row>
    <row r="67" spans="2:19" x14ac:dyDescent="0.35">
      <c r="B67" s="511" t="s">
        <v>413</v>
      </c>
      <c r="C67" s="520">
        <f t="shared" ref="C67:S67" si="55">C12</f>
        <v>0</v>
      </c>
      <c r="D67" s="521">
        <f t="shared" si="55"/>
        <v>0</v>
      </c>
      <c r="E67" s="521">
        <f t="shared" si="55"/>
        <v>0</v>
      </c>
      <c r="F67" s="521">
        <f t="shared" si="55"/>
        <v>0</v>
      </c>
      <c r="G67" s="521">
        <f t="shared" si="55"/>
        <v>0</v>
      </c>
      <c r="H67" s="521">
        <f t="shared" si="55"/>
        <v>0</v>
      </c>
      <c r="I67" s="521">
        <f t="shared" si="55"/>
        <v>0</v>
      </c>
      <c r="J67" s="521">
        <f t="shared" si="55"/>
        <v>0</v>
      </c>
      <c r="K67" s="521">
        <f t="shared" si="55"/>
        <v>6300</v>
      </c>
      <c r="L67" s="521">
        <f t="shared" si="55"/>
        <v>8463</v>
      </c>
      <c r="M67" s="521">
        <f t="shared" si="55"/>
        <v>10647.000000000002</v>
      </c>
      <c r="N67" s="522">
        <f t="shared" si="55"/>
        <v>14302.470000000001</v>
      </c>
      <c r="O67" s="523">
        <f t="shared" si="55"/>
        <v>39712.47</v>
      </c>
      <c r="P67" s="523">
        <f t="shared" si="55"/>
        <v>225487.66695000007</v>
      </c>
      <c r="Q67" s="523">
        <f t="shared" si="55"/>
        <v>301927.98604605009</v>
      </c>
      <c r="R67" s="523">
        <f t="shared" si="55"/>
        <v>404281.57331566117</v>
      </c>
      <c r="S67" s="523">
        <f t="shared" si="55"/>
        <v>541333.02666967036</v>
      </c>
    </row>
    <row r="68" spans="2:19" x14ac:dyDescent="0.35">
      <c r="B68" s="524" t="str">
        <f>B13</f>
        <v>Freight services</v>
      </c>
      <c r="C68" s="525"/>
      <c r="D68" s="526"/>
      <c r="E68" s="526"/>
      <c r="F68" s="526"/>
      <c r="G68" s="526"/>
      <c r="H68" s="526"/>
      <c r="I68" s="526"/>
      <c r="J68" s="526"/>
      <c r="K68" s="521"/>
      <c r="L68" s="521"/>
      <c r="M68" s="521"/>
      <c r="N68" s="522"/>
      <c r="O68" s="523"/>
      <c r="P68" s="523"/>
      <c r="Q68" s="523"/>
      <c r="R68" s="523"/>
      <c r="S68" s="523"/>
    </row>
    <row r="69" spans="2:19" x14ac:dyDescent="0.35">
      <c r="B69" s="511" t="str">
        <f t="shared" ref="B69:N69" si="56">B42</f>
        <v>Average number of daily moving requests</v>
      </c>
      <c r="C69" s="512">
        <f t="shared" si="56"/>
        <v>0</v>
      </c>
      <c r="D69" s="513">
        <f t="shared" si="56"/>
        <v>0</v>
      </c>
      <c r="E69" s="513">
        <f t="shared" si="56"/>
        <v>0</v>
      </c>
      <c r="F69" s="513">
        <f t="shared" si="56"/>
        <v>0</v>
      </c>
      <c r="G69" s="513">
        <f t="shared" si="56"/>
        <v>0</v>
      </c>
      <c r="H69" s="513">
        <f t="shared" si="56"/>
        <v>0</v>
      </c>
      <c r="I69" s="513">
        <f t="shared" si="56"/>
        <v>0</v>
      </c>
      <c r="J69" s="513">
        <f t="shared" si="56"/>
        <v>0</v>
      </c>
      <c r="K69" s="513">
        <f t="shared" si="56"/>
        <v>3</v>
      </c>
      <c r="L69" s="513">
        <f t="shared" si="56"/>
        <v>3.5999999999999996</v>
      </c>
      <c r="M69" s="513">
        <f t="shared" si="56"/>
        <v>4.3199999999999994</v>
      </c>
      <c r="N69" s="514">
        <f t="shared" si="56"/>
        <v>5.1839999999999993</v>
      </c>
      <c r="O69" s="515">
        <f>N69</f>
        <v>5.1839999999999993</v>
      </c>
      <c r="P69" s="515">
        <f>P42</f>
        <v>6.2207999999999988</v>
      </c>
      <c r="Q69" s="515">
        <f>Q42</f>
        <v>7.4649599999999978</v>
      </c>
      <c r="R69" s="515">
        <f>R42</f>
        <v>8.957951999999997</v>
      </c>
      <c r="S69" s="515">
        <f>S42</f>
        <v>10.749542399999996</v>
      </c>
    </row>
    <row r="70" spans="2:19" x14ac:dyDescent="0.35">
      <c r="B70" s="511" t="s">
        <v>412</v>
      </c>
      <c r="C70" s="516">
        <f t="shared" ref="C70:N70" si="57">C44</f>
        <v>40</v>
      </c>
      <c r="D70" s="517">
        <f t="shared" si="57"/>
        <v>40</v>
      </c>
      <c r="E70" s="517">
        <f t="shared" si="57"/>
        <v>40</v>
      </c>
      <c r="F70" s="517">
        <f t="shared" si="57"/>
        <v>40</v>
      </c>
      <c r="G70" s="517">
        <f t="shared" si="57"/>
        <v>40</v>
      </c>
      <c r="H70" s="517">
        <f t="shared" si="57"/>
        <v>40</v>
      </c>
      <c r="I70" s="517">
        <f t="shared" si="57"/>
        <v>40</v>
      </c>
      <c r="J70" s="517">
        <f t="shared" si="57"/>
        <v>40</v>
      </c>
      <c r="K70" s="517">
        <f t="shared" si="57"/>
        <v>40</v>
      </c>
      <c r="L70" s="517">
        <f t="shared" si="57"/>
        <v>40</v>
      </c>
      <c r="M70" s="517">
        <f t="shared" si="57"/>
        <v>40</v>
      </c>
      <c r="N70" s="518">
        <f t="shared" si="57"/>
        <v>40</v>
      </c>
      <c r="O70" s="519">
        <f>AVERAGE(C70:N70)</f>
        <v>40</v>
      </c>
      <c r="P70" s="519">
        <f>P44</f>
        <v>41.2</v>
      </c>
      <c r="Q70" s="519">
        <f>Q44</f>
        <v>42.436000000000007</v>
      </c>
      <c r="R70" s="519">
        <f>R44</f>
        <v>43.709080000000007</v>
      </c>
      <c r="S70" s="519">
        <f>S44</f>
        <v>45.020352400000007</v>
      </c>
    </row>
    <row r="71" spans="2:19" x14ac:dyDescent="0.35">
      <c r="B71" s="511" t="s">
        <v>413</v>
      </c>
      <c r="C71" s="520">
        <f t="shared" ref="C71:S71" si="58">C13</f>
        <v>0</v>
      </c>
      <c r="D71" s="521">
        <f t="shared" si="58"/>
        <v>0</v>
      </c>
      <c r="E71" s="521">
        <f t="shared" si="58"/>
        <v>0</v>
      </c>
      <c r="F71" s="521">
        <f t="shared" si="58"/>
        <v>0</v>
      </c>
      <c r="G71" s="521">
        <f t="shared" si="58"/>
        <v>0</v>
      </c>
      <c r="H71" s="521">
        <f t="shared" si="58"/>
        <v>0</v>
      </c>
      <c r="I71" s="521">
        <f t="shared" si="58"/>
        <v>0</v>
      </c>
      <c r="J71" s="521">
        <f t="shared" si="58"/>
        <v>0</v>
      </c>
      <c r="K71" s="521">
        <f t="shared" si="58"/>
        <v>3600</v>
      </c>
      <c r="L71" s="521">
        <f t="shared" si="58"/>
        <v>4464</v>
      </c>
      <c r="M71" s="521">
        <f t="shared" si="58"/>
        <v>5183.9999999999991</v>
      </c>
      <c r="N71" s="522">
        <f t="shared" si="58"/>
        <v>6428.1599999999989</v>
      </c>
      <c r="O71" s="523">
        <f t="shared" si="58"/>
        <v>19676.16</v>
      </c>
      <c r="P71" s="523">
        <f t="shared" si="58"/>
        <v>93548.390399999989</v>
      </c>
      <c r="Q71" s="523">
        <f t="shared" si="58"/>
        <v>115625.81053439998</v>
      </c>
      <c r="R71" s="523">
        <f t="shared" si="58"/>
        <v>142913.50182051837</v>
      </c>
      <c r="S71" s="523">
        <f t="shared" si="58"/>
        <v>176641.08825016068</v>
      </c>
    </row>
    <row r="72" spans="2:19" x14ac:dyDescent="0.35">
      <c r="B72" s="524" t="str">
        <f>B14</f>
        <v>Concierge services</v>
      </c>
      <c r="C72" s="525"/>
      <c r="D72" s="526"/>
      <c r="E72" s="526"/>
      <c r="F72" s="526"/>
      <c r="G72" s="526"/>
      <c r="H72" s="526"/>
      <c r="I72" s="526"/>
      <c r="J72" s="521"/>
      <c r="K72" s="521"/>
      <c r="L72" s="521"/>
      <c r="M72" s="521"/>
      <c r="N72" s="522"/>
      <c r="O72" s="523"/>
      <c r="P72" s="523"/>
      <c r="Q72" s="523"/>
      <c r="R72" s="523"/>
      <c r="S72" s="523"/>
    </row>
    <row r="73" spans="2:19" x14ac:dyDescent="0.35">
      <c r="B73" s="511" t="str">
        <f t="shared" ref="B73:N73" si="59">B48</f>
        <v>Average number of daily waste disposal requests</v>
      </c>
      <c r="C73" s="512">
        <f t="shared" si="59"/>
        <v>0</v>
      </c>
      <c r="D73" s="513">
        <f t="shared" si="59"/>
        <v>0</v>
      </c>
      <c r="E73" s="513">
        <f t="shared" si="59"/>
        <v>0</v>
      </c>
      <c r="F73" s="513">
        <f t="shared" si="59"/>
        <v>0</v>
      </c>
      <c r="G73" s="513">
        <f t="shared" si="59"/>
        <v>0</v>
      </c>
      <c r="H73" s="513">
        <f t="shared" si="59"/>
        <v>0</v>
      </c>
      <c r="I73" s="513">
        <f t="shared" si="59"/>
        <v>0</v>
      </c>
      <c r="J73" s="513">
        <f t="shared" si="59"/>
        <v>0</v>
      </c>
      <c r="K73" s="513">
        <f t="shared" si="59"/>
        <v>3</v>
      </c>
      <c r="L73" s="513">
        <f t="shared" si="59"/>
        <v>3.9000000000000004</v>
      </c>
      <c r="M73" s="513">
        <f t="shared" si="59"/>
        <v>5.07</v>
      </c>
      <c r="N73" s="514">
        <f t="shared" si="59"/>
        <v>6.5910000000000002</v>
      </c>
      <c r="O73" s="515">
        <f>N73</f>
        <v>6.5910000000000002</v>
      </c>
      <c r="P73" s="515">
        <f>P48</f>
        <v>8.5683000000000007</v>
      </c>
      <c r="Q73" s="515">
        <f>Q48</f>
        <v>11.138790000000002</v>
      </c>
      <c r="R73" s="515">
        <f>R48</f>
        <v>14.480427000000002</v>
      </c>
      <c r="S73" s="515">
        <f>S48</f>
        <v>18.824555100000005</v>
      </c>
    </row>
    <row r="74" spans="2:19" x14ac:dyDescent="0.35">
      <c r="B74" s="511" t="s">
        <v>412</v>
      </c>
      <c r="C74" s="516">
        <f t="shared" ref="C74:N74" si="60">C50</f>
        <v>15</v>
      </c>
      <c r="D74" s="517">
        <f t="shared" si="60"/>
        <v>15</v>
      </c>
      <c r="E74" s="517">
        <f t="shared" si="60"/>
        <v>15</v>
      </c>
      <c r="F74" s="517">
        <f t="shared" si="60"/>
        <v>15</v>
      </c>
      <c r="G74" s="517">
        <f t="shared" si="60"/>
        <v>15</v>
      </c>
      <c r="H74" s="517">
        <f t="shared" si="60"/>
        <v>15</v>
      </c>
      <c r="I74" s="517">
        <f t="shared" si="60"/>
        <v>15</v>
      </c>
      <c r="J74" s="517">
        <f t="shared" si="60"/>
        <v>15</v>
      </c>
      <c r="K74" s="517">
        <f t="shared" si="60"/>
        <v>15</v>
      </c>
      <c r="L74" s="517">
        <f t="shared" si="60"/>
        <v>15</v>
      </c>
      <c r="M74" s="517">
        <f t="shared" si="60"/>
        <v>15</v>
      </c>
      <c r="N74" s="518">
        <f t="shared" si="60"/>
        <v>15</v>
      </c>
      <c r="O74" s="519">
        <f>AVERAGE(C74:N74)</f>
        <v>15</v>
      </c>
      <c r="P74" s="519">
        <f>P50</f>
        <v>15.450000000000001</v>
      </c>
      <c r="Q74" s="519">
        <f>Q50</f>
        <v>15.913500000000001</v>
      </c>
      <c r="R74" s="519">
        <f>R50</f>
        <v>16.390905</v>
      </c>
      <c r="S74" s="519">
        <f>S50</f>
        <v>16.882632149999999</v>
      </c>
    </row>
    <row r="75" spans="2:19" x14ac:dyDescent="0.35">
      <c r="B75" s="527" t="s">
        <v>413</v>
      </c>
      <c r="C75" s="528">
        <f t="shared" ref="C75:S75" si="61">C14</f>
        <v>0</v>
      </c>
      <c r="D75" s="529">
        <f t="shared" si="61"/>
        <v>0</v>
      </c>
      <c r="E75" s="529">
        <f t="shared" si="61"/>
        <v>0</v>
      </c>
      <c r="F75" s="529">
        <f t="shared" si="61"/>
        <v>0</v>
      </c>
      <c r="G75" s="529">
        <f t="shared" si="61"/>
        <v>0</v>
      </c>
      <c r="H75" s="529">
        <f t="shared" si="61"/>
        <v>0</v>
      </c>
      <c r="I75" s="529">
        <f t="shared" si="61"/>
        <v>0</v>
      </c>
      <c r="J75" s="529">
        <f t="shared" si="61"/>
        <v>0</v>
      </c>
      <c r="K75" s="529">
        <f t="shared" si="61"/>
        <v>1350</v>
      </c>
      <c r="L75" s="529">
        <f t="shared" si="61"/>
        <v>1813.5000000000002</v>
      </c>
      <c r="M75" s="529">
        <f t="shared" si="61"/>
        <v>2281.5000000000005</v>
      </c>
      <c r="N75" s="530">
        <f t="shared" si="61"/>
        <v>3064.8150000000005</v>
      </c>
      <c r="O75" s="531">
        <f t="shared" si="61"/>
        <v>8509.8150000000005</v>
      </c>
      <c r="P75" s="531">
        <f t="shared" si="61"/>
        <v>48318.785775000011</v>
      </c>
      <c r="Q75" s="531">
        <f t="shared" si="61"/>
        <v>64698.85415272502</v>
      </c>
      <c r="R75" s="531">
        <f t="shared" si="61"/>
        <v>86631.765710498788</v>
      </c>
      <c r="S75" s="531">
        <f t="shared" si="61"/>
        <v>115999.93428635788</v>
      </c>
    </row>
    <row r="76" spans="2:19" x14ac:dyDescent="0.35">
      <c r="B76" s="422" t="s">
        <v>347</v>
      </c>
      <c r="C76" s="425">
        <f t="shared" ref="C76:S76" si="62">C62+C67+C71+C75</f>
        <v>0</v>
      </c>
      <c r="D76" s="426">
        <f t="shared" si="62"/>
        <v>0</v>
      </c>
      <c r="E76" s="426">
        <f t="shared" si="62"/>
        <v>0</v>
      </c>
      <c r="F76" s="426">
        <f t="shared" si="62"/>
        <v>0</v>
      </c>
      <c r="G76" s="426">
        <f t="shared" si="62"/>
        <v>0</v>
      </c>
      <c r="H76" s="426">
        <f t="shared" si="62"/>
        <v>0</v>
      </c>
      <c r="I76" s="426">
        <f t="shared" si="62"/>
        <v>0</v>
      </c>
      <c r="J76" s="426">
        <f t="shared" si="62"/>
        <v>0</v>
      </c>
      <c r="K76" s="426">
        <f t="shared" si="62"/>
        <v>14850</v>
      </c>
      <c r="L76" s="426">
        <f t="shared" si="62"/>
        <v>19576.5</v>
      </c>
      <c r="M76" s="426">
        <f t="shared" si="62"/>
        <v>24196.5</v>
      </c>
      <c r="N76" s="427">
        <f t="shared" si="62"/>
        <v>31968.285000000003</v>
      </c>
      <c r="O76" s="428">
        <f t="shared" si="62"/>
        <v>90591.285000000003</v>
      </c>
      <c r="P76" s="428">
        <f t="shared" si="62"/>
        <v>496204.93852500006</v>
      </c>
      <c r="Q76" s="428">
        <f t="shared" si="62"/>
        <v>654782.92847377504</v>
      </c>
      <c r="R76" s="428">
        <f t="shared" si="62"/>
        <v>864844.88274134183</v>
      </c>
      <c r="S76" s="428">
        <f t="shared" si="62"/>
        <v>1143307.2073031433</v>
      </c>
    </row>
    <row r="79" spans="2:19" x14ac:dyDescent="0.35">
      <c r="C79" s="570" t="s">
        <v>429</v>
      </c>
      <c r="D79" s="571"/>
      <c r="E79" s="572"/>
      <c r="F79" s="570" t="s">
        <v>446</v>
      </c>
      <c r="G79" s="571"/>
      <c r="H79" s="572"/>
      <c r="I79" s="571" t="s">
        <v>444</v>
      </c>
      <c r="J79" s="571"/>
      <c r="K79" s="571"/>
      <c r="L79" s="570" t="s">
        <v>445</v>
      </c>
      <c r="M79" s="571"/>
      <c r="N79" s="572"/>
    </row>
    <row r="80" spans="2:19" x14ac:dyDescent="0.35">
      <c r="B80" s="76"/>
      <c r="C80" s="477" t="s">
        <v>428</v>
      </c>
      <c r="D80" s="456" t="s">
        <v>144</v>
      </c>
      <c r="E80" s="478" t="s">
        <v>427</v>
      </c>
      <c r="F80" s="460" t="s">
        <v>426</v>
      </c>
      <c r="G80" s="457" t="s">
        <v>144</v>
      </c>
      <c r="H80" s="458" t="s">
        <v>427</v>
      </c>
      <c r="I80" s="456" t="s">
        <v>428</v>
      </c>
      <c r="J80" s="456" t="s">
        <v>144</v>
      </c>
      <c r="K80" s="456" t="s">
        <v>427</v>
      </c>
      <c r="L80" s="460" t="s">
        <v>428</v>
      </c>
      <c r="M80" s="457" t="s">
        <v>144</v>
      </c>
      <c r="N80" s="458" t="s">
        <v>427</v>
      </c>
    </row>
    <row r="81" spans="2:14" x14ac:dyDescent="0.35">
      <c r="B81" s="86" t="s">
        <v>327</v>
      </c>
      <c r="C81" s="496">
        <v>30</v>
      </c>
      <c r="D81" s="462">
        <v>0.3</v>
      </c>
      <c r="E81" s="479">
        <v>2</v>
      </c>
      <c r="F81" s="463">
        <v>300</v>
      </c>
      <c r="G81" s="464">
        <v>0.3</v>
      </c>
      <c r="H81" s="465">
        <v>3.5</v>
      </c>
      <c r="I81" s="461">
        <v>2</v>
      </c>
      <c r="J81" s="462">
        <v>0.1</v>
      </c>
      <c r="K81" s="461">
        <v>30</v>
      </c>
      <c r="L81" s="463">
        <v>2</v>
      </c>
      <c r="M81" s="464">
        <v>0.15</v>
      </c>
      <c r="N81" s="466">
        <v>20</v>
      </c>
    </row>
    <row r="82" spans="2:14" x14ac:dyDescent="0.35">
      <c r="B82" s="86" t="s">
        <v>425</v>
      </c>
      <c r="C82" s="497">
        <v>50</v>
      </c>
      <c r="D82" s="468">
        <v>0.4</v>
      </c>
      <c r="E82" s="480">
        <f>D86</f>
        <v>4</v>
      </c>
      <c r="F82" s="439">
        <v>400</v>
      </c>
      <c r="G82" s="469">
        <v>0.5</v>
      </c>
      <c r="H82" s="470">
        <f>D87</f>
        <v>3.5</v>
      </c>
      <c r="I82" s="467">
        <v>3</v>
      </c>
      <c r="J82" s="468">
        <v>0.2</v>
      </c>
      <c r="K82" s="553">
        <f>D88</f>
        <v>40</v>
      </c>
      <c r="L82" s="439">
        <v>3</v>
      </c>
      <c r="M82" s="469">
        <v>0.3</v>
      </c>
      <c r="N82" s="554">
        <f>D89</f>
        <v>15</v>
      </c>
    </row>
    <row r="83" spans="2:14" x14ac:dyDescent="0.35">
      <c r="B83" s="459" t="s">
        <v>329</v>
      </c>
      <c r="C83" s="498">
        <v>70</v>
      </c>
      <c r="D83" s="472">
        <v>0.5</v>
      </c>
      <c r="E83" s="481">
        <v>3</v>
      </c>
      <c r="F83" s="473">
        <v>500</v>
      </c>
      <c r="G83" s="474">
        <v>0.6</v>
      </c>
      <c r="H83" s="475">
        <v>6.5</v>
      </c>
      <c r="I83" s="471">
        <v>4</v>
      </c>
      <c r="J83" s="472">
        <v>0.3</v>
      </c>
      <c r="K83" s="471">
        <v>70</v>
      </c>
      <c r="L83" s="473">
        <v>4</v>
      </c>
      <c r="M83" s="474">
        <v>0.45</v>
      </c>
      <c r="N83" s="476">
        <v>40</v>
      </c>
    </row>
    <row r="85" spans="2:14" x14ac:dyDescent="0.35">
      <c r="B85" s="45" t="s">
        <v>430</v>
      </c>
      <c r="D85" s="552" t="s">
        <v>412</v>
      </c>
    </row>
    <row r="86" spans="2:14" x14ac:dyDescent="0.35">
      <c r="B86" s="31" t="s">
        <v>336</v>
      </c>
      <c r="D86" s="381">
        <v>4</v>
      </c>
    </row>
    <row r="87" spans="2:14" x14ac:dyDescent="0.35">
      <c r="B87" s="31" t="s">
        <v>343</v>
      </c>
      <c r="D87" s="381">
        <v>3.5</v>
      </c>
    </row>
    <row r="88" spans="2:14" x14ac:dyDescent="0.35">
      <c r="B88" s="31" t="s">
        <v>447</v>
      </c>
      <c r="D88" s="381">
        <v>40</v>
      </c>
    </row>
    <row r="89" spans="2:14" x14ac:dyDescent="0.35">
      <c r="B89" s="31" t="s">
        <v>445</v>
      </c>
      <c r="D89" s="381">
        <v>15</v>
      </c>
    </row>
  </sheetData>
  <mergeCells count="8">
    <mergeCell ref="C79:E79"/>
    <mergeCell ref="F79:H79"/>
    <mergeCell ref="I79:K79"/>
    <mergeCell ref="L79:N79"/>
    <mergeCell ref="D23:F23"/>
    <mergeCell ref="G23:I23"/>
    <mergeCell ref="J23:L23"/>
    <mergeCell ref="M23:O23"/>
  </mergeCells>
  <phoneticPr fontId="0" type="noConversion"/>
  <dataValidations disablePrompts="1" count="1">
    <dataValidation type="list" allowBlank="1" showInputMessage="1" showErrorMessage="1" sqref="C25" xr:uid="{97D6DEB1-8085-4AB1-B9FF-BC9F358D55C1}">
      <formula1>$B$81:$B$83</formula1>
    </dataValidation>
  </dataValidations>
  <printOptions horizontalCentered="1"/>
  <pageMargins left="0.39370078740157483" right="0.39370078740157483" top="0.78740157480314965" bottom="0.39370078740157483" header="0.51181102362204722" footer="0.51181102362204722"/>
  <pageSetup paperSize="9" scale="69" fitToHeight="2" orientation="landscape" r:id="rId1"/>
  <headerFooter alignWithMargins="0"/>
  <rowBreaks count="1" manualBreakCount="1">
    <brk id="20" min="1" max="18" man="1"/>
  </rowBreaks>
  <ignoredErrors>
    <ignoredError sqref="O60:O68 O70 O69 O71:O7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B16A-69AA-49EA-B0AF-6E7D09E8936F}">
  <dimension ref="B4:G20"/>
  <sheetViews>
    <sheetView workbookViewId="0">
      <selection activeCell="O14" sqref="O14"/>
    </sheetView>
  </sheetViews>
  <sheetFormatPr defaultRowHeight="12.5" x14ac:dyDescent="0.25"/>
  <cols>
    <col min="2" max="2" width="52" bestFit="1" customWidth="1"/>
    <col min="3" max="3" width="10" customWidth="1"/>
    <col min="5" max="5" width="9.36328125" bestFit="1" customWidth="1"/>
    <col min="6" max="6" width="1.90625" customWidth="1"/>
    <col min="7" max="7" width="12.36328125" bestFit="1" customWidth="1"/>
  </cols>
  <sheetData>
    <row r="4" spans="2:7" ht="14.5" x14ac:dyDescent="0.35">
      <c r="B4" s="362"/>
      <c r="C4" s="362"/>
      <c r="D4" s="541" t="str">
        <f>Revenue!O58</f>
        <v>Year 1</v>
      </c>
      <c r="E4" s="541" t="str">
        <f>Revenue!Q58</f>
        <v>Year 3</v>
      </c>
      <c r="F4" s="550"/>
      <c r="G4" s="546" t="s">
        <v>434</v>
      </c>
    </row>
    <row r="5" spans="2:7" ht="14.5" x14ac:dyDescent="0.35">
      <c r="B5" s="542" t="str">
        <f>Revenue!B59</f>
        <v>Courier services - documents and parcels</v>
      </c>
      <c r="C5" s="542"/>
      <c r="D5" s="543"/>
      <c r="E5" s="543"/>
      <c r="F5" s="550"/>
      <c r="G5" s="547"/>
    </row>
    <row r="6" spans="2:7" ht="14.5" x14ac:dyDescent="0.35">
      <c r="B6" s="538" t="s">
        <v>435</v>
      </c>
      <c r="C6" s="539">
        <v>5000</v>
      </c>
      <c r="D6" s="362"/>
      <c r="E6" s="362"/>
      <c r="F6" s="550"/>
      <c r="G6" s="547"/>
    </row>
    <row r="7" spans="2:7" ht="14.5" x14ac:dyDescent="0.35">
      <c r="B7" s="538" t="e">
        <f>Revenue!#REF!</f>
        <v>#REF!</v>
      </c>
      <c r="C7" s="540"/>
      <c r="D7" s="502" t="e">
        <f>Revenue!#REF!</f>
        <v>#REF!</v>
      </c>
      <c r="E7" s="502" t="e">
        <f>Revenue!#REF!</f>
        <v>#REF!</v>
      </c>
      <c r="F7" s="550"/>
      <c r="G7" s="547"/>
    </row>
    <row r="8" spans="2:7" ht="14.5" x14ac:dyDescent="0.35">
      <c r="B8" s="538"/>
      <c r="C8" s="540"/>
      <c r="D8" s="545" t="e">
        <f>D7/C6</f>
        <v>#REF!</v>
      </c>
      <c r="E8" s="545" t="e">
        <f>E7/C6</f>
        <v>#REF!</v>
      </c>
      <c r="F8" s="550"/>
      <c r="G8" s="547"/>
    </row>
    <row r="9" spans="2:7" ht="14.5" x14ac:dyDescent="0.35">
      <c r="B9" s="538" t="str">
        <f>Revenue!B61</f>
        <v>Average fee per transaction</v>
      </c>
      <c r="C9" s="540"/>
      <c r="D9" s="544">
        <f>Revenue!O61</f>
        <v>4</v>
      </c>
      <c r="E9" s="544">
        <f>Revenue!Q61</f>
        <v>4.2435999999999998</v>
      </c>
      <c r="F9" s="551"/>
      <c r="G9" s="548" t="s">
        <v>438</v>
      </c>
    </row>
    <row r="10" spans="2:7" ht="14.5" x14ac:dyDescent="0.35">
      <c r="B10" s="542" t="str">
        <f>Revenue!B63</f>
        <v>Corporate logistics services</v>
      </c>
      <c r="C10" s="542"/>
      <c r="D10" s="543"/>
      <c r="E10" s="543"/>
      <c r="F10" s="550"/>
      <c r="G10" s="549"/>
    </row>
    <row r="11" spans="2:7" ht="14.5" x14ac:dyDescent="0.35">
      <c r="B11" s="538" t="s">
        <v>436</v>
      </c>
      <c r="C11" s="539">
        <v>500</v>
      </c>
      <c r="D11" s="362"/>
      <c r="E11" s="362"/>
      <c r="F11" s="550"/>
      <c r="G11" s="549"/>
    </row>
    <row r="12" spans="2:7" ht="14.5" x14ac:dyDescent="0.35">
      <c r="B12" s="538" t="str">
        <f>Revenue!B64</f>
        <v>Number of companies using Cursa</v>
      </c>
      <c r="C12" s="538"/>
      <c r="D12" s="502">
        <f>Revenue!O64</f>
        <v>26.364000000000004</v>
      </c>
      <c r="E12" s="502">
        <f>Revenue!Q64</f>
        <v>44.555160000000015</v>
      </c>
      <c r="F12" s="550"/>
      <c r="G12" s="549"/>
    </row>
    <row r="13" spans="2:7" ht="14.5" x14ac:dyDescent="0.35">
      <c r="B13" s="538"/>
      <c r="C13" s="538"/>
      <c r="D13" s="545">
        <f>D12/C11</f>
        <v>5.2728000000000011E-2</v>
      </c>
      <c r="E13" s="545">
        <f>E12/C11</f>
        <v>8.9110320000000035E-2</v>
      </c>
      <c r="F13" s="550"/>
      <c r="G13" s="549"/>
    </row>
    <row r="14" spans="2:7" ht="14.5" x14ac:dyDescent="0.35">
      <c r="B14" s="538" t="str">
        <f>Revenue!B66</f>
        <v>Average fee per transaction</v>
      </c>
      <c r="C14" s="538"/>
      <c r="D14" s="544">
        <f>Revenue!O66</f>
        <v>3.5</v>
      </c>
      <c r="E14" s="544">
        <f>Revenue!Q66</f>
        <v>3.7131500000000002</v>
      </c>
      <c r="F14" s="551"/>
      <c r="G14" s="548" t="s">
        <v>433</v>
      </c>
    </row>
    <row r="15" spans="2:7" ht="14.5" x14ac:dyDescent="0.35">
      <c r="B15" s="542" t="str">
        <f>Revenue!B68</f>
        <v>Freight services</v>
      </c>
      <c r="C15" s="542"/>
      <c r="D15" s="543"/>
      <c r="E15" s="543"/>
      <c r="F15" s="550"/>
      <c r="G15" s="549"/>
    </row>
    <row r="16" spans="2:7" ht="14.5" x14ac:dyDescent="0.35">
      <c r="B16" s="538" t="str">
        <f>Revenue!B69</f>
        <v>Average number of daily moving requests</v>
      </c>
      <c r="C16" s="538"/>
      <c r="D16" s="502">
        <f>Revenue!O69</f>
        <v>5.1839999999999993</v>
      </c>
      <c r="E16" s="502">
        <f>Revenue!Q69</f>
        <v>7.4649599999999978</v>
      </c>
      <c r="F16" s="550"/>
      <c r="G16" s="549"/>
    </row>
    <row r="17" spans="2:7" ht="14.5" x14ac:dyDescent="0.35">
      <c r="B17" s="538" t="str">
        <f>Revenue!B70</f>
        <v>Average fee per transaction</v>
      </c>
      <c r="C17" s="538"/>
      <c r="D17" s="544">
        <f>Revenue!O70</f>
        <v>40</v>
      </c>
      <c r="E17" s="544">
        <f>Revenue!Q70</f>
        <v>42.436000000000007</v>
      </c>
      <c r="F17" s="551"/>
      <c r="G17" s="548" t="s">
        <v>437</v>
      </c>
    </row>
    <row r="18" spans="2:7" ht="14.5" x14ac:dyDescent="0.35">
      <c r="B18" s="542" t="str">
        <f>Revenue!B72</f>
        <v>Concierge services</v>
      </c>
      <c r="C18" s="542"/>
      <c r="D18" s="543"/>
      <c r="E18" s="543"/>
      <c r="F18" s="550"/>
      <c r="G18" s="549"/>
    </row>
    <row r="19" spans="2:7" ht="14.5" x14ac:dyDescent="0.35">
      <c r="B19" s="538" t="str">
        <f>Revenue!B73</f>
        <v>Average number of daily waste disposal requests</v>
      </c>
      <c r="C19" s="538"/>
      <c r="D19" s="502">
        <f>Revenue!O73</f>
        <v>6.5910000000000002</v>
      </c>
      <c r="E19" s="502">
        <f>Revenue!Q73</f>
        <v>11.138790000000002</v>
      </c>
      <c r="F19" s="550"/>
      <c r="G19" s="549"/>
    </row>
    <row r="20" spans="2:7" ht="14.5" x14ac:dyDescent="0.35">
      <c r="B20" s="538" t="str">
        <f>Revenue!B74</f>
        <v>Average fee per transaction</v>
      </c>
      <c r="C20" s="538"/>
      <c r="D20" s="544">
        <f>Revenue!O74</f>
        <v>15</v>
      </c>
      <c r="E20" s="544">
        <f>Revenue!Q74</f>
        <v>15.913500000000001</v>
      </c>
      <c r="F20" s="551"/>
      <c r="G20" s="548" t="s">
        <v>437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B1:T39"/>
  <sheetViews>
    <sheetView tabSelected="1" zoomScaleNormal="100" workbookViewId="0">
      <pane ySplit="7" topLeftCell="A8" activePane="bottomLeft" state="frozen"/>
      <selection pane="bottomLeft" activeCell="B40" sqref="B40"/>
    </sheetView>
  </sheetViews>
  <sheetFormatPr defaultColWidth="9.08984375" defaultRowHeight="14.5" x14ac:dyDescent="0.35"/>
  <cols>
    <col min="1" max="1" width="2.6328125" style="31" customWidth="1"/>
    <col min="2" max="2" width="78.1796875" style="31" bestFit="1" customWidth="1"/>
    <col min="3" max="3" width="11.6328125" style="31" customWidth="1"/>
    <col min="4" max="10" width="7.6328125" style="31" customWidth="1"/>
    <col min="11" max="12" width="10" style="31" bestFit="1" customWidth="1"/>
    <col min="13" max="15" width="11" style="31" bestFit="1" customWidth="1"/>
    <col min="16" max="19" width="12.54296875" style="31" bestFit="1" customWidth="1"/>
    <col min="20" max="20" width="11.6328125" style="31" bestFit="1" customWidth="1"/>
    <col min="21" max="16384" width="9.08984375" style="31"/>
  </cols>
  <sheetData>
    <row r="1" spans="2:19" x14ac:dyDescent="0.35">
      <c r="B1" s="32"/>
    </row>
    <row r="2" spans="2:19" ht="21" x14ac:dyDescent="0.35">
      <c r="B2" s="56" t="str">
        <f>Summary!B2</f>
        <v>Cursa Platform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</row>
    <row r="3" spans="2:19" ht="7.5" customHeight="1" x14ac:dyDescent="0.5">
      <c r="B3" s="50"/>
    </row>
    <row r="4" spans="2:19" ht="21" x14ac:dyDescent="0.35">
      <c r="B4" s="57" t="s">
        <v>124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 spans="2:19" x14ac:dyDescent="0.3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</row>
    <row r="6" spans="2:19" x14ac:dyDescent="0.35">
      <c r="B6" s="32"/>
    </row>
    <row r="7" spans="2:19" x14ac:dyDescent="0.35">
      <c r="C7" s="383" t="s">
        <v>365</v>
      </c>
      <c r="D7" s="384" t="s">
        <v>366</v>
      </c>
      <c r="E7" s="384" t="s">
        <v>367</v>
      </c>
      <c r="F7" s="384" t="s">
        <v>368</v>
      </c>
      <c r="G7" s="384" t="s">
        <v>369</v>
      </c>
      <c r="H7" s="384" t="s">
        <v>370</v>
      </c>
      <c r="I7" s="384" t="s">
        <v>371</v>
      </c>
      <c r="J7" s="384" t="s">
        <v>372</v>
      </c>
      <c r="K7" s="384" t="s">
        <v>373</v>
      </c>
      <c r="L7" s="384" t="s">
        <v>374</v>
      </c>
      <c r="M7" s="384" t="s">
        <v>375</v>
      </c>
      <c r="N7" s="384" t="s">
        <v>376</v>
      </c>
      <c r="O7" s="37" t="s">
        <v>234</v>
      </c>
      <c r="P7" s="37" t="s">
        <v>235</v>
      </c>
      <c r="Q7" s="37" t="s">
        <v>236</v>
      </c>
      <c r="R7" s="37" t="s">
        <v>237</v>
      </c>
      <c r="S7" s="68" t="s">
        <v>238</v>
      </c>
    </row>
    <row r="8" spans="2:19" x14ac:dyDescent="0.35">
      <c r="P8" s="35"/>
      <c r="Q8" s="35"/>
      <c r="R8" s="35"/>
      <c r="S8" s="35"/>
    </row>
    <row r="9" spans="2:19" x14ac:dyDescent="0.35">
      <c r="B9" s="30" t="s">
        <v>113</v>
      </c>
      <c r="P9" s="35"/>
      <c r="Q9" s="35"/>
      <c r="R9" s="35"/>
      <c r="S9" s="35"/>
    </row>
    <row r="10" spans="2:19" x14ac:dyDescent="0.35"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2:19" x14ac:dyDescent="0.35">
      <c r="B11" s="32" t="str">
        <f>B24</f>
        <v>Courier services - documents and parcels</v>
      </c>
      <c r="C11" s="40">
        <f>-Revenue!C11*C24</f>
        <v>0</v>
      </c>
      <c r="D11" s="40">
        <f>-Revenue!D11*D24</f>
        <v>0</v>
      </c>
      <c r="E11" s="40">
        <f>-Revenue!E11*E24</f>
        <v>0</v>
      </c>
      <c r="F11" s="40">
        <f>-Revenue!F11*F24</f>
        <v>0</v>
      </c>
      <c r="G11" s="40">
        <f>-Revenue!G11*G24</f>
        <v>0</v>
      </c>
      <c r="H11" s="40">
        <f>-Revenue!H11*H24</f>
        <v>0</v>
      </c>
      <c r="I11" s="40">
        <f>-Revenue!I11*I24</f>
        <v>0</v>
      </c>
      <c r="J11" s="40">
        <f>-Revenue!J11*J24</f>
        <v>0</v>
      </c>
      <c r="K11" s="40">
        <f>-Revenue!K11*K24</f>
        <v>-2880</v>
      </c>
      <c r="L11" s="40">
        <f>-Revenue!L11*L24</f>
        <v>-3868.8</v>
      </c>
      <c r="M11" s="40">
        <f>-Revenue!M11*M24</f>
        <v>-4867.2</v>
      </c>
      <c r="N11" s="40">
        <f>-Revenue!N11*N24</f>
        <v>-6538.2720000000008</v>
      </c>
      <c r="O11" s="40">
        <f>SUM(C11:N11)</f>
        <v>-18154.272000000001</v>
      </c>
      <c r="P11" s="40">
        <f>-Revenue!P11*P24</f>
        <v>-103080.07632000004</v>
      </c>
      <c r="Q11" s="40">
        <f>-Revenue!Q11*Q24</f>
        <v>-138024.22219248003</v>
      </c>
      <c r="R11" s="40">
        <f>-Revenue!R11*R24</f>
        <v>-184814.43351573078</v>
      </c>
      <c r="S11" s="40">
        <f>-Revenue!S11*S24</f>
        <v>-247466.52647756354</v>
      </c>
    </row>
    <row r="12" spans="2:19" x14ac:dyDescent="0.35">
      <c r="B12" s="32" t="str">
        <f t="shared" ref="B12:B14" si="0">B25</f>
        <v>Corporate logistics services</v>
      </c>
      <c r="C12" s="40">
        <f>-Revenue!C12*C25</f>
        <v>0</v>
      </c>
      <c r="D12" s="40">
        <f>-Revenue!D12*D25</f>
        <v>0</v>
      </c>
      <c r="E12" s="40">
        <f>-Revenue!E12*E25</f>
        <v>0</v>
      </c>
      <c r="F12" s="40">
        <f>-Revenue!F12*F25</f>
        <v>0</v>
      </c>
      <c r="G12" s="40">
        <f>-Revenue!G12*G25</f>
        <v>0</v>
      </c>
      <c r="H12" s="40">
        <f>-Revenue!H12*H25</f>
        <v>0</v>
      </c>
      <c r="I12" s="40">
        <f>-Revenue!I12*I25</f>
        <v>0</v>
      </c>
      <c r="J12" s="40">
        <f>-Revenue!J12*J25</f>
        <v>0</v>
      </c>
      <c r="K12" s="40">
        <f>-Revenue!K12*K25</f>
        <v>-5040</v>
      </c>
      <c r="L12" s="40">
        <f>-Revenue!L12*L25</f>
        <v>-6770.4000000000005</v>
      </c>
      <c r="M12" s="40">
        <f>-Revenue!M12*M25</f>
        <v>-8517.6000000000022</v>
      </c>
      <c r="N12" s="40">
        <f>-Revenue!N12*N25</f>
        <v>-11441.976000000002</v>
      </c>
      <c r="O12" s="40">
        <f t="shared" ref="O12:O14" si="1">SUM(C12:N12)</f>
        <v>-31769.976000000006</v>
      </c>
      <c r="P12" s="40">
        <f>-Revenue!P12*P25</f>
        <v>-180390.13356000007</v>
      </c>
      <c r="Q12" s="40">
        <f>-Revenue!Q12*Q25</f>
        <v>-241542.38883684008</v>
      </c>
      <c r="R12" s="40">
        <f>-Revenue!R12*R25</f>
        <v>-323425.25865252898</v>
      </c>
      <c r="S12" s="40">
        <f>-Revenue!S12*S25</f>
        <v>-433066.42133573629</v>
      </c>
    </row>
    <row r="13" spans="2:19" x14ac:dyDescent="0.35">
      <c r="B13" s="32" t="str">
        <f t="shared" si="0"/>
        <v>Freight services</v>
      </c>
      <c r="C13" s="40">
        <f>-Revenue!C13*C26</f>
        <v>0</v>
      </c>
      <c r="D13" s="40">
        <f>-Revenue!D13*D26</f>
        <v>0</v>
      </c>
      <c r="E13" s="40">
        <f>-Revenue!E13*E26</f>
        <v>0</v>
      </c>
      <c r="F13" s="40">
        <f>-Revenue!F13*F26</f>
        <v>0</v>
      </c>
      <c r="G13" s="40">
        <f>-Revenue!G13*G26</f>
        <v>0</v>
      </c>
      <c r="H13" s="40">
        <f>-Revenue!H13*H26</f>
        <v>0</v>
      </c>
      <c r="I13" s="40">
        <f>-Revenue!I13*I26</f>
        <v>0</v>
      </c>
      <c r="J13" s="40">
        <f>-Revenue!J13*J26</f>
        <v>0</v>
      </c>
      <c r="K13" s="40">
        <f>-Revenue!K13*K26</f>
        <v>-2880</v>
      </c>
      <c r="L13" s="40">
        <f>-Revenue!L13*L26</f>
        <v>-3571.2000000000003</v>
      </c>
      <c r="M13" s="40">
        <f>-Revenue!M13*M26</f>
        <v>-4147.2</v>
      </c>
      <c r="N13" s="40">
        <f>-Revenue!N13*N26</f>
        <v>-5142.5279999999993</v>
      </c>
      <c r="O13" s="40">
        <f t="shared" si="1"/>
        <v>-15740.928</v>
      </c>
      <c r="P13" s="40">
        <f>-Revenue!P13*P26</f>
        <v>-74838.712319999991</v>
      </c>
      <c r="Q13" s="40">
        <f>-Revenue!Q13*Q26</f>
        <v>-92500.648427519991</v>
      </c>
      <c r="R13" s="40">
        <f>-Revenue!R13*R26</f>
        <v>-114330.8014564147</v>
      </c>
      <c r="S13" s="40">
        <f>-Revenue!S13*S26</f>
        <v>-141312.87060012855</v>
      </c>
    </row>
    <row r="14" spans="2:19" x14ac:dyDescent="0.35">
      <c r="B14" s="32" t="str">
        <f t="shared" si="0"/>
        <v>Concierge services</v>
      </c>
      <c r="C14" s="40">
        <f>-Revenue!C14*C27</f>
        <v>0</v>
      </c>
      <c r="D14" s="40">
        <f>-Revenue!D14*D27</f>
        <v>0</v>
      </c>
      <c r="E14" s="40">
        <f>-Revenue!E14*E27</f>
        <v>0</v>
      </c>
      <c r="F14" s="40">
        <f>-Revenue!F14*F27</f>
        <v>0</v>
      </c>
      <c r="G14" s="40">
        <f>-Revenue!G14*G27</f>
        <v>0</v>
      </c>
      <c r="H14" s="40">
        <f>-Revenue!H14*H27</f>
        <v>0</v>
      </c>
      <c r="I14" s="40">
        <f>-Revenue!I14*I27</f>
        <v>0</v>
      </c>
      <c r="J14" s="40">
        <f>-Revenue!J14*J27</f>
        <v>0</v>
      </c>
      <c r="K14" s="40">
        <f>-Revenue!K14*K27</f>
        <v>-1080</v>
      </c>
      <c r="L14" s="40">
        <f>-Revenue!L14*L27</f>
        <v>-1450.8000000000002</v>
      </c>
      <c r="M14" s="40">
        <f>-Revenue!M14*M27</f>
        <v>-1825.2000000000005</v>
      </c>
      <c r="N14" s="40">
        <f>-Revenue!N14*N27</f>
        <v>-2451.8520000000003</v>
      </c>
      <c r="O14" s="40">
        <f t="shared" si="1"/>
        <v>-6807.8520000000008</v>
      </c>
      <c r="P14" s="40">
        <f>-Revenue!P14*P27</f>
        <v>-38655.028620000012</v>
      </c>
      <c r="Q14" s="40">
        <f>-Revenue!Q14*Q27</f>
        <v>-51759.08332218002</v>
      </c>
      <c r="R14" s="40">
        <f>-Revenue!R14*R27</f>
        <v>-69305.412568399028</v>
      </c>
      <c r="S14" s="40">
        <f>-Revenue!S14*S27</f>
        <v>-92799.947429086315</v>
      </c>
    </row>
    <row r="15" spans="2:19" x14ac:dyDescent="0.35">
      <c r="B15" s="3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2:19" s="32" customFormat="1" x14ac:dyDescent="0.35">
      <c r="B16" s="41" t="s">
        <v>159</v>
      </c>
      <c r="C16" s="42">
        <f t="shared" ref="C16:O16" si="2">SUM(C11:C15)</f>
        <v>0</v>
      </c>
      <c r="D16" s="42">
        <f t="shared" si="2"/>
        <v>0</v>
      </c>
      <c r="E16" s="42">
        <f t="shared" si="2"/>
        <v>0</v>
      </c>
      <c r="F16" s="42">
        <f t="shared" si="2"/>
        <v>0</v>
      </c>
      <c r="G16" s="42">
        <f t="shared" si="2"/>
        <v>0</v>
      </c>
      <c r="H16" s="42">
        <f t="shared" si="2"/>
        <v>0</v>
      </c>
      <c r="I16" s="42">
        <f t="shared" si="2"/>
        <v>0</v>
      </c>
      <c r="J16" s="42">
        <f t="shared" si="2"/>
        <v>0</v>
      </c>
      <c r="K16" s="42">
        <f t="shared" si="2"/>
        <v>-11880</v>
      </c>
      <c r="L16" s="42">
        <f t="shared" si="2"/>
        <v>-15661.2</v>
      </c>
      <c r="M16" s="42">
        <f t="shared" si="2"/>
        <v>-19357.200000000004</v>
      </c>
      <c r="N16" s="42">
        <f t="shared" si="2"/>
        <v>-25574.628000000001</v>
      </c>
      <c r="O16" s="42">
        <f t="shared" si="2"/>
        <v>-72473.028000000006</v>
      </c>
      <c r="P16" s="42">
        <f>SUM(P11:P15)</f>
        <v>-396963.95082000009</v>
      </c>
      <c r="Q16" s="42">
        <f>SUM(Q11:Q15)</f>
        <v>-523826.34277902014</v>
      </c>
      <c r="R16" s="42">
        <f>SUM(R11:R15)</f>
        <v>-691875.90619307349</v>
      </c>
      <c r="S16" s="42">
        <f>SUM(S11:S15)</f>
        <v>-914645.76584251469</v>
      </c>
    </row>
    <row r="17" spans="2:20" x14ac:dyDescent="0.35">
      <c r="P17" s="35"/>
      <c r="Q17" s="35"/>
      <c r="R17" s="35"/>
      <c r="S17" s="35"/>
      <c r="T17" s="42"/>
    </row>
    <row r="19" spans="2:20" x14ac:dyDescent="0.35">
      <c r="B19" s="43" t="s">
        <v>140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59"/>
    </row>
    <row r="21" spans="2:20" x14ac:dyDescent="0.35">
      <c r="B21" s="30" t="s">
        <v>113</v>
      </c>
    </row>
    <row r="22" spans="2:20" x14ac:dyDescent="0.35">
      <c r="B22" s="55"/>
    </row>
    <row r="23" spans="2:20" x14ac:dyDescent="0.35">
      <c r="B23" s="45" t="s">
        <v>348</v>
      </c>
    </row>
    <row r="24" spans="2:20" x14ac:dyDescent="0.35">
      <c r="B24" s="31" t="str">
        <f>Revenue!B11</f>
        <v>Courier services - documents and parcels</v>
      </c>
      <c r="C24" s="382">
        <v>0.8</v>
      </c>
      <c r="D24" s="133">
        <f t="shared" ref="D24:O27" si="3">C24</f>
        <v>0.8</v>
      </c>
      <c r="E24" s="133">
        <f t="shared" si="3"/>
        <v>0.8</v>
      </c>
      <c r="F24" s="133">
        <f t="shared" si="3"/>
        <v>0.8</v>
      </c>
      <c r="G24" s="133">
        <f t="shared" si="3"/>
        <v>0.8</v>
      </c>
      <c r="H24" s="133">
        <f t="shared" si="3"/>
        <v>0.8</v>
      </c>
      <c r="I24" s="133">
        <f t="shared" si="3"/>
        <v>0.8</v>
      </c>
      <c r="J24" s="133">
        <f t="shared" si="3"/>
        <v>0.8</v>
      </c>
      <c r="K24" s="133">
        <f t="shared" si="3"/>
        <v>0.8</v>
      </c>
      <c r="L24" s="133">
        <f t="shared" si="3"/>
        <v>0.8</v>
      </c>
      <c r="M24" s="133">
        <f t="shared" si="3"/>
        <v>0.8</v>
      </c>
      <c r="N24" s="133">
        <f t="shared" si="3"/>
        <v>0.8</v>
      </c>
      <c r="O24" s="133">
        <f t="shared" si="3"/>
        <v>0.8</v>
      </c>
      <c r="P24" s="133">
        <f>O24</f>
        <v>0.8</v>
      </c>
      <c r="Q24" s="133">
        <f t="shared" ref="Q24:S24" si="4">P24</f>
        <v>0.8</v>
      </c>
      <c r="R24" s="133">
        <f t="shared" si="4"/>
        <v>0.8</v>
      </c>
      <c r="S24" s="133">
        <f t="shared" si="4"/>
        <v>0.8</v>
      </c>
    </row>
    <row r="25" spans="2:20" x14ac:dyDescent="0.35">
      <c r="B25" s="31" t="str">
        <f>Revenue!B12</f>
        <v>Corporate logistics services</v>
      </c>
      <c r="C25" s="133">
        <f>C24</f>
        <v>0.8</v>
      </c>
      <c r="D25" s="133">
        <f t="shared" si="3"/>
        <v>0.8</v>
      </c>
      <c r="E25" s="133">
        <f t="shared" si="3"/>
        <v>0.8</v>
      </c>
      <c r="F25" s="133">
        <f t="shared" si="3"/>
        <v>0.8</v>
      </c>
      <c r="G25" s="133">
        <f t="shared" si="3"/>
        <v>0.8</v>
      </c>
      <c r="H25" s="133">
        <f t="shared" si="3"/>
        <v>0.8</v>
      </c>
      <c r="I25" s="133">
        <f t="shared" si="3"/>
        <v>0.8</v>
      </c>
      <c r="J25" s="133">
        <f t="shared" si="3"/>
        <v>0.8</v>
      </c>
      <c r="K25" s="133">
        <f t="shared" si="3"/>
        <v>0.8</v>
      </c>
      <c r="L25" s="133">
        <f t="shared" si="3"/>
        <v>0.8</v>
      </c>
      <c r="M25" s="133">
        <f t="shared" si="3"/>
        <v>0.8</v>
      </c>
      <c r="N25" s="133">
        <f t="shared" si="3"/>
        <v>0.8</v>
      </c>
      <c r="O25" s="133">
        <f t="shared" si="3"/>
        <v>0.8</v>
      </c>
      <c r="P25" s="133">
        <f t="shared" ref="P25:P27" si="5">O25</f>
        <v>0.8</v>
      </c>
      <c r="Q25" s="133">
        <f t="shared" ref="Q25:S25" si="6">P25</f>
        <v>0.8</v>
      </c>
      <c r="R25" s="133">
        <f t="shared" si="6"/>
        <v>0.8</v>
      </c>
      <c r="S25" s="133">
        <f t="shared" si="6"/>
        <v>0.8</v>
      </c>
    </row>
    <row r="26" spans="2:20" x14ac:dyDescent="0.35">
      <c r="B26" s="31" t="str">
        <f>Revenue!B13</f>
        <v>Freight services</v>
      </c>
      <c r="C26" s="133">
        <f>C24</f>
        <v>0.8</v>
      </c>
      <c r="D26" s="133">
        <f t="shared" si="3"/>
        <v>0.8</v>
      </c>
      <c r="E26" s="133">
        <f t="shared" si="3"/>
        <v>0.8</v>
      </c>
      <c r="F26" s="133">
        <f t="shared" si="3"/>
        <v>0.8</v>
      </c>
      <c r="G26" s="133">
        <f t="shared" si="3"/>
        <v>0.8</v>
      </c>
      <c r="H26" s="133">
        <f t="shared" si="3"/>
        <v>0.8</v>
      </c>
      <c r="I26" s="133">
        <f t="shared" si="3"/>
        <v>0.8</v>
      </c>
      <c r="J26" s="133">
        <f t="shared" si="3"/>
        <v>0.8</v>
      </c>
      <c r="K26" s="133">
        <f t="shared" si="3"/>
        <v>0.8</v>
      </c>
      <c r="L26" s="133">
        <f t="shared" si="3"/>
        <v>0.8</v>
      </c>
      <c r="M26" s="133">
        <f t="shared" si="3"/>
        <v>0.8</v>
      </c>
      <c r="N26" s="133">
        <f t="shared" si="3"/>
        <v>0.8</v>
      </c>
      <c r="O26" s="133">
        <f t="shared" si="3"/>
        <v>0.8</v>
      </c>
      <c r="P26" s="133">
        <f t="shared" si="5"/>
        <v>0.8</v>
      </c>
      <c r="Q26" s="133">
        <f t="shared" ref="Q26:S26" si="7">P26</f>
        <v>0.8</v>
      </c>
      <c r="R26" s="133">
        <f t="shared" si="7"/>
        <v>0.8</v>
      </c>
      <c r="S26" s="133">
        <f t="shared" si="7"/>
        <v>0.8</v>
      </c>
    </row>
    <row r="27" spans="2:20" s="32" customFormat="1" x14ac:dyDescent="0.35">
      <c r="B27" s="31" t="str">
        <f>Revenue!B14</f>
        <v>Concierge services</v>
      </c>
      <c r="C27" s="62">
        <f>C24</f>
        <v>0.8</v>
      </c>
      <c r="D27" s="133">
        <f t="shared" si="3"/>
        <v>0.8</v>
      </c>
      <c r="E27" s="133">
        <f t="shared" si="3"/>
        <v>0.8</v>
      </c>
      <c r="F27" s="133">
        <f t="shared" si="3"/>
        <v>0.8</v>
      </c>
      <c r="G27" s="133">
        <f t="shared" si="3"/>
        <v>0.8</v>
      </c>
      <c r="H27" s="133">
        <f t="shared" si="3"/>
        <v>0.8</v>
      </c>
      <c r="I27" s="133">
        <f t="shared" si="3"/>
        <v>0.8</v>
      </c>
      <c r="J27" s="133">
        <f t="shared" si="3"/>
        <v>0.8</v>
      </c>
      <c r="K27" s="133">
        <f t="shared" si="3"/>
        <v>0.8</v>
      </c>
      <c r="L27" s="133">
        <f t="shared" si="3"/>
        <v>0.8</v>
      </c>
      <c r="M27" s="133">
        <f t="shared" si="3"/>
        <v>0.8</v>
      </c>
      <c r="N27" s="133">
        <f t="shared" si="3"/>
        <v>0.8</v>
      </c>
      <c r="O27" s="133">
        <f t="shared" si="3"/>
        <v>0.8</v>
      </c>
      <c r="P27" s="133">
        <f t="shared" si="5"/>
        <v>0.8</v>
      </c>
      <c r="Q27" s="133">
        <f t="shared" ref="Q27:S27" si="8">P27</f>
        <v>0.8</v>
      </c>
      <c r="R27" s="133">
        <f t="shared" si="8"/>
        <v>0.8</v>
      </c>
      <c r="S27" s="133">
        <f t="shared" si="8"/>
        <v>0.8</v>
      </c>
    </row>
    <row r="28" spans="2:20" x14ac:dyDescent="0.35">
      <c r="B28" s="32"/>
    </row>
    <row r="29" spans="2:20" x14ac:dyDescent="0.35">
      <c r="B29" s="45" t="s">
        <v>456</v>
      </c>
    </row>
    <row r="30" spans="2:20" x14ac:dyDescent="0.35">
      <c r="B30" s="31" t="s">
        <v>477</v>
      </c>
      <c r="C30" s="559">
        <v>0.2</v>
      </c>
      <c r="D30" s="31" t="s">
        <v>478</v>
      </c>
    </row>
    <row r="31" spans="2:20" x14ac:dyDescent="0.35">
      <c r="B31" s="31" t="s">
        <v>457</v>
      </c>
      <c r="C31" s="559">
        <v>0.25</v>
      </c>
      <c r="D31" s="31" t="s">
        <v>479</v>
      </c>
    </row>
    <row r="32" spans="2:20" x14ac:dyDescent="0.35">
      <c r="B32" s="31" t="s">
        <v>480</v>
      </c>
      <c r="C32" s="560">
        <v>4.0000000000000001E-3</v>
      </c>
      <c r="D32" s="31" t="s">
        <v>481</v>
      </c>
    </row>
    <row r="33" spans="2:4" x14ac:dyDescent="0.35">
      <c r="B33" s="31" t="s">
        <v>482</v>
      </c>
      <c r="C33" s="560">
        <v>0.05</v>
      </c>
      <c r="D33" s="31" t="s">
        <v>483</v>
      </c>
    </row>
    <row r="34" spans="2:4" x14ac:dyDescent="0.35">
      <c r="B34" s="31" t="s">
        <v>504</v>
      </c>
      <c r="C34" s="559">
        <v>100</v>
      </c>
      <c r="D34" s="31" t="s">
        <v>484</v>
      </c>
    </row>
    <row r="35" spans="2:4" x14ac:dyDescent="0.35">
      <c r="B35" s="31" t="s">
        <v>488</v>
      </c>
      <c r="C35" s="559">
        <v>0.05</v>
      </c>
    </row>
    <row r="36" spans="2:4" ht="43.5" x14ac:dyDescent="0.35">
      <c r="B36" s="563" t="s">
        <v>493</v>
      </c>
      <c r="C36" s="590" t="s">
        <v>494</v>
      </c>
      <c r="D36" s="210" t="s">
        <v>487</v>
      </c>
    </row>
    <row r="37" spans="2:4" x14ac:dyDescent="0.35">
      <c r="B37" s="31" t="s">
        <v>465</v>
      </c>
      <c r="C37" s="561">
        <v>0.05</v>
      </c>
      <c r="D37" s="31" t="s">
        <v>466</v>
      </c>
    </row>
    <row r="38" spans="2:4" x14ac:dyDescent="0.35">
      <c r="B38" s="31" t="s">
        <v>496</v>
      </c>
      <c r="C38" s="561" t="s">
        <v>495</v>
      </c>
    </row>
    <row r="39" spans="2:4" x14ac:dyDescent="0.35">
      <c r="B39" t="s">
        <v>489</v>
      </c>
    </row>
  </sheetData>
  <phoneticPr fontId="0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76" orientation="portrait" r:id="rId1"/>
  <headerFooter alignWithMargins="0"/>
  <rowBreaks count="1" manualBreakCount="1">
    <brk id="18" min="1" max="7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B1:AI119"/>
  <sheetViews>
    <sheetView topLeftCell="B1" zoomScaleNormal="100" workbookViewId="0">
      <pane ySplit="7" topLeftCell="A8" activePane="bottomLeft" state="frozen"/>
      <selection pane="bottomLeft" activeCell="G106" sqref="G106"/>
    </sheetView>
  </sheetViews>
  <sheetFormatPr defaultColWidth="9.08984375" defaultRowHeight="14.5" x14ac:dyDescent="0.35"/>
  <cols>
    <col min="1" max="1" width="3" style="31" customWidth="1"/>
    <col min="2" max="2" width="55.90625" style="31" bestFit="1" customWidth="1"/>
    <col min="3" max="3" width="8.6328125" style="31" customWidth="1"/>
    <col min="4" max="15" width="10" style="31" bestFit="1" customWidth="1"/>
    <col min="16" max="20" width="11" style="31" bestFit="1" customWidth="1"/>
    <col min="21" max="16384" width="9.08984375" style="31"/>
  </cols>
  <sheetData>
    <row r="1" spans="2:20" x14ac:dyDescent="0.35">
      <c r="B1" s="32"/>
    </row>
    <row r="2" spans="2:20" ht="21" x14ac:dyDescent="0.35">
      <c r="B2" s="56" t="str">
        <f>Summary!B2</f>
        <v>Cursa Platform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2:20" ht="6" customHeight="1" x14ac:dyDescent="0.5">
      <c r="B3" s="50"/>
    </row>
    <row r="4" spans="2:20" ht="17.25" customHeight="1" x14ac:dyDescent="0.35">
      <c r="B4" s="57" t="s">
        <v>160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2:20" ht="17.25" customHeight="1" x14ac:dyDescent="0.35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2:20" ht="12" customHeight="1" x14ac:dyDescent="0.35">
      <c r="B6" s="32"/>
    </row>
    <row r="7" spans="2:20" x14ac:dyDescent="0.35">
      <c r="D7" s="383">
        <v>1</v>
      </c>
      <c r="E7" s="384">
        <v>2</v>
      </c>
      <c r="F7" s="384">
        <v>3</v>
      </c>
      <c r="G7" s="384">
        <v>4</v>
      </c>
      <c r="H7" s="384">
        <v>5</v>
      </c>
      <c r="I7" s="384">
        <v>6</v>
      </c>
      <c r="J7" s="384">
        <v>7</v>
      </c>
      <c r="K7" s="384">
        <v>8</v>
      </c>
      <c r="L7" s="384">
        <v>9</v>
      </c>
      <c r="M7" s="384">
        <v>10</v>
      </c>
      <c r="N7" s="384">
        <v>11</v>
      </c>
      <c r="O7" s="384">
        <v>12</v>
      </c>
      <c r="P7" s="37" t="s">
        <v>234</v>
      </c>
      <c r="Q7" s="37" t="s">
        <v>235</v>
      </c>
      <c r="R7" s="37" t="s">
        <v>236</v>
      </c>
      <c r="S7" s="37" t="s">
        <v>237</v>
      </c>
      <c r="T7" s="68" t="s">
        <v>238</v>
      </c>
    </row>
    <row r="8" spans="2:20" x14ac:dyDescent="0.35">
      <c r="Q8" s="35"/>
      <c r="R8" s="35"/>
      <c r="S8" s="35"/>
      <c r="T8" s="35"/>
    </row>
    <row r="9" spans="2:20" x14ac:dyDescent="0.35">
      <c r="B9" s="30" t="s">
        <v>105</v>
      </c>
      <c r="C9" s="38"/>
    </row>
    <row r="10" spans="2:20" ht="16.5" customHeight="1" x14ac:dyDescent="0.35">
      <c r="B10" s="45" t="s">
        <v>240</v>
      </c>
      <c r="C10" s="105"/>
    </row>
    <row r="11" spans="2:20" x14ac:dyDescent="0.35">
      <c r="B11" s="31" t="str">
        <f>B47</f>
        <v>General Manager/ Recruiting Officer</v>
      </c>
      <c r="D11" s="48">
        <f>-D47*$C47*(1+D$57)*(1+D$58)*D$59</f>
        <v>0</v>
      </c>
      <c r="E11" s="48">
        <f>-E47*$C47*(1+E$57)*(1+E$58)*E$59</f>
        <v>0</v>
      </c>
      <c r="F11" s="48">
        <f>-F47*$C47*(1+F$57)*(1+F$58)*F$59</f>
        <v>0</v>
      </c>
      <c r="G11" s="48">
        <f>-G47*$C47*(1+G$57)*(1+G$58)*G$59</f>
        <v>0</v>
      </c>
      <c r="H11" s="48">
        <f>-H47*$C47*(1+H$57)*(1+H$58)*H$59</f>
        <v>0</v>
      </c>
      <c r="I11" s="48">
        <f>-I47*$C47*(1+I$57)*(1+I$58)*I$59</f>
        <v>0</v>
      </c>
      <c r="J11" s="48">
        <f>-J47*$C47*(1+J$57)*(1+J$58)*J$59</f>
        <v>0</v>
      </c>
      <c r="K11" s="48">
        <f>-K47*$C47*(1+K$57)*(1+K$58)*K$59</f>
        <v>0</v>
      </c>
      <c r="L11" s="48">
        <f>-L47*$C47*(1+L$57)*(1+L$58)*L$59</f>
        <v>0</v>
      </c>
      <c r="M11" s="48">
        <f>-M47*$C47*(1+M$57)*(1+M$58)*M$59</f>
        <v>0</v>
      </c>
      <c r="N11" s="48">
        <f>-N47*$C47*(1+N$57)*(1+N$58)*N$59</f>
        <v>0</v>
      </c>
      <c r="O11" s="48">
        <f>-O47*$C47*(1+O$57)*(1+O$58)*O$59</f>
        <v>0</v>
      </c>
      <c r="P11" s="48">
        <f>SUM(D11:O11)</f>
        <v>0</v>
      </c>
      <c r="Q11" s="48">
        <f>IF(D11=0,-Q47*$C47*(1+Q$57)*(1+Q$58)*Q$59*$C$60,(D11/(D47*D$59))*Q47*(1+Q$58)*Q$59*$C$60)</f>
        <v>0</v>
      </c>
      <c r="R11" s="48">
        <f>IF(Q11=0,-R47*$C47*(1+R$57)*(1+R$58)*R$59*$C$60,(Q11/(Q47*Q$59))*R47*(1+R$58)*R$59)</f>
        <v>0</v>
      </c>
      <c r="S11" s="48">
        <f>IF(R11=0,-S47*$C47*(1+S$57)*(1+S$58)*S$59*$C$60,(R11/(R47*R$59))*S47*(1+S$58)*S$59)</f>
        <v>0</v>
      </c>
      <c r="T11" s="48">
        <f>IF(S11=0,-T47*$C47*(1+T$57)*(1+T$58)*T$59*$C$60,(S11/(S47*S$59))*T47*(1+T$58)*T$59)</f>
        <v>0</v>
      </c>
    </row>
    <row r="12" spans="2:20" x14ac:dyDescent="0.35">
      <c r="B12" s="31" t="str">
        <f t="shared" ref="B12:B13" si="0">B48</f>
        <v>CTO/COO</v>
      </c>
      <c r="D12" s="48">
        <f>-D48*$C48*(1+D$57)*(1+D$58)*D$59</f>
        <v>0</v>
      </c>
      <c r="E12" s="48">
        <f>-E48*$C48*(1+E$57)*(1+E$58)*E$59</f>
        <v>0</v>
      </c>
      <c r="F12" s="48">
        <f>-F48*$C48*(1+F$57)*(1+F$58)*F$59</f>
        <v>0</v>
      </c>
      <c r="G12" s="48">
        <f>-G48*$C48*(1+G$57)*(1+G$58)*G$59</f>
        <v>0</v>
      </c>
      <c r="H12" s="48">
        <f>-H48*$C48*(1+H$57)*(1+H$58)*H$59</f>
        <v>0</v>
      </c>
      <c r="I12" s="48">
        <f>-I48*$C48*(1+I$57)*(1+I$58)*I$59</f>
        <v>0</v>
      </c>
      <c r="J12" s="48">
        <f>-J48*$C48*(1+J$57)*(1+J$58)*J$59</f>
        <v>0</v>
      </c>
      <c r="K12" s="48">
        <f>-K48*$C48*(1+K$57)*(1+K$58)*K$59</f>
        <v>0</v>
      </c>
      <c r="L12" s="48">
        <f>-L48*$C48*(1+L$57)*(1+L$58)*L$59</f>
        <v>0</v>
      </c>
      <c r="M12" s="48">
        <f>-M48*$C48*(1+M$57)*(1+M$58)*M$59</f>
        <v>0</v>
      </c>
      <c r="N12" s="48">
        <f>-N48*$C48*(1+N$57)*(1+N$58)*N$59</f>
        <v>0</v>
      </c>
      <c r="O12" s="48">
        <f>-O48*$C48*(1+O$57)*(1+O$58)*O$59</f>
        <v>0</v>
      </c>
      <c r="P12" s="48">
        <f t="shared" ref="P12:P19" si="1">SUM(D12:O12)</f>
        <v>0</v>
      </c>
      <c r="Q12" s="48">
        <f>IF(D12=0,-Q48*$C48*(1+Q$57)*(1+Q$58)*Q$59*$C$60,(D12/(D48*D$59))*Q48*(1+Q$58)*Q$59*$C$60)</f>
        <v>0</v>
      </c>
      <c r="R12" s="48">
        <f>IF(Q12=0,-R48*$C48*(1+R$57)*(1+R$58)*R$59*$C$60,(Q12/(Q48*Q$59))*R48*(1+R$58)*R$59)</f>
        <v>0</v>
      </c>
      <c r="S12" s="48">
        <f>IF(R12=0,-S48*$C48*(1+S$57)*(1+S$58)*S$59*$C$60,(R12/(R48*R$59))*S48*(1+S$58)*S$59)</f>
        <v>0</v>
      </c>
      <c r="T12" s="48">
        <f>IF(S12=0,-T48*$C48*(1+T$57)*(1+T$58)*T$59*$C$60,(S12/(S48*S$59))*T48*(1+T$58)*T$59)</f>
        <v>0</v>
      </c>
    </row>
    <row r="13" spans="2:20" x14ac:dyDescent="0.35">
      <c r="B13" s="31" t="str">
        <f t="shared" si="0"/>
        <v>Senior Developer</v>
      </c>
      <c r="D13" s="48">
        <f>-D49*$C49*(1+D$57)*(1+D$58)*D$59</f>
        <v>0</v>
      </c>
      <c r="E13" s="48">
        <f>-E49*$C49*(1+E$57)*(1+E$58)*E$59</f>
        <v>0</v>
      </c>
      <c r="F13" s="48">
        <f>-F49*$C49*(1+F$57)*(1+F$58)*F$59</f>
        <v>0</v>
      </c>
      <c r="G13" s="48">
        <f>-G49*$C49*(1+G$57)*(1+G$58)*G$59</f>
        <v>0</v>
      </c>
      <c r="H13" s="48">
        <f>-H49*$C49*(1+H$57)*(1+H$58)*H$59</f>
        <v>0</v>
      </c>
      <c r="I13" s="48">
        <f>-I49*$C49*(1+I$57)*(1+I$58)*I$59</f>
        <v>0</v>
      </c>
      <c r="J13" s="48">
        <f>-J49*$C49*(1+J$57)*(1+J$58)*J$59</f>
        <v>0</v>
      </c>
      <c r="K13" s="48">
        <f>-K49*$C49*(1+K$57)*(1+K$58)*K$59</f>
        <v>0</v>
      </c>
      <c r="L13" s="48">
        <f>-L49*$C49*(1+L$57)*(1+L$58)*L$59</f>
        <v>0</v>
      </c>
      <c r="M13" s="48">
        <f>-M49*$C49*(1+M$57)*(1+M$58)*M$59</f>
        <v>0</v>
      </c>
      <c r="N13" s="48">
        <f>-N49*$C49*(1+N$57)*(1+N$58)*N$59</f>
        <v>0</v>
      </c>
      <c r="O13" s="48">
        <f>-O49*$C49*(1+O$57)*(1+O$58)*O$59</f>
        <v>0</v>
      </c>
      <c r="P13" s="48">
        <f t="shared" ref="P13" si="2">SUM(D13:O13)</f>
        <v>0</v>
      </c>
      <c r="Q13" s="48">
        <f>IF(D13=0,-Q49*$C49*(1+Q$57)*(1+Q$58)*Q$59*$C$60,(D13/(D49*D$59))*Q49*(1+Q$58)*Q$59*$C$60)</f>
        <v>0</v>
      </c>
      <c r="R13" s="48">
        <f>IF(Q13=0,-R49*$C49*(1+R$57)*(1+R$58)*R$59*$C$60,(Q13/(Q49*Q$59))*R49*(1+R$58)*R$59)</f>
        <v>0</v>
      </c>
      <c r="S13" s="48">
        <f>IF(R13=0,-S49*$C49*(1+S$57)*(1+S$58)*S$59*$C$60,(R13/(R49*R$59))*S49*(1+S$58)*S$59)</f>
        <v>0</v>
      </c>
      <c r="T13" s="48">
        <f>IF(S13=0,-T49*$C49*(1+T$57)*(1+T$58)*T$59*$C$60,(S13/(S49*S$59))*T49*(1+T$58)*T$59)</f>
        <v>0</v>
      </c>
    </row>
    <row r="14" spans="2:20" x14ac:dyDescent="0.35">
      <c r="B14" s="31" t="str">
        <f t="shared" ref="B14:B16" si="3">B50</f>
        <v>Operations/ Quality Control Officer</v>
      </c>
      <c r="D14" s="48">
        <f>-D50*$C50*(1+D$57)*(1+D$58)*D$59</f>
        <v>0</v>
      </c>
      <c r="E14" s="48">
        <f>-E50*$C50*(1+E$57)*(1+E$58)*E$59</f>
        <v>0</v>
      </c>
      <c r="F14" s="48">
        <f>-F50*$C50*(1+F$57)*(1+F$58)*F$59</f>
        <v>0</v>
      </c>
      <c r="G14" s="48">
        <f>-G50*$C50*(1+G$57)*(1+G$58)*G$59</f>
        <v>0</v>
      </c>
      <c r="H14" s="48">
        <f>-H50*$C50*(1+H$57)*(1+H$58)*H$59</f>
        <v>0</v>
      </c>
      <c r="I14" s="48">
        <f>-I50*$C50*(1+I$57)*(1+I$58)*I$59</f>
        <v>0</v>
      </c>
      <c r="J14" s="48">
        <f>-J50*$C50*(1+J$57)*(1+J$58)*J$59</f>
        <v>0</v>
      </c>
      <c r="K14" s="48">
        <f>-K50*$C50*(1+K$57)*(1+K$58)*K$59</f>
        <v>0</v>
      </c>
      <c r="L14" s="48">
        <f>-L50*$C50*(1+L$57)*(1+L$58)*L$59</f>
        <v>0</v>
      </c>
      <c r="M14" s="48">
        <f>-M50*$C50*(1+M$57)*(1+M$58)*M$59</f>
        <v>0</v>
      </c>
      <c r="N14" s="48">
        <f>-N50*$C50*(1+N$57)*(1+N$58)*N$59</f>
        <v>0</v>
      </c>
      <c r="O14" s="48">
        <f>-O50*$C50*(1+O$57)*(1+O$58)*O$59</f>
        <v>0</v>
      </c>
      <c r="P14" s="48">
        <f t="shared" si="1"/>
        <v>0</v>
      </c>
      <c r="Q14" s="48">
        <f>IF(D14=0,-Q50*$C50*(1+Q$57)*(1+Q$58)*Q$59*$C$60,(D14/(D50*D$59))*Q50*(1+Q$58)*Q$59*$C$60)</f>
        <v>0</v>
      </c>
      <c r="R14" s="48">
        <f>IF(Q14=0,-R50*$C50*(1+R$57)*(1+R$58)*R$59*$C$60,(Q14/(Q50*Q$59))*R50*(1+R$58)*R$59)</f>
        <v>0</v>
      </c>
      <c r="S14" s="48">
        <f>IF(R14=0,-S50*$C50*(1+S$57)*(1+S$58)*S$59*$C$60,(R14/(R50*R$59))*S50*(1+S$58)*S$59)</f>
        <v>0</v>
      </c>
      <c r="T14" s="48">
        <f>IF(S14=0,-T50*$C50*(1+T$57)*(1+T$58)*T$59*$C$60,(S14/(S50*S$59))*T50*(1+T$58)*T$59)</f>
        <v>0</v>
      </c>
    </row>
    <row r="15" spans="2:20" x14ac:dyDescent="0.35">
      <c r="B15" s="31" t="str">
        <f t="shared" si="3"/>
        <v>Customer Service Officer (Egypt based)</v>
      </c>
      <c r="D15" s="48">
        <f>-D51*$C51*(1+D$57)*(1+D$58)*D$59</f>
        <v>0</v>
      </c>
      <c r="E15" s="48">
        <f>-E51*$C51*(1+E$57)*(1+E$58)*E$59</f>
        <v>0</v>
      </c>
      <c r="F15" s="48">
        <f>-F51*$C51*(1+F$57)*(1+F$58)*F$59</f>
        <v>0</v>
      </c>
      <c r="G15" s="48">
        <f>-G51*$C51*(1+G$57)*(1+G$58)*G$59</f>
        <v>0</v>
      </c>
      <c r="H15" s="48">
        <f>-H51*$C51*(1+H$57)*(1+H$58)*H$59</f>
        <v>0</v>
      </c>
      <c r="I15" s="48">
        <f>-I51*$C51*(1+I$57)*(1+I$58)*I$59</f>
        <v>0</v>
      </c>
      <c r="J15" s="48">
        <f>-J51*$C51*(1+J$57)*(1+J$58)*J$59</f>
        <v>0</v>
      </c>
      <c r="K15" s="48">
        <f>-K51*$C51*(1+K$57)*(1+K$58)*K$59</f>
        <v>0</v>
      </c>
      <c r="L15" s="48">
        <f>-L51*$C51*(1+L$57)*(1+L$58)*L$59</f>
        <v>0</v>
      </c>
      <c r="M15" s="48">
        <f>-M51*$C51*(1+M$57)*(1+M$58)*M$59</f>
        <v>0</v>
      </c>
      <c r="N15" s="48">
        <f>-N51*$C51*(1+N$57)*(1+N$58)*N$59</f>
        <v>0</v>
      </c>
      <c r="O15" s="48">
        <f>-O51*$C51*(1+O$57)*(1+O$58)*O$59</f>
        <v>0</v>
      </c>
      <c r="P15" s="48">
        <f t="shared" si="1"/>
        <v>0</v>
      </c>
      <c r="Q15" s="48">
        <f>IF(D15=0,-Q51*$C51*(1+Q$57)*(1+Q$58)*Q$59*$C$60,(D15/(D51*D$59))*Q51*(1+Q$58)*Q$59*$C$60)</f>
        <v>0</v>
      </c>
      <c r="R15" s="48">
        <f>IF(Q15=0,-R51*$C51*(1+R$57)*(1+R$58)*R$59*$C$60,(Q15/(Q51*Q$59))*R51*(1+R$58)*R$59)</f>
        <v>0</v>
      </c>
      <c r="S15" s="48">
        <f>IF(R15=0,-S51*$C51*(1+S$57)*(1+S$58)*S$59*$C$60,(R15/(R51*R$59))*S51*(1+S$58)*S$59)</f>
        <v>0</v>
      </c>
      <c r="T15" s="48">
        <f>IF(S15=0,-T51*$C51*(1+T$57)*(1+T$58)*T$59*$C$60,(S15/(S51*S$59))*T51*(1+T$58)*T$59)</f>
        <v>0</v>
      </c>
    </row>
    <row r="16" spans="2:20" x14ac:dyDescent="0.35">
      <c r="B16" s="31" t="str">
        <f t="shared" si="3"/>
        <v>Marketing Officer</v>
      </c>
      <c r="D16" s="48">
        <f>-D52*$C52*(1+D$57)*(1+D$58)*D$59</f>
        <v>0</v>
      </c>
      <c r="E16" s="48">
        <f>-E52*$C52*(1+E$57)*(1+E$58)*E$59</f>
        <v>0</v>
      </c>
      <c r="F16" s="48">
        <f>-F52*$C52*(1+F$57)*(1+F$58)*F$59</f>
        <v>0</v>
      </c>
      <c r="G16" s="48">
        <f>-G52*$C52*(1+G$57)*(1+G$58)*G$59</f>
        <v>0</v>
      </c>
      <c r="H16" s="48">
        <f>-H52*$C52*(1+H$57)*(1+H$58)*H$59</f>
        <v>0</v>
      </c>
      <c r="I16" s="48">
        <f>-I52*$C52*(1+I$57)*(1+I$58)*I$59</f>
        <v>0</v>
      </c>
      <c r="J16" s="48">
        <f>-J52*$C52*(1+J$57)*(1+J$58)*J$59</f>
        <v>0</v>
      </c>
      <c r="K16" s="48">
        <f>-K52*$C52*(1+K$57)*(1+K$58)*K$59</f>
        <v>0</v>
      </c>
      <c r="L16" s="48">
        <f>-L52*$C52*(1+L$57)*(1+L$58)*L$59</f>
        <v>0</v>
      </c>
      <c r="M16" s="48">
        <f>-M52*$C52*(1+M$57)*(1+M$58)*M$59</f>
        <v>0</v>
      </c>
      <c r="N16" s="48">
        <f>-N52*$C52*(1+N$57)*(1+N$58)*N$59</f>
        <v>0</v>
      </c>
      <c r="O16" s="48">
        <f>-O52*$C52*(1+O$57)*(1+O$58)*O$59</f>
        <v>0</v>
      </c>
      <c r="P16" s="48">
        <f t="shared" si="1"/>
        <v>0</v>
      </c>
      <c r="Q16" s="48">
        <f>IF(D16=0,-Q52*$C52*(1+Q$57)*(1+Q$58)*Q$59*$C$60,(D16/(D52*D$59))*Q52*(1+Q$58)*Q$59*$C$60)</f>
        <v>0</v>
      </c>
      <c r="R16" s="48">
        <f>IF(Q16=0,-R52*$C52*(1+R$57)*(1+R$58)*R$59*$C$60,(Q16/(Q52*Q$59))*R52*(1+R$58)*R$59)</f>
        <v>0</v>
      </c>
      <c r="S16" s="48">
        <f>IF(R16=0,-S52*$C52*(1+S$57)*(1+S$58)*S$59*$C$60,(R16/(R52*R$59))*S52*(1+S$58)*S$59)</f>
        <v>0</v>
      </c>
      <c r="T16" s="48">
        <f>IF(S16=0,-T52*$C52*(1+T$57)*(1+T$58)*T$59*$C$60,(S16/(S52*S$59))*T52*(1+T$58)*T$59)</f>
        <v>0</v>
      </c>
    </row>
    <row r="17" spans="2:20" x14ac:dyDescent="0.35">
      <c r="B17" s="31" t="str">
        <f>B53</f>
        <v>Accountant/ Administrator (Egypt based)</v>
      </c>
      <c r="D17" s="48">
        <f>-D53*$C53*(1+D$57)*(1+D$58)*D$59</f>
        <v>0</v>
      </c>
      <c r="E17" s="48">
        <f t="shared" ref="E17:O17" si="4">-E53*$C53*(1+E$57)*(1+E$58)*E$59</f>
        <v>0</v>
      </c>
      <c r="F17" s="48">
        <f t="shared" si="4"/>
        <v>0</v>
      </c>
      <c r="G17" s="48">
        <f t="shared" si="4"/>
        <v>0</v>
      </c>
      <c r="H17" s="48">
        <f t="shared" si="4"/>
        <v>0</v>
      </c>
      <c r="I17" s="48">
        <f t="shared" si="4"/>
        <v>0</v>
      </c>
      <c r="J17" s="48">
        <f t="shared" si="4"/>
        <v>0</v>
      </c>
      <c r="K17" s="48">
        <f t="shared" si="4"/>
        <v>0</v>
      </c>
      <c r="L17" s="48">
        <f t="shared" si="4"/>
        <v>0</v>
      </c>
      <c r="M17" s="48">
        <f t="shared" si="4"/>
        <v>0</v>
      </c>
      <c r="N17" s="48">
        <f t="shared" si="4"/>
        <v>0</v>
      </c>
      <c r="O17" s="48">
        <f t="shared" si="4"/>
        <v>0</v>
      </c>
      <c r="P17" s="48">
        <f t="shared" si="1"/>
        <v>0</v>
      </c>
      <c r="Q17" s="48">
        <f>IF(D17=0,-Q53*$C53*(1+Q$57)*(1+Q$58)*Q$59*$C$60,(D17/(D53*D$59))*Q53*(1+Q$58)*Q$59*$C$60)</f>
        <v>0</v>
      </c>
      <c r="R17" s="48">
        <f>IF(Q17=0,-R53*$C53*(1+R$57)*(1+R$58)*R$59*$C$60,(Q17/(Q53*Q$59))*R53*(1+R$58)*R$59)</f>
        <v>0</v>
      </c>
      <c r="S17" s="48">
        <f>IF(R17=0,-S53*$C53*(1+S$57)*(1+S$58)*S$59*$C$60,(R17/(R53*R$59))*S53*(1+S$58)*S$59)</f>
        <v>0</v>
      </c>
      <c r="T17" s="48">
        <f>IF(S17=0,-T53*$C53*(1+T$57)*(1+T$58)*T$59*$C$60,(S17/(S53*S$59))*T53*(1+T$58)*T$59)</f>
        <v>0</v>
      </c>
    </row>
    <row r="18" spans="2:20" hidden="1" x14ac:dyDescent="0.35">
      <c r="B18" s="31" t="str">
        <f>B54</f>
        <v>Office personnel</v>
      </c>
      <c r="D18" s="48">
        <f>-D54*$C54*(1+D$57)*(1+D$58)*D$59</f>
        <v>0</v>
      </c>
      <c r="E18" s="48">
        <f t="shared" ref="E18:O18" si="5">-E54*$C54*(1+E$57)*(1+E$58)*E$59</f>
        <v>0</v>
      </c>
      <c r="F18" s="48">
        <f t="shared" si="5"/>
        <v>0</v>
      </c>
      <c r="G18" s="48">
        <f t="shared" si="5"/>
        <v>0</v>
      </c>
      <c r="H18" s="48">
        <f t="shared" si="5"/>
        <v>0</v>
      </c>
      <c r="I18" s="48">
        <f t="shared" si="5"/>
        <v>0</v>
      </c>
      <c r="J18" s="48">
        <f t="shared" si="5"/>
        <v>0</v>
      </c>
      <c r="K18" s="48">
        <f t="shared" si="5"/>
        <v>0</v>
      </c>
      <c r="L18" s="48">
        <f t="shared" si="5"/>
        <v>0</v>
      </c>
      <c r="M18" s="48">
        <f t="shared" si="5"/>
        <v>0</v>
      </c>
      <c r="N18" s="48">
        <f t="shared" si="5"/>
        <v>0</v>
      </c>
      <c r="O18" s="48">
        <f t="shared" si="5"/>
        <v>0</v>
      </c>
      <c r="P18" s="48">
        <f t="shared" si="1"/>
        <v>0</v>
      </c>
      <c r="Q18" s="48">
        <f>IF(D18=0,-Q54*$C54*(1+Q$57)*(1+Q$58)*Q$59*$C$60,(D18/(D54*D$59))*Q54*(1+Q$58)*Q$59*$C$60)</f>
        <v>0</v>
      </c>
      <c r="R18" s="48">
        <f>IF(Q18=0,-R54*$C54*(1+R$57)*(1+R$58)*R$59*$C$60,(Q18/(Q54*Q$59))*R54*(1+R$58)*R$59)</f>
        <v>0</v>
      </c>
      <c r="S18" s="48">
        <f>IF(R18=0,-S54*$C54*(1+S$57)*(1+S$58)*S$59*$C$60,(R18/(R54*R$59))*S54*(1+S$58)*S$59)</f>
        <v>0</v>
      </c>
      <c r="T18" s="48">
        <f>IF(S18=0,-T54*$C54*(1+T$57)*(1+T$58)*T$59*$C$60,(S18/(S54*S$59))*T54*(1+T$58)*T$59)</f>
        <v>0</v>
      </c>
    </row>
    <row r="19" spans="2:20" hidden="1" x14ac:dyDescent="0.35">
      <c r="B19" s="31" t="str">
        <f>B55</f>
        <v>Secretary</v>
      </c>
      <c r="D19" s="48">
        <f>-D55*$C55*(1+D$57)*(1+D$58)*D$59</f>
        <v>0</v>
      </c>
      <c r="E19" s="48">
        <f t="shared" ref="E19:O19" si="6">-E55*$C55*(1+E$57)*(1+E$58)*E$59</f>
        <v>0</v>
      </c>
      <c r="F19" s="48">
        <f t="shared" si="6"/>
        <v>0</v>
      </c>
      <c r="G19" s="48">
        <f t="shared" si="6"/>
        <v>0</v>
      </c>
      <c r="H19" s="48">
        <f t="shared" si="6"/>
        <v>0</v>
      </c>
      <c r="I19" s="48">
        <f t="shared" si="6"/>
        <v>0</v>
      </c>
      <c r="J19" s="48">
        <f t="shared" si="6"/>
        <v>0</v>
      </c>
      <c r="K19" s="48">
        <f t="shared" si="6"/>
        <v>0</v>
      </c>
      <c r="L19" s="48">
        <f t="shared" si="6"/>
        <v>0</v>
      </c>
      <c r="M19" s="48">
        <f t="shared" si="6"/>
        <v>0</v>
      </c>
      <c r="N19" s="48">
        <f t="shared" si="6"/>
        <v>0</v>
      </c>
      <c r="O19" s="48">
        <f t="shared" si="6"/>
        <v>0</v>
      </c>
      <c r="P19" s="48">
        <f t="shared" si="1"/>
        <v>0</v>
      </c>
      <c r="Q19" s="48">
        <f>IF(D19=0,-Q55*$C55*(1+Q$57)*(1+Q$58)*Q$59*$C$60,(D19/(D55*D$59))*Q55*(1+Q$58)*Q$59*$C$60)</f>
        <v>0</v>
      </c>
      <c r="R19" s="48">
        <f>IF(Q19=0,-R55*$C55*(1+R$57)*(1+R$58)*R$59*$C$60,(Q19/(Q55*Q$59))*R55*(1+R$58)*R$59)</f>
        <v>0</v>
      </c>
      <c r="S19" s="48">
        <f>IF(R19=0,-S55*$C55*(1+S$57)*(1+S$58)*S$59*$C$60,(R19/(R55*R$59))*S55*(1+S$58)*S$59)</f>
        <v>0</v>
      </c>
      <c r="T19" s="48">
        <f>IF(S19=0,-T55*$C55*(1+T$57)*(1+T$58)*T$59*$C$60,(S19/(S55*S$59))*T55*(1+T$58)*T$59)</f>
        <v>0</v>
      </c>
    </row>
    <row r="20" spans="2:20" x14ac:dyDescent="0.35"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1" spans="2:20" s="32" customFormat="1" x14ac:dyDescent="0.35">
      <c r="B21" s="32" t="s">
        <v>6</v>
      </c>
      <c r="D21" s="42">
        <f>SUM(D11:D20)</f>
        <v>0</v>
      </c>
      <c r="E21" s="42">
        <f t="shared" ref="E21:P21" si="7">SUM(E11:E20)</f>
        <v>0</v>
      </c>
      <c r="F21" s="42">
        <f t="shared" si="7"/>
        <v>0</v>
      </c>
      <c r="G21" s="42">
        <f t="shared" si="7"/>
        <v>0</v>
      </c>
      <c r="H21" s="42">
        <f t="shared" si="7"/>
        <v>0</v>
      </c>
      <c r="I21" s="42">
        <f t="shared" si="7"/>
        <v>0</v>
      </c>
      <c r="J21" s="42">
        <f t="shared" si="7"/>
        <v>0</v>
      </c>
      <c r="K21" s="42">
        <f t="shared" si="7"/>
        <v>0</v>
      </c>
      <c r="L21" s="42">
        <f t="shared" si="7"/>
        <v>0</v>
      </c>
      <c r="M21" s="42">
        <f t="shared" si="7"/>
        <v>0</v>
      </c>
      <c r="N21" s="42">
        <f t="shared" si="7"/>
        <v>0</v>
      </c>
      <c r="O21" s="42">
        <f t="shared" si="7"/>
        <v>0</v>
      </c>
      <c r="P21" s="42">
        <f t="shared" si="7"/>
        <v>0</v>
      </c>
      <c r="Q21" s="42">
        <f>SUM(Q11:Q20)</f>
        <v>0</v>
      </c>
      <c r="R21" s="42">
        <f>SUM(R11:R20)</f>
        <v>0</v>
      </c>
      <c r="S21" s="42">
        <f>SUM(S11:S20)</f>
        <v>0</v>
      </c>
      <c r="T21" s="42">
        <f>SUM(T11:T20)</f>
        <v>0</v>
      </c>
    </row>
    <row r="22" spans="2:20" x14ac:dyDescent="0.35"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</row>
    <row r="23" spans="2:20" x14ac:dyDescent="0.35">
      <c r="B23" s="30" t="s">
        <v>161</v>
      </c>
      <c r="C23" s="3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</row>
    <row r="24" spans="2:20" x14ac:dyDescent="0.35">
      <c r="B24" s="31" t="str">
        <f t="shared" ref="B24:B25" si="8">B63</f>
        <v>Figma design</v>
      </c>
      <c r="D24" s="48">
        <f>-D63</f>
        <v>-500</v>
      </c>
      <c r="E24" s="48">
        <f t="shared" ref="E24:O24" si="9">-E63</f>
        <v>-500</v>
      </c>
      <c r="F24" s="48">
        <f t="shared" si="9"/>
        <v>-500</v>
      </c>
      <c r="G24" s="48">
        <f t="shared" si="9"/>
        <v>-500</v>
      </c>
      <c r="H24" s="48">
        <f t="shared" si="9"/>
        <v>-500</v>
      </c>
      <c r="I24" s="48">
        <f t="shared" si="9"/>
        <v>-500</v>
      </c>
      <c r="J24" s="48">
        <f t="shared" si="9"/>
        <v>0</v>
      </c>
      <c r="K24" s="48">
        <f t="shared" si="9"/>
        <v>0</v>
      </c>
      <c r="L24" s="48">
        <f t="shared" si="9"/>
        <v>0</v>
      </c>
      <c r="M24" s="48">
        <f t="shared" si="9"/>
        <v>0</v>
      </c>
      <c r="N24" s="48">
        <f t="shared" si="9"/>
        <v>0</v>
      </c>
      <c r="O24" s="48">
        <f t="shared" si="9"/>
        <v>0</v>
      </c>
      <c r="P24" s="48">
        <f>SUM(D24:O24)</f>
        <v>-3000</v>
      </c>
      <c r="Q24" s="48">
        <f t="shared" ref="Q24:T24" si="10">-Q63*12</f>
        <v>0</v>
      </c>
      <c r="R24" s="48">
        <f t="shared" si="10"/>
        <v>0</v>
      </c>
      <c r="S24" s="48">
        <f t="shared" si="10"/>
        <v>0</v>
      </c>
      <c r="T24" s="48">
        <f t="shared" si="10"/>
        <v>0</v>
      </c>
    </row>
    <row r="25" spans="2:20" x14ac:dyDescent="0.35">
      <c r="B25" s="31" t="str">
        <f t="shared" si="8"/>
        <v>Licence/ software fees (Fixed Expenses)</v>
      </c>
      <c r="D25" s="48">
        <f t="shared" ref="D25:O25" si="11">-D64</f>
        <v>-51</v>
      </c>
      <c r="E25" s="48">
        <f t="shared" si="11"/>
        <v>-51</v>
      </c>
      <c r="F25" s="48">
        <f t="shared" si="11"/>
        <v>-51</v>
      </c>
      <c r="G25" s="48">
        <f t="shared" si="11"/>
        <v>-51</v>
      </c>
      <c r="H25" s="48">
        <f t="shared" si="11"/>
        <v>-51</v>
      </c>
      <c r="I25" s="48">
        <f t="shared" si="11"/>
        <v>-51</v>
      </c>
      <c r="J25" s="48">
        <f t="shared" si="11"/>
        <v>-51</v>
      </c>
      <c r="K25" s="48">
        <f t="shared" si="11"/>
        <v>-51</v>
      </c>
      <c r="L25" s="48">
        <f t="shared" si="11"/>
        <v>-51</v>
      </c>
      <c r="M25" s="48">
        <f t="shared" si="11"/>
        <v>-51</v>
      </c>
      <c r="N25" s="48">
        <f t="shared" si="11"/>
        <v>-581</v>
      </c>
      <c r="O25" s="48">
        <f t="shared" si="11"/>
        <v>-581</v>
      </c>
      <c r="P25" s="48">
        <f t="shared" ref="P25:P34" si="12">SUM(D25:O25)</f>
        <v>-1672</v>
      </c>
      <c r="Q25" s="48">
        <f>Q64*12</f>
        <v>-7872</v>
      </c>
      <c r="R25" s="48">
        <f>R64*12</f>
        <v>-13872</v>
      </c>
      <c r="S25" s="48">
        <f>S64*12</f>
        <v>-14149.440000000002</v>
      </c>
      <c r="T25" s="48">
        <f>T64*12</f>
        <v>-14432.428800000002</v>
      </c>
    </row>
    <row r="26" spans="2:20" x14ac:dyDescent="0.35">
      <c r="B26" s="31" t="str">
        <f t="shared" ref="B26:B34" si="13">B76</f>
        <v>Hardware maintenance</v>
      </c>
      <c r="D26" s="48">
        <f t="shared" ref="D26:O26" si="14">-D76</f>
        <v>0</v>
      </c>
      <c r="E26" s="48">
        <f t="shared" si="14"/>
        <v>0</v>
      </c>
      <c r="F26" s="48">
        <f t="shared" si="14"/>
        <v>0</v>
      </c>
      <c r="G26" s="48">
        <f t="shared" si="14"/>
        <v>0</v>
      </c>
      <c r="H26" s="48">
        <f t="shared" si="14"/>
        <v>0</v>
      </c>
      <c r="I26" s="48">
        <f t="shared" si="14"/>
        <v>0</v>
      </c>
      <c r="J26" s="48">
        <f t="shared" si="14"/>
        <v>0</v>
      </c>
      <c r="K26" s="48">
        <f t="shared" si="14"/>
        <v>0</v>
      </c>
      <c r="L26" s="48">
        <f t="shared" si="14"/>
        <v>0</v>
      </c>
      <c r="M26" s="48">
        <f t="shared" si="14"/>
        <v>0</v>
      </c>
      <c r="N26" s="48">
        <f t="shared" si="14"/>
        <v>0</v>
      </c>
      <c r="O26" s="48">
        <f t="shared" si="14"/>
        <v>0</v>
      </c>
      <c r="P26" s="48">
        <f t="shared" si="12"/>
        <v>0</v>
      </c>
      <c r="Q26" s="48">
        <f t="shared" ref="Q26:T29" si="15">-Q76*12</f>
        <v>0</v>
      </c>
      <c r="R26" s="48">
        <f t="shared" si="15"/>
        <v>0</v>
      </c>
      <c r="S26" s="48">
        <f t="shared" si="15"/>
        <v>0</v>
      </c>
      <c r="T26" s="48">
        <f t="shared" si="15"/>
        <v>0</v>
      </c>
    </row>
    <row r="27" spans="2:20" x14ac:dyDescent="0.35">
      <c r="B27" s="31" t="str">
        <f t="shared" si="13"/>
        <v>Office rent</v>
      </c>
      <c r="D27" s="48">
        <f t="shared" ref="D27:O27" si="16">-D77</f>
        <v>0</v>
      </c>
      <c r="E27" s="48">
        <f t="shared" si="16"/>
        <v>0</v>
      </c>
      <c r="F27" s="48">
        <f t="shared" si="16"/>
        <v>0</v>
      </c>
      <c r="G27" s="48">
        <f t="shared" si="16"/>
        <v>0</v>
      </c>
      <c r="H27" s="48">
        <f t="shared" si="16"/>
        <v>0</v>
      </c>
      <c r="I27" s="48">
        <f t="shared" si="16"/>
        <v>0</v>
      </c>
      <c r="J27" s="48">
        <f t="shared" si="16"/>
        <v>0</v>
      </c>
      <c r="K27" s="48">
        <f t="shared" si="16"/>
        <v>0</v>
      </c>
      <c r="L27" s="48">
        <f t="shared" si="16"/>
        <v>0</v>
      </c>
      <c r="M27" s="48">
        <f t="shared" si="16"/>
        <v>0</v>
      </c>
      <c r="N27" s="48">
        <f t="shared" si="16"/>
        <v>0</v>
      </c>
      <c r="O27" s="48">
        <f t="shared" si="16"/>
        <v>0</v>
      </c>
      <c r="P27" s="48">
        <f t="shared" si="12"/>
        <v>0</v>
      </c>
      <c r="Q27" s="48">
        <f t="shared" si="15"/>
        <v>0</v>
      </c>
      <c r="R27" s="48">
        <f t="shared" si="15"/>
        <v>0</v>
      </c>
      <c r="S27" s="48">
        <f t="shared" si="15"/>
        <v>0</v>
      </c>
      <c r="T27" s="48">
        <f t="shared" si="15"/>
        <v>0</v>
      </c>
    </row>
    <row r="28" spans="2:20" x14ac:dyDescent="0.35">
      <c r="B28" s="31" t="str">
        <f t="shared" si="13"/>
        <v>Water &amp; electricity</v>
      </c>
      <c r="D28" s="48">
        <f t="shared" ref="D28:O28" si="17">-D78</f>
        <v>0</v>
      </c>
      <c r="E28" s="48">
        <f t="shared" si="17"/>
        <v>0</v>
      </c>
      <c r="F28" s="48">
        <f t="shared" si="17"/>
        <v>0</v>
      </c>
      <c r="G28" s="48">
        <f t="shared" si="17"/>
        <v>0</v>
      </c>
      <c r="H28" s="48">
        <f t="shared" si="17"/>
        <v>0</v>
      </c>
      <c r="I28" s="48">
        <f t="shared" si="17"/>
        <v>0</v>
      </c>
      <c r="J28" s="48">
        <f t="shared" si="17"/>
        <v>0</v>
      </c>
      <c r="K28" s="48">
        <f t="shared" si="17"/>
        <v>0</v>
      </c>
      <c r="L28" s="48">
        <f t="shared" si="17"/>
        <v>0</v>
      </c>
      <c r="M28" s="48">
        <f t="shared" si="17"/>
        <v>0</v>
      </c>
      <c r="N28" s="48">
        <f t="shared" si="17"/>
        <v>0</v>
      </c>
      <c r="O28" s="48">
        <f t="shared" si="17"/>
        <v>0</v>
      </c>
      <c r="P28" s="48">
        <f t="shared" si="12"/>
        <v>0</v>
      </c>
      <c r="Q28" s="48">
        <f t="shared" si="15"/>
        <v>0</v>
      </c>
      <c r="R28" s="48">
        <f t="shared" si="15"/>
        <v>0</v>
      </c>
      <c r="S28" s="48">
        <f t="shared" si="15"/>
        <v>0</v>
      </c>
      <c r="T28" s="48">
        <f t="shared" si="15"/>
        <v>0</v>
      </c>
    </row>
    <row r="29" spans="2:20" x14ac:dyDescent="0.35">
      <c r="B29" s="31" t="str">
        <f t="shared" si="13"/>
        <v>Office expenses &amp; supplies (incl. printing facilities)</v>
      </c>
      <c r="D29" s="48">
        <f t="shared" ref="D29:O29" si="18">-D79</f>
        <v>0</v>
      </c>
      <c r="E29" s="48">
        <f t="shared" si="18"/>
        <v>0</v>
      </c>
      <c r="F29" s="48">
        <f t="shared" si="18"/>
        <v>0</v>
      </c>
      <c r="G29" s="48">
        <f t="shared" si="18"/>
        <v>0</v>
      </c>
      <c r="H29" s="48">
        <f t="shared" si="18"/>
        <v>0</v>
      </c>
      <c r="I29" s="48">
        <f t="shared" si="18"/>
        <v>0</v>
      </c>
      <c r="J29" s="48">
        <f t="shared" si="18"/>
        <v>0</v>
      </c>
      <c r="K29" s="48">
        <f t="shared" si="18"/>
        <v>0</v>
      </c>
      <c r="L29" s="48">
        <f t="shared" si="18"/>
        <v>0</v>
      </c>
      <c r="M29" s="48">
        <f t="shared" si="18"/>
        <v>0</v>
      </c>
      <c r="N29" s="48">
        <f t="shared" si="18"/>
        <v>0</v>
      </c>
      <c r="O29" s="48">
        <f t="shared" si="18"/>
        <v>0</v>
      </c>
      <c r="P29" s="48">
        <f t="shared" si="12"/>
        <v>0</v>
      </c>
      <c r="Q29" s="48">
        <f t="shared" si="15"/>
        <v>0</v>
      </c>
      <c r="R29" s="48">
        <f t="shared" si="15"/>
        <v>0</v>
      </c>
      <c r="S29" s="48">
        <f t="shared" si="15"/>
        <v>0</v>
      </c>
      <c r="T29" s="48">
        <f t="shared" si="15"/>
        <v>0</v>
      </c>
    </row>
    <row r="30" spans="2:20" x14ac:dyDescent="0.35">
      <c r="B30" s="31" t="str">
        <f t="shared" si="13"/>
        <v>Legal and other professional fees</v>
      </c>
      <c r="D30" s="48">
        <f t="shared" ref="D30:O30" si="19">-D80</f>
        <v>0</v>
      </c>
      <c r="E30" s="48">
        <f t="shared" si="19"/>
        <v>0</v>
      </c>
      <c r="F30" s="48">
        <f t="shared" si="19"/>
        <v>0</v>
      </c>
      <c r="G30" s="48">
        <f t="shared" si="19"/>
        <v>0</v>
      </c>
      <c r="H30" s="48">
        <f t="shared" si="19"/>
        <v>0</v>
      </c>
      <c r="I30" s="48">
        <f t="shared" si="19"/>
        <v>0</v>
      </c>
      <c r="J30" s="48">
        <f t="shared" si="19"/>
        <v>0</v>
      </c>
      <c r="K30" s="48">
        <f t="shared" si="19"/>
        <v>0</v>
      </c>
      <c r="L30" s="48">
        <f t="shared" si="19"/>
        <v>0</v>
      </c>
      <c r="M30" s="48">
        <f t="shared" si="19"/>
        <v>0</v>
      </c>
      <c r="N30" s="48">
        <f t="shared" si="19"/>
        <v>-1000</v>
      </c>
      <c r="O30" s="48">
        <f t="shared" si="19"/>
        <v>-1000</v>
      </c>
      <c r="P30" s="48">
        <f t="shared" si="12"/>
        <v>-2000</v>
      </c>
      <c r="Q30" s="48">
        <f t="shared" ref="Q30:T34" si="20">-Q80*12</f>
        <v>-1800</v>
      </c>
      <c r="R30" s="48">
        <f t="shared" si="20"/>
        <v>-7200</v>
      </c>
      <c r="S30" s="48">
        <f t="shared" si="20"/>
        <v>-7344</v>
      </c>
      <c r="T30" s="48">
        <f t="shared" si="20"/>
        <v>-7490.88</v>
      </c>
    </row>
    <row r="31" spans="2:20" x14ac:dyDescent="0.35">
      <c r="B31" s="31" t="str">
        <f t="shared" si="13"/>
        <v>Audit and accounting</v>
      </c>
      <c r="D31" s="48">
        <f t="shared" ref="D31:O31" si="21">-D81</f>
        <v>0</v>
      </c>
      <c r="E31" s="48">
        <f t="shared" si="21"/>
        <v>0</v>
      </c>
      <c r="F31" s="48">
        <f t="shared" si="21"/>
        <v>0</v>
      </c>
      <c r="G31" s="48">
        <f t="shared" si="21"/>
        <v>0</v>
      </c>
      <c r="H31" s="48">
        <f t="shared" si="21"/>
        <v>0</v>
      </c>
      <c r="I31" s="48">
        <f t="shared" si="21"/>
        <v>0</v>
      </c>
      <c r="J31" s="48">
        <f t="shared" si="21"/>
        <v>0</v>
      </c>
      <c r="K31" s="48">
        <f t="shared" si="21"/>
        <v>0</v>
      </c>
      <c r="L31" s="48">
        <f t="shared" si="21"/>
        <v>0</v>
      </c>
      <c r="M31" s="48">
        <f t="shared" si="21"/>
        <v>0</v>
      </c>
      <c r="N31" s="48">
        <f t="shared" si="21"/>
        <v>0</v>
      </c>
      <c r="O31" s="48">
        <f t="shared" si="21"/>
        <v>0</v>
      </c>
      <c r="P31" s="48">
        <f t="shared" si="12"/>
        <v>0</v>
      </c>
      <c r="Q31" s="48">
        <f t="shared" si="20"/>
        <v>-1200</v>
      </c>
      <c r="R31" s="48">
        <f t="shared" si="20"/>
        <v>-4800</v>
      </c>
      <c r="S31" s="48">
        <f t="shared" si="20"/>
        <v>-4896</v>
      </c>
      <c r="T31" s="48">
        <f t="shared" si="20"/>
        <v>-4993.92</v>
      </c>
    </row>
    <row r="32" spans="2:20" x14ac:dyDescent="0.35">
      <c r="B32" s="31" t="str">
        <f t="shared" si="13"/>
        <v>Entertainment</v>
      </c>
      <c r="D32" s="48">
        <f t="shared" ref="D32:O32" si="22">-D82</f>
        <v>0</v>
      </c>
      <c r="E32" s="48">
        <f t="shared" si="22"/>
        <v>0</v>
      </c>
      <c r="F32" s="48">
        <f t="shared" si="22"/>
        <v>0</v>
      </c>
      <c r="G32" s="48">
        <f t="shared" si="22"/>
        <v>0</v>
      </c>
      <c r="H32" s="48">
        <f t="shared" si="22"/>
        <v>0</v>
      </c>
      <c r="I32" s="48">
        <f t="shared" si="22"/>
        <v>0</v>
      </c>
      <c r="J32" s="48">
        <f t="shared" si="22"/>
        <v>0</v>
      </c>
      <c r="K32" s="48">
        <f t="shared" si="22"/>
        <v>0</v>
      </c>
      <c r="L32" s="48">
        <f t="shared" si="22"/>
        <v>0</v>
      </c>
      <c r="M32" s="48">
        <f t="shared" si="22"/>
        <v>0</v>
      </c>
      <c r="N32" s="48">
        <f t="shared" si="22"/>
        <v>0</v>
      </c>
      <c r="O32" s="48">
        <f t="shared" si="22"/>
        <v>0</v>
      </c>
      <c r="P32" s="48">
        <f t="shared" si="12"/>
        <v>0</v>
      </c>
      <c r="Q32" s="48">
        <f t="shared" si="20"/>
        <v>0</v>
      </c>
      <c r="R32" s="48">
        <f t="shared" si="20"/>
        <v>0</v>
      </c>
      <c r="S32" s="48">
        <f t="shared" si="20"/>
        <v>0</v>
      </c>
      <c r="T32" s="48">
        <f t="shared" si="20"/>
        <v>0</v>
      </c>
    </row>
    <row r="33" spans="2:35" x14ac:dyDescent="0.35">
      <c r="B33" s="31" t="str">
        <f t="shared" si="13"/>
        <v>Insurance cover</v>
      </c>
      <c r="D33" s="48">
        <f t="shared" ref="D33:O33" si="23">-D83</f>
        <v>0</v>
      </c>
      <c r="E33" s="48">
        <f t="shared" si="23"/>
        <v>0</v>
      </c>
      <c r="F33" s="48">
        <f t="shared" si="23"/>
        <v>0</v>
      </c>
      <c r="G33" s="48">
        <f t="shared" si="23"/>
        <v>0</v>
      </c>
      <c r="H33" s="48">
        <f t="shared" si="23"/>
        <v>0</v>
      </c>
      <c r="I33" s="48">
        <f t="shared" si="23"/>
        <v>0</v>
      </c>
      <c r="J33" s="48">
        <f t="shared" si="23"/>
        <v>0</v>
      </c>
      <c r="K33" s="48">
        <f t="shared" si="23"/>
        <v>0</v>
      </c>
      <c r="L33" s="48">
        <f t="shared" si="23"/>
        <v>0</v>
      </c>
      <c r="M33" s="48">
        <f t="shared" si="23"/>
        <v>0</v>
      </c>
      <c r="N33" s="48">
        <f t="shared" si="23"/>
        <v>0</v>
      </c>
      <c r="O33" s="48">
        <f t="shared" si="23"/>
        <v>0</v>
      </c>
      <c r="P33" s="48">
        <f t="shared" si="12"/>
        <v>0</v>
      </c>
      <c r="Q33" s="48">
        <f t="shared" si="20"/>
        <v>0</v>
      </c>
      <c r="R33" s="48">
        <f t="shared" si="20"/>
        <v>0</v>
      </c>
      <c r="S33" s="48">
        <f t="shared" si="20"/>
        <v>0</v>
      </c>
      <c r="T33" s="48">
        <f t="shared" si="20"/>
        <v>0</v>
      </c>
    </row>
    <row r="34" spans="2:35" x14ac:dyDescent="0.35">
      <c r="B34" s="31" t="str">
        <f t="shared" si="13"/>
        <v>Contingencies (% on revenues)</v>
      </c>
      <c r="D34" s="48">
        <f>-D84</f>
        <v>-44.08</v>
      </c>
      <c r="E34" s="48">
        <f t="shared" ref="E34:O34" si="24">-E84</f>
        <v>-44.08</v>
      </c>
      <c r="F34" s="48">
        <f t="shared" si="24"/>
        <v>-44.08</v>
      </c>
      <c r="G34" s="48">
        <f t="shared" si="24"/>
        <v>-44.08</v>
      </c>
      <c r="H34" s="48">
        <f t="shared" si="24"/>
        <v>-44.08</v>
      </c>
      <c r="I34" s="48">
        <f t="shared" si="24"/>
        <v>-44.08</v>
      </c>
      <c r="J34" s="48">
        <f t="shared" si="24"/>
        <v>-4.08</v>
      </c>
      <c r="K34" s="48">
        <f t="shared" si="24"/>
        <v>-4.08</v>
      </c>
      <c r="L34" s="48">
        <f t="shared" si="24"/>
        <v>-4.08</v>
      </c>
      <c r="M34" s="48">
        <f t="shared" si="24"/>
        <v>-4.08</v>
      </c>
      <c r="N34" s="48">
        <f t="shared" si="24"/>
        <v>-126.48</v>
      </c>
      <c r="O34" s="48">
        <f t="shared" si="24"/>
        <v>-126.48</v>
      </c>
      <c r="P34" s="48">
        <f t="shared" si="12"/>
        <v>-533.75999999999988</v>
      </c>
      <c r="Q34" s="48">
        <f t="shared" si="20"/>
        <v>-869.76</v>
      </c>
      <c r="R34" s="48">
        <f t="shared" si="20"/>
        <v>-2069.7600000000002</v>
      </c>
      <c r="S34" s="48">
        <f t="shared" si="20"/>
        <v>-2111.1552000000001</v>
      </c>
      <c r="T34" s="48">
        <f t="shared" si="20"/>
        <v>-2153.3783040000003</v>
      </c>
    </row>
    <row r="35" spans="2:35" ht="12.75" customHeight="1" x14ac:dyDescent="0.35"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</row>
    <row r="36" spans="2:35" s="32" customFormat="1" x14ac:dyDescent="0.35">
      <c r="B36" s="32" t="s">
        <v>6</v>
      </c>
      <c r="D36" s="42">
        <f>SUM(D24:D35)</f>
        <v>-595.08000000000004</v>
      </c>
      <c r="E36" s="42">
        <f t="shared" ref="E36:P36" si="25">SUM(E24:E35)</f>
        <v>-595.08000000000004</v>
      </c>
      <c r="F36" s="42">
        <f t="shared" si="25"/>
        <v>-595.08000000000004</v>
      </c>
      <c r="G36" s="42">
        <f t="shared" si="25"/>
        <v>-595.08000000000004</v>
      </c>
      <c r="H36" s="42">
        <f t="shared" si="25"/>
        <v>-595.08000000000004</v>
      </c>
      <c r="I36" s="42">
        <f t="shared" si="25"/>
        <v>-595.08000000000004</v>
      </c>
      <c r="J36" s="42">
        <f t="shared" si="25"/>
        <v>-55.08</v>
      </c>
      <c r="K36" s="42">
        <f t="shared" si="25"/>
        <v>-55.08</v>
      </c>
      <c r="L36" s="42">
        <f t="shared" si="25"/>
        <v>-55.08</v>
      </c>
      <c r="M36" s="42">
        <f t="shared" si="25"/>
        <v>-55.08</v>
      </c>
      <c r="N36" s="42">
        <f t="shared" si="25"/>
        <v>-1707.48</v>
      </c>
      <c r="O36" s="42">
        <f t="shared" si="25"/>
        <v>-1707.48</v>
      </c>
      <c r="P36" s="42">
        <f t="shared" si="25"/>
        <v>-7205.76</v>
      </c>
      <c r="Q36" s="42">
        <f>SUM(Q24:Q35)</f>
        <v>-11741.76</v>
      </c>
      <c r="R36" s="42">
        <f>SUM(R24:R35)</f>
        <v>-27941.760000000002</v>
      </c>
      <c r="S36" s="42">
        <f>SUM(S24:S35)</f>
        <v>-28500.595200000003</v>
      </c>
      <c r="T36" s="42">
        <f>SUM(T24:T35)</f>
        <v>-29070.607104000006</v>
      </c>
    </row>
    <row r="37" spans="2:35" s="32" customFormat="1" x14ac:dyDescent="0.35"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2:35" s="32" customFormat="1" x14ac:dyDescent="0.35">
      <c r="B38" s="30" t="str">
        <f>B86</f>
        <v>Marketing/advertising/ promotional expenses</v>
      </c>
      <c r="C38" s="38"/>
      <c r="D38" s="42">
        <f>-D87-$C$89*Revenue!C18</f>
        <v>-250</v>
      </c>
      <c r="E38" s="42">
        <f>-E87-$C$89*Revenue!D18</f>
        <v>-250</v>
      </c>
      <c r="F38" s="42">
        <f>-F87-$C$89*Revenue!E18</f>
        <v>-250</v>
      </c>
      <c r="G38" s="42">
        <f>-G87-$C$89*Revenue!F18</f>
        <v>-250</v>
      </c>
      <c r="H38" s="42">
        <f>-H87-$C$89*Revenue!G18</f>
        <v>0</v>
      </c>
      <c r="I38" s="42">
        <f>-I87-$C$89*Revenue!H18</f>
        <v>0</v>
      </c>
      <c r="J38" s="42">
        <f>-J87-$C$89*Revenue!I18</f>
        <v>0</v>
      </c>
      <c r="K38" s="42">
        <f>-K87-$C$89*Revenue!J18</f>
        <v>0</v>
      </c>
      <c r="L38" s="42">
        <f>-L87-$C$89*Revenue!K18</f>
        <v>-74.25</v>
      </c>
      <c r="M38" s="42">
        <f>-M87-$C$89*Revenue!L18</f>
        <v>-97.882500000000007</v>
      </c>
      <c r="N38" s="42">
        <f>-N87-$C$89*Revenue!M18</f>
        <v>-1620.9825000000001</v>
      </c>
      <c r="O38" s="42">
        <f>-O87-$C$89*Revenue!N18</f>
        <v>-1659.8414250000001</v>
      </c>
      <c r="P38" s="132">
        <f>SUM(D38:O38)</f>
        <v>-4452.9564250000003</v>
      </c>
      <c r="Q38" s="42">
        <f>-Q87-$C$89*Revenue!P18</f>
        <v>-2543.9346926250005</v>
      </c>
      <c r="R38" s="42">
        <f>-R87-$C$89*Revenue!Q18</f>
        <v>-3336.8246423688752</v>
      </c>
      <c r="S38" s="42">
        <f>-S87-$C$89*Revenue!R18</f>
        <v>-4387.134413706709</v>
      </c>
      <c r="T38" s="42">
        <f>-T87-$C$89*Revenue!S18</f>
        <v>-5779.4460365157165</v>
      </c>
    </row>
    <row r="39" spans="2:35" s="32" customFormat="1" x14ac:dyDescent="0.35"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</row>
    <row r="40" spans="2:35" s="32" customFormat="1" x14ac:dyDescent="0.35">
      <c r="B40" s="32" t="s">
        <v>162</v>
      </c>
      <c r="D40" s="42">
        <f>D21+D36+D38</f>
        <v>-845.08</v>
      </c>
      <c r="E40" s="42">
        <f t="shared" ref="E40:O40" si="26">E21+E36+E38</f>
        <v>-845.08</v>
      </c>
      <c r="F40" s="42">
        <f t="shared" si="26"/>
        <v>-845.08</v>
      </c>
      <c r="G40" s="42">
        <f t="shared" si="26"/>
        <v>-845.08</v>
      </c>
      <c r="H40" s="42">
        <f t="shared" si="26"/>
        <v>-595.08000000000004</v>
      </c>
      <c r="I40" s="42">
        <f t="shared" si="26"/>
        <v>-595.08000000000004</v>
      </c>
      <c r="J40" s="42">
        <f t="shared" si="26"/>
        <v>-55.08</v>
      </c>
      <c r="K40" s="42">
        <f t="shared" si="26"/>
        <v>-55.08</v>
      </c>
      <c r="L40" s="42">
        <f t="shared" si="26"/>
        <v>-129.32999999999998</v>
      </c>
      <c r="M40" s="42">
        <f t="shared" si="26"/>
        <v>-152.96250000000001</v>
      </c>
      <c r="N40" s="42">
        <f t="shared" si="26"/>
        <v>-3328.4625000000001</v>
      </c>
      <c r="O40" s="42">
        <f t="shared" si="26"/>
        <v>-3367.3214250000001</v>
      </c>
      <c r="P40" s="42">
        <f>P21+P36+P38</f>
        <v>-11658.716425000001</v>
      </c>
      <c r="Q40" s="42">
        <f>Q21+Q36+Q38</f>
        <v>-14285.694692625</v>
      </c>
      <c r="R40" s="42">
        <f>R21+R36+R38</f>
        <v>-31278.584642368878</v>
      </c>
      <c r="S40" s="42">
        <f>S21+S36+S38</f>
        <v>-32887.72961370671</v>
      </c>
      <c r="T40" s="42">
        <f>T21+T36+T38</f>
        <v>-34850.053140515723</v>
      </c>
    </row>
    <row r="41" spans="2:35" x14ac:dyDescent="0.35">
      <c r="Q41" s="60"/>
      <c r="R41" s="60"/>
      <c r="S41" s="60"/>
      <c r="T41" s="60"/>
    </row>
    <row r="42" spans="2:35" ht="15" thickBot="1" x14ac:dyDescent="0.4"/>
    <row r="43" spans="2:35" ht="15.75" customHeight="1" x14ac:dyDescent="0.35">
      <c r="B43" s="43" t="s">
        <v>140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59"/>
      <c r="V43" s="577" t="s">
        <v>473</v>
      </c>
      <c r="W43" s="578"/>
      <c r="X43" s="578"/>
      <c r="Y43" s="578"/>
      <c r="Z43" s="578"/>
      <c r="AA43" s="578"/>
      <c r="AB43" s="578"/>
      <c r="AC43" s="578"/>
      <c r="AD43" s="578"/>
      <c r="AE43" s="578"/>
      <c r="AF43" s="578"/>
      <c r="AG43" s="578"/>
      <c r="AH43" s="578"/>
      <c r="AI43" s="579"/>
    </row>
    <row r="44" spans="2:35" x14ac:dyDescent="0.35">
      <c r="V44" s="580"/>
      <c r="W44" s="581"/>
      <c r="X44" s="581"/>
      <c r="Y44" s="581"/>
      <c r="Z44" s="581"/>
      <c r="AA44" s="581"/>
      <c r="AB44" s="581"/>
      <c r="AC44" s="581"/>
      <c r="AD44" s="581"/>
      <c r="AE44" s="581"/>
      <c r="AF44" s="581"/>
      <c r="AG44" s="581"/>
      <c r="AH44" s="581"/>
      <c r="AI44" s="582"/>
    </row>
    <row r="45" spans="2:35" ht="16.5" customHeight="1" x14ac:dyDescent="0.35">
      <c r="B45" s="30" t="s">
        <v>222</v>
      </c>
      <c r="C45" s="103" t="s">
        <v>251</v>
      </c>
      <c r="V45" s="580"/>
      <c r="W45" s="581">
        <v>1</v>
      </c>
      <c r="X45" s="581">
        <v>2</v>
      </c>
      <c r="Y45" s="581">
        <v>3</v>
      </c>
      <c r="Z45" s="581">
        <v>4</v>
      </c>
      <c r="AA45" s="581">
        <v>5</v>
      </c>
      <c r="AB45" s="581">
        <v>6</v>
      </c>
      <c r="AC45" s="581">
        <v>7</v>
      </c>
      <c r="AD45" s="581">
        <v>8</v>
      </c>
      <c r="AE45" s="581">
        <v>9</v>
      </c>
      <c r="AF45" s="581">
        <v>10</v>
      </c>
      <c r="AG45" s="581">
        <v>11</v>
      </c>
      <c r="AH45" s="581">
        <v>12</v>
      </c>
      <c r="AI45" s="582"/>
    </row>
    <row r="46" spans="2:35" ht="16.5" customHeight="1" x14ac:dyDescent="0.35">
      <c r="B46" s="45" t="s">
        <v>240</v>
      </c>
      <c r="C46" s="105"/>
      <c r="V46" s="580" t="s">
        <v>468</v>
      </c>
      <c r="W46" s="583">
        <v>-275</v>
      </c>
      <c r="X46" s="583">
        <v>-275</v>
      </c>
      <c r="Y46" s="583">
        <v>-275</v>
      </c>
      <c r="Z46" s="583">
        <v>-275</v>
      </c>
      <c r="AA46" s="583">
        <v>-275</v>
      </c>
      <c r="AB46" s="583">
        <v>-275</v>
      </c>
      <c r="AC46" s="583">
        <v>-275</v>
      </c>
      <c r="AD46" s="583">
        <v>-275</v>
      </c>
      <c r="AE46" s="583">
        <v>-275</v>
      </c>
      <c r="AF46" s="583">
        <v>-275</v>
      </c>
      <c r="AG46" s="583">
        <v>-275</v>
      </c>
      <c r="AH46" s="583">
        <v>-275</v>
      </c>
      <c r="AI46" s="584">
        <f>SUM(W46:AH46)</f>
        <v>-3300</v>
      </c>
    </row>
    <row r="47" spans="2:35" x14ac:dyDescent="0.35">
      <c r="B47" s="31" t="s">
        <v>349</v>
      </c>
      <c r="C47" s="52">
        <v>0</v>
      </c>
      <c r="D47" s="52">
        <v>1</v>
      </c>
      <c r="E47" s="52">
        <f>D47</f>
        <v>1</v>
      </c>
      <c r="F47" s="52">
        <f t="shared" ref="F47:O47" si="27">E47</f>
        <v>1</v>
      </c>
      <c r="G47" s="52">
        <f t="shared" si="27"/>
        <v>1</v>
      </c>
      <c r="H47" s="52">
        <f t="shared" si="27"/>
        <v>1</v>
      </c>
      <c r="I47" s="52">
        <f t="shared" si="27"/>
        <v>1</v>
      </c>
      <c r="J47" s="52">
        <f t="shared" si="27"/>
        <v>1</v>
      </c>
      <c r="K47" s="52">
        <f t="shared" si="27"/>
        <v>1</v>
      </c>
      <c r="L47" s="52">
        <f t="shared" si="27"/>
        <v>1</v>
      </c>
      <c r="M47" s="52">
        <f t="shared" si="27"/>
        <v>1</v>
      </c>
      <c r="N47" s="52">
        <f t="shared" si="27"/>
        <v>1</v>
      </c>
      <c r="O47" s="52">
        <f t="shared" si="27"/>
        <v>1</v>
      </c>
      <c r="P47" s="52"/>
      <c r="Q47" s="52">
        <f>O47</f>
        <v>1</v>
      </c>
      <c r="R47" s="52">
        <f>Q47</f>
        <v>1</v>
      </c>
      <c r="S47" s="52">
        <f t="shared" ref="S47:T47" si="28">R47</f>
        <v>1</v>
      </c>
      <c r="T47" s="52">
        <f t="shared" si="28"/>
        <v>1</v>
      </c>
      <c r="V47" s="580"/>
      <c r="W47" s="581"/>
      <c r="X47" s="581"/>
      <c r="Y47" s="581"/>
      <c r="Z47" s="581"/>
      <c r="AA47" s="581"/>
      <c r="AB47" s="581"/>
      <c r="AC47" s="581"/>
      <c r="AD47" s="581"/>
      <c r="AE47" s="581"/>
      <c r="AF47" s="581"/>
      <c r="AG47" s="581"/>
      <c r="AH47" s="581"/>
      <c r="AI47" s="582">
        <v>1200</v>
      </c>
    </row>
    <row r="48" spans="2:35" x14ac:dyDescent="0.35">
      <c r="B48" s="31" t="s">
        <v>461</v>
      </c>
      <c r="C48" s="52">
        <v>0</v>
      </c>
      <c r="D48" s="52">
        <v>1</v>
      </c>
      <c r="E48" s="52">
        <f t="shared" ref="E48:O53" si="29">D48</f>
        <v>1</v>
      </c>
      <c r="F48" s="52">
        <f t="shared" si="29"/>
        <v>1</v>
      </c>
      <c r="G48" s="52">
        <f t="shared" si="29"/>
        <v>1</v>
      </c>
      <c r="H48" s="52">
        <f t="shared" si="29"/>
        <v>1</v>
      </c>
      <c r="I48" s="52">
        <f t="shared" si="29"/>
        <v>1</v>
      </c>
      <c r="J48" s="52">
        <f t="shared" si="29"/>
        <v>1</v>
      </c>
      <c r="K48" s="52">
        <f t="shared" si="29"/>
        <v>1</v>
      </c>
      <c r="L48" s="52">
        <f t="shared" si="29"/>
        <v>1</v>
      </c>
      <c r="M48" s="52">
        <f t="shared" si="29"/>
        <v>1</v>
      </c>
      <c r="N48" s="52">
        <f t="shared" si="29"/>
        <v>1</v>
      </c>
      <c r="O48" s="52">
        <f t="shared" si="29"/>
        <v>1</v>
      </c>
      <c r="P48" s="52"/>
      <c r="Q48" s="52">
        <f t="shared" ref="Q48:Q55" si="30">O48</f>
        <v>1</v>
      </c>
      <c r="R48" s="52">
        <f t="shared" ref="R48:T48" si="31">Q48</f>
        <v>1</v>
      </c>
      <c r="S48" s="52">
        <f t="shared" si="31"/>
        <v>1</v>
      </c>
      <c r="T48" s="52">
        <f t="shared" si="31"/>
        <v>1</v>
      </c>
      <c r="V48" s="580"/>
      <c r="W48" s="581"/>
      <c r="X48" s="581"/>
      <c r="Y48" s="581"/>
      <c r="Z48" s="581"/>
      <c r="AA48" s="581"/>
      <c r="AB48" s="581"/>
      <c r="AC48" s="581"/>
      <c r="AD48" s="581"/>
      <c r="AE48" s="581"/>
      <c r="AF48" s="581"/>
      <c r="AG48" s="581"/>
      <c r="AH48" s="581"/>
      <c r="AI48" s="584">
        <f>SUM(AI46:AI47)</f>
        <v>-2100</v>
      </c>
    </row>
    <row r="49" spans="2:35" x14ac:dyDescent="0.35">
      <c r="B49" s="31" t="s">
        <v>460</v>
      </c>
      <c r="C49" s="52">
        <v>0</v>
      </c>
      <c r="D49" s="52">
        <v>1</v>
      </c>
      <c r="E49" s="52">
        <f t="shared" ref="E49" si="32">D49</f>
        <v>1</v>
      </c>
      <c r="F49" s="52">
        <f t="shared" ref="F49" si="33">E49</f>
        <v>1</v>
      </c>
      <c r="G49" s="52">
        <f t="shared" ref="G49" si="34">F49</f>
        <v>1</v>
      </c>
      <c r="H49" s="52">
        <f t="shared" ref="H49" si="35">G49</f>
        <v>1</v>
      </c>
      <c r="I49" s="52">
        <f t="shared" ref="I49" si="36">H49</f>
        <v>1</v>
      </c>
      <c r="J49" s="52">
        <f t="shared" ref="J49" si="37">I49</f>
        <v>1</v>
      </c>
      <c r="K49" s="52">
        <f t="shared" ref="K49" si="38">J49</f>
        <v>1</v>
      </c>
      <c r="L49" s="52">
        <f t="shared" ref="L49" si="39">K49</f>
        <v>1</v>
      </c>
      <c r="M49" s="52">
        <f t="shared" ref="M49" si="40">L49</f>
        <v>1</v>
      </c>
      <c r="N49" s="52">
        <f t="shared" ref="N49" si="41">M49</f>
        <v>1</v>
      </c>
      <c r="O49" s="52">
        <f t="shared" ref="O49" si="42">N49</f>
        <v>1</v>
      </c>
      <c r="P49" s="52"/>
      <c r="Q49" s="52">
        <f t="shared" ref="Q49" si="43">O49</f>
        <v>1</v>
      </c>
      <c r="R49" s="52">
        <f t="shared" ref="R49" si="44">Q49</f>
        <v>1</v>
      </c>
      <c r="S49" s="52">
        <f t="shared" ref="S49" si="45">R49</f>
        <v>1</v>
      </c>
      <c r="T49" s="52">
        <f t="shared" ref="T49" si="46">S49</f>
        <v>1</v>
      </c>
      <c r="V49" s="580"/>
      <c r="W49" s="581"/>
      <c r="X49" s="581"/>
      <c r="Y49" s="581"/>
      <c r="Z49" s="581"/>
      <c r="AA49" s="581"/>
      <c r="AB49" s="581"/>
      <c r="AC49" s="581"/>
      <c r="AD49" s="581"/>
      <c r="AE49" s="581"/>
      <c r="AF49" s="581"/>
      <c r="AG49" s="581"/>
      <c r="AH49" s="581"/>
      <c r="AI49" s="582"/>
    </row>
    <row r="50" spans="2:35" x14ac:dyDescent="0.35">
      <c r="B50" s="31" t="s">
        <v>351</v>
      </c>
      <c r="C50" s="52">
        <v>0</v>
      </c>
      <c r="D50" s="52">
        <v>0</v>
      </c>
      <c r="E50" s="52">
        <f t="shared" si="29"/>
        <v>0</v>
      </c>
      <c r="F50" s="52">
        <f t="shared" si="29"/>
        <v>0</v>
      </c>
      <c r="G50" s="52">
        <f t="shared" si="29"/>
        <v>0</v>
      </c>
      <c r="H50" s="52">
        <f t="shared" si="29"/>
        <v>0</v>
      </c>
      <c r="I50" s="52">
        <f t="shared" si="29"/>
        <v>0</v>
      </c>
      <c r="J50" s="52">
        <v>1</v>
      </c>
      <c r="K50" s="52">
        <f t="shared" si="29"/>
        <v>1</v>
      </c>
      <c r="L50" s="52">
        <f t="shared" si="29"/>
        <v>1</v>
      </c>
      <c r="M50" s="52">
        <f t="shared" si="29"/>
        <v>1</v>
      </c>
      <c r="N50" s="52">
        <f t="shared" si="29"/>
        <v>1</v>
      </c>
      <c r="O50" s="52">
        <f t="shared" si="29"/>
        <v>1</v>
      </c>
      <c r="P50" s="52"/>
      <c r="Q50" s="52">
        <f t="shared" si="30"/>
        <v>1</v>
      </c>
      <c r="R50" s="52">
        <f t="shared" ref="R50:T54" si="47">Q50</f>
        <v>1</v>
      </c>
      <c r="S50" s="52">
        <f t="shared" si="47"/>
        <v>1</v>
      </c>
      <c r="T50" s="52">
        <f t="shared" si="47"/>
        <v>1</v>
      </c>
      <c r="V50" s="580" t="s">
        <v>469</v>
      </c>
      <c r="W50" s="583">
        <v>-250</v>
      </c>
      <c r="X50" s="583">
        <v>-250</v>
      </c>
      <c r="Y50" s="583">
        <v>-250</v>
      </c>
      <c r="Z50" s="583">
        <v>-250</v>
      </c>
      <c r="AA50" s="583">
        <v>-250</v>
      </c>
      <c r="AB50" s="583">
        <v>-250</v>
      </c>
      <c r="AC50" s="583">
        <v>-250</v>
      </c>
      <c r="AD50" s="583">
        <v>-250</v>
      </c>
      <c r="AE50" s="583">
        <v>-250</v>
      </c>
      <c r="AF50" s="583">
        <v>-250</v>
      </c>
      <c r="AG50" s="583">
        <v>-250</v>
      </c>
      <c r="AH50" s="583">
        <v>-250</v>
      </c>
      <c r="AI50" s="582"/>
    </row>
    <row r="51" spans="2:35" x14ac:dyDescent="0.35">
      <c r="B51" s="31" t="s">
        <v>497</v>
      </c>
      <c r="C51" s="52">
        <v>0</v>
      </c>
      <c r="D51" s="52">
        <v>0</v>
      </c>
      <c r="E51" s="52">
        <f t="shared" si="29"/>
        <v>0</v>
      </c>
      <c r="F51" s="52">
        <f t="shared" si="29"/>
        <v>0</v>
      </c>
      <c r="G51" s="52">
        <f t="shared" si="29"/>
        <v>0</v>
      </c>
      <c r="H51" s="52">
        <f t="shared" si="29"/>
        <v>0</v>
      </c>
      <c r="I51" s="52">
        <f t="shared" si="29"/>
        <v>0</v>
      </c>
      <c r="J51" s="52">
        <f t="shared" si="29"/>
        <v>0</v>
      </c>
      <c r="K51" s="52">
        <f t="shared" si="29"/>
        <v>0</v>
      </c>
      <c r="L51" s="52">
        <f t="shared" si="29"/>
        <v>0</v>
      </c>
      <c r="M51" s="52">
        <f t="shared" si="29"/>
        <v>0</v>
      </c>
      <c r="N51" s="52">
        <f t="shared" si="29"/>
        <v>0</v>
      </c>
      <c r="O51" s="52">
        <f t="shared" si="29"/>
        <v>0</v>
      </c>
      <c r="P51" s="52"/>
      <c r="Q51" s="52">
        <v>1</v>
      </c>
      <c r="R51" s="52">
        <v>4</v>
      </c>
      <c r="S51" s="52">
        <v>5</v>
      </c>
      <c r="T51" s="52">
        <v>6</v>
      </c>
      <c r="V51" s="580" t="s">
        <v>470</v>
      </c>
      <c r="W51" s="581">
        <v>200</v>
      </c>
      <c r="X51" s="581">
        <v>200</v>
      </c>
      <c r="Y51" s="581">
        <v>200</v>
      </c>
      <c r="Z51" s="581">
        <v>200</v>
      </c>
      <c r="AA51" s="581">
        <v>200</v>
      </c>
      <c r="AB51" s="581">
        <v>200</v>
      </c>
      <c r="AC51" s="581">
        <v>200</v>
      </c>
      <c r="AD51" s="581">
        <v>200</v>
      </c>
      <c r="AE51" s="581">
        <v>200</v>
      </c>
      <c r="AF51" s="581">
        <v>200</v>
      </c>
      <c r="AG51" s="581">
        <v>200</v>
      </c>
      <c r="AH51" s="581">
        <v>200</v>
      </c>
      <c r="AI51" s="582"/>
    </row>
    <row r="52" spans="2:35" x14ac:dyDescent="0.35">
      <c r="B52" s="31" t="s">
        <v>353</v>
      </c>
      <c r="C52" s="52">
        <v>0</v>
      </c>
      <c r="D52" s="52">
        <v>0</v>
      </c>
      <c r="E52" s="52">
        <f t="shared" si="29"/>
        <v>0</v>
      </c>
      <c r="F52" s="52">
        <f t="shared" si="29"/>
        <v>0</v>
      </c>
      <c r="G52" s="52">
        <f t="shared" si="29"/>
        <v>0</v>
      </c>
      <c r="H52" s="52">
        <f t="shared" si="29"/>
        <v>0</v>
      </c>
      <c r="I52" s="52">
        <f t="shared" si="29"/>
        <v>0</v>
      </c>
      <c r="J52" s="52">
        <f t="shared" si="29"/>
        <v>0</v>
      </c>
      <c r="K52" s="52">
        <f t="shared" si="29"/>
        <v>0</v>
      </c>
      <c r="L52" s="52">
        <f t="shared" si="29"/>
        <v>0</v>
      </c>
      <c r="M52" s="52">
        <f t="shared" si="29"/>
        <v>0</v>
      </c>
      <c r="N52" s="52">
        <f t="shared" si="29"/>
        <v>0</v>
      </c>
      <c r="O52" s="52">
        <f t="shared" si="29"/>
        <v>0</v>
      </c>
      <c r="P52" s="52"/>
      <c r="Q52" s="52">
        <f t="shared" si="30"/>
        <v>0</v>
      </c>
      <c r="R52" s="52">
        <f t="shared" ref="R52" si="48">Q52</f>
        <v>0</v>
      </c>
      <c r="S52" s="52">
        <f t="shared" ref="S52" si="49">R52</f>
        <v>0</v>
      </c>
      <c r="T52" s="52">
        <f t="shared" ref="T52" si="50">S52</f>
        <v>0</v>
      </c>
      <c r="V52" s="580"/>
      <c r="W52" s="583">
        <f>SUM(W50:W51)</f>
        <v>-50</v>
      </c>
      <c r="X52" s="583">
        <f t="shared" ref="X52:AH52" si="51">SUM(X50:X51)</f>
        <v>-50</v>
      </c>
      <c r="Y52" s="583">
        <f t="shared" si="51"/>
        <v>-50</v>
      </c>
      <c r="Z52" s="583">
        <f t="shared" si="51"/>
        <v>-50</v>
      </c>
      <c r="AA52" s="583">
        <f t="shared" si="51"/>
        <v>-50</v>
      </c>
      <c r="AB52" s="583">
        <f t="shared" si="51"/>
        <v>-50</v>
      </c>
      <c r="AC52" s="583">
        <f t="shared" si="51"/>
        <v>-50</v>
      </c>
      <c r="AD52" s="583">
        <f t="shared" si="51"/>
        <v>-50</v>
      </c>
      <c r="AE52" s="583">
        <f t="shared" si="51"/>
        <v>-50</v>
      </c>
      <c r="AF52" s="583">
        <f t="shared" si="51"/>
        <v>-50</v>
      </c>
      <c r="AG52" s="583">
        <f t="shared" si="51"/>
        <v>-50</v>
      </c>
      <c r="AH52" s="583">
        <f t="shared" si="51"/>
        <v>-50</v>
      </c>
      <c r="AI52" s="584">
        <f>SUM(W52:AH52)</f>
        <v>-600</v>
      </c>
    </row>
    <row r="53" spans="2:35" x14ac:dyDescent="0.35">
      <c r="B53" s="31" t="s">
        <v>498</v>
      </c>
      <c r="C53" s="52">
        <v>0</v>
      </c>
      <c r="D53" s="52">
        <v>0</v>
      </c>
      <c r="E53" s="52">
        <f t="shared" si="29"/>
        <v>0</v>
      </c>
      <c r="F53" s="52">
        <f t="shared" si="29"/>
        <v>0</v>
      </c>
      <c r="G53" s="52">
        <f t="shared" si="29"/>
        <v>0</v>
      </c>
      <c r="H53" s="52">
        <f t="shared" si="29"/>
        <v>0</v>
      </c>
      <c r="I53" s="52">
        <f t="shared" si="29"/>
        <v>0</v>
      </c>
      <c r="J53" s="52">
        <f t="shared" si="29"/>
        <v>0</v>
      </c>
      <c r="K53" s="52">
        <f t="shared" si="29"/>
        <v>0</v>
      </c>
      <c r="L53" s="52">
        <f t="shared" si="29"/>
        <v>0</v>
      </c>
      <c r="M53" s="52">
        <f t="shared" si="29"/>
        <v>0</v>
      </c>
      <c r="N53" s="52">
        <f t="shared" si="29"/>
        <v>0</v>
      </c>
      <c r="O53" s="52">
        <f t="shared" si="29"/>
        <v>0</v>
      </c>
      <c r="P53" s="52"/>
      <c r="Q53" s="52">
        <f t="shared" si="30"/>
        <v>0</v>
      </c>
      <c r="R53" s="52">
        <v>2</v>
      </c>
      <c r="S53" s="52">
        <f t="shared" ref="S53" si="52">R53</f>
        <v>2</v>
      </c>
      <c r="T53" s="52">
        <f t="shared" ref="T53" si="53">S53</f>
        <v>2</v>
      </c>
      <c r="V53" s="580"/>
      <c r="W53" s="581"/>
      <c r="X53" s="581"/>
      <c r="Y53" s="581"/>
      <c r="Z53" s="581"/>
      <c r="AA53" s="581"/>
      <c r="AB53" s="581"/>
      <c r="AC53" s="581"/>
      <c r="AD53" s="581"/>
      <c r="AE53" s="581"/>
      <c r="AF53" s="581"/>
      <c r="AG53" s="581"/>
      <c r="AH53" s="581"/>
      <c r="AI53" s="582"/>
    </row>
    <row r="54" spans="2:35" hidden="1" x14ac:dyDescent="0.35">
      <c r="B54" s="31" t="s">
        <v>240</v>
      </c>
      <c r="C54" s="52">
        <v>0</v>
      </c>
      <c r="D54" s="52">
        <v>0</v>
      </c>
      <c r="E54" s="52">
        <f t="shared" ref="E54:O54" si="54">D54</f>
        <v>0</v>
      </c>
      <c r="F54" s="52">
        <f t="shared" si="54"/>
        <v>0</v>
      </c>
      <c r="G54" s="52">
        <f t="shared" si="54"/>
        <v>0</v>
      </c>
      <c r="H54" s="52">
        <f t="shared" si="54"/>
        <v>0</v>
      </c>
      <c r="I54" s="52">
        <f t="shared" si="54"/>
        <v>0</v>
      </c>
      <c r="J54" s="52">
        <f t="shared" si="54"/>
        <v>0</v>
      </c>
      <c r="K54" s="52">
        <f t="shared" si="54"/>
        <v>0</v>
      </c>
      <c r="L54" s="52">
        <f t="shared" si="54"/>
        <v>0</v>
      </c>
      <c r="M54" s="52">
        <f t="shared" si="54"/>
        <v>0</v>
      </c>
      <c r="N54" s="52">
        <f t="shared" si="54"/>
        <v>0</v>
      </c>
      <c r="O54" s="52">
        <f t="shared" si="54"/>
        <v>0</v>
      </c>
      <c r="P54" s="52"/>
      <c r="Q54" s="52">
        <f t="shared" si="30"/>
        <v>0</v>
      </c>
      <c r="R54" s="52">
        <f t="shared" si="47"/>
        <v>0</v>
      </c>
      <c r="S54" s="52">
        <f t="shared" si="47"/>
        <v>0</v>
      </c>
      <c r="T54" s="52">
        <f t="shared" si="47"/>
        <v>0</v>
      </c>
      <c r="V54" s="580"/>
      <c r="W54" s="581"/>
      <c r="X54" s="581"/>
      <c r="Y54" s="581"/>
      <c r="Z54" s="581"/>
      <c r="AA54" s="581"/>
      <c r="AB54" s="581"/>
      <c r="AC54" s="581"/>
      <c r="AD54" s="581"/>
      <c r="AE54" s="581"/>
      <c r="AF54" s="581"/>
      <c r="AG54" s="581"/>
      <c r="AH54" s="581"/>
      <c r="AI54" s="582"/>
    </row>
    <row r="55" spans="2:35" ht="20" customHeight="1" x14ac:dyDescent="0.35">
      <c r="B55" s="31" t="s">
        <v>125</v>
      </c>
      <c r="C55" s="52">
        <v>0</v>
      </c>
      <c r="D55" s="52">
        <v>0</v>
      </c>
      <c r="E55" s="52">
        <f t="shared" ref="E55:O55" si="55">D55</f>
        <v>0</v>
      </c>
      <c r="F55" s="52">
        <f t="shared" si="55"/>
        <v>0</v>
      </c>
      <c r="G55" s="52">
        <f t="shared" si="55"/>
        <v>0</v>
      </c>
      <c r="H55" s="52">
        <f t="shared" si="55"/>
        <v>0</v>
      </c>
      <c r="I55" s="52">
        <f t="shared" si="55"/>
        <v>0</v>
      </c>
      <c r="J55" s="52">
        <f t="shared" si="55"/>
        <v>0</v>
      </c>
      <c r="K55" s="52">
        <f t="shared" si="55"/>
        <v>0</v>
      </c>
      <c r="L55" s="52">
        <f t="shared" si="55"/>
        <v>0</v>
      </c>
      <c r="M55" s="52">
        <f t="shared" si="55"/>
        <v>0</v>
      </c>
      <c r="N55" s="52">
        <f t="shared" si="55"/>
        <v>0</v>
      </c>
      <c r="O55" s="52">
        <f t="shared" si="55"/>
        <v>0</v>
      </c>
      <c r="P55" s="52"/>
      <c r="Q55" s="52">
        <f t="shared" si="30"/>
        <v>0</v>
      </c>
      <c r="R55" s="52">
        <f t="shared" ref="R55:T55" si="56">Q55</f>
        <v>0</v>
      </c>
      <c r="S55" s="52">
        <f t="shared" si="56"/>
        <v>0</v>
      </c>
      <c r="T55" s="52">
        <f t="shared" si="56"/>
        <v>0</v>
      </c>
      <c r="V55" s="580"/>
      <c r="W55" s="581"/>
      <c r="X55" s="581"/>
      <c r="Y55" s="581"/>
      <c r="Z55" s="581"/>
      <c r="AA55" s="581"/>
      <c r="AB55" s="581"/>
      <c r="AC55" s="581"/>
      <c r="AD55" s="581"/>
      <c r="AE55" s="581"/>
      <c r="AF55" s="581"/>
      <c r="AG55" s="581"/>
      <c r="AH55" s="581"/>
      <c r="AI55" s="582"/>
    </row>
    <row r="56" spans="2:35" ht="15.5" x14ac:dyDescent="0.35">
      <c r="B56" s="104"/>
      <c r="V56" s="585" t="s">
        <v>472</v>
      </c>
      <c r="W56" s="581"/>
      <c r="X56" s="581"/>
      <c r="Y56" s="581"/>
      <c r="Z56" s="581"/>
      <c r="AA56" s="581"/>
      <c r="AB56" s="581"/>
      <c r="AC56" s="581"/>
      <c r="AD56" s="581"/>
      <c r="AE56" s="581"/>
      <c r="AF56" s="581"/>
      <c r="AG56" s="581"/>
      <c r="AH56" s="581"/>
      <c r="AI56" s="582"/>
    </row>
    <row r="57" spans="2:35" x14ac:dyDescent="0.35">
      <c r="B57" s="31" t="s">
        <v>156</v>
      </c>
      <c r="D57" s="61">
        <v>0</v>
      </c>
      <c r="E57" s="61">
        <f>D57</f>
        <v>0</v>
      </c>
      <c r="F57" s="61">
        <f>E57</f>
        <v>0</v>
      </c>
      <c r="G57" s="61">
        <f t="shared" ref="G57:O57" si="57">F57</f>
        <v>0</v>
      </c>
      <c r="H57" s="61">
        <f t="shared" si="57"/>
        <v>0</v>
      </c>
      <c r="I57" s="61">
        <f t="shared" si="57"/>
        <v>0</v>
      </c>
      <c r="J57" s="61">
        <f t="shared" si="57"/>
        <v>0</v>
      </c>
      <c r="K57" s="61">
        <f t="shared" si="57"/>
        <v>0</v>
      </c>
      <c r="L57" s="61">
        <f t="shared" si="57"/>
        <v>0</v>
      </c>
      <c r="M57" s="61">
        <f t="shared" si="57"/>
        <v>0</v>
      </c>
      <c r="N57" s="61">
        <f t="shared" si="57"/>
        <v>0</v>
      </c>
      <c r="O57" s="61">
        <f t="shared" si="57"/>
        <v>0</v>
      </c>
      <c r="P57" s="61"/>
      <c r="Q57" s="61">
        <f>D57</f>
        <v>0</v>
      </c>
      <c r="R57" s="61">
        <f t="shared" ref="R57:T57" si="58">Q57</f>
        <v>0</v>
      </c>
      <c r="S57" s="61">
        <f t="shared" si="58"/>
        <v>0</v>
      </c>
      <c r="T57" s="61">
        <f t="shared" si="58"/>
        <v>0</v>
      </c>
      <c r="V57" s="580" t="s">
        <v>471</v>
      </c>
      <c r="W57" s="581"/>
      <c r="X57" s="581"/>
      <c r="Y57" s="581"/>
      <c r="Z57" s="581"/>
      <c r="AA57" s="581"/>
      <c r="AB57" s="581"/>
      <c r="AC57" s="581"/>
      <c r="AD57" s="581"/>
      <c r="AE57" s="581"/>
      <c r="AF57" s="581"/>
      <c r="AG57" s="581"/>
      <c r="AH57" s="581" t="s">
        <v>475</v>
      </c>
      <c r="AI57" s="584">
        <f>(AI48+AI52)/12</f>
        <v>-225</v>
      </c>
    </row>
    <row r="58" spans="2:35" x14ac:dyDescent="0.35">
      <c r="B58" s="31" t="s">
        <v>109</v>
      </c>
      <c r="D58" s="63">
        <v>0</v>
      </c>
      <c r="E58" s="379">
        <f t="shared" ref="E58:F59" si="59">D58</f>
        <v>0</v>
      </c>
      <c r="F58" s="379">
        <f t="shared" si="59"/>
        <v>0</v>
      </c>
      <c r="G58" s="379">
        <f t="shared" ref="G58:O58" si="60">F58</f>
        <v>0</v>
      </c>
      <c r="H58" s="379">
        <f t="shared" si="60"/>
        <v>0</v>
      </c>
      <c r="I58" s="379">
        <f t="shared" si="60"/>
        <v>0</v>
      </c>
      <c r="J58" s="379">
        <f t="shared" si="60"/>
        <v>0</v>
      </c>
      <c r="K58" s="379">
        <f t="shared" si="60"/>
        <v>0</v>
      </c>
      <c r="L58" s="379">
        <f t="shared" si="60"/>
        <v>0</v>
      </c>
      <c r="M58" s="379">
        <f t="shared" si="60"/>
        <v>0</v>
      </c>
      <c r="N58" s="379">
        <f t="shared" si="60"/>
        <v>0</v>
      </c>
      <c r="O58" s="379">
        <f t="shared" si="60"/>
        <v>0</v>
      </c>
      <c r="P58" s="63"/>
      <c r="Q58" s="63">
        <v>0</v>
      </c>
      <c r="R58" s="63">
        <f t="shared" ref="R58" si="61">Q58</f>
        <v>0</v>
      </c>
      <c r="S58" s="63">
        <f>R58</f>
        <v>0</v>
      </c>
      <c r="T58" s="63">
        <f>S58</f>
        <v>0</v>
      </c>
      <c r="V58" s="580" t="s">
        <v>503</v>
      </c>
      <c r="W58" s="581"/>
      <c r="X58" s="581"/>
      <c r="Y58" s="581"/>
      <c r="Z58" s="581"/>
      <c r="AA58" s="581"/>
      <c r="AB58" s="581"/>
      <c r="AC58" s="581"/>
      <c r="AD58" s="581"/>
      <c r="AE58" s="581"/>
      <c r="AF58" s="581"/>
      <c r="AG58" s="581"/>
      <c r="AH58" s="581"/>
      <c r="AI58" s="582"/>
    </row>
    <row r="59" spans="2:35" ht="15" thickBot="1" x14ac:dyDescent="0.4">
      <c r="B59" s="31" t="s">
        <v>221</v>
      </c>
      <c r="D59" s="62">
        <v>1</v>
      </c>
      <c r="E59" s="62">
        <f t="shared" si="59"/>
        <v>1</v>
      </c>
      <c r="F59" s="62">
        <f t="shared" si="59"/>
        <v>1</v>
      </c>
      <c r="G59" s="62">
        <f t="shared" ref="G59:O59" si="62">F59</f>
        <v>1</v>
      </c>
      <c r="H59" s="62">
        <f t="shared" si="62"/>
        <v>1</v>
      </c>
      <c r="I59" s="62">
        <f t="shared" si="62"/>
        <v>1</v>
      </c>
      <c r="J59" s="62">
        <f t="shared" si="62"/>
        <v>1</v>
      </c>
      <c r="K59" s="62">
        <f t="shared" si="62"/>
        <v>1</v>
      </c>
      <c r="L59" s="62">
        <f t="shared" si="62"/>
        <v>1</v>
      </c>
      <c r="M59" s="62">
        <f t="shared" si="62"/>
        <v>1</v>
      </c>
      <c r="N59" s="62">
        <f t="shared" si="62"/>
        <v>1</v>
      </c>
      <c r="O59" s="62">
        <f t="shared" si="62"/>
        <v>1</v>
      </c>
      <c r="P59" s="62"/>
      <c r="Q59" s="62">
        <v>1</v>
      </c>
      <c r="R59" s="62">
        <v>1</v>
      </c>
      <c r="S59" s="62">
        <v>1</v>
      </c>
      <c r="T59" s="62">
        <v>1</v>
      </c>
      <c r="V59" s="586"/>
      <c r="W59" s="587"/>
      <c r="X59" s="587"/>
      <c r="Y59" s="587"/>
      <c r="Z59" s="587"/>
      <c r="AA59" s="587"/>
      <c r="AB59" s="587"/>
      <c r="AC59" s="587"/>
      <c r="AD59" s="587"/>
      <c r="AE59" s="587"/>
      <c r="AF59" s="587"/>
      <c r="AG59" s="587"/>
      <c r="AH59" s="587"/>
      <c r="AI59" s="588"/>
    </row>
    <row r="60" spans="2:35" ht="15" thickBot="1" x14ac:dyDescent="0.4">
      <c r="B60" s="39" t="s">
        <v>239</v>
      </c>
      <c r="C60" s="247">
        <v>12</v>
      </c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2:35" x14ac:dyDescent="0.35">
      <c r="Q61" s="46"/>
      <c r="R61" s="63"/>
      <c r="S61" s="63"/>
      <c r="T61" s="63"/>
      <c r="V61" s="577" t="s">
        <v>474</v>
      </c>
      <c r="W61" s="578"/>
      <c r="X61" s="578"/>
      <c r="Y61" s="578"/>
      <c r="Z61" s="578"/>
      <c r="AA61" s="578"/>
      <c r="AB61" s="578"/>
      <c r="AC61" s="578"/>
      <c r="AD61" s="578"/>
      <c r="AE61" s="578"/>
      <c r="AF61" s="578"/>
      <c r="AG61" s="578"/>
      <c r="AH61" s="578"/>
      <c r="AI61" s="579"/>
    </row>
    <row r="62" spans="2:35" x14ac:dyDescent="0.35">
      <c r="B62" s="30" t="s">
        <v>358</v>
      </c>
      <c r="V62" s="580"/>
      <c r="W62" s="581"/>
      <c r="X62" s="581"/>
      <c r="Y62" s="581"/>
      <c r="Z62" s="581"/>
      <c r="AA62" s="581"/>
      <c r="AB62" s="581"/>
      <c r="AC62" s="581"/>
      <c r="AD62" s="581"/>
      <c r="AE62" s="581"/>
      <c r="AF62" s="581"/>
      <c r="AG62" s="581"/>
      <c r="AH62" s="581"/>
      <c r="AI62" s="582"/>
    </row>
    <row r="63" spans="2:35" x14ac:dyDescent="0.35">
      <c r="B63" s="31" t="s">
        <v>462</v>
      </c>
      <c r="D63" s="64">
        <v>500</v>
      </c>
      <c r="E63" s="52">
        <f>D63</f>
        <v>500</v>
      </c>
      <c r="F63" s="52">
        <f t="shared" ref="F63:O63" si="63">E63</f>
        <v>500</v>
      </c>
      <c r="G63" s="52">
        <f>F63</f>
        <v>500</v>
      </c>
      <c r="H63" s="52">
        <v>500</v>
      </c>
      <c r="I63" s="52">
        <v>500</v>
      </c>
      <c r="J63" s="52">
        <v>0</v>
      </c>
      <c r="K63" s="52">
        <f t="shared" si="63"/>
        <v>0</v>
      </c>
      <c r="L63" s="52">
        <f t="shared" si="63"/>
        <v>0</v>
      </c>
      <c r="M63" s="52">
        <f t="shared" si="63"/>
        <v>0</v>
      </c>
      <c r="N63" s="52">
        <f t="shared" si="63"/>
        <v>0</v>
      </c>
      <c r="O63" s="52">
        <f t="shared" si="63"/>
        <v>0</v>
      </c>
      <c r="Q63" s="52">
        <f>O63*(1+Q$91)</f>
        <v>0</v>
      </c>
      <c r="R63" s="52">
        <f>Q63*(1+R$91)</f>
        <v>0</v>
      </c>
      <c r="S63" s="52">
        <f>R63*(1+S$91)</f>
        <v>0</v>
      </c>
      <c r="T63" s="52">
        <f>S63*(1+T$91)</f>
        <v>0</v>
      </c>
      <c r="V63" s="580"/>
      <c r="W63" s="581">
        <v>1</v>
      </c>
      <c r="X63" s="581">
        <v>2</v>
      </c>
      <c r="Y63" s="581">
        <v>3</v>
      </c>
      <c r="Z63" s="581">
        <v>4</v>
      </c>
      <c r="AA63" s="581">
        <v>5</v>
      </c>
      <c r="AB63" s="581">
        <v>6</v>
      </c>
      <c r="AC63" s="581">
        <v>7</v>
      </c>
      <c r="AD63" s="581">
        <v>8</v>
      </c>
      <c r="AE63" s="581">
        <v>9</v>
      </c>
      <c r="AF63" s="581">
        <v>10</v>
      </c>
      <c r="AG63" s="581">
        <v>11</v>
      </c>
      <c r="AH63" s="581">
        <v>12</v>
      </c>
      <c r="AI63" s="582"/>
    </row>
    <row r="64" spans="2:35" x14ac:dyDescent="0.35">
      <c r="B64" s="31" t="s">
        <v>499</v>
      </c>
      <c r="C64" s="557" t="s">
        <v>454</v>
      </c>
      <c r="D64" s="64">
        <f t="shared" ref="D64:M64" si="64">SUM(D65:D69)</f>
        <v>51</v>
      </c>
      <c r="E64" s="52">
        <f t="shared" si="64"/>
        <v>51</v>
      </c>
      <c r="F64" s="52">
        <f t="shared" si="64"/>
        <v>51</v>
      </c>
      <c r="G64" s="52">
        <f t="shared" si="64"/>
        <v>51</v>
      </c>
      <c r="H64" s="52">
        <f t="shared" si="64"/>
        <v>51</v>
      </c>
      <c r="I64" s="52">
        <f t="shared" si="64"/>
        <v>51</v>
      </c>
      <c r="J64" s="52">
        <f t="shared" si="64"/>
        <v>51</v>
      </c>
      <c r="K64" s="52">
        <f t="shared" si="64"/>
        <v>51</v>
      </c>
      <c r="L64" s="52">
        <f t="shared" si="64"/>
        <v>51</v>
      </c>
      <c r="M64" s="52">
        <f t="shared" si="64"/>
        <v>51</v>
      </c>
      <c r="N64" s="52">
        <f>SUM(N65:N75)</f>
        <v>581</v>
      </c>
      <c r="O64" s="52">
        <f>SUM(O65:O75)</f>
        <v>581</v>
      </c>
      <c r="Q64" s="52">
        <f>AI57-SUM(O67:O75)</f>
        <v>-656</v>
      </c>
      <c r="R64" s="52">
        <f>AI79-SUM(O67:O75)</f>
        <v>-1156</v>
      </c>
      <c r="S64" s="52">
        <f>R64*(1+S$91)</f>
        <v>-1179.1200000000001</v>
      </c>
      <c r="T64" s="52">
        <f>S64*(1+T$91)</f>
        <v>-1202.7024000000001</v>
      </c>
      <c r="V64" s="580" t="s">
        <v>468</v>
      </c>
      <c r="W64" s="583">
        <v>-275</v>
      </c>
      <c r="X64" s="583">
        <v>-275</v>
      </c>
      <c r="Y64" s="583">
        <v>-275</v>
      </c>
      <c r="Z64" s="583">
        <v>-275</v>
      </c>
      <c r="AA64" s="583">
        <v>-275</v>
      </c>
      <c r="AB64" s="583">
        <v>-275</v>
      </c>
      <c r="AC64" s="583">
        <v>-275</v>
      </c>
      <c r="AD64" s="583">
        <v>-275</v>
      </c>
      <c r="AE64" s="583">
        <v>-275</v>
      </c>
      <c r="AF64" s="583">
        <v>-275</v>
      </c>
      <c r="AG64" s="583">
        <v>-275</v>
      </c>
      <c r="AH64" s="583">
        <v>-275</v>
      </c>
      <c r="AI64" s="584">
        <f>SUM(W64:AH64)</f>
        <v>-3300</v>
      </c>
    </row>
    <row r="65" spans="2:35" x14ac:dyDescent="0.35">
      <c r="B65" s="556" t="s">
        <v>500</v>
      </c>
      <c r="C65" s="67">
        <v>1000</v>
      </c>
      <c r="D65" s="65"/>
      <c r="E65" s="52"/>
      <c r="F65" s="52"/>
      <c r="G65" s="52"/>
      <c r="H65" s="52"/>
      <c r="I65" s="52"/>
      <c r="J65" s="52"/>
      <c r="K65" s="52"/>
      <c r="L65" s="52"/>
      <c r="M65" s="52"/>
      <c r="N65" s="52">
        <v>50</v>
      </c>
      <c r="O65" s="52">
        <v>50</v>
      </c>
      <c r="Q65" s="52"/>
      <c r="R65" s="52"/>
      <c r="S65" s="52"/>
      <c r="T65" s="52"/>
      <c r="V65" s="580"/>
      <c r="W65" s="581"/>
      <c r="X65" s="581"/>
      <c r="Y65" s="581"/>
      <c r="Z65" s="581"/>
      <c r="AA65" s="581"/>
      <c r="AB65" s="581"/>
      <c r="AC65" s="581"/>
      <c r="AD65" s="581"/>
      <c r="AE65" s="581"/>
      <c r="AF65" s="581"/>
      <c r="AG65" s="581"/>
      <c r="AH65" s="581"/>
      <c r="AI65" s="582">
        <v>1200</v>
      </c>
    </row>
    <row r="66" spans="2:35" x14ac:dyDescent="0.35">
      <c r="B66" s="556" t="s">
        <v>453</v>
      </c>
      <c r="C66" s="39"/>
      <c r="D66" s="65"/>
      <c r="E66" s="52"/>
      <c r="F66" s="52"/>
      <c r="G66" s="52"/>
      <c r="H66" s="52"/>
      <c r="I66" s="52"/>
      <c r="J66" s="52"/>
      <c r="K66" s="52"/>
      <c r="L66" s="52"/>
      <c r="M66" s="52"/>
      <c r="N66" s="52">
        <v>100</v>
      </c>
      <c r="O66" s="52">
        <v>100</v>
      </c>
      <c r="Q66" s="52"/>
      <c r="R66" s="52"/>
      <c r="S66" s="52"/>
      <c r="T66" s="52"/>
      <c r="V66" s="580"/>
      <c r="W66" s="581"/>
      <c r="X66" s="581"/>
      <c r="Y66" s="581"/>
      <c r="Z66" s="581"/>
      <c r="AA66" s="581"/>
      <c r="AB66" s="581"/>
      <c r="AC66" s="581"/>
      <c r="AD66" s="581"/>
      <c r="AE66" s="581"/>
      <c r="AF66" s="581"/>
      <c r="AG66" s="581"/>
      <c r="AH66" s="581"/>
      <c r="AI66" s="584">
        <f>SUM(AI64:AI65)</f>
        <v>-2100</v>
      </c>
    </row>
    <row r="67" spans="2:35" x14ac:dyDescent="0.35">
      <c r="B67" s="556" t="s">
        <v>452</v>
      </c>
      <c r="C67" s="39"/>
      <c r="D67" s="65">
        <v>36</v>
      </c>
      <c r="E67" s="52">
        <f t="shared" ref="E67" si="65">D67</f>
        <v>36</v>
      </c>
      <c r="F67" s="52">
        <f t="shared" ref="F67" si="66">E67</f>
        <v>36</v>
      </c>
      <c r="G67" s="52">
        <f t="shared" ref="G67" si="67">F67</f>
        <v>36</v>
      </c>
      <c r="H67" s="52">
        <f t="shared" ref="H67" si="68">G67</f>
        <v>36</v>
      </c>
      <c r="I67" s="52">
        <f t="shared" ref="I67" si="69">H67</f>
        <v>36</v>
      </c>
      <c r="J67" s="52">
        <f t="shared" ref="J67" si="70">I67</f>
        <v>36</v>
      </c>
      <c r="K67" s="52">
        <f t="shared" ref="K67" si="71">J67</f>
        <v>36</v>
      </c>
      <c r="L67" s="52">
        <f t="shared" ref="L67:O67" si="72">K67</f>
        <v>36</v>
      </c>
      <c r="M67" s="52">
        <f t="shared" si="72"/>
        <v>36</v>
      </c>
      <c r="N67" s="52">
        <f t="shared" si="72"/>
        <v>36</v>
      </c>
      <c r="O67" s="52">
        <f t="shared" si="72"/>
        <v>36</v>
      </c>
      <c r="Q67" s="52"/>
      <c r="R67" s="52"/>
      <c r="S67" s="52"/>
      <c r="T67" s="52"/>
      <c r="V67" s="580"/>
      <c r="W67" s="581"/>
      <c r="X67" s="581"/>
      <c r="Y67" s="581"/>
      <c r="Z67" s="581"/>
      <c r="AA67" s="581"/>
      <c r="AB67" s="581"/>
      <c r="AC67" s="581"/>
      <c r="AD67" s="581"/>
      <c r="AE67" s="581"/>
      <c r="AF67" s="581"/>
      <c r="AG67" s="581"/>
      <c r="AH67" s="581"/>
      <c r="AI67" s="582"/>
    </row>
    <row r="68" spans="2:35" x14ac:dyDescent="0.35">
      <c r="B68" s="556" t="s">
        <v>455</v>
      </c>
      <c r="C68" s="39"/>
      <c r="D68" s="65">
        <v>15</v>
      </c>
      <c r="E68" s="52">
        <v>15</v>
      </c>
      <c r="F68" s="52">
        <v>15</v>
      </c>
      <c r="G68" s="52">
        <v>15</v>
      </c>
      <c r="H68" s="52">
        <v>15</v>
      </c>
      <c r="I68" s="52">
        <v>15</v>
      </c>
      <c r="J68" s="52">
        <v>15</v>
      </c>
      <c r="K68" s="52">
        <v>15</v>
      </c>
      <c r="L68" s="52">
        <v>15</v>
      </c>
      <c r="M68" s="52">
        <v>15</v>
      </c>
      <c r="N68" s="52">
        <v>15</v>
      </c>
      <c r="O68" s="52">
        <v>15</v>
      </c>
      <c r="Q68" s="52"/>
      <c r="R68" s="52"/>
      <c r="S68" s="52"/>
      <c r="T68" s="52"/>
      <c r="V68" s="580" t="s">
        <v>469</v>
      </c>
      <c r="W68" s="583">
        <v>-500</v>
      </c>
      <c r="X68" s="583">
        <v>-500</v>
      </c>
      <c r="Y68" s="583">
        <v>-500</v>
      </c>
      <c r="Z68" s="583">
        <v>-750</v>
      </c>
      <c r="AA68" s="583">
        <v>-750</v>
      </c>
      <c r="AB68" s="583">
        <v>-750</v>
      </c>
      <c r="AC68" s="583">
        <v>-750</v>
      </c>
      <c r="AD68" s="583">
        <v>-900</v>
      </c>
      <c r="AE68" s="583">
        <v>-900</v>
      </c>
      <c r="AF68" s="583">
        <v>-900</v>
      </c>
      <c r="AG68" s="583">
        <v>-900</v>
      </c>
      <c r="AH68" s="583">
        <v>-900</v>
      </c>
      <c r="AI68" s="582"/>
    </row>
    <row r="69" spans="2:35" x14ac:dyDescent="0.35">
      <c r="B69" s="556" t="s">
        <v>501</v>
      </c>
      <c r="C69" s="39"/>
      <c r="D69" s="65"/>
      <c r="E69" s="52"/>
      <c r="F69" s="52"/>
      <c r="G69" s="52"/>
      <c r="H69" s="52"/>
      <c r="I69" s="52"/>
      <c r="J69" s="52"/>
      <c r="K69" s="52"/>
      <c r="L69" s="52"/>
      <c r="M69" s="52"/>
      <c r="N69" s="52">
        <v>54</v>
      </c>
      <c r="O69" s="52">
        <v>54</v>
      </c>
      <c r="Q69" s="52"/>
      <c r="R69" s="52"/>
      <c r="S69" s="52"/>
      <c r="T69" s="52"/>
      <c r="V69" s="580" t="s">
        <v>470</v>
      </c>
      <c r="W69" s="581">
        <v>200</v>
      </c>
      <c r="X69" s="581">
        <v>200</v>
      </c>
      <c r="Y69" s="581">
        <v>200</v>
      </c>
      <c r="Z69" s="581">
        <v>200</v>
      </c>
      <c r="AA69" s="581">
        <v>200</v>
      </c>
      <c r="AB69" s="581">
        <v>200</v>
      </c>
      <c r="AC69" s="581">
        <v>200</v>
      </c>
      <c r="AD69" s="581">
        <v>200</v>
      </c>
      <c r="AE69" s="581">
        <v>200</v>
      </c>
      <c r="AF69" s="581">
        <v>200</v>
      </c>
      <c r="AG69" s="581">
        <v>200</v>
      </c>
      <c r="AH69" s="581">
        <v>200</v>
      </c>
      <c r="AI69" s="582"/>
    </row>
    <row r="70" spans="2:35" x14ac:dyDescent="0.35">
      <c r="B70" s="556" t="s">
        <v>491</v>
      </c>
      <c r="C70" s="39"/>
      <c r="D70" s="65"/>
      <c r="E70" s="52"/>
      <c r="F70" s="52"/>
      <c r="G70" s="52"/>
      <c r="H70" s="52"/>
      <c r="I70" s="52"/>
      <c r="J70" s="52"/>
      <c r="K70" s="52"/>
      <c r="L70" s="52"/>
      <c r="M70" s="52"/>
      <c r="N70" s="52">
        <v>80</v>
      </c>
      <c r="O70" s="52">
        <v>80</v>
      </c>
      <c r="Q70" s="52"/>
      <c r="R70" s="52"/>
      <c r="S70" s="52"/>
      <c r="T70" s="52"/>
      <c r="V70" s="580"/>
      <c r="W70" s="581"/>
      <c r="X70" s="581"/>
      <c r="Y70" s="581"/>
      <c r="Z70" s="581"/>
      <c r="AA70" s="581"/>
      <c r="AB70" s="581"/>
      <c r="AC70" s="581"/>
      <c r="AD70" s="581"/>
      <c r="AE70" s="581"/>
      <c r="AF70" s="581"/>
      <c r="AG70" s="581"/>
      <c r="AH70" s="581"/>
      <c r="AI70" s="582"/>
    </row>
    <row r="71" spans="2:35" x14ac:dyDescent="0.35">
      <c r="B71" s="556" t="s">
        <v>476</v>
      </c>
      <c r="C71" s="39"/>
      <c r="D71" s="65"/>
      <c r="E71" s="52"/>
      <c r="F71" s="52"/>
      <c r="G71" s="52"/>
      <c r="H71" s="52"/>
      <c r="I71" s="52"/>
      <c r="J71" s="52"/>
      <c r="K71" s="52"/>
      <c r="L71" s="52"/>
      <c r="M71" s="52"/>
      <c r="N71" s="52">
        <v>18</v>
      </c>
      <c r="O71" s="52">
        <v>18</v>
      </c>
      <c r="Q71" s="52"/>
      <c r="R71" s="52"/>
      <c r="S71" s="52"/>
      <c r="T71" s="52"/>
      <c r="V71" s="580"/>
      <c r="W71" s="581"/>
      <c r="X71" s="581"/>
      <c r="Y71" s="581"/>
      <c r="Z71" s="581"/>
      <c r="AA71" s="581"/>
      <c r="AB71" s="581"/>
      <c r="AC71" s="581"/>
      <c r="AD71" s="581"/>
      <c r="AE71" s="581"/>
      <c r="AF71" s="581"/>
      <c r="AG71" s="581"/>
      <c r="AH71" s="581"/>
      <c r="AI71" s="582"/>
    </row>
    <row r="72" spans="2:35" ht="29" x14ac:dyDescent="0.35">
      <c r="B72" s="562" t="s">
        <v>490</v>
      </c>
      <c r="C72" s="39"/>
      <c r="D72" s="65"/>
      <c r="E72" s="52"/>
      <c r="F72" s="52"/>
      <c r="G72" s="52"/>
      <c r="H72" s="52"/>
      <c r="I72" s="52"/>
      <c r="J72" s="52"/>
      <c r="K72" s="52"/>
      <c r="L72" s="52"/>
      <c r="M72" s="52"/>
      <c r="N72" s="589">
        <v>115</v>
      </c>
      <c r="O72" s="589">
        <v>115</v>
      </c>
      <c r="Q72" s="52"/>
      <c r="R72" s="52"/>
      <c r="S72" s="52"/>
      <c r="T72" s="52"/>
      <c r="V72" s="580"/>
      <c r="W72" s="581"/>
      <c r="X72" s="581"/>
      <c r="Y72" s="581"/>
      <c r="Z72" s="581"/>
      <c r="AA72" s="581"/>
      <c r="AB72" s="581"/>
      <c r="AC72" s="581"/>
      <c r="AD72" s="581"/>
      <c r="AE72" s="581"/>
      <c r="AF72" s="581"/>
      <c r="AG72" s="581"/>
      <c r="AH72" s="581"/>
      <c r="AI72" s="582"/>
    </row>
    <row r="73" spans="2:35" x14ac:dyDescent="0.35">
      <c r="B73" s="556" t="s">
        <v>486</v>
      </c>
      <c r="C73" s="39"/>
      <c r="D73" s="65"/>
      <c r="E73" s="52"/>
      <c r="F73" s="52"/>
      <c r="G73" s="52"/>
      <c r="H73" s="52"/>
      <c r="I73" s="52"/>
      <c r="J73" s="52"/>
      <c r="K73" s="52"/>
      <c r="L73" s="52"/>
      <c r="M73" s="52"/>
      <c r="N73" s="52">
        <v>90</v>
      </c>
      <c r="O73" s="52">
        <v>90</v>
      </c>
      <c r="Q73" s="52"/>
      <c r="R73" s="52"/>
      <c r="S73" s="52"/>
      <c r="T73" s="52"/>
      <c r="V73" s="580"/>
      <c r="W73" s="581"/>
      <c r="X73" s="581"/>
      <c r="Y73" s="581"/>
      <c r="Z73" s="581"/>
      <c r="AA73" s="581"/>
      <c r="AB73" s="581"/>
      <c r="AC73" s="581"/>
      <c r="AD73" s="581"/>
      <c r="AE73" s="581"/>
      <c r="AF73" s="581"/>
      <c r="AG73" s="581"/>
      <c r="AH73" s="581"/>
      <c r="AI73" s="582"/>
    </row>
    <row r="74" spans="2:35" x14ac:dyDescent="0.35">
      <c r="B74" s="556" t="s">
        <v>492</v>
      </c>
      <c r="C74" s="39"/>
      <c r="D74" s="65"/>
      <c r="E74" s="52"/>
      <c r="F74" s="52"/>
      <c r="G74" s="52"/>
      <c r="H74" s="52"/>
      <c r="I74" s="52"/>
      <c r="J74" s="52"/>
      <c r="K74" s="52"/>
      <c r="L74" s="52"/>
      <c r="M74" s="52"/>
      <c r="N74" s="52">
        <v>0</v>
      </c>
      <c r="O74" s="52">
        <v>0</v>
      </c>
      <c r="Q74" s="52"/>
      <c r="R74" s="52"/>
      <c r="S74" s="52"/>
      <c r="T74" s="52"/>
      <c r="V74" s="580"/>
      <c r="W74" s="581"/>
      <c r="X74" s="581"/>
      <c r="Y74" s="581"/>
      <c r="Z74" s="581"/>
      <c r="AA74" s="581"/>
      <c r="AB74" s="581"/>
      <c r="AC74" s="581"/>
      <c r="AD74" s="581"/>
      <c r="AE74" s="581"/>
      <c r="AF74" s="581"/>
      <c r="AG74" s="581"/>
      <c r="AH74" s="581"/>
      <c r="AI74" s="582"/>
    </row>
    <row r="75" spans="2:35" x14ac:dyDescent="0.35">
      <c r="B75" s="556" t="s">
        <v>485</v>
      </c>
      <c r="C75" s="39"/>
      <c r="D75" s="65">
        <v>23</v>
      </c>
      <c r="E75" s="52">
        <v>23</v>
      </c>
      <c r="F75" s="52">
        <v>23</v>
      </c>
      <c r="G75" s="52">
        <v>23</v>
      </c>
      <c r="H75" s="52">
        <v>23</v>
      </c>
      <c r="I75" s="52">
        <v>23</v>
      </c>
      <c r="J75" s="52">
        <v>23</v>
      </c>
      <c r="K75" s="52">
        <v>23</v>
      </c>
      <c r="L75" s="52">
        <v>23</v>
      </c>
      <c r="M75" s="52">
        <v>23</v>
      </c>
      <c r="N75" s="52">
        <v>23</v>
      </c>
      <c r="O75" s="52">
        <v>23</v>
      </c>
      <c r="Q75" s="52"/>
      <c r="R75" s="52"/>
      <c r="S75" s="52"/>
      <c r="T75" s="52"/>
      <c r="V75" s="580"/>
      <c r="W75" s="581"/>
      <c r="X75" s="581"/>
      <c r="Y75" s="581"/>
      <c r="Z75" s="581"/>
      <c r="AA75" s="581"/>
      <c r="AB75" s="581"/>
      <c r="AC75" s="581"/>
      <c r="AD75" s="581"/>
      <c r="AE75" s="581"/>
      <c r="AF75" s="581"/>
      <c r="AG75" s="581"/>
      <c r="AH75" s="581"/>
      <c r="AI75" s="582"/>
    </row>
    <row r="76" spans="2:35" x14ac:dyDescent="0.35">
      <c r="B76" s="31" t="s">
        <v>357</v>
      </c>
      <c r="D76" s="65">
        <v>0</v>
      </c>
      <c r="E76" s="52">
        <f t="shared" ref="E76:O83" si="73">D76</f>
        <v>0</v>
      </c>
      <c r="F76" s="52">
        <f t="shared" si="73"/>
        <v>0</v>
      </c>
      <c r="G76" s="52">
        <f t="shared" si="73"/>
        <v>0</v>
      </c>
      <c r="H76" s="52">
        <f t="shared" si="73"/>
        <v>0</v>
      </c>
      <c r="I76" s="52">
        <f t="shared" si="73"/>
        <v>0</v>
      </c>
      <c r="J76" s="52">
        <f t="shared" si="73"/>
        <v>0</v>
      </c>
      <c r="K76" s="52">
        <f t="shared" si="73"/>
        <v>0</v>
      </c>
      <c r="L76" s="52">
        <f t="shared" si="73"/>
        <v>0</v>
      </c>
      <c r="M76" s="52">
        <f t="shared" si="73"/>
        <v>0</v>
      </c>
      <c r="N76" s="52">
        <f t="shared" si="73"/>
        <v>0</v>
      </c>
      <c r="O76" s="52">
        <f t="shared" si="73"/>
        <v>0</v>
      </c>
      <c r="Q76" s="52">
        <f>O76*(1+Q$91)</f>
        <v>0</v>
      </c>
      <c r="R76" s="52">
        <f t="shared" ref="R76:T83" si="74">Q76*(1+R$91)</f>
        <v>0</v>
      </c>
      <c r="S76" s="52">
        <f t="shared" si="74"/>
        <v>0</v>
      </c>
      <c r="T76" s="52">
        <f t="shared" si="74"/>
        <v>0</v>
      </c>
      <c r="V76" s="580"/>
      <c r="W76" s="583">
        <f t="shared" ref="W76:AH76" si="75">SUM(W68:W69)</f>
        <v>-300</v>
      </c>
      <c r="X76" s="583">
        <f t="shared" si="75"/>
        <v>-300</v>
      </c>
      <c r="Y76" s="583">
        <f t="shared" si="75"/>
        <v>-300</v>
      </c>
      <c r="Z76" s="583">
        <f t="shared" si="75"/>
        <v>-550</v>
      </c>
      <c r="AA76" s="583">
        <f t="shared" si="75"/>
        <v>-550</v>
      </c>
      <c r="AB76" s="583">
        <f t="shared" si="75"/>
        <v>-550</v>
      </c>
      <c r="AC76" s="583">
        <f t="shared" si="75"/>
        <v>-550</v>
      </c>
      <c r="AD76" s="583">
        <f t="shared" si="75"/>
        <v>-700</v>
      </c>
      <c r="AE76" s="583">
        <f t="shared" si="75"/>
        <v>-700</v>
      </c>
      <c r="AF76" s="583">
        <f t="shared" si="75"/>
        <v>-700</v>
      </c>
      <c r="AG76" s="583">
        <f t="shared" si="75"/>
        <v>-700</v>
      </c>
      <c r="AH76" s="583">
        <f t="shared" si="75"/>
        <v>-700</v>
      </c>
      <c r="AI76" s="584">
        <f>SUM(W76:AH76)</f>
        <v>-6600</v>
      </c>
    </row>
    <row r="77" spans="2:35" x14ac:dyDescent="0.35">
      <c r="B77" s="31" t="s">
        <v>355</v>
      </c>
      <c r="D77" s="65">
        <v>0</v>
      </c>
      <c r="E77" s="52">
        <f t="shared" si="73"/>
        <v>0</v>
      </c>
      <c r="F77" s="52">
        <f t="shared" si="73"/>
        <v>0</v>
      </c>
      <c r="G77" s="52">
        <f t="shared" si="73"/>
        <v>0</v>
      </c>
      <c r="H77" s="52">
        <f t="shared" si="73"/>
        <v>0</v>
      </c>
      <c r="I77" s="52">
        <f t="shared" si="73"/>
        <v>0</v>
      </c>
      <c r="J77" s="52">
        <f t="shared" si="73"/>
        <v>0</v>
      </c>
      <c r="K77" s="52">
        <f t="shared" si="73"/>
        <v>0</v>
      </c>
      <c r="L77" s="52">
        <f t="shared" si="73"/>
        <v>0</v>
      </c>
      <c r="M77" s="52">
        <f t="shared" si="73"/>
        <v>0</v>
      </c>
      <c r="N77" s="52">
        <f t="shared" si="73"/>
        <v>0</v>
      </c>
      <c r="O77" s="52">
        <f t="shared" si="73"/>
        <v>0</v>
      </c>
      <c r="Q77" s="52">
        <f>O77*(1+Q$91)</f>
        <v>0</v>
      </c>
      <c r="R77" s="52">
        <f t="shared" si="74"/>
        <v>0</v>
      </c>
      <c r="S77" s="52">
        <f t="shared" si="74"/>
        <v>0</v>
      </c>
      <c r="T77" s="52">
        <f t="shared" si="74"/>
        <v>0</v>
      </c>
      <c r="V77" s="580"/>
      <c r="W77" s="581"/>
      <c r="X77" s="581"/>
      <c r="Y77" s="581"/>
      <c r="Z77" s="581"/>
      <c r="AA77" s="581"/>
      <c r="AB77" s="581"/>
      <c r="AC77" s="581"/>
      <c r="AD77" s="581"/>
      <c r="AE77" s="581"/>
      <c r="AF77" s="581"/>
      <c r="AG77" s="581"/>
      <c r="AH77" s="581"/>
      <c r="AI77" s="582"/>
    </row>
    <row r="78" spans="2:35" x14ac:dyDescent="0.35">
      <c r="B78" s="31" t="s">
        <v>242</v>
      </c>
      <c r="D78" s="64">
        <v>0</v>
      </c>
      <c r="E78" s="52">
        <f t="shared" si="73"/>
        <v>0</v>
      </c>
      <c r="F78" s="52">
        <f t="shared" si="73"/>
        <v>0</v>
      </c>
      <c r="G78" s="52">
        <f t="shared" si="73"/>
        <v>0</v>
      </c>
      <c r="H78" s="52">
        <f t="shared" si="73"/>
        <v>0</v>
      </c>
      <c r="I78" s="52">
        <f t="shared" si="73"/>
        <v>0</v>
      </c>
      <c r="J78" s="52">
        <f t="shared" si="73"/>
        <v>0</v>
      </c>
      <c r="K78" s="52">
        <f t="shared" si="73"/>
        <v>0</v>
      </c>
      <c r="L78" s="52">
        <f t="shared" si="73"/>
        <v>0</v>
      </c>
      <c r="M78" s="52">
        <f t="shared" si="73"/>
        <v>0</v>
      </c>
      <c r="N78" s="52">
        <f t="shared" si="73"/>
        <v>0</v>
      </c>
      <c r="O78" s="52">
        <f t="shared" si="73"/>
        <v>0</v>
      </c>
      <c r="Q78" s="52">
        <f>O78*(1+Q$91)</f>
        <v>0</v>
      </c>
      <c r="R78" s="52">
        <f t="shared" si="74"/>
        <v>0</v>
      </c>
      <c r="S78" s="52">
        <f t="shared" si="74"/>
        <v>0</v>
      </c>
      <c r="T78" s="52">
        <f t="shared" si="74"/>
        <v>0</v>
      </c>
      <c r="V78" s="580"/>
      <c r="W78" s="581"/>
      <c r="X78" s="581"/>
      <c r="Y78" s="581"/>
      <c r="Z78" s="581"/>
      <c r="AA78" s="581"/>
      <c r="AB78" s="581"/>
      <c r="AC78" s="581"/>
      <c r="AD78" s="581"/>
      <c r="AE78" s="581"/>
      <c r="AF78" s="581"/>
      <c r="AG78" s="581"/>
      <c r="AH78" s="581"/>
      <c r="AI78" s="582"/>
    </row>
    <row r="79" spans="2:35" x14ac:dyDescent="0.35">
      <c r="B79" s="31" t="s">
        <v>364</v>
      </c>
      <c r="D79" s="64">
        <v>0</v>
      </c>
      <c r="E79" s="52">
        <f t="shared" si="73"/>
        <v>0</v>
      </c>
      <c r="F79" s="52">
        <f t="shared" si="73"/>
        <v>0</v>
      </c>
      <c r="G79" s="52">
        <f t="shared" si="73"/>
        <v>0</v>
      </c>
      <c r="H79" s="52">
        <f t="shared" si="73"/>
        <v>0</v>
      </c>
      <c r="I79" s="52">
        <f t="shared" si="73"/>
        <v>0</v>
      </c>
      <c r="J79" s="52">
        <f t="shared" si="73"/>
        <v>0</v>
      </c>
      <c r="K79" s="52">
        <f t="shared" si="73"/>
        <v>0</v>
      </c>
      <c r="L79" s="52">
        <f t="shared" si="73"/>
        <v>0</v>
      </c>
      <c r="M79" s="52">
        <f t="shared" si="73"/>
        <v>0</v>
      </c>
      <c r="N79" s="52">
        <f t="shared" si="73"/>
        <v>0</v>
      </c>
      <c r="O79" s="52">
        <f t="shared" si="73"/>
        <v>0</v>
      </c>
      <c r="Q79" s="52">
        <f>O79*(1+Q$91)</f>
        <v>0</v>
      </c>
      <c r="R79" s="52">
        <f t="shared" si="74"/>
        <v>0</v>
      </c>
      <c r="S79" s="52">
        <f t="shared" si="74"/>
        <v>0</v>
      </c>
      <c r="T79" s="52">
        <f t="shared" si="74"/>
        <v>0</v>
      </c>
      <c r="V79" s="580"/>
      <c r="W79" s="581"/>
      <c r="X79" s="581"/>
      <c r="Y79" s="581"/>
      <c r="Z79" s="581"/>
      <c r="AA79" s="581"/>
      <c r="AB79" s="581"/>
      <c r="AC79" s="581"/>
      <c r="AD79" s="581"/>
      <c r="AE79" s="581"/>
      <c r="AF79" s="581"/>
      <c r="AG79" s="581"/>
      <c r="AH79" s="581" t="s">
        <v>475</v>
      </c>
      <c r="AI79" s="584">
        <f>(AI66+AI76)/12</f>
        <v>-725</v>
      </c>
    </row>
    <row r="80" spans="2:35" ht="15.5" x14ac:dyDescent="0.35">
      <c r="B80" s="31" t="s">
        <v>223</v>
      </c>
      <c r="D80" s="64">
        <v>0</v>
      </c>
      <c r="E80" s="52">
        <f t="shared" si="73"/>
        <v>0</v>
      </c>
      <c r="F80" s="52">
        <f t="shared" si="73"/>
        <v>0</v>
      </c>
      <c r="G80" s="52">
        <f t="shared" si="73"/>
        <v>0</v>
      </c>
      <c r="H80" s="52">
        <f t="shared" si="73"/>
        <v>0</v>
      </c>
      <c r="I80" s="52">
        <f t="shared" si="73"/>
        <v>0</v>
      </c>
      <c r="J80" s="52">
        <f t="shared" si="73"/>
        <v>0</v>
      </c>
      <c r="K80" s="52">
        <f t="shared" si="73"/>
        <v>0</v>
      </c>
      <c r="L80" s="52">
        <f t="shared" si="73"/>
        <v>0</v>
      </c>
      <c r="M80" s="52">
        <f t="shared" si="73"/>
        <v>0</v>
      </c>
      <c r="N80" s="52">
        <v>1000</v>
      </c>
      <c r="O80" s="52">
        <v>1000</v>
      </c>
      <c r="Q80" s="52">
        <v>150</v>
      </c>
      <c r="R80" s="52">
        <f t="shared" si="74"/>
        <v>600</v>
      </c>
      <c r="S80" s="52">
        <f t="shared" si="74"/>
        <v>612</v>
      </c>
      <c r="T80" s="52">
        <f t="shared" si="74"/>
        <v>624.24</v>
      </c>
      <c r="V80" s="585" t="s">
        <v>472</v>
      </c>
      <c r="W80" s="581"/>
      <c r="X80" s="581"/>
      <c r="Y80" s="581"/>
      <c r="Z80" s="581"/>
      <c r="AA80" s="581"/>
      <c r="AB80" s="581"/>
      <c r="AC80" s="581"/>
      <c r="AD80" s="581"/>
      <c r="AE80" s="581"/>
      <c r="AF80" s="581"/>
      <c r="AG80" s="581"/>
      <c r="AH80" s="581"/>
      <c r="AI80" s="582"/>
    </row>
    <row r="81" spans="2:35" x14ac:dyDescent="0.35">
      <c r="B81" s="31" t="s">
        <v>232</v>
      </c>
      <c r="D81" s="64">
        <v>0</v>
      </c>
      <c r="E81" s="52">
        <f t="shared" si="73"/>
        <v>0</v>
      </c>
      <c r="F81" s="52">
        <f t="shared" si="73"/>
        <v>0</v>
      </c>
      <c r="G81" s="52">
        <f t="shared" si="73"/>
        <v>0</v>
      </c>
      <c r="H81" s="52">
        <f t="shared" si="73"/>
        <v>0</v>
      </c>
      <c r="I81" s="52">
        <f t="shared" si="73"/>
        <v>0</v>
      </c>
      <c r="J81" s="52">
        <f t="shared" si="73"/>
        <v>0</v>
      </c>
      <c r="K81" s="52">
        <f t="shared" si="73"/>
        <v>0</v>
      </c>
      <c r="L81" s="52">
        <f t="shared" si="73"/>
        <v>0</v>
      </c>
      <c r="M81" s="52">
        <f t="shared" si="73"/>
        <v>0</v>
      </c>
      <c r="N81" s="52">
        <f t="shared" si="73"/>
        <v>0</v>
      </c>
      <c r="O81" s="52">
        <f t="shared" si="73"/>
        <v>0</v>
      </c>
      <c r="Q81" s="52">
        <v>100</v>
      </c>
      <c r="R81" s="52">
        <f t="shared" si="74"/>
        <v>400</v>
      </c>
      <c r="S81" s="52">
        <f t="shared" si="74"/>
        <v>408</v>
      </c>
      <c r="T81" s="52">
        <f t="shared" si="74"/>
        <v>416.16</v>
      </c>
      <c r="V81" s="580" t="s">
        <v>471</v>
      </c>
      <c r="W81" s="581"/>
      <c r="X81" s="581"/>
      <c r="Y81" s="581"/>
      <c r="Z81" s="581"/>
      <c r="AA81" s="581"/>
      <c r="AB81" s="581"/>
      <c r="AC81" s="581"/>
      <c r="AD81" s="581"/>
      <c r="AE81" s="581"/>
      <c r="AF81" s="581"/>
      <c r="AG81" s="581"/>
      <c r="AH81" s="581"/>
      <c r="AI81" s="582"/>
    </row>
    <row r="82" spans="2:35" x14ac:dyDescent="0.35">
      <c r="B82" s="31" t="s">
        <v>243</v>
      </c>
      <c r="D82" s="65">
        <v>0</v>
      </c>
      <c r="E82" s="52">
        <f t="shared" si="73"/>
        <v>0</v>
      </c>
      <c r="F82" s="52">
        <f t="shared" si="73"/>
        <v>0</v>
      </c>
      <c r="G82" s="52">
        <f t="shared" si="73"/>
        <v>0</v>
      </c>
      <c r="H82" s="52">
        <f t="shared" si="73"/>
        <v>0</v>
      </c>
      <c r="I82" s="52">
        <f t="shared" si="73"/>
        <v>0</v>
      </c>
      <c r="J82" s="52">
        <f t="shared" si="73"/>
        <v>0</v>
      </c>
      <c r="K82" s="52">
        <f t="shared" si="73"/>
        <v>0</v>
      </c>
      <c r="L82" s="52">
        <f t="shared" si="73"/>
        <v>0</v>
      </c>
      <c r="M82" s="52">
        <f t="shared" si="73"/>
        <v>0</v>
      </c>
      <c r="N82" s="52">
        <f t="shared" si="73"/>
        <v>0</v>
      </c>
      <c r="O82" s="52">
        <f t="shared" si="73"/>
        <v>0</v>
      </c>
      <c r="Q82" s="52">
        <f>O82*(1+Q$91)</f>
        <v>0</v>
      </c>
      <c r="R82" s="52">
        <f t="shared" si="74"/>
        <v>0</v>
      </c>
      <c r="S82" s="52">
        <f t="shared" si="74"/>
        <v>0</v>
      </c>
      <c r="T82" s="52">
        <f t="shared" si="74"/>
        <v>0</v>
      </c>
      <c r="V82" s="580" t="s">
        <v>502</v>
      </c>
      <c r="W82" s="581"/>
      <c r="X82" s="581"/>
      <c r="Y82" s="581"/>
      <c r="Z82" s="581"/>
      <c r="AA82" s="581"/>
      <c r="AB82" s="581"/>
      <c r="AC82" s="581"/>
      <c r="AD82" s="581"/>
      <c r="AE82" s="581"/>
      <c r="AF82" s="581"/>
      <c r="AG82" s="581"/>
      <c r="AH82" s="581"/>
      <c r="AI82" s="582"/>
    </row>
    <row r="83" spans="2:35" ht="15" thickBot="1" x14ac:dyDescent="0.4">
      <c r="B83" s="31" t="s">
        <v>356</v>
      </c>
      <c r="D83" s="64">
        <v>0</v>
      </c>
      <c r="E83" s="52">
        <f t="shared" si="73"/>
        <v>0</v>
      </c>
      <c r="F83" s="52">
        <f t="shared" si="73"/>
        <v>0</v>
      </c>
      <c r="G83" s="52">
        <f t="shared" si="73"/>
        <v>0</v>
      </c>
      <c r="H83" s="52">
        <f t="shared" si="73"/>
        <v>0</v>
      </c>
      <c r="I83" s="52">
        <f t="shared" si="73"/>
        <v>0</v>
      </c>
      <c r="J83" s="52">
        <f t="shared" si="73"/>
        <v>0</v>
      </c>
      <c r="K83" s="52">
        <f t="shared" si="73"/>
        <v>0</v>
      </c>
      <c r="L83" s="52">
        <f t="shared" si="73"/>
        <v>0</v>
      </c>
      <c r="M83" s="52">
        <f t="shared" si="73"/>
        <v>0</v>
      </c>
      <c r="N83" s="52">
        <f t="shared" si="73"/>
        <v>0</v>
      </c>
      <c r="O83" s="52">
        <f t="shared" si="73"/>
        <v>0</v>
      </c>
      <c r="Q83" s="52">
        <f>O83*(1+Q$91)</f>
        <v>0</v>
      </c>
      <c r="R83" s="52">
        <f t="shared" si="74"/>
        <v>0</v>
      </c>
      <c r="S83" s="52">
        <f t="shared" si="74"/>
        <v>0</v>
      </c>
      <c r="T83" s="52">
        <f t="shared" si="74"/>
        <v>0</v>
      </c>
      <c r="V83" s="586"/>
      <c r="W83" s="587"/>
      <c r="X83" s="587"/>
      <c r="Y83" s="587"/>
      <c r="Z83" s="587"/>
      <c r="AA83" s="587"/>
      <c r="AB83" s="587"/>
      <c r="AC83" s="587"/>
      <c r="AD83" s="587"/>
      <c r="AE83" s="587"/>
      <c r="AF83" s="587"/>
      <c r="AG83" s="587"/>
      <c r="AH83" s="587"/>
      <c r="AI83" s="588"/>
    </row>
    <row r="84" spans="2:35" x14ac:dyDescent="0.35">
      <c r="B84" s="31" t="s">
        <v>244</v>
      </c>
      <c r="C84" s="106">
        <v>0.08</v>
      </c>
      <c r="D84" s="52">
        <f>-$C$84*SUM(D21:D33)</f>
        <v>44.08</v>
      </c>
      <c r="E84" s="52">
        <f>-$C$84*SUM(E21:E33)</f>
        <v>44.08</v>
      </c>
      <c r="F84" s="52">
        <f>-$C$84*SUM(F21:F33)</f>
        <v>44.08</v>
      </c>
      <c r="G84" s="52">
        <f>-$C$84*SUM(G21:G33)</f>
        <v>44.08</v>
      </c>
      <c r="H84" s="52">
        <f>-$C$84*SUM(H21:H33)</f>
        <v>44.08</v>
      </c>
      <c r="I84" s="52">
        <f>-$C$84*SUM(I21:I33)</f>
        <v>44.08</v>
      </c>
      <c r="J84" s="52">
        <f>-$C$84*SUM(J21:J33)</f>
        <v>4.08</v>
      </c>
      <c r="K84" s="52">
        <f>-$C$84*SUM(K21:K33)</f>
        <v>4.08</v>
      </c>
      <c r="L84" s="52">
        <f>-$C$84*SUM(L21:L33)</f>
        <v>4.08</v>
      </c>
      <c r="M84" s="52">
        <f>-$C$84*SUM(M21:M33)</f>
        <v>4.08</v>
      </c>
      <c r="N84" s="52">
        <f>-$C$84*SUM(N21:N33)</f>
        <v>126.48</v>
      </c>
      <c r="O84" s="52">
        <f>-$C$84*SUM(O21:O33)</f>
        <v>126.48</v>
      </c>
      <c r="P84" s="52"/>
      <c r="Q84" s="52">
        <f>-$C$84*SUM(Q21:Q33)/12</f>
        <v>72.48</v>
      </c>
      <c r="R84" s="52">
        <f>-$C$84*SUM(R21:R33)/12</f>
        <v>172.48000000000002</v>
      </c>
      <c r="S84" s="52">
        <f>-$C$84*SUM(S21:S33)/12</f>
        <v>175.92960000000002</v>
      </c>
      <c r="T84" s="52">
        <f>-$C$84*SUM(T21:T33)/12</f>
        <v>179.44819200000003</v>
      </c>
    </row>
    <row r="85" spans="2:35" x14ac:dyDescent="0.35"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</row>
    <row r="86" spans="2:35" x14ac:dyDescent="0.35">
      <c r="B86" s="30" t="s">
        <v>253</v>
      </c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</row>
    <row r="87" spans="2:35" x14ac:dyDescent="0.35">
      <c r="B87" s="31" t="s">
        <v>464</v>
      </c>
      <c r="D87" s="52">
        <f t="shared" ref="D87" si="76">SUM(D88:D88)</f>
        <v>250</v>
      </c>
      <c r="E87" s="52">
        <f t="shared" ref="E87" si="77">SUM(E88:E88)</f>
        <v>250</v>
      </c>
      <c r="F87" s="52">
        <f t="shared" ref="F87" si="78">SUM(F88:F88)</f>
        <v>250</v>
      </c>
      <c r="G87" s="52">
        <f t="shared" ref="G87" si="79">SUM(G88:G88)</f>
        <v>250</v>
      </c>
      <c r="H87" s="52">
        <f t="shared" ref="H87" si="80">SUM(H88:H88)</f>
        <v>0</v>
      </c>
      <c r="I87" s="52">
        <f t="shared" ref="I87" si="81">SUM(I88:I88)</f>
        <v>0</v>
      </c>
      <c r="J87" s="52">
        <f t="shared" ref="J87" si="82">SUM(J88:J88)</f>
        <v>0</v>
      </c>
      <c r="K87" s="52">
        <f t="shared" ref="K87" si="83">SUM(K88:K88)</f>
        <v>0</v>
      </c>
      <c r="L87" s="52">
        <f t="shared" ref="L87" si="84">SUM(L88:L88)</f>
        <v>0</v>
      </c>
      <c r="M87" s="52">
        <f t="shared" ref="M87" si="85">SUM(M88:M88)</f>
        <v>0</v>
      </c>
      <c r="N87" s="52">
        <f t="shared" ref="E87:O87" si="86">SUM(N88:N88)</f>
        <v>1500</v>
      </c>
      <c r="O87" s="52">
        <f t="shared" si="86"/>
        <v>1500</v>
      </c>
      <c r="P87" s="52"/>
    </row>
    <row r="88" spans="2:35" x14ac:dyDescent="0.35">
      <c r="B88" s="556" t="s">
        <v>463</v>
      </c>
      <c r="D88" s="64">
        <v>250</v>
      </c>
      <c r="E88" s="64">
        <v>250</v>
      </c>
      <c r="F88" s="64">
        <v>250</v>
      </c>
      <c r="G88" s="64">
        <v>250</v>
      </c>
      <c r="H88" s="64"/>
      <c r="I88" s="64"/>
      <c r="J88" s="64"/>
      <c r="K88" s="64"/>
      <c r="L88" s="64"/>
      <c r="M88" s="64"/>
      <c r="N88" s="64">
        <v>1500</v>
      </c>
      <c r="O88" s="64">
        <v>1500</v>
      </c>
      <c r="P88" s="52"/>
    </row>
    <row r="89" spans="2:35" x14ac:dyDescent="0.35">
      <c r="B89" s="31" t="s">
        <v>252</v>
      </c>
      <c r="C89" s="106">
        <v>5.0000000000000001E-3</v>
      </c>
    </row>
    <row r="90" spans="2:35" x14ac:dyDescent="0.35"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66"/>
      <c r="S90" s="66"/>
      <c r="T90" s="66"/>
    </row>
    <row r="91" spans="2:35" x14ac:dyDescent="0.35">
      <c r="B91" s="39" t="s">
        <v>254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108">
        <v>0.01</v>
      </c>
      <c r="R91" s="108">
        <v>3</v>
      </c>
      <c r="S91" s="108">
        <v>0.02</v>
      </c>
      <c r="T91" s="108">
        <f>S91</f>
        <v>0.02</v>
      </c>
    </row>
    <row r="92" spans="2:35" x14ac:dyDescent="0.35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108"/>
      <c r="R92" s="108"/>
      <c r="S92" s="108"/>
      <c r="T92" s="108"/>
    </row>
    <row r="93" spans="2:35" x14ac:dyDescent="0.35">
      <c r="R93" s="47"/>
      <c r="S93" s="47"/>
      <c r="T93" s="47"/>
    </row>
    <row r="94" spans="2:35" x14ac:dyDescent="0.35">
      <c r="B94" s="422" t="s">
        <v>415</v>
      </c>
      <c r="C94" s="452" t="s">
        <v>420</v>
      </c>
      <c r="D94" s="453" t="s">
        <v>421</v>
      </c>
    </row>
    <row r="95" spans="2:35" x14ac:dyDescent="0.35">
      <c r="B95" s="499" t="s">
        <v>105</v>
      </c>
      <c r="C95" s="438"/>
      <c r="D95" s="500"/>
    </row>
    <row r="96" spans="2:35" x14ac:dyDescent="0.35">
      <c r="B96" s="501" t="s">
        <v>349</v>
      </c>
      <c r="C96" s="502">
        <f>C47*(1+$D$57)</f>
        <v>0</v>
      </c>
      <c r="D96" s="503">
        <f>C96*13</f>
        <v>0</v>
      </c>
    </row>
    <row r="97" spans="2:8" x14ac:dyDescent="0.35">
      <c r="B97" s="501" t="s">
        <v>350</v>
      </c>
      <c r="C97" s="502">
        <f>C48*(1+$D$57)</f>
        <v>0</v>
      </c>
      <c r="D97" s="503">
        <f t="shared" ref="D97:D101" si="87">C97*13</f>
        <v>0</v>
      </c>
    </row>
    <row r="98" spans="2:8" x14ac:dyDescent="0.35">
      <c r="B98" s="501" t="s">
        <v>351</v>
      </c>
      <c r="C98" s="502">
        <f>C50*(1+$D$57)</f>
        <v>0</v>
      </c>
      <c r="D98" s="503">
        <f t="shared" si="87"/>
        <v>0</v>
      </c>
    </row>
    <row r="99" spans="2:8" x14ac:dyDescent="0.35">
      <c r="B99" s="501" t="s">
        <v>352</v>
      </c>
      <c r="C99" s="502">
        <f>C51*(1+$D$57)</f>
        <v>0</v>
      </c>
      <c r="D99" s="503">
        <f t="shared" si="87"/>
        <v>0</v>
      </c>
    </row>
    <row r="100" spans="2:8" x14ac:dyDescent="0.35">
      <c r="B100" s="501" t="s">
        <v>353</v>
      </c>
      <c r="C100" s="502">
        <f>C52*(1+$D$57)</f>
        <v>0</v>
      </c>
      <c r="D100" s="503">
        <f t="shared" si="87"/>
        <v>0</v>
      </c>
    </row>
    <row r="101" spans="2:8" x14ac:dyDescent="0.35">
      <c r="B101" s="501" t="s">
        <v>354</v>
      </c>
      <c r="C101" s="502">
        <f>C53*(1+$D$57)</f>
        <v>0</v>
      </c>
      <c r="D101" s="503">
        <f t="shared" si="87"/>
        <v>0</v>
      </c>
    </row>
    <row r="102" spans="2:8" x14ac:dyDescent="0.35">
      <c r="B102" s="501"/>
      <c r="C102" s="362"/>
      <c r="D102" s="504"/>
    </row>
    <row r="103" spans="2:8" x14ac:dyDescent="0.35">
      <c r="B103" s="505" t="s">
        <v>419</v>
      </c>
      <c r="C103" s="362"/>
      <c r="D103" s="504"/>
    </row>
    <row r="104" spans="2:8" x14ac:dyDescent="0.35">
      <c r="B104" s="501" t="s">
        <v>359</v>
      </c>
      <c r="C104" s="502">
        <f>D63</f>
        <v>500</v>
      </c>
      <c r="D104" s="503">
        <f>C104*12</f>
        <v>6000</v>
      </c>
    </row>
    <row r="105" spans="2:8" x14ac:dyDescent="0.35">
      <c r="B105" s="501" t="s">
        <v>241</v>
      </c>
      <c r="C105" s="502">
        <f>D64</f>
        <v>51</v>
      </c>
      <c r="D105" s="503">
        <f t="shared" ref="D105:D117" si="88">C105*12</f>
        <v>612</v>
      </c>
      <c r="H105" s="114"/>
    </row>
    <row r="106" spans="2:8" x14ac:dyDescent="0.35">
      <c r="B106" s="501" t="s">
        <v>357</v>
      </c>
      <c r="C106" s="502">
        <f t="shared" ref="C106:C113" si="89">D76</f>
        <v>0</v>
      </c>
      <c r="D106" s="503">
        <f t="shared" si="88"/>
        <v>0</v>
      </c>
    </row>
    <row r="107" spans="2:8" x14ac:dyDescent="0.35">
      <c r="B107" s="501" t="s">
        <v>355</v>
      </c>
      <c r="C107" s="502">
        <f t="shared" si="89"/>
        <v>0</v>
      </c>
      <c r="D107" s="503">
        <f t="shared" si="88"/>
        <v>0</v>
      </c>
      <c r="H107" s="555"/>
    </row>
    <row r="108" spans="2:8" x14ac:dyDescent="0.35">
      <c r="B108" s="501" t="s">
        <v>242</v>
      </c>
      <c r="C108" s="502">
        <f t="shared" si="89"/>
        <v>0</v>
      </c>
      <c r="D108" s="503">
        <f t="shared" si="88"/>
        <v>0</v>
      </c>
      <c r="H108" s="114"/>
    </row>
    <row r="109" spans="2:8" x14ac:dyDescent="0.35">
      <c r="B109" s="501" t="s">
        <v>364</v>
      </c>
      <c r="C109" s="502">
        <f t="shared" si="89"/>
        <v>0</v>
      </c>
      <c r="D109" s="503">
        <f t="shared" si="88"/>
        <v>0</v>
      </c>
    </row>
    <row r="110" spans="2:8" x14ac:dyDescent="0.35">
      <c r="B110" s="501" t="s">
        <v>223</v>
      </c>
      <c r="C110" s="502">
        <f t="shared" si="89"/>
        <v>0</v>
      </c>
      <c r="D110" s="503">
        <f t="shared" si="88"/>
        <v>0</v>
      </c>
    </row>
    <row r="111" spans="2:8" x14ac:dyDescent="0.35">
      <c r="B111" s="501" t="s">
        <v>232</v>
      </c>
      <c r="C111" s="502">
        <f t="shared" si="89"/>
        <v>0</v>
      </c>
      <c r="D111" s="503">
        <f t="shared" si="88"/>
        <v>0</v>
      </c>
    </row>
    <row r="112" spans="2:8" x14ac:dyDescent="0.35">
      <c r="B112" s="501" t="s">
        <v>243</v>
      </c>
      <c r="C112" s="502">
        <f t="shared" si="89"/>
        <v>0</v>
      </c>
      <c r="D112" s="503">
        <f t="shared" si="88"/>
        <v>0</v>
      </c>
    </row>
    <row r="113" spans="2:4" x14ac:dyDescent="0.35">
      <c r="B113" s="501" t="s">
        <v>356</v>
      </c>
      <c r="C113" s="502">
        <f t="shared" si="89"/>
        <v>0</v>
      </c>
      <c r="D113" s="503">
        <f t="shared" si="88"/>
        <v>0</v>
      </c>
    </row>
    <row r="114" spans="2:4" x14ac:dyDescent="0.35">
      <c r="B114" s="501" t="s">
        <v>424</v>
      </c>
      <c r="C114" s="502">
        <v>0</v>
      </c>
      <c r="D114" s="503">
        <f t="shared" si="88"/>
        <v>0</v>
      </c>
    </row>
    <row r="115" spans="2:4" x14ac:dyDescent="0.35">
      <c r="B115" s="501"/>
      <c r="C115" s="502"/>
      <c r="D115" s="503"/>
    </row>
    <row r="116" spans="2:4" x14ac:dyDescent="0.35">
      <c r="B116" s="505" t="s">
        <v>253</v>
      </c>
      <c r="C116" s="502"/>
      <c r="D116" s="503"/>
    </row>
    <row r="117" spans="2:4" x14ac:dyDescent="0.35">
      <c r="B117" s="501" t="s">
        <v>423</v>
      </c>
      <c r="C117" s="502">
        <v>0</v>
      </c>
      <c r="D117" s="503">
        <f t="shared" si="88"/>
        <v>0</v>
      </c>
    </row>
    <row r="118" spans="2:4" x14ac:dyDescent="0.35">
      <c r="B118" s="501"/>
      <c r="C118" s="362"/>
      <c r="D118" s="504"/>
    </row>
    <row r="119" spans="2:4" x14ac:dyDescent="0.35">
      <c r="B119" s="422" t="s">
        <v>422</v>
      </c>
      <c r="C119" s="454">
        <f>SUM(C96:C118)</f>
        <v>551</v>
      </c>
      <c r="D119" s="455">
        <f>SUM(D96:D118)</f>
        <v>6612</v>
      </c>
    </row>
  </sheetData>
  <phoneticPr fontId="8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80" fitToHeight="2" orientation="portrait" r:id="rId1"/>
  <headerFooter alignWithMargins="0"/>
  <rowBreaks count="1" manualBreakCount="1">
    <brk id="42" min="1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2:Q186"/>
  <sheetViews>
    <sheetView zoomScaleNormal="100" workbookViewId="0">
      <pane ySplit="6" topLeftCell="A25" activePane="bottomLeft" state="frozen"/>
      <selection pane="bottomLeft" activeCell="L54" sqref="L54"/>
    </sheetView>
  </sheetViews>
  <sheetFormatPr defaultColWidth="9.08984375" defaultRowHeight="14.5" x14ac:dyDescent="0.35"/>
  <cols>
    <col min="1" max="1" width="4.6328125" style="31" customWidth="1"/>
    <col min="2" max="2" width="24" style="31" bestFit="1" customWidth="1"/>
    <col min="3" max="3" width="10.08984375" style="31" bestFit="1" customWidth="1"/>
    <col min="4" max="8" width="11.453125" style="31" customWidth="1"/>
    <col min="9" max="9" width="1.54296875" style="31" customWidth="1"/>
    <col min="10" max="10" width="4.6328125" style="31" customWidth="1"/>
    <col min="11" max="11" width="38.90625" style="31" bestFit="1" customWidth="1"/>
    <col min="12" max="12" width="13.36328125" style="31" customWidth="1"/>
    <col min="13" max="13" width="9.08984375" style="31"/>
    <col min="14" max="14" width="6.08984375" style="31" customWidth="1"/>
    <col min="15" max="15" width="26.90625" style="31" customWidth="1"/>
    <col min="16" max="17" width="11.6328125" style="31" customWidth="1"/>
    <col min="18" max="16384" width="9.08984375" style="31"/>
  </cols>
  <sheetData>
    <row r="2" spans="2:16" ht="21" x14ac:dyDescent="0.35">
      <c r="B2" s="56" t="str">
        <f>Summary!B2</f>
        <v>Cursa Platform</v>
      </c>
      <c r="C2" s="54"/>
      <c r="D2" s="54"/>
      <c r="E2" s="54"/>
      <c r="F2" s="54"/>
      <c r="G2" s="54"/>
      <c r="H2" s="54"/>
      <c r="I2" s="54"/>
    </row>
    <row r="3" spans="2:16" ht="4.5" customHeight="1" x14ac:dyDescent="0.5">
      <c r="B3" s="92"/>
    </row>
    <row r="4" spans="2:16" ht="21" x14ac:dyDescent="0.35">
      <c r="B4" s="57" t="s">
        <v>10</v>
      </c>
      <c r="C4" s="54"/>
      <c r="D4" s="54"/>
      <c r="E4" s="54"/>
      <c r="F4" s="54"/>
      <c r="G4" s="54"/>
      <c r="H4" s="54"/>
      <c r="I4" s="54"/>
    </row>
    <row r="6" spans="2:16" x14ac:dyDescent="0.35">
      <c r="D6" s="36" t="s">
        <v>234</v>
      </c>
      <c r="E6" s="37" t="s">
        <v>235</v>
      </c>
      <c r="F6" s="37" t="s">
        <v>236</v>
      </c>
      <c r="G6" s="37" t="s">
        <v>237</v>
      </c>
      <c r="H6" s="68" t="s">
        <v>238</v>
      </c>
    </row>
    <row r="9" spans="2:16" x14ac:dyDescent="0.35">
      <c r="B9" s="69" t="s">
        <v>19</v>
      </c>
      <c r="C9" s="59"/>
    </row>
    <row r="10" spans="2:16" x14ac:dyDescent="0.35">
      <c r="B10" s="31" t="s">
        <v>11</v>
      </c>
      <c r="D10" s="52">
        <v>0</v>
      </c>
      <c r="E10" s="52">
        <f t="shared" ref="E10" si="0">D14</f>
        <v>0</v>
      </c>
      <c r="F10" s="52">
        <f t="shared" ref="F10" si="1">E14</f>
        <v>0</v>
      </c>
      <c r="G10" s="52">
        <f t="shared" ref="G10" si="2">F14</f>
        <v>0</v>
      </c>
      <c r="H10" s="52">
        <f t="shared" ref="H10" si="3">G14</f>
        <v>0</v>
      </c>
      <c r="I10" s="70"/>
    </row>
    <row r="11" spans="2:16" x14ac:dyDescent="0.35">
      <c r="B11" s="31" t="s">
        <v>12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</row>
    <row r="12" spans="2:16" x14ac:dyDescent="0.35">
      <c r="B12" s="31" t="s">
        <v>13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</row>
    <row r="13" spans="2:16" x14ac:dyDescent="0.35">
      <c r="B13" s="31" t="s">
        <v>110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</row>
    <row r="14" spans="2:16" s="32" customFormat="1" x14ac:dyDescent="0.35">
      <c r="B14" s="32" t="s">
        <v>14</v>
      </c>
      <c r="D14" s="96">
        <f>SUM(D10:D13)</f>
        <v>0</v>
      </c>
      <c r="E14" s="96">
        <f>SUM(E10:E13)</f>
        <v>0</v>
      </c>
      <c r="F14" s="96">
        <f t="shared" ref="F14:H14" si="4">SUM(F10:F13)</f>
        <v>0</v>
      </c>
      <c r="G14" s="96">
        <f t="shared" si="4"/>
        <v>0</v>
      </c>
      <c r="H14" s="96">
        <f t="shared" si="4"/>
        <v>0</v>
      </c>
      <c r="K14" s="31"/>
      <c r="L14" s="31"/>
      <c r="O14" s="31"/>
      <c r="P14" s="31"/>
    </row>
    <row r="15" spans="2:16" s="32" customFormat="1" x14ac:dyDescent="0.35">
      <c r="D15" s="52"/>
      <c r="E15" s="96"/>
      <c r="F15" s="96"/>
      <c r="G15" s="96"/>
      <c r="H15" s="96"/>
      <c r="K15" s="31"/>
      <c r="L15" s="31"/>
      <c r="O15" s="31"/>
      <c r="P15" s="31"/>
    </row>
    <row r="16" spans="2:16" x14ac:dyDescent="0.35">
      <c r="B16" s="32" t="s">
        <v>7</v>
      </c>
      <c r="D16" s="52"/>
      <c r="E16" s="52"/>
      <c r="F16" s="52"/>
      <c r="G16" s="52"/>
      <c r="H16" s="52"/>
    </row>
    <row r="17" spans="2:12" x14ac:dyDescent="0.35">
      <c r="B17" s="31" t="s">
        <v>11</v>
      </c>
      <c r="D17" s="52">
        <v>0</v>
      </c>
      <c r="E17" s="52">
        <f t="shared" ref="E17" si="5">D21</f>
        <v>0</v>
      </c>
      <c r="F17" s="52">
        <f t="shared" ref="F17" si="6">E21</f>
        <v>0</v>
      </c>
      <c r="G17" s="52">
        <f t="shared" ref="G17" si="7">F21</f>
        <v>0</v>
      </c>
      <c r="H17" s="52">
        <f t="shared" ref="H17" si="8">G21</f>
        <v>0</v>
      </c>
    </row>
    <row r="18" spans="2:12" x14ac:dyDescent="0.35">
      <c r="B18" s="31" t="s">
        <v>15</v>
      </c>
      <c r="D18" s="52">
        <f>((D10+D14)/2)*$C23</f>
        <v>0</v>
      </c>
      <c r="E18" s="52">
        <f>MAX(MIN(((E10+E14)/2)*$C23,D25),0)</f>
        <v>0</v>
      </c>
      <c r="F18" s="52">
        <f t="shared" ref="F18" si="9">MAX(MIN(((F10+F14)/2)*$C23,E25),0)</f>
        <v>0</v>
      </c>
      <c r="G18" s="52">
        <f t="shared" ref="G18" si="10">MAX(MIN(((G10+G14)/2)*$C23,F25),0)</f>
        <v>0</v>
      </c>
      <c r="H18" s="52">
        <f t="shared" ref="H18" si="11">MAX(MIN(((H10+H14)/2)*$C23,G25),0)</f>
        <v>0</v>
      </c>
    </row>
    <row r="19" spans="2:12" x14ac:dyDescent="0.35">
      <c r="B19" s="31" t="s">
        <v>13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</row>
    <row r="20" spans="2:12" x14ac:dyDescent="0.35">
      <c r="B20" s="31" t="s">
        <v>111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</row>
    <row r="21" spans="2:12" x14ac:dyDescent="0.35">
      <c r="B21" s="32" t="s">
        <v>14</v>
      </c>
      <c r="D21" s="96">
        <f>SUM(D17:D20)</f>
        <v>0</v>
      </c>
      <c r="E21" s="96">
        <f t="shared" ref="E21" si="12">SUM(E17:E20)</f>
        <v>0</v>
      </c>
      <c r="F21" s="96">
        <f t="shared" ref="F21" si="13">SUM(F17:F20)</f>
        <v>0</v>
      </c>
      <c r="G21" s="96">
        <f t="shared" ref="G21" si="14">SUM(G17:G20)</f>
        <v>0</v>
      </c>
      <c r="H21" s="96">
        <f t="shared" ref="H21" si="15">SUM(H17:H20)</f>
        <v>0</v>
      </c>
    </row>
    <row r="22" spans="2:12" x14ac:dyDescent="0.35">
      <c r="C22" s="35" t="s">
        <v>16</v>
      </c>
      <c r="D22" s="52"/>
      <c r="E22" s="52"/>
      <c r="F22" s="52"/>
      <c r="G22" s="52"/>
      <c r="H22" s="52"/>
    </row>
    <row r="23" spans="2:12" x14ac:dyDescent="0.35">
      <c r="B23" s="31" t="s">
        <v>17</v>
      </c>
      <c r="C23" s="72">
        <v>1</v>
      </c>
      <c r="D23" s="47">
        <v>0</v>
      </c>
      <c r="E23" s="47">
        <f t="shared" ref="E23:H23" si="16">$C23</f>
        <v>1</v>
      </c>
      <c r="F23" s="47">
        <f t="shared" si="16"/>
        <v>1</v>
      </c>
      <c r="G23" s="47">
        <f t="shared" si="16"/>
        <v>1</v>
      </c>
      <c r="H23" s="47">
        <f t="shared" si="16"/>
        <v>1</v>
      </c>
    </row>
    <row r="24" spans="2:12" x14ac:dyDescent="0.35">
      <c r="D24" s="52"/>
      <c r="E24" s="52"/>
      <c r="F24" s="52"/>
      <c r="G24" s="52"/>
      <c r="H24" s="52"/>
    </row>
    <row r="25" spans="2:12" x14ac:dyDescent="0.35">
      <c r="B25" s="32" t="s">
        <v>18</v>
      </c>
      <c r="D25" s="96">
        <f>D14-D21</f>
        <v>0</v>
      </c>
      <c r="E25" s="96">
        <f t="shared" ref="E25:H25" si="17">E14-E21</f>
        <v>0</v>
      </c>
      <c r="F25" s="96">
        <f t="shared" si="17"/>
        <v>0</v>
      </c>
      <c r="G25" s="96">
        <f t="shared" si="17"/>
        <v>0</v>
      </c>
      <c r="H25" s="96">
        <f t="shared" si="17"/>
        <v>0</v>
      </c>
    </row>
    <row r="27" spans="2:12" x14ac:dyDescent="0.35">
      <c r="B27" s="69" t="s">
        <v>245</v>
      </c>
      <c r="C27" s="59"/>
      <c r="K27" s="93"/>
      <c r="L27" s="95"/>
    </row>
    <row r="28" spans="2:12" x14ac:dyDescent="0.35">
      <c r="B28" s="31" t="s">
        <v>11</v>
      </c>
      <c r="D28" s="52">
        <v>0</v>
      </c>
      <c r="E28" s="52">
        <f t="shared" ref="E28:H28" si="18">D32</f>
        <v>0</v>
      </c>
      <c r="F28" s="52">
        <f t="shared" si="18"/>
        <v>0</v>
      </c>
      <c r="G28" s="52">
        <f t="shared" si="18"/>
        <v>0</v>
      </c>
      <c r="H28" s="52">
        <f t="shared" si="18"/>
        <v>0</v>
      </c>
      <c r="I28" s="70"/>
      <c r="K28" s="94"/>
      <c r="L28" s="97"/>
    </row>
    <row r="29" spans="2:12" x14ac:dyDescent="0.35">
      <c r="B29" s="31" t="s">
        <v>12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K29" s="94"/>
      <c r="L29" s="97"/>
    </row>
    <row r="30" spans="2:12" x14ac:dyDescent="0.35">
      <c r="B30" s="31" t="s">
        <v>13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L30" s="97"/>
    </row>
    <row r="31" spans="2:12" x14ac:dyDescent="0.35">
      <c r="B31" s="31" t="s">
        <v>110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L31" s="97"/>
    </row>
    <row r="32" spans="2:12" s="32" customFormat="1" x14ac:dyDescent="0.35">
      <c r="B32" s="32" t="s">
        <v>14</v>
      </c>
      <c r="D32" s="96">
        <f>SUM(D28:D31)</f>
        <v>0</v>
      </c>
      <c r="E32" s="96">
        <f>SUM(E28:E31)</f>
        <v>0</v>
      </c>
      <c r="F32" s="96">
        <f t="shared" ref="F32:H32" si="19">SUM(F28:F31)</f>
        <v>0</v>
      </c>
      <c r="G32" s="96">
        <f t="shared" si="19"/>
        <v>0</v>
      </c>
      <c r="H32" s="96">
        <f t="shared" si="19"/>
        <v>0</v>
      </c>
      <c r="K32" s="31"/>
      <c r="L32" s="97"/>
    </row>
    <row r="33" spans="2:17" s="32" customFormat="1" x14ac:dyDescent="0.35">
      <c r="D33" s="52"/>
      <c r="E33" s="96"/>
      <c r="F33" s="96"/>
      <c r="G33" s="96"/>
      <c r="H33" s="96"/>
      <c r="K33" s="31"/>
      <c r="L33" s="97"/>
    </row>
    <row r="34" spans="2:17" x14ac:dyDescent="0.35">
      <c r="B34" s="32" t="s">
        <v>7</v>
      </c>
      <c r="D34" s="52"/>
      <c r="E34" s="52"/>
      <c r="F34" s="52"/>
      <c r="G34" s="52"/>
      <c r="H34" s="52"/>
      <c r="L34" s="97"/>
    </row>
    <row r="35" spans="2:17" x14ac:dyDescent="0.35">
      <c r="B35" s="31" t="s">
        <v>11</v>
      </c>
      <c r="D35" s="52">
        <v>0</v>
      </c>
      <c r="E35" s="52">
        <f t="shared" ref="E35:H35" si="20">D39</f>
        <v>0</v>
      </c>
      <c r="F35" s="52">
        <f t="shared" si="20"/>
        <v>0</v>
      </c>
      <c r="G35" s="52">
        <f t="shared" si="20"/>
        <v>0</v>
      </c>
      <c r="H35" s="52">
        <f t="shared" si="20"/>
        <v>0</v>
      </c>
      <c r="L35" s="97"/>
    </row>
    <row r="36" spans="2:17" x14ac:dyDescent="0.35">
      <c r="B36" s="31" t="s">
        <v>15</v>
      </c>
      <c r="D36" s="52">
        <f>((D28+D32)/2)*$C41</f>
        <v>0</v>
      </c>
      <c r="E36" s="52">
        <f>MAX(MIN(((E28+E32)/2)*$C41,D43),0)</f>
        <v>0</v>
      </c>
      <c r="F36" s="52">
        <f t="shared" ref="F36:H36" si="21">MAX(MIN(((F28+F32)/2)*$C41,E43),0)</f>
        <v>0</v>
      </c>
      <c r="G36" s="52">
        <f t="shared" si="21"/>
        <v>0</v>
      </c>
      <c r="H36" s="52">
        <f t="shared" si="21"/>
        <v>0</v>
      </c>
      <c r="L36" s="97"/>
    </row>
    <row r="37" spans="2:17" x14ac:dyDescent="0.35">
      <c r="B37" s="31" t="s">
        <v>13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L37" s="97"/>
      <c r="M37" s="32"/>
      <c r="N37" s="32"/>
    </row>
    <row r="38" spans="2:17" x14ac:dyDescent="0.35">
      <c r="B38" s="31" t="s">
        <v>111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K38" s="41"/>
      <c r="L38" s="97"/>
    </row>
    <row r="39" spans="2:17" x14ac:dyDescent="0.35">
      <c r="B39" s="32" t="s">
        <v>14</v>
      </c>
      <c r="D39" s="96">
        <f>SUM(D35:D38)</f>
        <v>0</v>
      </c>
      <c r="E39" s="96">
        <f t="shared" ref="E39:H39" si="22">SUM(E35:E38)</f>
        <v>0</v>
      </c>
      <c r="F39" s="96">
        <f t="shared" si="22"/>
        <v>0</v>
      </c>
      <c r="G39" s="96">
        <f t="shared" si="22"/>
        <v>0</v>
      </c>
      <c r="H39" s="96">
        <f t="shared" si="22"/>
        <v>0</v>
      </c>
      <c r="L39" s="97"/>
    </row>
    <row r="40" spans="2:17" x14ac:dyDescent="0.35">
      <c r="C40" s="35" t="s">
        <v>16</v>
      </c>
      <c r="D40" s="52"/>
      <c r="E40" s="52"/>
      <c r="F40" s="52"/>
      <c r="G40" s="52"/>
      <c r="H40" s="52"/>
      <c r="L40" s="97"/>
    </row>
    <row r="41" spans="2:17" x14ac:dyDescent="0.35">
      <c r="B41" s="31" t="s">
        <v>17</v>
      </c>
      <c r="C41" s="72">
        <v>0.03</v>
      </c>
      <c r="D41" s="47">
        <v>0</v>
      </c>
      <c r="E41" s="47">
        <f t="shared" ref="E41:H41" si="23">$C41</f>
        <v>0.03</v>
      </c>
      <c r="F41" s="47">
        <f t="shared" si="23"/>
        <v>0.03</v>
      </c>
      <c r="G41" s="47">
        <f t="shared" si="23"/>
        <v>0.03</v>
      </c>
      <c r="H41" s="47">
        <f t="shared" si="23"/>
        <v>0.03</v>
      </c>
      <c r="L41" s="97"/>
    </row>
    <row r="42" spans="2:17" x14ac:dyDescent="0.35">
      <c r="D42" s="52"/>
      <c r="E42" s="52"/>
      <c r="F42" s="52"/>
      <c r="G42" s="52"/>
      <c r="H42" s="52"/>
      <c r="L42" s="97"/>
    </row>
    <row r="43" spans="2:17" x14ac:dyDescent="0.35">
      <c r="B43" s="32" t="s">
        <v>18</v>
      </c>
      <c r="D43" s="96">
        <f>D32-D39</f>
        <v>0</v>
      </c>
      <c r="E43" s="96">
        <f t="shared" ref="E43:H43" si="24">E32-E39</f>
        <v>0</v>
      </c>
      <c r="F43" s="96">
        <f t="shared" si="24"/>
        <v>0</v>
      </c>
      <c r="G43" s="96">
        <f t="shared" si="24"/>
        <v>0</v>
      </c>
      <c r="H43" s="96">
        <f t="shared" si="24"/>
        <v>0</v>
      </c>
      <c r="L43" s="97"/>
    </row>
    <row r="44" spans="2:17" x14ac:dyDescent="0.35">
      <c r="E44" s="70"/>
      <c r="F44" s="70"/>
      <c r="G44" s="70"/>
      <c r="H44" s="70"/>
      <c r="L44" s="97"/>
    </row>
    <row r="45" spans="2:17" x14ac:dyDescent="0.35">
      <c r="B45" s="69" t="s">
        <v>133</v>
      </c>
      <c r="C45" s="59"/>
      <c r="L45" s="97"/>
      <c r="N45" s="429" t="s">
        <v>414</v>
      </c>
      <c r="O45" s="430" t="s">
        <v>415</v>
      </c>
      <c r="P45" s="573" t="s">
        <v>416</v>
      </c>
      <c r="Q45" s="574"/>
    </row>
    <row r="46" spans="2:17" x14ac:dyDescent="0.35">
      <c r="B46" s="31" t="s">
        <v>11</v>
      </c>
      <c r="D46" s="52">
        <v>0</v>
      </c>
      <c r="E46" s="52">
        <f t="shared" ref="E46" si="25">D50</f>
        <v>0</v>
      </c>
      <c r="F46" s="52">
        <f t="shared" ref="F46" si="26">E50</f>
        <v>0</v>
      </c>
      <c r="G46" s="52">
        <f t="shared" ref="G46" si="27">F50</f>
        <v>0</v>
      </c>
      <c r="H46" s="52">
        <f t="shared" ref="H46" si="28">G50</f>
        <v>0</v>
      </c>
      <c r="K46" s="93" t="s">
        <v>133</v>
      </c>
      <c r="L46" s="97"/>
      <c r="N46" s="431"/>
      <c r="O46" s="432"/>
      <c r="P46" s="433" t="s">
        <v>417</v>
      </c>
      <c r="Q46" s="434" t="s">
        <v>418</v>
      </c>
    </row>
    <row r="47" spans="2:17" x14ac:dyDescent="0.35">
      <c r="B47" s="31" t="s">
        <v>12</v>
      </c>
      <c r="D47" s="52">
        <f>L49</f>
        <v>0</v>
      </c>
      <c r="E47" s="52">
        <v>0</v>
      </c>
      <c r="F47" s="52">
        <v>0</v>
      </c>
      <c r="G47" s="52">
        <v>0</v>
      </c>
      <c r="H47" s="52">
        <v>0</v>
      </c>
      <c r="K47" s="31" t="s">
        <v>133</v>
      </c>
      <c r="L47" s="97">
        <v>0</v>
      </c>
      <c r="N47" s="437">
        <v>1</v>
      </c>
      <c r="O47" s="438" t="s">
        <v>133</v>
      </c>
      <c r="P47" s="444">
        <v>5000</v>
      </c>
      <c r="Q47" s="445">
        <v>8000</v>
      </c>
    </row>
    <row r="48" spans="2:17" x14ac:dyDescent="0.35">
      <c r="B48" s="31" t="s">
        <v>13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K48" s="31" t="s">
        <v>279</v>
      </c>
      <c r="L48" s="98">
        <f>SUM(L47)*Summary!$I$18</f>
        <v>0</v>
      </c>
      <c r="N48" s="439">
        <v>2</v>
      </c>
      <c r="O48" s="362" t="s">
        <v>360</v>
      </c>
      <c r="P48" s="446">
        <v>30000</v>
      </c>
      <c r="Q48" s="447">
        <v>35000</v>
      </c>
    </row>
    <row r="49" spans="2:17" x14ac:dyDescent="0.35">
      <c r="B49" s="31" t="s">
        <v>110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K49" s="41" t="s">
        <v>6</v>
      </c>
      <c r="L49" s="99">
        <f>SUM(L47:L48)</f>
        <v>0</v>
      </c>
      <c r="N49" s="439"/>
      <c r="O49" s="440" t="s">
        <v>361</v>
      </c>
      <c r="P49" s="446"/>
      <c r="Q49" s="447"/>
    </row>
    <row r="50" spans="2:17" s="32" customFormat="1" x14ac:dyDescent="0.35">
      <c r="B50" s="32" t="s">
        <v>14</v>
      </c>
      <c r="D50" s="96">
        <f>SUM(D46:D49)</f>
        <v>0</v>
      </c>
      <c r="E50" s="96">
        <f>SUM(E46:E49)</f>
        <v>0</v>
      </c>
      <c r="F50" s="96">
        <f t="shared" ref="F50:H50" si="29">SUM(F46:F49)</f>
        <v>0</v>
      </c>
      <c r="G50" s="96">
        <f t="shared" si="29"/>
        <v>0</v>
      </c>
      <c r="H50" s="96">
        <f t="shared" si="29"/>
        <v>0</v>
      </c>
      <c r="K50" s="31"/>
      <c r="L50" s="97"/>
      <c r="N50" s="439">
        <v>3</v>
      </c>
      <c r="O50" s="441" t="s">
        <v>362</v>
      </c>
      <c r="P50" s="446">
        <f>5*1000</f>
        <v>5000</v>
      </c>
      <c r="Q50" s="447">
        <f>5*1300</f>
        <v>6500</v>
      </c>
    </row>
    <row r="51" spans="2:17" s="32" customFormat="1" x14ac:dyDescent="0.35">
      <c r="D51" s="52"/>
      <c r="E51" s="96"/>
      <c r="F51" s="96"/>
      <c r="G51" s="96"/>
      <c r="H51" s="96"/>
      <c r="K51" s="93" t="s">
        <v>360</v>
      </c>
      <c r="L51" s="97"/>
      <c r="N51" s="439">
        <v>4</v>
      </c>
      <c r="O51" s="441" t="s">
        <v>431</v>
      </c>
      <c r="P51" s="446">
        <v>1000</v>
      </c>
      <c r="Q51" s="447">
        <v>1300</v>
      </c>
    </row>
    <row r="52" spans="2:17" x14ac:dyDescent="0.35">
      <c r="B52" s="32" t="s">
        <v>7</v>
      </c>
      <c r="D52" s="52"/>
      <c r="E52" s="52"/>
      <c r="F52" s="52"/>
      <c r="G52" s="52"/>
      <c r="H52" s="52"/>
      <c r="K52" s="31" t="s">
        <v>360</v>
      </c>
      <c r="L52" s="97">
        <v>0</v>
      </c>
      <c r="N52" s="442">
        <v>5</v>
      </c>
      <c r="O52" s="443" t="s">
        <v>363</v>
      </c>
      <c r="P52" s="448">
        <v>800</v>
      </c>
      <c r="Q52" s="449">
        <v>1200</v>
      </c>
    </row>
    <row r="53" spans="2:17" x14ac:dyDescent="0.35">
      <c r="B53" s="31" t="s">
        <v>11</v>
      </c>
      <c r="D53" s="52">
        <v>0</v>
      </c>
      <c r="E53" s="52">
        <f t="shared" ref="E53" si="30">D57</f>
        <v>0</v>
      </c>
      <c r="F53" s="52">
        <f t="shared" ref="F53" si="31">E57</f>
        <v>0</v>
      </c>
      <c r="G53" s="52">
        <f t="shared" ref="G53" si="32">F57</f>
        <v>0</v>
      </c>
      <c r="H53" s="52">
        <f t="shared" ref="H53" si="33">G57</f>
        <v>0</v>
      </c>
      <c r="K53" s="31" t="s">
        <v>458</v>
      </c>
      <c r="L53" s="97">
        <v>0</v>
      </c>
      <c r="N53" s="435" t="s">
        <v>6</v>
      </c>
      <c r="O53" s="436"/>
      <c r="P53" s="450">
        <f>SUM(P47:P52)</f>
        <v>41800</v>
      </c>
      <c r="Q53" s="451">
        <f>SUM(Q47:Q52)</f>
        <v>52000</v>
      </c>
    </row>
    <row r="54" spans="2:17" x14ac:dyDescent="0.35">
      <c r="B54" s="31" t="s">
        <v>15</v>
      </c>
      <c r="D54" s="52">
        <f>((D46+D50)/2)*$C59</f>
        <v>0</v>
      </c>
      <c r="E54" s="52">
        <f>MAX(MIN(((E46+E50)/2)*$C59,D61),0)</f>
        <v>0</v>
      </c>
      <c r="F54" s="52">
        <f t="shared" ref="F54" si="34">MAX(MIN(((F46+F50)/2)*$C59,E61),0)</f>
        <v>0</v>
      </c>
      <c r="G54" s="52">
        <f t="shared" ref="G54" si="35">MAX(MIN(((G46+G50)/2)*$C59,F61),0)</f>
        <v>0</v>
      </c>
      <c r="H54" s="52">
        <f t="shared" ref="H54" si="36">MAX(MIN(((H46+H50)/2)*$C59,G61),0)</f>
        <v>0</v>
      </c>
      <c r="K54" s="31" t="s">
        <v>279</v>
      </c>
      <c r="L54" s="98">
        <f>SUM(L52:L52)*Summary!$I$18</f>
        <v>0</v>
      </c>
      <c r="P54" s="97"/>
    </row>
    <row r="55" spans="2:17" x14ac:dyDescent="0.35">
      <c r="B55" s="31" t="s">
        <v>13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K55" s="41" t="s">
        <v>6</v>
      </c>
      <c r="L55" s="99">
        <f>SUM(L52:L54)</f>
        <v>0</v>
      </c>
    </row>
    <row r="56" spans="2:17" x14ac:dyDescent="0.35">
      <c r="B56" s="31" t="s">
        <v>111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L56" s="97"/>
    </row>
    <row r="57" spans="2:17" x14ac:dyDescent="0.35">
      <c r="B57" s="32" t="s">
        <v>14</v>
      </c>
      <c r="D57" s="96">
        <f>SUM(D53:D56)</f>
        <v>0</v>
      </c>
      <c r="E57" s="96">
        <f t="shared" ref="E57" si="37">SUM(E53:E56)</f>
        <v>0</v>
      </c>
      <c r="F57" s="96">
        <f t="shared" ref="F57" si="38">SUM(F53:F56)</f>
        <v>0</v>
      </c>
      <c r="G57" s="96">
        <f t="shared" ref="G57" si="39">SUM(G53:G56)</f>
        <v>0</v>
      </c>
      <c r="H57" s="96">
        <f t="shared" ref="H57" si="40">SUM(H53:H56)</f>
        <v>0</v>
      </c>
      <c r="K57" s="93" t="s">
        <v>361</v>
      </c>
      <c r="L57" s="97"/>
    </row>
    <row r="58" spans="2:17" x14ac:dyDescent="0.35">
      <c r="C58" s="35" t="s">
        <v>16</v>
      </c>
      <c r="D58" s="52"/>
      <c r="E58" s="52"/>
      <c r="F58" s="52"/>
      <c r="G58" s="52"/>
      <c r="H58" s="52"/>
      <c r="K58" s="31" t="s">
        <v>362</v>
      </c>
      <c r="L58" s="97">
        <v>0</v>
      </c>
    </row>
    <row r="59" spans="2:17" x14ac:dyDescent="0.35">
      <c r="B59" s="31" t="s">
        <v>17</v>
      </c>
      <c r="C59" s="72">
        <v>0.1</v>
      </c>
      <c r="D59" s="47">
        <v>0</v>
      </c>
      <c r="E59" s="47">
        <f t="shared" ref="E59:H59" si="41">$C59</f>
        <v>0.1</v>
      </c>
      <c r="F59" s="47">
        <f t="shared" si="41"/>
        <v>0.1</v>
      </c>
      <c r="G59" s="47">
        <f t="shared" si="41"/>
        <v>0.1</v>
      </c>
      <c r="H59" s="47">
        <f t="shared" si="41"/>
        <v>0.1</v>
      </c>
      <c r="K59" s="31" t="s">
        <v>431</v>
      </c>
      <c r="L59" s="97">
        <v>0</v>
      </c>
    </row>
    <row r="60" spans="2:17" x14ac:dyDescent="0.35">
      <c r="D60" s="52"/>
      <c r="E60" s="52"/>
      <c r="F60" s="52"/>
      <c r="G60" s="52"/>
      <c r="H60" s="52"/>
      <c r="K60" s="31" t="s">
        <v>363</v>
      </c>
      <c r="L60" s="97">
        <v>0</v>
      </c>
    </row>
    <row r="61" spans="2:17" x14ac:dyDescent="0.35">
      <c r="B61" s="32" t="s">
        <v>18</v>
      </c>
      <c r="D61" s="96">
        <f>D50-D57</f>
        <v>0</v>
      </c>
      <c r="E61" s="96">
        <f t="shared" ref="E61:H61" si="42">E50-E57</f>
        <v>0</v>
      </c>
      <c r="F61" s="96">
        <f t="shared" si="42"/>
        <v>0</v>
      </c>
      <c r="G61" s="96">
        <f t="shared" si="42"/>
        <v>0</v>
      </c>
      <c r="H61" s="96">
        <f t="shared" si="42"/>
        <v>0</v>
      </c>
      <c r="K61" s="31" t="s">
        <v>279</v>
      </c>
      <c r="L61" s="98">
        <f>SUM(L58:L60)*Summary!$I$18</f>
        <v>0</v>
      </c>
    </row>
    <row r="62" spans="2:17" x14ac:dyDescent="0.35">
      <c r="E62" s="70"/>
      <c r="F62" s="70"/>
      <c r="G62" s="70"/>
      <c r="H62" s="70"/>
      <c r="K62" s="41" t="s">
        <v>6</v>
      </c>
      <c r="L62" s="99">
        <f>SUM(L58:L61)</f>
        <v>0</v>
      </c>
    </row>
    <row r="63" spans="2:17" x14ac:dyDescent="0.35">
      <c r="B63" s="69" t="s">
        <v>360</v>
      </c>
      <c r="C63" s="59"/>
      <c r="E63" s="70"/>
      <c r="F63" s="70"/>
      <c r="G63" s="70"/>
      <c r="H63" s="70"/>
      <c r="L63" s="97"/>
    </row>
    <row r="64" spans="2:17" x14ac:dyDescent="0.35">
      <c r="B64" s="31" t="s">
        <v>11</v>
      </c>
      <c r="D64" s="52">
        <v>0</v>
      </c>
      <c r="E64" s="52">
        <f t="shared" ref="E64" si="43">D68</f>
        <v>0</v>
      </c>
      <c r="F64" s="52">
        <f t="shared" ref="F64" si="44">E68</f>
        <v>0</v>
      </c>
      <c r="G64" s="52">
        <f t="shared" ref="G64" si="45">F68</f>
        <v>0</v>
      </c>
      <c r="H64" s="52">
        <f t="shared" ref="H64" si="46">G68</f>
        <v>0</v>
      </c>
    </row>
    <row r="65" spans="2:12" x14ac:dyDescent="0.35">
      <c r="B65" s="31" t="s">
        <v>12</v>
      </c>
      <c r="D65" s="52">
        <f>L55</f>
        <v>0</v>
      </c>
      <c r="E65" s="52">
        <v>0</v>
      </c>
      <c r="F65" s="52">
        <v>0</v>
      </c>
      <c r="G65" s="52">
        <v>0</v>
      </c>
      <c r="H65" s="52">
        <v>0</v>
      </c>
      <c r="K65" s="100" t="s">
        <v>250</v>
      </c>
      <c r="L65" s="101">
        <f>L49+L55+L62</f>
        <v>0</v>
      </c>
    </row>
    <row r="66" spans="2:12" x14ac:dyDescent="0.35">
      <c r="B66" s="31" t="s">
        <v>13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</row>
    <row r="67" spans="2:12" x14ac:dyDescent="0.35">
      <c r="B67" s="31" t="s">
        <v>110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</row>
    <row r="68" spans="2:12" x14ac:dyDescent="0.35">
      <c r="B68" s="32" t="s">
        <v>14</v>
      </c>
      <c r="C68" s="32"/>
      <c r="D68" s="96">
        <f>SUM(D64:D67)</f>
        <v>0</v>
      </c>
      <c r="E68" s="96">
        <f>SUM(E64:E67)</f>
        <v>0</v>
      </c>
      <c r="F68" s="96">
        <f t="shared" ref="F68:H68" si="47">SUM(F64:F67)</f>
        <v>0</v>
      </c>
      <c r="G68" s="96">
        <f t="shared" si="47"/>
        <v>0</v>
      </c>
      <c r="H68" s="96">
        <f t="shared" si="47"/>
        <v>0</v>
      </c>
      <c r="K68" s="32"/>
      <c r="L68" s="32"/>
    </row>
    <row r="69" spans="2:12" x14ac:dyDescent="0.35">
      <c r="B69" s="32"/>
      <c r="C69" s="32"/>
      <c r="D69" s="52"/>
      <c r="E69" s="96"/>
      <c r="F69" s="96"/>
      <c r="G69" s="96"/>
      <c r="H69" s="96"/>
      <c r="K69" s="32"/>
      <c r="L69" s="32"/>
    </row>
    <row r="70" spans="2:12" x14ac:dyDescent="0.35">
      <c r="B70" s="32" t="s">
        <v>7</v>
      </c>
      <c r="D70" s="52"/>
      <c r="E70" s="52"/>
      <c r="F70" s="52"/>
      <c r="G70" s="52"/>
      <c r="H70" s="52"/>
    </row>
    <row r="71" spans="2:12" x14ac:dyDescent="0.35">
      <c r="B71" s="31" t="s">
        <v>11</v>
      </c>
      <c r="D71" s="52">
        <v>0</v>
      </c>
      <c r="E71" s="52">
        <f t="shared" ref="E71" si="48">D75</f>
        <v>0</v>
      </c>
      <c r="F71" s="52">
        <f t="shared" ref="F71" si="49">E75</f>
        <v>0</v>
      </c>
      <c r="G71" s="52">
        <f t="shared" ref="G71" si="50">F75</f>
        <v>0</v>
      </c>
      <c r="H71" s="52">
        <f t="shared" ref="H71" si="51">G75</f>
        <v>0</v>
      </c>
    </row>
    <row r="72" spans="2:12" x14ac:dyDescent="0.35">
      <c r="B72" s="31" t="s">
        <v>15</v>
      </c>
      <c r="D72" s="52">
        <f>((D64+D68)/2)*$C77</f>
        <v>0</v>
      </c>
      <c r="E72" s="52">
        <f>MAX(MIN(((E64+E68)/2)*$C77,D79),0)</f>
        <v>0</v>
      </c>
      <c r="F72" s="52">
        <f t="shared" ref="F72" si="52">MAX(MIN(((F64+F68)/2)*$C77,E79),0)</f>
        <v>0</v>
      </c>
      <c r="G72" s="52">
        <f t="shared" ref="G72" si="53">MAX(MIN(((G64+G68)/2)*$C77,F79),0)</f>
        <v>0</v>
      </c>
      <c r="H72" s="52">
        <f t="shared" ref="H72" si="54">MAX(MIN(((H64+H68)/2)*$C77,G79),0)</f>
        <v>0</v>
      </c>
    </row>
    <row r="73" spans="2:12" x14ac:dyDescent="0.35">
      <c r="B73" s="31" t="s">
        <v>13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</row>
    <row r="74" spans="2:12" x14ac:dyDescent="0.35">
      <c r="B74" s="31" t="s">
        <v>111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</row>
    <row r="75" spans="2:12" x14ac:dyDescent="0.35">
      <c r="B75" s="32" t="s">
        <v>14</v>
      </c>
      <c r="D75" s="96">
        <f>SUM(D71:D74)</f>
        <v>0</v>
      </c>
      <c r="E75" s="96">
        <f t="shared" ref="E75" si="55">SUM(E71:E74)</f>
        <v>0</v>
      </c>
      <c r="F75" s="96">
        <f t="shared" ref="F75" si="56">SUM(F71:F74)</f>
        <v>0</v>
      </c>
      <c r="G75" s="96">
        <f t="shared" ref="G75" si="57">SUM(G71:G74)</f>
        <v>0</v>
      </c>
      <c r="H75" s="96">
        <f t="shared" ref="H75" si="58">SUM(H71:H74)</f>
        <v>0</v>
      </c>
    </row>
    <row r="76" spans="2:12" x14ac:dyDescent="0.35">
      <c r="C76" s="35" t="s">
        <v>16</v>
      </c>
      <c r="D76" s="52"/>
      <c r="E76" s="52"/>
      <c r="F76" s="52"/>
      <c r="G76" s="52"/>
      <c r="H76" s="52"/>
    </row>
    <row r="77" spans="2:12" x14ac:dyDescent="0.35">
      <c r="B77" s="31" t="s">
        <v>17</v>
      </c>
      <c r="C77" s="72">
        <v>0.1</v>
      </c>
      <c r="D77" s="47">
        <v>0</v>
      </c>
      <c r="E77" s="47">
        <f t="shared" ref="E77:H77" si="59">$C77</f>
        <v>0.1</v>
      </c>
      <c r="F77" s="47">
        <f t="shared" si="59"/>
        <v>0.1</v>
      </c>
      <c r="G77" s="47">
        <f t="shared" si="59"/>
        <v>0.1</v>
      </c>
      <c r="H77" s="47">
        <f t="shared" si="59"/>
        <v>0.1</v>
      </c>
    </row>
    <row r="78" spans="2:12" x14ac:dyDescent="0.35">
      <c r="D78" s="52"/>
      <c r="E78" s="52"/>
      <c r="F78" s="52"/>
      <c r="G78" s="52"/>
      <c r="H78" s="52"/>
    </row>
    <row r="79" spans="2:12" x14ac:dyDescent="0.35">
      <c r="B79" s="32" t="s">
        <v>18</v>
      </c>
      <c r="D79" s="96">
        <f>D68-D75</f>
        <v>0</v>
      </c>
      <c r="E79" s="96">
        <f t="shared" ref="E79:H79" si="60">E68-E75</f>
        <v>0</v>
      </c>
      <c r="F79" s="96">
        <f t="shared" si="60"/>
        <v>0</v>
      </c>
      <c r="G79" s="96">
        <f t="shared" si="60"/>
        <v>0</v>
      </c>
      <c r="H79" s="96">
        <f t="shared" si="60"/>
        <v>0</v>
      </c>
    </row>
    <row r="80" spans="2:12" x14ac:dyDescent="0.35">
      <c r="E80" s="70"/>
      <c r="F80" s="70"/>
      <c r="G80" s="70"/>
      <c r="H80" s="70"/>
    </row>
    <row r="81" spans="2:8" x14ac:dyDescent="0.35">
      <c r="B81" s="69" t="s">
        <v>248</v>
      </c>
      <c r="C81" s="59"/>
      <c r="E81" s="70"/>
      <c r="F81" s="70"/>
      <c r="G81" s="70"/>
      <c r="H81" s="70"/>
    </row>
    <row r="82" spans="2:8" x14ac:dyDescent="0.35">
      <c r="B82" s="31" t="s">
        <v>11</v>
      </c>
      <c r="D82" s="52">
        <v>0</v>
      </c>
      <c r="E82" s="52">
        <f t="shared" ref="E82" si="61">D86</f>
        <v>0</v>
      </c>
      <c r="F82" s="52">
        <f t="shared" ref="F82" si="62">E86</f>
        <v>0</v>
      </c>
      <c r="G82" s="52">
        <f t="shared" ref="G82" si="63">F86</f>
        <v>0</v>
      </c>
      <c r="H82" s="52">
        <f t="shared" ref="H82" si="64">G86</f>
        <v>0</v>
      </c>
    </row>
    <row r="83" spans="2:8" x14ac:dyDescent="0.35">
      <c r="B83" s="31" t="s">
        <v>12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</row>
    <row r="84" spans="2:8" x14ac:dyDescent="0.35">
      <c r="B84" s="31" t="s">
        <v>13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</row>
    <row r="85" spans="2:8" x14ac:dyDescent="0.35">
      <c r="B85" s="31" t="s">
        <v>110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</row>
    <row r="86" spans="2:8" x14ac:dyDescent="0.35">
      <c r="B86" s="32" t="s">
        <v>14</v>
      </c>
      <c r="C86" s="32"/>
      <c r="D86" s="96">
        <f>SUM(D82:D85)</f>
        <v>0</v>
      </c>
      <c r="E86" s="96">
        <f>SUM(E82:E85)</f>
        <v>0</v>
      </c>
      <c r="F86" s="96">
        <f t="shared" ref="F86:H86" si="65">SUM(F82:F85)</f>
        <v>0</v>
      </c>
      <c r="G86" s="96">
        <f t="shared" si="65"/>
        <v>0</v>
      </c>
      <c r="H86" s="96">
        <f t="shared" si="65"/>
        <v>0</v>
      </c>
    </row>
    <row r="87" spans="2:8" x14ac:dyDescent="0.35">
      <c r="B87" s="32"/>
      <c r="C87" s="32"/>
      <c r="D87" s="52"/>
      <c r="E87" s="96"/>
      <c r="F87" s="96"/>
      <c r="G87" s="96"/>
      <c r="H87" s="96"/>
    </row>
    <row r="88" spans="2:8" x14ac:dyDescent="0.35">
      <c r="B88" s="32" t="s">
        <v>7</v>
      </c>
      <c r="D88" s="52"/>
      <c r="E88" s="52"/>
      <c r="F88" s="52"/>
      <c r="G88" s="52"/>
      <c r="H88" s="52"/>
    </row>
    <row r="89" spans="2:8" x14ac:dyDescent="0.35">
      <c r="B89" s="31" t="s">
        <v>11</v>
      </c>
      <c r="D89" s="52">
        <v>0</v>
      </c>
      <c r="E89" s="52">
        <f t="shared" ref="E89" si="66">D93</f>
        <v>0</v>
      </c>
      <c r="F89" s="52">
        <f t="shared" ref="F89" si="67">E93</f>
        <v>0</v>
      </c>
      <c r="G89" s="52">
        <f t="shared" ref="G89" si="68">F93</f>
        <v>0</v>
      </c>
      <c r="H89" s="52">
        <f t="shared" ref="H89" si="69">G93</f>
        <v>0</v>
      </c>
    </row>
    <row r="90" spans="2:8" x14ac:dyDescent="0.35">
      <c r="B90" s="31" t="s">
        <v>15</v>
      </c>
      <c r="D90" s="52">
        <f>((D82+D86)/2)*$C95</f>
        <v>0</v>
      </c>
      <c r="E90" s="52">
        <f>MAX(MIN(((E82+E86)/2)*$C95,D97),0)</f>
        <v>0</v>
      </c>
      <c r="F90" s="52">
        <f t="shared" ref="F90" si="70">MAX(MIN(((F82+F86)/2)*$C95,E97),0)</f>
        <v>0</v>
      </c>
      <c r="G90" s="52">
        <f t="shared" ref="G90" si="71">MAX(MIN(((G82+G86)/2)*$C95,F97),0)</f>
        <v>0</v>
      </c>
      <c r="H90" s="52">
        <f t="shared" ref="H90" si="72">MAX(MIN(((H82+H86)/2)*$C95,G97),0)</f>
        <v>0</v>
      </c>
    </row>
    <row r="91" spans="2:8" x14ac:dyDescent="0.35">
      <c r="B91" s="31" t="s">
        <v>13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</row>
    <row r="92" spans="2:8" x14ac:dyDescent="0.35">
      <c r="B92" s="31" t="s">
        <v>111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</row>
    <row r="93" spans="2:8" x14ac:dyDescent="0.35">
      <c r="B93" s="32" t="s">
        <v>14</v>
      </c>
      <c r="D93" s="96">
        <f>SUM(D89:D92)</f>
        <v>0</v>
      </c>
      <c r="E93" s="96">
        <f t="shared" ref="E93" si="73">SUM(E89:E92)</f>
        <v>0</v>
      </c>
      <c r="F93" s="96">
        <f t="shared" ref="F93" si="74">SUM(F89:F92)</f>
        <v>0</v>
      </c>
      <c r="G93" s="96">
        <f t="shared" ref="G93" si="75">SUM(G89:G92)</f>
        <v>0</v>
      </c>
      <c r="H93" s="96">
        <f t="shared" ref="H93" si="76">SUM(H89:H92)</f>
        <v>0</v>
      </c>
    </row>
    <row r="94" spans="2:8" x14ac:dyDescent="0.35">
      <c r="C94" s="35" t="s">
        <v>16</v>
      </c>
      <c r="D94" s="52"/>
      <c r="E94" s="52"/>
      <c r="F94" s="52"/>
      <c r="G94" s="52"/>
      <c r="H94" s="52"/>
    </row>
    <row r="95" spans="2:8" x14ac:dyDescent="0.35">
      <c r="B95" s="31" t="s">
        <v>17</v>
      </c>
      <c r="C95" s="72">
        <v>0.25</v>
      </c>
      <c r="D95" s="47">
        <v>0</v>
      </c>
      <c r="E95" s="47">
        <f t="shared" ref="E95:H95" si="77">$C95</f>
        <v>0.25</v>
      </c>
      <c r="F95" s="47">
        <f t="shared" si="77"/>
        <v>0.25</v>
      </c>
      <c r="G95" s="47">
        <f t="shared" si="77"/>
        <v>0.25</v>
      </c>
      <c r="H95" s="47">
        <f t="shared" si="77"/>
        <v>0.25</v>
      </c>
    </row>
    <row r="96" spans="2:8" x14ac:dyDescent="0.35">
      <c r="D96" s="52"/>
      <c r="E96" s="52"/>
      <c r="F96" s="52"/>
      <c r="G96" s="52"/>
      <c r="H96" s="52"/>
    </row>
    <row r="97" spans="2:8" x14ac:dyDescent="0.35">
      <c r="B97" s="32" t="s">
        <v>18</v>
      </c>
      <c r="D97" s="96">
        <f>D86-D93</f>
        <v>0</v>
      </c>
      <c r="E97" s="96">
        <f t="shared" ref="E97:H97" si="78">E86-E93</f>
        <v>0</v>
      </c>
      <c r="F97" s="96">
        <f t="shared" si="78"/>
        <v>0</v>
      </c>
      <c r="G97" s="96">
        <f t="shared" si="78"/>
        <v>0</v>
      </c>
      <c r="H97" s="96">
        <f t="shared" si="78"/>
        <v>0</v>
      </c>
    </row>
    <row r="98" spans="2:8" x14ac:dyDescent="0.35">
      <c r="E98" s="70"/>
      <c r="F98" s="70"/>
      <c r="G98" s="70"/>
      <c r="H98" s="70"/>
    </row>
    <row r="99" spans="2:8" x14ac:dyDescent="0.35">
      <c r="B99" s="69" t="s">
        <v>249</v>
      </c>
      <c r="C99" s="59"/>
      <c r="E99" s="70"/>
      <c r="F99" s="70"/>
      <c r="G99" s="70"/>
      <c r="H99" s="70"/>
    </row>
    <row r="100" spans="2:8" x14ac:dyDescent="0.35">
      <c r="B100" s="31" t="s">
        <v>11</v>
      </c>
      <c r="D100" s="52">
        <v>0</v>
      </c>
      <c r="E100" s="52">
        <f t="shared" ref="E100" si="79">D104</f>
        <v>0</v>
      </c>
      <c r="F100" s="52">
        <f t="shared" ref="F100" si="80">E104</f>
        <v>0</v>
      </c>
      <c r="G100" s="52">
        <f t="shared" ref="G100" si="81">F104</f>
        <v>0</v>
      </c>
      <c r="H100" s="52">
        <f t="shared" ref="H100" si="82">G104</f>
        <v>0</v>
      </c>
    </row>
    <row r="101" spans="2:8" x14ac:dyDescent="0.35">
      <c r="B101" s="31" t="s">
        <v>12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</row>
    <row r="102" spans="2:8" x14ac:dyDescent="0.35">
      <c r="B102" s="31" t="s">
        <v>13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</row>
    <row r="103" spans="2:8" x14ac:dyDescent="0.35">
      <c r="B103" s="31" t="s">
        <v>110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</row>
    <row r="104" spans="2:8" x14ac:dyDescent="0.35">
      <c r="B104" s="32" t="s">
        <v>14</v>
      </c>
      <c r="C104" s="32"/>
      <c r="D104" s="96">
        <f>SUM(D100:D103)</f>
        <v>0</v>
      </c>
      <c r="E104" s="96">
        <f>SUM(E100:E103)</f>
        <v>0</v>
      </c>
      <c r="F104" s="96">
        <f t="shared" ref="F104:H104" si="83">SUM(F100:F103)</f>
        <v>0</v>
      </c>
      <c r="G104" s="96">
        <f t="shared" si="83"/>
        <v>0</v>
      </c>
      <c r="H104" s="96">
        <f t="shared" si="83"/>
        <v>0</v>
      </c>
    </row>
    <row r="105" spans="2:8" x14ac:dyDescent="0.35">
      <c r="B105" s="32"/>
      <c r="C105" s="32"/>
      <c r="D105" s="52"/>
      <c r="E105" s="96"/>
      <c r="F105" s="96"/>
      <c r="G105" s="96"/>
      <c r="H105" s="96"/>
    </row>
    <row r="106" spans="2:8" x14ac:dyDescent="0.35">
      <c r="B106" s="32" t="s">
        <v>7</v>
      </c>
      <c r="D106" s="52"/>
      <c r="E106" s="52"/>
      <c r="F106" s="52"/>
      <c r="G106" s="52"/>
      <c r="H106" s="52"/>
    </row>
    <row r="107" spans="2:8" x14ac:dyDescent="0.35">
      <c r="B107" s="31" t="s">
        <v>11</v>
      </c>
      <c r="D107" s="52">
        <v>0</v>
      </c>
      <c r="E107" s="52">
        <f t="shared" ref="E107" si="84">D111</f>
        <v>0</v>
      </c>
      <c r="F107" s="52">
        <f t="shared" ref="F107" si="85">E111</f>
        <v>0</v>
      </c>
      <c r="G107" s="52">
        <f t="shared" ref="G107" si="86">F111</f>
        <v>0</v>
      </c>
      <c r="H107" s="52">
        <f t="shared" ref="H107" si="87">G111</f>
        <v>0</v>
      </c>
    </row>
    <row r="108" spans="2:8" x14ac:dyDescent="0.35">
      <c r="B108" s="31" t="s">
        <v>15</v>
      </c>
      <c r="D108" s="52">
        <f>((D100+D104)/2)*$C113</f>
        <v>0</v>
      </c>
      <c r="E108" s="52">
        <f>MAX(MIN(((E100+E104)/2)*$C113,D115),0)</f>
        <v>0</v>
      </c>
      <c r="F108" s="52">
        <f t="shared" ref="F108" si="88">MAX(MIN(((F100+F104)/2)*$C113,E115),0)</f>
        <v>0</v>
      </c>
      <c r="G108" s="52">
        <f t="shared" ref="G108" si="89">MAX(MIN(((G100+G104)/2)*$C113,F115),0)</f>
        <v>0</v>
      </c>
      <c r="H108" s="52">
        <f t="shared" ref="H108" si="90">MAX(MIN(((H100+H104)/2)*$C113,G115),0)</f>
        <v>0</v>
      </c>
    </row>
    <row r="109" spans="2:8" x14ac:dyDescent="0.35">
      <c r="B109" s="31" t="s">
        <v>13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</row>
    <row r="110" spans="2:8" x14ac:dyDescent="0.35">
      <c r="B110" s="31" t="s">
        <v>111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</row>
    <row r="111" spans="2:8" x14ac:dyDescent="0.35">
      <c r="B111" s="32" t="s">
        <v>14</v>
      </c>
      <c r="D111" s="96">
        <f>SUM(D107:D110)</f>
        <v>0</v>
      </c>
      <c r="E111" s="96">
        <f t="shared" ref="E111" si="91">SUM(E107:E110)</f>
        <v>0</v>
      </c>
      <c r="F111" s="96">
        <f t="shared" ref="F111" si="92">SUM(F107:F110)</f>
        <v>0</v>
      </c>
      <c r="G111" s="96">
        <f t="shared" ref="G111" si="93">SUM(G107:G110)</f>
        <v>0</v>
      </c>
      <c r="H111" s="96">
        <f t="shared" ref="H111" si="94">SUM(H107:H110)</f>
        <v>0</v>
      </c>
    </row>
    <row r="112" spans="2:8" x14ac:dyDescent="0.35">
      <c r="C112" s="35" t="s">
        <v>16</v>
      </c>
      <c r="D112" s="52"/>
      <c r="E112" s="52"/>
      <c r="F112" s="52"/>
      <c r="G112" s="52"/>
      <c r="H112" s="52"/>
    </row>
    <row r="113" spans="2:8" x14ac:dyDescent="0.35">
      <c r="B113" s="31" t="s">
        <v>17</v>
      </c>
      <c r="C113" s="72">
        <v>0.2</v>
      </c>
      <c r="D113" s="47">
        <v>0</v>
      </c>
      <c r="E113" s="47">
        <f t="shared" ref="E113:H113" si="95">$C113</f>
        <v>0.2</v>
      </c>
      <c r="F113" s="47">
        <f t="shared" si="95"/>
        <v>0.2</v>
      </c>
      <c r="G113" s="47">
        <f t="shared" si="95"/>
        <v>0.2</v>
      </c>
      <c r="H113" s="47">
        <f t="shared" si="95"/>
        <v>0.2</v>
      </c>
    </row>
    <row r="114" spans="2:8" x14ac:dyDescent="0.35">
      <c r="D114" s="52"/>
      <c r="E114" s="52"/>
      <c r="F114" s="52"/>
      <c r="G114" s="52"/>
      <c r="H114" s="52"/>
    </row>
    <row r="115" spans="2:8" x14ac:dyDescent="0.35">
      <c r="B115" s="32" t="s">
        <v>18</v>
      </c>
      <c r="D115" s="96">
        <f>D104-D111</f>
        <v>0</v>
      </c>
      <c r="E115" s="96">
        <f t="shared" ref="E115:H115" si="96">E104-E111</f>
        <v>0</v>
      </c>
      <c r="F115" s="96">
        <f t="shared" si="96"/>
        <v>0</v>
      </c>
      <c r="G115" s="96">
        <f t="shared" si="96"/>
        <v>0</v>
      </c>
      <c r="H115" s="96">
        <f t="shared" si="96"/>
        <v>0</v>
      </c>
    </row>
    <row r="116" spans="2:8" x14ac:dyDescent="0.35">
      <c r="B116" s="32"/>
      <c r="E116" s="71"/>
      <c r="F116" s="71"/>
      <c r="G116" s="71"/>
      <c r="H116" s="71"/>
    </row>
    <row r="117" spans="2:8" x14ac:dyDescent="0.35">
      <c r="B117" s="69" t="s">
        <v>246</v>
      </c>
      <c r="C117" s="59"/>
      <c r="E117" s="70"/>
      <c r="F117" s="70"/>
      <c r="G117" s="70"/>
      <c r="H117" s="70"/>
    </row>
    <row r="118" spans="2:8" x14ac:dyDescent="0.35">
      <c r="B118" s="31" t="s">
        <v>11</v>
      </c>
      <c r="D118" s="52">
        <v>0</v>
      </c>
      <c r="E118" s="52">
        <f t="shared" ref="E118" si="97">D122</f>
        <v>0</v>
      </c>
      <c r="F118" s="52">
        <f t="shared" ref="F118" si="98">E122</f>
        <v>0</v>
      </c>
      <c r="G118" s="52">
        <f t="shared" ref="G118" si="99">F122</f>
        <v>0</v>
      </c>
      <c r="H118" s="52">
        <f t="shared" ref="H118" si="100">G122</f>
        <v>0</v>
      </c>
    </row>
    <row r="119" spans="2:8" x14ac:dyDescent="0.35">
      <c r="B119" s="31" t="s">
        <v>12</v>
      </c>
      <c r="D119" s="52">
        <f>L62</f>
        <v>0</v>
      </c>
      <c r="E119" s="52">
        <v>0</v>
      </c>
      <c r="F119" s="52">
        <v>0</v>
      </c>
      <c r="G119" s="52">
        <v>0</v>
      </c>
      <c r="H119" s="52">
        <v>0</v>
      </c>
    </row>
    <row r="120" spans="2:8" x14ac:dyDescent="0.35">
      <c r="B120" s="31" t="s">
        <v>13</v>
      </c>
      <c r="D120" s="52">
        <v>0</v>
      </c>
      <c r="E120" s="52">
        <v>0</v>
      </c>
      <c r="F120" s="52">
        <v>0</v>
      </c>
      <c r="G120" s="52">
        <v>0</v>
      </c>
      <c r="H120" s="52">
        <v>0</v>
      </c>
    </row>
    <row r="121" spans="2:8" x14ac:dyDescent="0.35">
      <c r="B121" s="31" t="s">
        <v>110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</row>
    <row r="122" spans="2:8" x14ac:dyDescent="0.35">
      <c r="B122" s="32" t="s">
        <v>14</v>
      </c>
      <c r="C122" s="32"/>
      <c r="D122" s="96">
        <f>SUM(D118:D121)</f>
        <v>0</v>
      </c>
      <c r="E122" s="96">
        <f>SUM(E118:E121)</f>
        <v>0</v>
      </c>
      <c r="F122" s="96">
        <f t="shared" ref="F122:H122" si="101">SUM(F118:F121)</f>
        <v>0</v>
      </c>
      <c r="G122" s="96">
        <f t="shared" si="101"/>
        <v>0</v>
      </c>
      <c r="H122" s="96">
        <f t="shared" si="101"/>
        <v>0</v>
      </c>
    </row>
    <row r="123" spans="2:8" x14ac:dyDescent="0.35">
      <c r="B123" s="32"/>
      <c r="C123" s="32"/>
      <c r="D123" s="52"/>
      <c r="E123" s="96"/>
      <c r="F123" s="96"/>
      <c r="G123" s="96"/>
      <c r="H123" s="96"/>
    </row>
    <row r="124" spans="2:8" x14ac:dyDescent="0.35">
      <c r="B124" s="32" t="s">
        <v>7</v>
      </c>
      <c r="D124" s="52"/>
      <c r="E124" s="52"/>
      <c r="F124" s="52"/>
      <c r="G124" s="52"/>
      <c r="H124" s="52"/>
    </row>
    <row r="125" spans="2:8" x14ac:dyDescent="0.35">
      <c r="B125" s="31" t="s">
        <v>11</v>
      </c>
      <c r="D125" s="52">
        <v>0</v>
      </c>
      <c r="E125" s="52">
        <f t="shared" ref="E125" si="102">D129</f>
        <v>0</v>
      </c>
      <c r="F125" s="52">
        <f t="shared" ref="F125" si="103">E129</f>
        <v>0</v>
      </c>
      <c r="G125" s="52">
        <f t="shared" ref="G125" si="104">F129</f>
        <v>0</v>
      </c>
      <c r="H125" s="52">
        <f t="shared" ref="H125" si="105">G129</f>
        <v>0</v>
      </c>
    </row>
    <row r="126" spans="2:8" x14ac:dyDescent="0.35">
      <c r="B126" s="31" t="s">
        <v>15</v>
      </c>
      <c r="D126" s="52">
        <f>((D118+D122)/2)*$C131</f>
        <v>0</v>
      </c>
      <c r="E126" s="52">
        <f>MAX(MIN(((E118+E122)/2)*$C131,D133),0)</f>
        <v>0</v>
      </c>
      <c r="F126" s="52">
        <f t="shared" ref="F126" si="106">MAX(MIN(((F118+F122)/2)*$C131,E133),0)</f>
        <v>0</v>
      </c>
      <c r="G126" s="52">
        <f t="shared" ref="G126" si="107">MAX(MIN(((G118+G122)/2)*$C131,F133),0)</f>
        <v>0</v>
      </c>
      <c r="H126" s="52">
        <f t="shared" ref="H126" si="108">MAX(MIN(((H118+H122)/2)*$C131,G133),0)</f>
        <v>0</v>
      </c>
    </row>
    <row r="127" spans="2:8" x14ac:dyDescent="0.35">
      <c r="B127" s="31" t="s">
        <v>13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</row>
    <row r="128" spans="2:8" x14ac:dyDescent="0.35">
      <c r="B128" s="31" t="s">
        <v>111</v>
      </c>
      <c r="D128" s="52">
        <v>0</v>
      </c>
      <c r="E128" s="52">
        <v>0</v>
      </c>
      <c r="F128" s="52">
        <v>0</v>
      </c>
      <c r="G128" s="52">
        <v>0</v>
      </c>
      <c r="H128" s="52">
        <v>0</v>
      </c>
    </row>
    <row r="129" spans="2:8" x14ac:dyDescent="0.35">
      <c r="B129" s="32" t="s">
        <v>14</v>
      </c>
      <c r="D129" s="96">
        <f>SUM(D125:D128)</f>
        <v>0</v>
      </c>
      <c r="E129" s="96">
        <f t="shared" ref="E129" si="109">SUM(E125:E128)</f>
        <v>0</v>
      </c>
      <c r="F129" s="96">
        <f t="shared" ref="F129" si="110">SUM(F125:F128)</f>
        <v>0</v>
      </c>
      <c r="G129" s="96">
        <f t="shared" ref="G129" si="111">SUM(G125:G128)</f>
        <v>0</v>
      </c>
      <c r="H129" s="96">
        <f t="shared" ref="H129" si="112">SUM(H125:H128)</f>
        <v>0</v>
      </c>
    </row>
    <row r="130" spans="2:8" x14ac:dyDescent="0.35">
      <c r="C130" s="35" t="s">
        <v>16</v>
      </c>
      <c r="D130" s="52"/>
      <c r="E130" s="52"/>
      <c r="F130" s="52"/>
      <c r="G130" s="52"/>
      <c r="H130" s="52"/>
    </row>
    <row r="131" spans="2:8" x14ac:dyDescent="0.35">
      <c r="B131" s="31" t="s">
        <v>17</v>
      </c>
      <c r="C131" s="72">
        <v>0.33</v>
      </c>
      <c r="D131" s="47">
        <v>0</v>
      </c>
      <c r="E131" s="47">
        <f t="shared" ref="E131:H131" si="113">$C131</f>
        <v>0.33</v>
      </c>
      <c r="F131" s="47">
        <f t="shared" si="113"/>
        <v>0.33</v>
      </c>
      <c r="G131" s="47">
        <f t="shared" si="113"/>
        <v>0.33</v>
      </c>
      <c r="H131" s="47">
        <f t="shared" si="113"/>
        <v>0.33</v>
      </c>
    </row>
    <row r="132" spans="2:8" x14ac:dyDescent="0.35">
      <c r="D132" s="52"/>
      <c r="E132" s="52"/>
      <c r="F132" s="52"/>
      <c r="G132" s="52"/>
      <c r="H132" s="52"/>
    </row>
    <row r="133" spans="2:8" x14ac:dyDescent="0.35">
      <c r="B133" s="32" t="s">
        <v>18</v>
      </c>
      <c r="D133" s="96">
        <f>D122-D129</f>
        <v>0</v>
      </c>
      <c r="E133" s="96">
        <f t="shared" ref="E133:H133" si="114">E122-E129</f>
        <v>0</v>
      </c>
      <c r="F133" s="96">
        <f t="shared" si="114"/>
        <v>0</v>
      </c>
      <c r="G133" s="96">
        <f t="shared" si="114"/>
        <v>0</v>
      </c>
      <c r="H133" s="96">
        <f t="shared" si="114"/>
        <v>0</v>
      </c>
    </row>
    <row r="134" spans="2:8" x14ac:dyDescent="0.35">
      <c r="B134" s="32"/>
      <c r="E134" s="71"/>
      <c r="F134" s="71"/>
      <c r="G134" s="71"/>
      <c r="H134" s="71"/>
    </row>
    <row r="135" spans="2:8" x14ac:dyDescent="0.35">
      <c r="B135" s="69"/>
      <c r="C135" s="59"/>
      <c r="E135" s="70"/>
      <c r="F135" s="70"/>
      <c r="G135" s="70"/>
      <c r="H135" s="70"/>
    </row>
    <row r="136" spans="2:8" x14ac:dyDescent="0.35">
      <c r="B136" s="31" t="s">
        <v>11</v>
      </c>
      <c r="D136" s="52">
        <v>0</v>
      </c>
      <c r="E136" s="52">
        <f t="shared" ref="E136" si="115">D140</f>
        <v>0</v>
      </c>
      <c r="F136" s="52">
        <f t="shared" ref="F136" si="116">E140</f>
        <v>0</v>
      </c>
      <c r="G136" s="52">
        <f t="shared" ref="G136" si="117">F140</f>
        <v>0</v>
      </c>
      <c r="H136" s="52">
        <f t="shared" ref="H136" si="118">G140</f>
        <v>0</v>
      </c>
    </row>
    <row r="137" spans="2:8" x14ac:dyDescent="0.35">
      <c r="B137" s="31" t="s">
        <v>12</v>
      </c>
      <c r="D137" s="52">
        <f>L146</f>
        <v>0</v>
      </c>
      <c r="E137" s="52">
        <v>0</v>
      </c>
      <c r="F137" s="52">
        <v>0</v>
      </c>
      <c r="G137" s="52">
        <v>0</v>
      </c>
      <c r="H137" s="52">
        <v>0</v>
      </c>
    </row>
    <row r="138" spans="2:8" x14ac:dyDescent="0.35">
      <c r="B138" s="31" t="s">
        <v>13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</row>
    <row r="139" spans="2:8" x14ac:dyDescent="0.35">
      <c r="B139" s="31" t="s">
        <v>110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</row>
    <row r="140" spans="2:8" x14ac:dyDescent="0.35">
      <c r="B140" s="32" t="s">
        <v>14</v>
      </c>
      <c r="C140" s="32"/>
      <c r="D140" s="96">
        <f>SUM(D136:D139)</f>
        <v>0</v>
      </c>
      <c r="E140" s="96">
        <f>SUM(E136:E139)</f>
        <v>0</v>
      </c>
      <c r="F140" s="96">
        <f t="shared" ref="F140:H140" si="119">SUM(F136:F139)</f>
        <v>0</v>
      </c>
      <c r="G140" s="96">
        <f t="shared" si="119"/>
        <v>0</v>
      </c>
      <c r="H140" s="96">
        <f t="shared" si="119"/>
        <v>0</v>
      </c>
    </row>
    <row r="141" spans="2:8" x14ac:dyDescent="0.35">
      <c r="B141" s="32"/>
      <c r="C141" s="32"/>
      <c r="D141" s="52"/>
      <c r="E141" s="96"/>
      <c r="F141" s="96"/>
      <c r="G141" s="96"/>
      <c r="H141" s="96"/>
    </row>
    <row r="142" spans="2:8" x14ac:dyDescent="0.35">
      <c r="B142" s="32" t="s">
        <v>7</v>
      </c>
      <c r="D142" s="52"/>
      <c r="E142" s="52"/>
      <c r="F142" s="52"/>
      <c r="G142" s="52"/>
      <c r="H142" s="52"/>
    </row>
    <row r="143" spans="2:8" x14ac:dyDescent="0.35">
      <c r="B143" s="31" t="s">
        <v>11</v>
      </c>
      <c r="D143" s="52">
        <v>0</v>
      </c>
      <c r="E143" s="52">
        <f t="shared" ref="E143" si="120">D147</f>
        <v>0</v>
      </c>
      <c r="F143" s="52">
        <f t="shared" ref="F143" si="121">E147</f>
        <v>0</v>
      </c>
      <c r="G143" s="52">
        <f t="shared" ref="G143" si="122">F147</f>
        <v>0</v>
      </c>
      <c r="H143" s="52">
        <f t="shared" ref="H143" si="123">G147</f>
        <v>0</v>
      </c>
    </row>
    <row r="144" spans="2:8" x14ac:dyDescent="0.35">
      <c r="B144" s="31" t="s">
        <v>15</v>
      </c>
      <c r="D144" s="52">
        <f>((D136+D140)/2)*$C149</f>
        <v>0</v>
      </c>
      <c r="E144" s="52">
        <f>MAX(MIN(((E136+E140)/2)*$C149,D151),0)</f>
        <v>0</v>
      </c>
      <c r="F144" s="52">
        <f t="shared" ref="F144" si="124">MAX(MIN(((F136+F140)/2)*$C149,E151),0)</f>
        <v>0</v>
      </c>
      <c r="G144" s="52">
        <f t="shared" ref="G144" si="125">MAX(MIN(((G136+G140)/2)*$C149,F151),0)</f>
        <v>0</v>
      </c>
      <c r="H144" s="52">
        <f t="shared" ref="H144" si="126">MAX(MIN(((H136+H140)/2)*$C149,G151),0)</f>
        <v>0</v>
      </c>
    </row>
    <row r="145" spans="2:16" x14ac:dyDescent="0.35">
      <c r="B145" s="31" t="s">
        <v>13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</row>
    <row r="146" spans="2:16" x14ac:dyDescent="0.35">
      <c r="B146" s="31" t="s">
        <v>111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</row>
    <row r="147" spans="2:16" x14ac:dyDescent="0.35">
      <c r="B147" s="32" t="s">
        <v>14</v>
      </c>
      <c r="D147" s="96">
        <f>SUM(D143:D146)</f>
        <v>0</v>
      </c>
      <c r="E147" s="96">
        <f t="shared" ref="E147" si="127">SUM(E143:E146)</f>
        <v>0</v>
      </c>
      <c r="F147" s="96">
        <f t="shared" ref="F147" si="128">SUM(F143:F146)</f>
        <v>0</v>
      </c>
      <c r="G147" s="96">
        <f t="shared" ref="G147" si="129">SUM(G143:G146)</f>
        <v>0</v>
      </c>
      <c r="H147" s="96">
        <f t="shared" ref="H147" si="130">SUM(H143:H146)</f>
        <v>0</v>
      </c>
    </row>
    <row r="148" spans="2:16" x14ac:dyDescent="0.35">
      <c r="C148" s="35" t="s">
        <v>16</v>
      </c>
      <c r="D148" s="52"/>
      <c r="E148" s="52"/>
      <c r="F148" s="52"/>
      <c r="G148" s="52"/>
      <c r="H148" s="52"/>
    </row>
    <row r="149" spans="2:16" x14ac:dyDescent="0.35">
      <c r="B149" s="31" t="s">
        <v>17</v>
      </c>
      <c r="C149" s="72">
        <v>0.03</v>
      </c>
      <c r="D149" s="47">
        <v>0</v>
      </c>
      <c r="E149" s="47">
        <f t="shared" ref="E149:H149" si="131">$C149</f>
        <v>0.03</v>
      </c>
      <c r="F149" s="47">
        <f t="shared" si="131"/>
        <v>0.03</v>
      </c>
      <c r="G149" s="47">
        <f t="shared" si="131"/>
        <v>0.03</v>
      </c>
      <c r="H149" s="47">
        <f t="shared" si="131"/>
        <v>0.03</v>
      </c>
    </row>
    <row r="150" spans="2:16" x14ac:dyDescent="0.35">
      <c r="D150" s="52"/>
      <c r="E150" s="52"/>
      <c r="F150" s="52"/>
      <c r="G150" s="52"/>
      <c r="H150" s="52"/>
    </row>
    <row r="151" spans="2:16" x14ac:dyDescent="0.35">
      <c r="B151" s="32" t="s">
        <v>18</v>
      </c>
      <c r="D151" s="96">
        <f>D140-D147</f>
        <v>0</v>
      </c>
      <c r="E151" s="96">
        <f t="shared" ref="E151:H151" si="132">E140-E147</f>
        <v>0</v>
      </c>
      <c r="F151" s="96">
        <f t="shared" si="132"/>
        <v>0</v>
      </c>
      <c r="G151" s="96">
        <f t="shared" si="132"/>
        <v>0</v>
      </c>
      <c r="H151" s="96">
        <f t="shared" si="132"/>
        <v>0</v>
      </c>
    </row>
    <row r="153" spans="2:16" x14ac:dyDescent="0.35">
      <c r="B153" s="73" t="s">
        <v>141</v>
      </c>
      <c r="C153" s="74"/>
      <c r="D153" s="74"/>
      <c r="E153" s="75"/>
      <c r="F153" s="70"/>
      <c r="G153" s="70"/>
      <c r="H153" s="70"/>
    </row>
    <row r="154" spans="2:16" x14ac:dyDescent="0.35">
      <c r="B154" s="76" t="s">
        <v>11</v>
      </c>
      <c r="C154" s="77"/>
      <c r="D154" s="78">
        <f>D10+D28+D46+D64+D82+D100+D118+D136</f>
        <v>0</v>
      </c>
      <c r="E154" s="78">
        <f>E10+E28+E46+E64+E82+E100+E118+E136</f>
        <v>0</v>
      </c>
      <c r="F154" s="78">
        <f t="shared" ref="F154:H154" si="133">F10+F28+F46+F64+F82+F100+F118+F136</f>
        <v>0</v>
      </c>
      <c r="G154" s="78">
        <f t="shared" si="133"/>
        <v>0</v>
      </c>
      <c r="H154" s="78">
        <f t="shared" si="133"/>
        <v>0</v>
      </c>
    </row>
    <row r="155" spans="2:16" x14ac:dyDescent="0.35">
      <c r="B155" s="79" t="s">
        <v>12</v>
      </c>
      <c r="C155" s="38"/>
      <c r="D155" s="80">
        <f>D11+D29+D47+D65+D83+D101+D119+D137</f>
        <v>0</v>
      </c>
      <c r="E155" s="80">
        <f>E11+E29+E47+E65+E83+E101+E119+E137</f>
        <v>0</v>
      </c>
      <c r="F155" s="80">
        <f t="shared" ref="F155:H155" si="134">F11+F29+F47+F65+F83+F101+F119+F137</f>
        <v>0</v>
      </c>
      <c r="G155" s="80">
        <f t="shared" si="134"/>
        <v>0</v>
      </c>
      <c r="H155" s="80">
        <f t="shared" si="134"/>
        <v>0</v>
      </c>
    </row>
    <row r="156" spans="2:16" x14ac:dyDescent="0.35">
      <c r="B156" s="81" t="s">
        <v>13</v>
      </c>
      <c r="D156" s="82">
        <f>D12+D30+D66+D84+D102+D120+D145</f>
        <v>0</v>
      </c>
      <c r="E156" s="82">
        <f>E12+E30+E66+E84+E102+E120+E145</f>
        <v>0</v>
      </c>
      <c r="F156" s="82">
        <f t="shared" ref="F156:H156" si="135">F12+F30+F66+F84+F102+F120+F145</f>
        <v>0</v>
      </c>
      <c r="G156" s="82">
        <f t="shared" si="135"/>
        <v>0</v>
      </c>
      <c r="H156" s="82">
        <f t="shared" si="135"/>
        <v>0</v>
      </c>
    </row>
    <row r="157" spans="2:16" x14ac:dyDescent="0.35">
      <c r="B157" s="81" t="s">
        <v>110</v>
      </c>
      <c r="D157" s="82">
        <f>D13+D31+D49+D67+D85+D103</f>
        <v>0</v>
      </c>
      <c r="E157" s="82">
        <f>E13+E31+E49+E67+E85+E103</f>
        <v>0</v>
      </c>
      <c r="F157" s="82">
        <f t="shared" ref="F157:H157" si="136">F13+F31+F49+F67+F85+F103</f>
        <v>0</v>
      </c>
      <c r="G157" s="82">
        <f t="shared" si="136"/>
        <v>0</v>
      </c>
      <c r="H157" s="82">
        <f t="shared" si="136"/>
        <v>0</v>
      </c>
    </row>
    <row r="158" spans="2:16" x14ac:dyDescent="0.35">
      <c r="B158" s="83" t="s">
        <v>14</v>
      </c>
      <c r="C158" s="84"/>
      <c r="D158" s="85">
        <f>SUM(D154:D157)</f>
        <v>0</v>
      </c>
      <c r="E158" s="85">
        <f>SUM(E154:E157)</f>
        <v>0</v>
      </c>
      <c r="F158" s="85">
        <f t="shared" ref="F158:H158" si="137">SUM(F154:F157)</f>
        <v>0</v>
      </c>
      <c r="G158" s="85">
        <f t="shared" si="137"/>
        <v>0</v>
      </c>
      <c r="H158" s="85">
        <f t="shared" si="137"/>
        <v>0</v>
      </c>
    </row>
    <row r="159" spans="2:16" x14ac:dyDescent="0.35">
      <c r="B159" s="86"/>
      <c r="C159" s="32"/>
      <c r="D159" s="87"/>
      <c r="E159" s="87"/>
      <c r="F159" s="87"/>
      <c r="G159" s="87"/>
      <c r="H159" s="87"/>
    </row>
    <row r="160" spans="2:16" x14ac:dyDescent="0.35">
      <c r="B160" s="86"/>
      <c r="C160" s="32"/>
      <c r="D160" s="88"/>
      <c r="E160" s="88"/>
      <c r="F160" s="88"/>
      <c r="G160" s="88"/>
      <c r="H160" s="88"/>
      <c r="O160" s="32"/>
      <c r="P160" s="32"/>
    </row>
    <row r="161" spans="2:16" x14ac:dyDescent="0.35">
      <c r="B161" s="86" t="s">
        <v>7</v>
      </c>
      <c r="D161" s="82"/>
      <c r="E161" s="82"/>
      <c r="F161" s="82"/>
      <c r="G161" s="82"/>
      <c r="H161" s="82"/>
    </row>
    <row r="162" spans="2:16" x14ac:dyDescent="0.35">
      <c r="B162" s="81" t="s">
        <v>11</v>
      </c>
      <c r="D162" s="82">
        <f>D17+D35+D53+D71+D89+D107+D125+D143</f>
        <v>0</v>
      </c>
      <c r="E162" s="82">
        <f>E17+E35+E53+E71+E89+E107+E125+E143</f>
        <v>0</v>
      </c>
      <c r="F162" s="82">
        <f t="shared" ref="F162:H162" si="138">F17+F35+F53+F71+F89+F107+F125+F143</f>
        <v>0</v>
      </c>
      <c r="G162" s="82">
        <f t="shared" si="138"/>
        <v>0</v>
      </c>
      <c r="H162" s="82">
        <f t="shared" si="138"/>
        <v>0</v>
      </c>
    </row>
    <row r="163" spans="2:16" x14ac:dyDescent="0.35">
      <c r="B163" s="79" t="s">
        <v>15</v>
      </c>
      <c r="C163" s="38"/>
      <c r="D163" s="80">
        <f>D18+D36+D54+D72+D90+D108+D126+D144</f>
        <v>0</v>
      </c>
      <c r="E163" s="80">
        <f>E18+E36+E54+E72+E90+E108+E126+E144</f>
        <v>0</v>
      </c>
      <c r="F163" s="80">
        <f t="shared" ref="F163:H163" si="139">F18+F36+F54+F72+F90+F108+F126+F144</f>
        <v>0</v>
      </c>
      <c r="G163" s="80">
        <f t="shared" si="139"/>
        <v>0</v>
      </c>
      <c r="H163" s="80">
        <f t="shared" si="139"/>
        <v>0</v>
      </c>
    </row>
    <row r="164" spans="2:16" x14ac:dyDescent="0.35">
      <c r="B164" s="81" t="s">
        <v>13</v>
      </c>
      <c r="D164" s="82">
        <f>D19+D37+D73+D91+D109+D127+D145</f>
        <v>0</v>
      </c>
      <c r="E164" s="82">
        <f>E19+E37+E73+E91+E109+E127+E145</f>
        <v>0</v>
      </c>
      <c r="F164" s="82">
        <f t="shared" ref="F164:H164" si="140">F19+F37+F73+F91+F109+F127+F145</f>
        <v>0</v>
      </c>
      <c r="G164" s="82">
        <f t="shared" si="140"/>
        <v>0</v>
      </c>
      <c r="H164" s="82">
        <f t="shared" si="140"/>
        <v>0</v>
      </c>
    </row>
    <row r="165" spans="2:16" x14ac:dyDescent="0.35">
      <c r="B165" s="81" t="s">
        <v>111</v>
      </c>
      <c r="D165" s="82">
        <f>D56</f>
        <v>0</v>
      </c>
      <c r="E165" s="82">
        <f>E56</f>
        <v>0</v>
      </c>
      <c r="F165" s="82">
        <f t="shared" ref="F165:H165" si="141">F56</f>
        <v>0</v>
      </c>
      <c r="G165" s="82">
        <f t="shared" si="141"/>
        <v>0</v>
      </c>
      <c r="H165" s="82">
        <f t="shared" si="141"/>
        <v>0</v>
      </c>
    </row>
    <row r="166" spans="2:16" x14ac:dyDescent="0.35">
      <c r="B166" s="83" t="s">
        <v>14</v>
      </c>
      <c r="C166" s="84"/>
      <c r="D166" s="85">
        <f>SUM(D162:D165)</f>
        <v>0</v>
      </c>
      <c r="E166" s="85">
        <f>SUM(E162:E165)</f>
        <v>0</v>
      </c>
      <c r="F166" s="85">
        <f t="shared" ref="F166:H166" si="142">SUM(F162:F165)</f>
        <v>0</v>
      </c>
      <c r="G166" s="85">
        <f t="shared" si="142"/>
        <v>0</v>
      </c>
      <c r="H166" s="85">
        <f t="shared" si="142"/>
        <v>0</v>
      </c>
    </row>
    <row r="167" spans="2:16" x14ac:dyDescent="0.35">
      <c r="B167" s="81"/>
      <c r="D167" s="82"/>
      <c r="E167" s="82"/>
      <c r="F167" s="82"/>
      <c r="G167" s="82"/>
      <c r="H167" s="82"/>
    </row>
    <row r="168" spans="2:16" s="32" customFormat="1" x14ac:dyDescent="0.35">
      <c r="B168" s="89" t="s">
        <v>18</v>
      </c>
      <c r="C168" s="90"/>
      <c r="D168" s="91">
        <f>D158-D166</f>
        <v>0</v>
      </c>
      <c r="E168" s="91">
        <f>E158-E166</f>
        <v>0</v>
      </c>
      <c r="F168" s="91">
        <f t="shared" ref="F168:H168" si="143">F158-F166</f>
        <v>0</v>
      </c>
      <c r="G168" s="91">
        <f t="shared" si="143"/>
        <v>0</v>
      </c>
      <c r="H168" s="91">
        <f t="shared" si="143"/>
        <v>0</v>
      </c>
      <c r="K168" s="31"/>
      <c r="L168" s="31"/>
      <c r="O168" s="31"/>
      <c r="P168" s="31"/>
    </row>
    <row r="186" spans="11:12" x14ac:dyDescent="0.35">
      <c r="K186" s="32"/>
      <c r="L186" s="32"/>
    </row>
  </sheetData>
  <mergeCells count="1">
    <mergeCell ref="P45:Q45"/>
  </mergeCells>
  <phoneticPr fontId="0" type="noConversion"/>
  <printOptions horizontalCentered="1"/>
  <pageMargins left="0.39370078740157483" right="0.39370078740157483" top="0.59055118110236227" bottom="0.39370078740157483" header="0.51181102362204722" footer="0.51181102362204722"/>
  <pageSetup paperSize="9" scale="68" fitToHeight="5" orientation="landscape" r:id="rId1"/>
  <headerFooter alignWithMargins="0"/>
  <rowBreaks count="1" manualBreakCount="1">
    <brk id="97" min="1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31"/>
  <sheetViews>
    <sheetView zoomScaleNormal="100" workbookViewId="0">
      <selection activeCell="I26" sqref="I26"/>
    </sheetView>
  </sheetViews>
  <sheetFormatPr defaultColWidth="9.08984375" defaultRowHeight="12.5" x14ac:dyDescent="0.25"/>
  <cols>
    <col min="1" max="1" width="41.90625" style="3" bestFit="1" customWidth="1"/>
    <col min="2" max="2" width="3.36328125" style="3" customWidth="1"/>
    <col min="3" max="10" width="13.453125" style="3" customWidth="1"/>
    <col min="11" max="13" width="9.08984375" style="3"/>
    <col min="14" max="14" width="9.54296875" style="3" bestFit="1" customWidth="1"/>
    <col min="15" max="16384" width="9.08984375" style="3"/>
  </cols>
  <sheetData>
    <row r="1" spans="1:10" ht="13" x14ac:dyDescent="0.3">
      <c r="A1" s="1"/>
    </row>
    <row r="2" spans="1:10" ht="18" x14ac:dyDescent="0.4">
      <c r="A2" s="27" t="str">
        <f>Summary!B2</f>
        <v>Cursa Platform</v>
      </c>
      <c r="B2" s="28"/>
      <c r="C2" s="28"/>
      <c r="D2" s="28"/>
      <c r="E2" s="28"/>
      <c r="F2" s="28"/>
      <c r="G2" s="28"/>
      <c r="H2" s="28"/>
    </row>
    <row r="3" spans="1:10" ht="6.75" customHeight="1" x14ac:dyDescent="0.3">
      <c r="A3" s="1"/>
    </row>
    <row r="4" spans="1:10" ht="18" x14ac:dyDescent="0.4">
      <c r="A4" s="29" t="s">
        <v>177</v>
      </c>
      <c r="B4" s="28"/>
      <c r="C4" s="28"/>
      <c r="D4" s="28"/>
      <c r="E4" s="28"/>
      <c r="F4" s="28"/>
      <c r="G4" s="28"/>
      <c r="H4" s="28"/>
      <c r="I4" s="9"/>
      <c r="J4" s="10"/>
    </row>
    <row r="5" spans="1:10" ht="18" x14ac:dyDescent="0.4">
      <c r="A5" s="27"/>
      <c r="B5" s="28"/>
      <c r="C5" s="28"/>
      <c r="D5" s="28"/>
      <c r="E5" s="28"/>
      <c r="F5" s="28"/>
      <c r="G5" s="28"/>
      <c r="H5" s="28"/>
      <c r="I5" s="26"/>
      <c r="J5" s="26"/>
    </row>
    <row r="6" spans="1:10" ht="18.75" customHeight="1" x14ac:dyDescent="0.3">
      <c r="D6" s="2"/>
      <c r="E6" s="2"/>
      <c r="F6" s="2"/>
      <c r="G6" s="2"/>
      <c r="H6" s="2"/>
      <c r="I6" s="2"/>
      <c r="J6" s="2"/>
    </row>
    <row r="7" spans="1:10" ht="13" x14ac:dyDescent="0.25">
      <c r="C7" s="11" t="s">
        <v>164</v>
      </c>
      <c r="D7" s="12" t="s">
        <v>0</v>
      </c>
      <c r="E7" s="12" t="s">
        <v>1</v>
      </c>
      <c r="F7" s="12" t="s">
        <v>2</v>
      </c>
      <c r="G7" s="12" t="s">
        <v>3</v>
      </c>
      <c r="H7" s="13" t="s">
        <v>4</v>
      </c>
      <c r="I7" s="12" t="s">
        <v>5</v>
      </c>
      <c r="J7" s="13" t="s">
        <v>104</v>
      </c>
    </row>
    <row r="9" spans="1:10" ht="14" x14ac:dyDescent="0.3">
      <c r="A9" s="19" t="s">
        <v>177</v>
      </c>
      <c r="B9" s="18"/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3">
      <c r="A10" s="21"/>
    </row>
    <row r="11" spans="1:10" x14ac:dyDescent="0.25">
      <c r="A11" s="3" t="s">
        <v>178</v>
      </c>
      <c r="C11" s="24">
        <f t="shared" ref="C11:H11" si="0">C20</f>
        <v>0</v>
      </c>
      <c r="D11" s="24">
        <f t="shared" si="0"/>
        <v>0</v>
      </c>
      <c r="E11" s="24">
        <f t="shared" si="0"/>
        <v>0</v>
      </c>
      <c r="F11" s="24">
        <f t="shared" si="0"/>
        <v>0</v>
      </c>
      <c r="G11" s="24">
        <f t="shared" si="0"/>
        <v>0</v>
      </c>
      <c r="H11" s="24">
        <f t="shared" si="0"/>
        <v>0</v>
      </c>
      <c r="I11" s="24">
        <f>I20*I21*I22</f>
        <v>0</v>
      </c>
      <c r="J11" s="24">
        <f>J20*J21*J22</f>
        <v>0</v>
      </c>
    </row>
    <row r="13" spans="1:10" ht="13" x14ac:dyDescent="0.3">
      <c r="A13" s="1" t="s">
        <v>179</v>
      </c>
      <c r="C13" s="25">
        <f>SUM(C11:C12)</f>
        <v>0</v>
      </c>
      <c r="D13" s="25">
        <f>SUM(D11:D12)</f>
        <v>0</v>
      </c>
      <c r="E13" s="25">
        <f t="shared" ref="E13:J13" si="1">SUM(E11:E12)</f>
        <v>0</v>
      </c>
      <c r="F13" s="25">
        <f t="shared" si="1"/>
        <v>0</v>
      </c>
      <c r="G13" s="25">
        <f t="shared" si="1"/>
        <v>0</v>
      </c>
      <c r="H13" s="25">
        <f t="shared" si="1"/>
        <v>0</v>
      </c>
      <c r="I13" s="25">
        <f t="shared" si="1"/>
        <v>0</v>
      </c>
      <c r="J13" s="25">
        <f t="shared" si="1"/>
        <v>0</v>
      </c>
    </row>
    <row r="14" spans="1:10" ht="13" x14ac:dyDescent="0.3">
      <c r="A14" s="1"/>
      <c r="D14" s="25"/>
      <c r="E14" s="25"/>
      <c r="F14" s="25"/>
      <c r="G14" s="25"/>
      <c r="H14" s="25"/>
      <c r="I14" s="25"/>
      <c r="J14" s="25"/>
    </row>
    <row r="16" spans="1:10" ht="17.25" customHeight="1" x14ac:dyDescent="0.25">
      <c r="A16" s="17" t="s">
        <v>140</v>
      </c>
      <c r="B16" s="14"/>
      <c r="C16" s="14"/>
      <c r="D16" s="14"/>
      <c r="E16" s="14"/>
      <c r="F16" s="14"/>
      <c r="G16" s="14"/>
      <c r="H16" s="15"/>
      <c r="I16" s="14"/>
      <c r="J16" s="15"/>
    </row>
    <row r="18" spans="1:12" ht="14" x14ac:dyDescent="0.3">
      <c r="A18" s="19" t="s">
        <v>177</v>
      </c>
      <c r="B18" s="18"/>
    </row>
    <row r="19" spans="1:12" ht="14" x14ac:dyDescent="0.3">
      <c r="A19" s="20"/>
    </row>
    <row r="20" spans="1:12" x14ac:dyDescent="0.25">
      <c r="A20" s="3" t="s">
        <v>178</v>
      </c>
      <c r="C20" s="24">
        <v>0</v>
      </c>
      <c r="D20" s="24">
        <v>0</v>
      </c>
      <c r="E20" s="23">
        <v>0</v>
      </c>
      <c r="F20" s="23">
        <v>0</v>
      </c>
      <c r="G20" s="23">
        <v>0</v>
      </c>
      <c r="H20" s="23">
        <v>0</v>
      </c>
      <c r="I20" s="23"/>
      <c r="J20" s="23"/>
    </row>
    <row r="21" spans="1:12" x14ac:dyDescent="0.25">
      <c r="C21" s="23"/>
      <c r="D21" s="23"/>
      <c r="E21" s="23"/>
      <c r="F21" s="23"/>
      <c r="G21" s="23"/>
      <c r="H21" s="23"/>
      <c r="I21" s="23"/>
      <c r="J21" s="23"/>
    </row>
    <row r="22" spans="1:12" x14ac:dyDescent="0.25">
      <c r="C22" s="22"/>
      <c r="D22" s="22"/>
      <c r="E22" s="22"/>
      <c r="F22" s="22"/>
      <c r="G22" s="22"/>
      <c r="H22" s="22"/>
      <c r="I22" s="22"/>
      <c r="J22" s="22"/>
      <c r="L22" s="7"/>
    </row>
    <row r="23" spans="1:12" x14ac:dyDescent="0.25">
      <c r="E23" s="8"/>
      <c r="F23" s="8"/>
      <c r="G23" s="8"/>
      <c r="H23" s="8"/>
      <c r="I23" s="8"/>
      <c r="J23" s="8"/>
    </row>
    <row r="24" spans="1:12" ht="13" x14ac:dyDescent="0.3">
      <c r="A24" s="1"/>
    </row>
    <row r="25" spans="1:12" s="1" customFormat="1" ht="13" x14ac:dyDescent="0.3">
      <c r="D25" s="5"/>
      <c r="E25" s="6"/>
      <c r="F25" s="6"/>
      <c r="G25" s="6"/>
      <c r="H25" s="6"/>
      <c r="I25" s="6"/>
      <c r="J25" s="4"/>
    </row>
    <row r="28" spans="1:12" x14ac:dyDescent="0.25">
      <c r="A28" s="16"/>
    </row>
    <row r="29" spans="1:12" x14ac:dyDescent="0.25">
      <c r="A29" s="16"/>
    </row>
    <row r="30" spans="1:12" x14ac:dyDescent="0.25">
      <c r="A30" s="16"/>
    </row>
    <row r="31" spans="1:12" x14ac:dyDescent="0.25">
      <c r="A31" s="16"/>
    </row>
  </sheetData>
  <phoneticPr fontId="8" type="noConversion"/>
  <printOptions horizontalCentered="1"/>
  <pageMargins left="0.55118110236220474" right="0.55118110236220474" top="0.78740157480314965" bottom="0.39370078740157483" header="0.51181102362204722" footer="0.51181102362204722"/>
  <pageSetup paperSize="9"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pageSetUpPr fitToPage="1"/>
  </sheetPr>
  <dimension ref="B1:I106"/>
  <sheetViews>
    <sheetView zoomScaleNormal="100" workbookViewId="0">
      <pane ySplit="6" topLeftCell="A55" activePane="bottomLeft" state="frozen"/>
      <selection pane="bottomLeft" activeCell="O74" sqref="O74"/>
    </sheetView>
  </sheetViews>
  <sheetFormatPr defaultColWidth="8.90625" defaultRowHeight="14.5" x14ac:dyDescent="0.35"/>
  <cols>
    <col min="1" max="1" width="2.6328125" style="31" customWidth="1"/>
    <col min="2" max="2" width="32" style="31" bestFit="1" customWidth="1"/>
    <col min="3" max="3" width="14.36328125" style="31" customWidth="1"/>
    <col min="4" max="8" width="12.54296875" style="31" customWidth="1"/>
    <col min="9" max="16384" width="8.90625" style="31"/>
  </cols>
  <sheetData>
    <row r="1" spans="2:8" x14ac:dyDescent="0.35">
      <c r="B1" s="32"/>
    </row>
    <row r="2" spans="2:8" x14ac:dyDescent="0.35">
      <c r="B2" s="53" t="str">
        <f>Summary!B2</f>
        <v>Cursa Platform</v>
      </c>
      <c r="C2" s="54"/>
      <c r="D2" s="54"/>
      <c r="E2" s="54"/>
      <c r="F2" s="54"/>
      <c r="G2" s="54"/>
      <c r="H2" s="54"/>
    </row>
    <row r="3" spans="2:8" ht="4.5" customHeight="1" x14ac:dyDescent="0.35">
      <c r="B3" s="32"/>
    </row>
    <row r="4" spans="2:8" ht="17.25" customHeight="1" x14ac:dyDescent="0.35">
      <c r="B4" s="118" t="s">
        <v>165</v>
      </c>
      <c r="C4" s="54"/>
      <c r="D4" s="54"/>
      <c r="E4" s="54"/>
      <c r="F4" s="54"/>
      <c r="G4" s="54"/>
      <c r="H4" s="54"/>
    </row>
    <row r="5" spans="2:8" ht="12" customHeight="1" x14ac:dyDescent="0.35">
      <c r="B5" s="32"/>
    </row>
    <row r="6" spans="2:8" x14ac:dyDescent="0.35">
      <c r="B6" s="109"/>
      <c r="C6" s="119" t="s">
        <v>26</v>
      </c>
      <c r="D6" s="36" t="s">
        <v>234</v>
      </c>
      <c r="E6" s="37" t="s">
        <v>235</v>
      </c>
      <c r="F6" s="37" t="s">
        <v>236</v>
      </c>
      <c r="G6" s="37" t="s">
        <v>237</v>
      </c>
      <c r="H6" s="68" t="s">
        <v>238</v>
      </c>
    </row>
    <row r="8" spans="2:8" x14ac:dyDescent="0.35">
      <c r="B8" s="110" t="s">
        <v>261</v>
      </c>
      <c r="C8" s="111"/>
      <c r="D8" s="112"/>
      <c r="E8" s="112"/>
      <c r="F8" s="112"/>
      <c r="G8" s="112"/>
      <c r="H8" s="112"/>
    </row>
    <row r="9" spans="2:8" x14ac:dyDescent="0.35">
      <c r="B9" s="112"/>
      <c r="C9" s="111"/>
      <c r="D9" s="113"/>
      <c r="E9" s="113"/>
      <c r="F9" s="113"/>
      <c r="G9" s="113"/>
      <c r="H9" s="113"/>
    </row>
    <row r="10" spans="2:8" x14ac:dyDescent="0.35">
      <c r="B10" s="120" t="s">
        <v>27</v>
      </c>
      <c r="C10" s="156">
        <f>IF(CF!D21+CF!D27&lt;0,ROUNDUP(-(CF!D21+CF!D27)*(1-Equity!D57),-4),0)</f>
        <v>0</v>
      </c>
      <c r="D10" s="113"/>
      <c r="E10" s="113"/>
      <c r="F10" s="113"/>
      <c r="G10" s="113"/>
      <c r="H10" s="113"/>
    </row>
    <row r="11" spans="2:8" x14ac:dyDescent="0.35">
      <c r="B11" s="120" t="s">
        <v>28</v>
      </c>
      <c r="C11" s="121">
        <v>5</v>
      </c>
      <c r="D11" s="113"/>
      <c r="E11" s="113"/>
      <c r="F11" s="113"/>
      <c r="G11" s="113"/>
      <c r="H11" s="113"/>
    </row>
    <row r="12" spans="2:8" x14ac:dyDescent="0.35">
      <c r="B12" s="120" t="s">
        <v>29</v>
      </c>
      <c r="C12" s="122">
        <v>0.04</v>
      </c>
      <c r="D12" s="113"/>
      <c r="E12" s="113"/>
      <c r="F12" s="113"/>
      <c r="G12" s="113"/>
      <c r="H12" s="113"/>
    </row>
    <row r="13" spans="2:8" x14ac:dyDescent="0.35">
      <c r="B13" s="123"/>
      <c r="C13" s="112"/>
      <c r="D13" s="124">
        <v>0</v>
      </c>
      <c r="E13" s="124">
        <v>1</v>
      </c>
      <c r="F13" s="124">
        <v>2</v>
      </c>
      <c r="G13" s="124">
        <v>3</v>
      </c>
      <c r="H13" s="124">
        <v>4</v>
      </c>
    </row>
    <row r="14" spans="2:8" x14ac:dyDescent="0.35">
      <c r="B14" s="125" t="s">
        <v>30</v>
      </c>
      <c r="C14" s="126"/>
      <c r="D14" s="153">
        <f>C10</f>
        <v>0</v>
      </c>
      <c r="E14" s="153">
        <f t="shared" ref="E14:H14" si="0">D21</f>
        <v>0</v>
      </c>
      <c r="F14" s="153">
        <f t="shared" si="0"/>
        <v>0</v>
      </c>
      <c r="G14" s="153">
        <f t="shared" si="0"/>
        <v>0</v>
      </c>
      <c r="H14" s="153">
        <f t="shared" si="0"/>
        <v>0</v>
      </c>
    </row>
    <row r="15" spans="2:8" x14ac:dyDescent="0.35">
      <c r="B15" s="127" t="s">
        <v>31</v>
      </c>
      <c r="C15" s="128"/>
      <c r="D15" s="134">
        <v>0</v>
      </c>
      <c r="E15" s="134">
        <f>IF(CF!E21+CF!E27+Loan!D46+Loan!D89&lt;0,ROUNDUP(-(CF!E21+CF!E27+Loan!D46+Loan!D89)*(1-Equity!E57),-4),0)</f>
        <v>0</v>
      </c>
      <c r="F15" s="134">
        <f>IF(CF!F21+CF!F27+Loan!E46+Loan!E89&lt;0,ROUNDUP(-(CF!F21+CF!F27+Loan!E46+Loan!E89)*(1-Equity!F57),-4),0)</f>
        <v>0</v>
      </c>
      <c r="G15" s="134">
        <f>IF(CF!G21+CF!G27+Loan!F46+Loan!F89&lt;0,ROUNDUP(-(CF!G21+CF!G27+Loan!F46+Loan!F89)*(1-Equity!G57),-4),0)</f>
        <v>0</v>
      </c>
      <c r="H15" s="134">
        <f>IF(CF!H21+CF!H27+Loan!G46+Loan!G89&lt;0,ROUNDUP(-(CF!H21+CF!H27+Loan!G46+Loan!G89)*(1-Equity!H57),-4),0)</f>
        <v>0</v>
      </c>
    </row>
    <row r="16" spans="2:8" x14ac:dyDescent="0.35">
      <c r="B16" s="129"/>
      <c r="C16" s="112"/>
      <c r="D16" s="48">
        <f t="shared" ref="D16:H16" si="1">SUM(D14:D15)</f>
        <v>0</v>
      </c>
      <c r="E16" s="48">
        <f t="shared" si="1"/>
        <v>0</v>
      </c>
      <c r="F16" s="48">
        <f t="shared" si="1"/>
        <v>0</v>
      </c>
      <c r="G16" s="48">
        <f t="shared" si="1"/>
        <v>0</v>
      </c>
      <c r="H16" s="48">
        <f t="shared" si="1"/>
        <v>0</v>
      </c>
    </row>
    <row r="17" spans="2:8" x14ac:dyDescent="0.35">
      <c r="B17" s="129" t="s">
        <v>32</v>
      </c>
      <c r="C17" s="112"/>
      <c r="D17" s="48">
        <f>(D16*$C$12)</f>
        <v>0</v>
      </c>
      <c r="E17" s="48">
        <f>(E16*$C$12)</f>
        <v>0</v>
      </c>
      <c r="F17" s="48">
        <f>(F16*$C$12)</f>
        <v>0</v>
      </c>
      <c r="G17" s="48">
        <f>(G16*$C$12)</f>
        <v>0</v>
      </c>
      <c r="H17" s="48">
        <f>(H16*$C$12)</f>
        <v>0</v>
      </c>
    </row>
    <row r="18" spans="2:8" x14ac:dyDescent="0.35">
      <c r="B18" s="129" t="s">
        <v>33</v>
      </c>
      <c r="C18" s="112"/>
      <c r="D18" s="48">
        <f t="shared" ref="D18:H18" si="2">-D17</f>
        <v>0</v>
      </c>
      <c r="E18" s="48">
        <f t="shared" si="2"/>
        <v>0</v>
      </c>
      <c r="F18" s="48">
        <f t="shared" si="2"/>
        <v>0</v>
      </c>
      <c r="G18" s="48">
        <f t="shared" si="2"/>
        <v>0</v>
      </c>
      <c r="H18" s="48">
        <f t="shared" si="2"/>
        <v>0</v>
      </c>
    </row>
    <row r="19" spans="2:8" x14ac:dyDescent="0.35">
      <c r="B19" s="129" t="s">
        <v>34</v>
      </c>
      <c r="C19" s="112"/>
      <c r="D19" s="48">
        <f>IF(D16=0,0,PPMT($C$12,1,$C$11-D13,D16))</f>
        <v>0</v>
      </c>
      <c r="E19" s="48">
        <f>IF(E16=0,0,PPMT($C$12,1,$C$11-E13,E16))</f>
        <v>0</v>
      </c>
      <c r="F19" s="48">
        <f>IF(F16=0,0,PPMT($C$12,1,$C$11-F13,F16))</f>
        <v>0</v>
      </c>
      <c r="G19" s="48">
        <f>IF(G16=0,0,PPMT($C$12,1,$C$11-G13,G16))</f>
        <v>0</v>
      </c>
      <c r="H19" s="48">
        <f>IF(H16=0,0,PPMT($C$12,1,$C$11-H13,H16))</f>
        <v>0</v>
      </c>
    </row>
    <row r="20" spans="2:8" x14ac:dyDescent="0.35">
      <c r="B20" s="129" t="s">
        <v>35</v>
      </c>
      <c r="C20" s="112"/>
      <c r="D20" s="134">
        <f>D19+D18</f>
        <v>0</v>
      </c>
      <c r="E20" s="134">
        <f t="shared" ref="E20:H20" si="3">E19+E18</f>
        <v>0</v>
      </c>
      <c r="F20" s="134">
        <f t="shared" si="3"/>
        <v>0</v>
      </c>
      <c r="G20" s="134">
        <f t="shared" si="3"/>
        <v>0</v>
      </c>
      <c r="H20" s="134">
        <f t="shared" si="3"/>
        <v>0</v>
      </c>
    </row>
    <row r="21" spans="2:8" x14ac:dyDescent="0.35">
      <c r="B21" s="130" t="s">
        <v>36</v>
      </c>
      <c r="C21" s="126"/>
      <c r="D21" s="154">
        <f t="shared" ref="D21:H21" si="4">SUM(D16:D19)</f>
        <v>0</v>
      </c>
      <c r="E21" s="154">
        <f t="shared" si="4"/>
        <v>0</v>
      </c>
      <c r="F21" s="154">
        <f t="shared" si="4"/>
        <v>0</v>
      </c>
      <c r="G21" s="154">
        <f t="shared" si="4"/>
        <v>0</v>
      </c>
      <c r="H21" s="154">
        <f t="shared" si="4"/>
        <v>0</v>
      </c>
    </row>
    <row r="22" spans="2:8" x14ac:dyDescent="0.35">
      <c r="B22" s="130"/>
      <c r="C22" s="126"/>
      <c r="D22" s="132"/>
      <c r="E22" s="132"/>
      <c r="F22" s="132"/>
      <c r="G22" s="132"/>
      <c r="H22" s="132"/>
    </row>
    <row r="23" spans="2:8" x14ac:dyDescent="0.35">
      <c r="B23" s="110" t="s">
        <v>260</v>
      </c>
      <c r="C23" s="111"/>
      <c r="D23" s="48"/>
      <c r="E23" s="48"/>
      <c r="F23" s="48"/>
      <c r="G23" s="48"/>
      <c r="H23" s="48"/>
    </row>
    <row r="24" spans="2:8" x14ac:dyDescent="0.35">
      <c r="B24" s="112"/>
      <c r="C24" s="111"/>
      <c r="D24" s="48"/>
      <c r="E24" s="48"/>
      <c r="F24" s="48"/>
      <c r="G24" s="48"/>
      <c r="H24" s="48"/>
    </row>
    <row r="25" spans="2:8" x14ac:dyDescent="0.35">
      <c r="B25" s="120" t="s">
        <v>27</v>
      </c>
      <c r="C25" s="156">
        <v>0</v>
      </c>
      <c r="D25" s="48"/>
      <c r="E25" s="48"/>
      <c r="F25" s="48"/>
      <c r="G25" s="48"/>
      <c r="H25" s="48"/>
    </row>
    <row r="26" spans="2:8" x14ac:dyDescent="0.35">
      <c r="B26" s="120" t="s">
        <v>28</v>
      </c>
      <c r="C26" s="121">
        <v>7</v>
      </c>
      <c r="D26" s="48"/>
      <c r="E26" s="48"/>
      <c r="F26" s="48"/>
      <c r="G26" s="48"/>
      <c r="H26" s="48"/>
    </row>
    <row r="27" spans="2:8" x14ac:dyDescent="0.35">
      <c r="B27" s="120" t="s">
        <v>29</v>
      </c>
      <c r="C27" s="122">
        <v>0.05</v>
      </c>
      <c r="D27" s="48"/>
      <c r="E27" s="48"/>
      <c r="F27" s="48"/>
      <c r="G27" s="48"/>
      <c r="H27" s="48"/>
    </row>
    <row r="28" spans="2:8" x14ac:dyDescent="0.35">
      <c r="B28" s="123"/>
      <c r="C28" s="112"/>
      <c r="D28" s="134"/>
      <c r="E28" s="134"/>
      <c r="F28" s="134"/>
      <c r="G28" s="134"/>
      <c r="H28" s="134"/>
    </row>
    <row r="29" spans="2:8" x14ac:dyDescent="0.35">
      <c r="B29" s="125" t="s">
        <v>30</v>
      </c>
      <c r="C29" s="126"/>
      <c r="D29" s="132">
        <f>C25</f>
        <v>0</v>
      </c>
      <c r="E29" s="132">
        <f t="shared" ref="E29:H29" si="5">D36</f>
        <v>0</v>
      </c>
      <c r="F29" s="132">
        <f t="shared" si="5"/>
        <v>0</v>
      </c>
      <c r="G29" s="132">
        <f t="shared" si="5"/>
        <v>0</v>
      </c>
      <c r="H29" s="132">
        <f t="shared" si="5"/>
        <v>0</v>
      </c>
    </row>
    <row r="30" spans="2:8" x14ac:dyDescent="0.35">
      <c r="B30" s="127" t="s">
        <v>31</v>
      </c>
      <c r="C30" s="128"/>
      <c r="D30" s="134"/>
      <c r="E30" s="134"/>
      <c r="F30" s="134"/>
      <c r="G30" s="134"/>
      <c r="H30" s="134"/>
    </row>
    <row r="31" spans="2:8" x14ac:dyDescent="0.35">
      <c r="B31" s="129"/>
      <c r="C31" s="112"/>
      <c r="D31" s="48">
        <f t="shared" ref="D31:H31" si="6">SUM(D29:D30)</f>
        <v>0</v>
      </c>
      <c r="E31" s="48">
        <f t="shared" si="6"/>
        <v>0</v>
      </c>
      <c r="F31" s="48">
        <f t="shared" si="6"/>
        <v>0</v>
      </c>
      <c r="G31" s="48">
        <f t="shared" si="6"/>
        <v>0</v>
      </c>
      <c r="H31" s="48">
        <f t="shared" si="6"/>
        <v>0</v>
      </c>
    </row>
    <row r="32" spans="2:8" x14ac:dyDescent="0.35">
      <c r="B32" s="129" t="s">
        <v>32</v>
      </c>
      <c r="C32" s="112"/>
      <c r="D32" s="48">
        <f>(D31*$C$12)</f>
        <v>0</v>
      </c>
      <c r="E32" s="48">
        <f>(E31*$C$12)</f>
        <v>0</v>
      </c>
      <c r="F32" s="48">
        <f>(F31*$C$12)</f>
        <v>0</v>
      </c>
      <c r="G32" s="48">
        <f>(G31*$C$12)</f>
        <v>0</v>
      </c>
      <c r="H32" s="48">
        <f>(H31*$C$12)</f>
        <v>0</v>
      </c>
    </row>
    <row r="33" spans="2:8" x14ac:dyDescent="0.35">
      <c r="B33" s="129" t="s">
        <v>33</v>
      </c>
      <c r="C33" s="112"/>
      <c r="D33" s="48">
        <f t="shared" ref="D33:H33" si="7">-D32</f>
        <v>0</v>
      </c>
      <c r="E33" s="48">
        <f t="shared" si="7"/>
        <v>0</v>
      </c>
      <c r="F33" s="48">
        <f t="shared" si="7"/>
        <v>0</v>
      </c>
      <c r="G33" s="48">
        <f t="shared" si="7"/>
        <v>0</v>
      </c>
      <c r="H33" s="48">
        <f t="shared" si="7"/>
        <v>0</v>
      </c>
    </row>
    <row r="34" spans="2:8" x14ac:dyDescent="0.35">
      <c r="B34" s="129" t="s">
        <v>34</v>
      </c>
      <c r="C34" s="112"/>
      <c r="D34" s="48">
        <f>IF(D31=0,0,PPMT($C$27,1,$C$26-D13,D31))</f>
        <v>0</v>
      </c>
      <c r="E34" s="48">
        <f>IF(E31=0,0,PPMT($C$27,1,$C$26-E13,E31))</f>
        <v>0</v>
      </c>
      <c r="F34" s="48">
        <f>IF(F31=0,0,PPMT($C$27,1,$C$26-F13,F31))</f>
        <v>0</v>
      </c>
      <c r="G34" s="48">
        <f>IF(G31=0,0,PPMT($C$27,1,$C$26-G13,G31))</f>
        <v>0</v>
      </c>
      <c r="H34" s="48">
        <f>IF(H31=0,0,PPMT($C$27,1,$C$26-H13,H31))</f>
        <v>0</v>
      </c>
    </row>
    <row r="35" spans="2:8" x14ac:dyDescent="0.35">
      <c r="B35" s="129" t="s">
        <v>35</v>
      </c>
      <c r="C35" s="112"/>
      <c r="D35" s="134">
        <f>D34+D33</f>
        <v>0</v>
      </c>
      <c r="E35" s="134">
        <f t="shared" ref="E35:H35" si="8">IF(D36&gt;-D35,D35,-(E31+E32))</f>
        <v>0</v>
      </c>
      <c r="F35" s="134">
        <f t="shared" si="8"/>
        <v>0</v>
      </c>
      <c r="G35" s="134">
        <f t="shared" si="8"/>
        <v>0</v>
      </c>
      <c r="H35" s="134">
        <f t="shared" si="8"/>
        <v>0</v>
      </c>
    </row>
    <row r="36" spans="2:8" x14ac:dyDescent="0.35">
      <c r="B36" s="130" t="s">
        <v>36</v>
      </c>
      <c r="C36" s="126"/>
      <c r="D36" s="154">
        <f t="shared" ref="D36:H36" si="9">SUM(D31:D34)</f>
        <v>0</v>
      </c>
      <c r="E36" s="154">
        <f t="shared" si="9"/>
        <v>0</v>
      </c>
      <c r="F36" s="154">
        <f t="shared" si="9"/>
        <v>0</v>
      </c>
      <c r="G36" s="154">
        <f t="shared" si="9"/>
        <v>0</v>
      </c>
      <c r="H36" s="154">
        <f t="shared" si="9"/>
        <v>0</v>
      </c>
    </row>
    <row r="37" spans="2:8" x14ac:dyDescent="0.35">
      <c r="B37" s="125"/>
      <c r="C37" s="126"/>
      <c r="D37" s="132"/>
      <c r="E37" s="132"/>
      <c r="F37" s="132"/>
      <c r="G37" s="132"/>
      <c r="H37" s="132"/>
    </row>
    <row r="38" spans="2:8" x14ac:dyDescent="0.35">
      <c r="D38" s="48"/>
      <c r="E38" s="48"/>
      <c r="F38" s="48"/>
      <c r="G38" s="48"/>
      <c r="H38" s="48"/>
    </row>
    <row r="39" spans="2:8" s="32" customFormat="1" x14ac:dyDescent="0.35">
      <c r="B39" s="110" t="s">
        <v>126</v>
      </c>
      <c r="D39" s="132"/>
      <c r="E39" s="132"/>
      <c r="F39" s="132"/>
      <c r="G39" s="132"/>
      <c r="H39" s="132"/>
    </row>
    <row r="40" spans="2:8" s="32" customFormat="1" x14ac:dyDescent="0.35">
      <c r="D40" s="132"/>
      <c r="E40" s="132"/>
      <c r="F40" s="132"/>
      <c r="G40" s="132"/>
      <c r="H40" s="132"/>
    </row>
    <row r="41" spans="2:8" x14ac:dyDescent="0.35">
      <c r="B41" s="125" t="s">
        <v>30</v>
      </c>
      <c r="C41" s="126"/>
      <c r="D41" s="132">
        <f t="shared" ref="D41:H43" si="10">D14+D29</f>
        <v>0</v>
      </c>
      <c r="E41" s="132">
        <f t="shared" si="10"/>
        <v>0</v>
      </c>
      <c r="F41" s="132">
        <f t="shared" si="10"/>
        <v>0</v>
      </c>
      <c r="G41" s="132">
        <f t="shared" si="10"/>
        <v>0</v>
      </c>
      <c r="H41" s="132">
        <f t="shared" si="10"/>
        <v>0</v>
      </c>
    </row>
    <row r="42" spans="2:8" x14ac:dyDescent="0.35">
      <c r="B42" s="127" t="s">
        <v>31</v>
      </c>
      <c r="C42" s="128"/>
      <c r="D42" s="134">
        <f t="shared" si="10"/>
        <v>0</v>
      </c>
      <c r="E42" s="134">
        <f t="shared" si="10"/>
        <v>0</v>
      </c>
      <c r="F42" s="134">
        <f t="shared" si="10"/>
        <v>0</v>
      </c>
      <c r="G42" s="134">
        <f t="shared" si="10"/>
        <v>0</v>
      </c>
      <c r="H42" s="134">
        <f t="shared" si="10"/>
        <v>0</v>
      </c>
    </row>
    <row r="43" spans="2:8" x14ac:dyDescent="0.35">
      <c r="B43" s="129"/>
      <c r="C43" s="112"/>
      <c r="D43" s="48">
        <f t="shared" si="10"/>
        <v>0</v>
      </c>
      <c r="E43" s="48">
        <f t="shared" si="10"/>
        <v>0</v>
      </c>
      <c r="F43" s="48">
        <f t="shared" si="10"/>
        <v>0</v>
      </c>
      <c r="G43" s="48">
        <f t="shared" si="10"/>
        <v>0</v>
      </c>
      <c r="H43" s="48">
        <f t="shared" si="10"/>
        <v>0</v>
      </c>
    </row>
    <row r="44" spans="2:8" x14ac:dyDescent="0.35">
      <c r="B44" s="129" t="s">
        <v>32</v>
      </c>
      <c r="C44" s="112"/>
      <c r="D44" s="48">
        <f>D17+D32</f>
        <v>0</v>
      </c>
      <c r="E44" s="48">
        <f t="shared" ref="E44:G44" si="11">E17+E32</f>
        <v>0</v>
      </c>
      <c r="F44" s="48">
        <f t="shared" si="11"/>
        <v>0</v>
      </c>
      <c r="G44" s="48">
        <f t="shared" si="11"/>
        <v>0</v>
      </c>
      <c r="H44" s="48">
        <f>H17+H32</f>
        <v>0</v>
      </c>
    </row>
    <row r="45" spans="2:8" x14ac:dyDescent="0.35">
      <c r="B45" s="129" t="s">
        <v>33</v>
      </c>
      <c r="C45" s="112"/>
      <c r="D45" s="48">
        <f>D18+D33</f>
        <v>0</v>
      </c>
      <c r="E45" s="48">
        <f t="shared" ref="E45:G48" si="12">E18+E33</f>
        <v>0</v>
      </c>
      <c r="F45" s="48">
        <f t="shared" si="12"/>
        <v>0</v>
      </c>
      <c r="G45" s="48">
        <f t="shared" si="12"/>
        <v>0</v>
      </c>
      <c r="H45" s="48">
        <f>H18+H33</f>
        <v>0</v>
      </c>
    </row>
    <row r="46" spans="2:8" x14ac:dyDescent="0.35">
      <c r="B46" s="129" t="s">
        <v>34</v>
      </c>
      <c r="C46" s="112"/>
      <c r="D46" s="48">
        <f>D19+D34</f>
        <v>0</v>
      </c>
      <c r="E46" s="48">
        <f t="shared" si="12"/>
        <v>0</v>
      </c>
      <c r="F46" s="48">
        <f t="shared" si="12"/>
        <v>0</v>
      </c>
      <c r="G46" s="48">
        <f t="shared" si="12"/>
        <v>0</v>
      </c>
      <c r="H46" s="48">
        <f>H19+H34</f>
        <v>0</v>
      </c>
    </row>
    <row r="47" spans="2:8" x14ac:dyDescent="0.35">
      <c r="B47" s="129" t="s">
        <v>35</v>
      </c>
      <c r="C47" s="112"/>
      <c r="D47" s="134">
        <f>D20+D35</f>
        <v>0</v>
      </c>
      <c r="E47" s="134">
        <f t="shared" si="12"/>
        <v>0</v>
      </c>
      <c r="F47" s="134">
        <f t="shared" si="12"/>
        <v>0</v>
      </c>
      <c r="G47" s="134">
        <f t="shared" si="12"/>
        <v>0</v>
      </c>
      <c r="H47" s="134">
        <f>H20+H35</f>
        <v>0</v>
      </c>
    </row>
    <row r="48" spans="2:8" x14ac:dyDescent="0.35">
      <c r="B48" s="130" t="s">
        <v>36</v>
      </c>
      <c r="C48" s="126"/>
      <c r="D48" s="154">
        <f>D21+D36</f>
        <v>0</v>
      </c>
      <c r="E48" s="154">
        <f t="shared" si="12"/>
        <v>0</v>
      </c>
      <c r="F48" s="154">
        <f t="shared" si="12"/>
        <v>0</v>
      </c>
      <c r="G48" s="154">
        <f t="shared" si="12"/>
        <v>0</v>
      </c>
      <c r="H48" s="154">
        <f>H21+H36</f>
        <v>0</v>
      </c>
    </row>
    <row r="49" spans="2:8" x14ac:dyDescent="0.35">
      <c r="B49" s="125"/>
      <c r="C49" s="126"/>
      <c r="D49" s="132"/>
      <c r="E49" s="132"/>
      <c r="F49" s="132"/>
      <c r="G49" s="132"/>
      <c r="H49" s="132"/>
    </row>
    <row r="50" spans="2:8" x14ac:dyDescent="0.35">
      <c r="D50" s="48"/>
      <c r="E50" s="48"/>
      <c r="F50" s="48"/>
      <c r="G50" s="48"/>
      <c r="H50" s="48"/>
    </row>
    <row r="51" spans="2:8" x14ac:dyDescent="0.35">
      <c r="B51" s="110" t="s">
        <v>259</v>
      </c>
      <c r="C51" s="111"/>
      <c r="D51" s="48"/>
      <c r="E51" s="48"/>
      <c r="F51" s="48"/>
      <c r="G51" s="48"/>
      <c r="H51" s="48"/>
    </row>
    <row r="52" spans="2:8" x14ac:dyDescent="0.35">
      <c r="B52" s="112"/>
      <c r="C52" s="111"/>
      <c r="D52" s="48"/>
      <c r="E52" s="48"/>
      <c r="F52" s="48"/>
      <c r="G52" s="48"/>
      <c r="H52" s="48"/>
    </row>
    <row r="53" spans="2:8" x14ac:dyDescent="0.35">
      <c r="B53" s="120" t="s">
        <v>27</v>
      </c>
      <c r="C53" s="156">
        <v>0</v>
      </c>
      <c r="D53" s="48"/>
      <c r="E53" s="48"/>
      <c r="F53" s="48"/>
      <c r="G53" s="48"/>
      <c r="H53" s="48"/>
    </row>
    <row r="54" spans="2:8" x14ac:dyDescent="0.35">
      <c r="B54" s="120" t="s">
        <v>28</v>
      </c>
      <c r="C54" s="121">
        <v>25</v>
      </c>
      <c r="D54" s="48"/>
      <c r="E54" s="48"/>
      <c r="F54" s="48"/>
      <c r="G54" s="48"/>
      <c r="H54" s="48"/>
    </row>
    <row r="55" spans="2:8" x14ac:dyDescent="0.35">
      <c r="B55" s="120" t="s">
        <v>29</v>
      </c>
      <c r="C55" s="122">
        <v>3.5000000000000003E-2</v>
      </c>
      <c r="D55" s="48"/>
      <c r="E55" s="48"/>
      <c r="F55" s="48"/>
      <c r="G55" s="48"/>
      <c r="H55" s="48"/>
    </row>
    <row r="56" spans="2:8" x14ac:dyDescent="0.35">
      <c r="B56" s="123"/>
      <c r="C56" s="112"/>
      <c r="D56" s="134"/>
      <c r="E56" s="134"/>
      <c r="F56" s="134"/>
      <c r="G56" s="134"/>
      <c r="H56" s="134"/>
    </row>
    <row r="57" spans="2:8" x14ac:dyDescent="0.35">
      <c r="B57" s="125" t="s">
        <v>30</v>
      </c>
      <c r="C57" s="126"/>
      <c r="D57" s="132">
        <f>C53</f>
        <v>0</v>
      </c>
      <c r="E57" s="132">
        <f t="shared" ref="E57:H57" si="13">D64</f>
        <v>0</v>
      </c>
      <c r="F57" s="132">
        <f t="shared" si="13"/>
        <v>0</v>
      </c>
      <c r="G57" s="132">
        <f t="shared" si="13"/>
        <v>0</v>
      </c>
      <c r="H57" s="132">
        <f t="shared" si="13"/>
        <v>0</v>
      </c>
    </row>
    <row r="58" spans="2:8" x14ac:dyDescent="0.35">
      <c r="B58" s="127" t="s">
        <v>31</v>
      </c>
      <c r="C58" s="128"/>
      <c r="D58" s="134"/>
      <c r="E58" s="134"/>
      <c r="F58" s="134"/>
      <c r="G58" s="134"/>
      <c r="H58" s="134"/>
    </row>
    <row r="59" spans="2:8" x14ac:dyDescent="0.35">
      <c r="B59" s="129"/>
      <c r="C59" s="112"/>
      <c r="D59" s="48">
        <f t="shared" ref="D59:H59" si="14">SUM(D57:D58)</f>
        <v>0</v>
      </c>
      <c r="E59" s="48">
        <f t="shared" si="14"/>
        <v>0</v>
      </c>
      <c r="F59" s="48">
        <f t="shared" si="14"/>
        <v>0</v>
      </c>
      <c r="G59" s="48">
        <f t="shared" si="14"/>
        <v>0</v>
      </c>
      <c r="H59" s="48">
        <f t="shared" si="14"/>
        <v>0</v>
      </c>
    </row>
    <row r="60" spans="2:8" x14ac:dyDescent="0.35">
      <c r="B60" s="129" t="s">
        <v>32</v>
      </c>
      <c r="C60" s="112"/>
      <c r="D60" s="48">
        <f>(D59*$C$12)</f>
        <v>0</v>
      </c>
      <c r="E60" s="48">
        <f>(E59*$C$12)</f>
        <v>0</v>
      </c>
      <c r="F60" s="48">
        <f>(F59*$C$12)</f>
        <v>0</v>
      </c>
      <c r="G60" s="48">
        <f>(G59*$C$12)</f>
        <v>0</v>
      </c>
      <c r="H60" s="48">
        <f>(H59*$C$12)</f>
        <v>0</v>
      </c>
    </row>
    <row r="61" spans="2:8" x14ac:dyDescent="0.35">
      <c r="B61" s="129" t="s">
        <v>33</v>
      </c>
      <c r="C61" s="112"/>
      <c r="D61" s="48">
        <f t="shared" ref="D61:H61" si="15">-D60</f>
        <v>0</v>
      </c>
      <c r="E61" s="48">
        <f t="shared" si="15"/>
        <v>0</v>
      </c>
      <c r="F61" s="48">
        <f t="shared" si="15"/>
        <v>0</v>
      </c>
      <c r="G61" s="48">
        <f t="shared" si="15"/>
        <v>0</v>
      </c>
      <c r="H61" s="48">
        <f t="shared" si="15"/>
        <v>0</v>
      </c>
    </row>
    <row r="62" spans="2:8" x14ac:dyDescent="0.35">
      <c r="B62" s="129" t="s">
        <v>34</v>
      </c>
      <c r="C62" s="112"/>
      <c r="D62" s="48">
        <f>IF(D59=0,0,PPMT($C$55,1,$C$54-D13,D59))</f>
        <v>0</v>
      </c>
      <c r="E62" s="48">
        <f t="shared" ref="E62:H62" si="16">IF(E59=0,0,PPMT($C$55,1,$C$54-E13,E59))</f>
        <v>0</v>
      </c>
      <c r="F62" s="48">
        <f t="shared" si="16"/>
        <v>0</v>
      </c>
      <c r="G62" s="48">
        <f t="shared" si="16"/>
        <v>0</v>
      </c>
      <c r="H62" s="48">
        <f t="shared" si="16"/>
        <v>0</v>
      </c>
    </row>
    <row r="63" spans="2:8" x14ac:dyDescent="0.35">
      <c r="B63" s="129" t="s">
        <v>35</v>
      </c>
      <c r="C63" s="112"/>
      <c r="D63" s="134">
        <f>D62+D61</f>
        <v>0</v>
      </c>
      <c r="E63" s="134">
        <f t="shared" ref="E63:H63" si="17">IF(D64&gt;-D63,D63,-(E59+E60))</f>
        <v>0</v>
      </c>
      <c r="F63" s="134">
        <f t="shared" si="17"/>
        <v>0</v>
      </c>
      <c r="G63" s="134">
        <f t="shared" si="17"/>
        <v>0</v>
      </c>
      <c r="H63" s="134">
        <f t="shared" si="17"/>
        <v>0</v>
      </c>
    </row>
    <row r="64" spans="2:8" x14ac:dyDescent="0.35">
      <c r="B64" s="130" t="s">
        <v>36</v>
      </c>
      <c r="C64" s="126"/>
      <c r="D64" s="154">
        <f t="shared" ref="D64:H64" si="18">SUM(D59:D62)</f>
        <v>0</v>
      </c>
      <c r="E64" s="154">
        <f t="shared" si="18"/>
        <v>0</v>
      </c>
      <c r="F64" s="154">
        <f t="shared" si="18"/>
        <v>0</v>
      </c>
      <c r="G64" s="154">
        <f t="shared" si="18"/>
        <v>0</v>
      </c>
      <c r="H64" s="154">
        <f t="shared" si="18"/>
        <v>0</v>
      </c>
    </row>
    <row r="65" spans="2:9" x14ac:dyDescent="0.35">
      <c r="B65" s="125"/>
      <c r="C65" s="126"/>
      <c r="D65" s="132"/>
      <c r="E65" s="132"/>
      <c r="F65" s="132"/>
      <c r="G65" s="132"/>
      <c r="H65" s="132"/>
    </row>
    <row r="66" spans="2:9" x14ac:dyDescent="0.35">
      <c r="B66" s="110" t="s">
        <v>258</v>
      </c>
      <c r="C66" s="111"/>
      <c r="D66" s="48"/>
      <c r="E66" s="48"/>
      <c r="F66" s="48"/>
      <c r="G66" s="48"/>
      <c r="H66" s="48"/>
    </row>
    <row r="67" spans="2:9" x14ac:dyDescent="0.35">
      <c r="B67" s="112"/>
      <c r="C67" s="111"/>
      <c r="D67" s="48"/>
      <c r="E67" s="48"/>
      <c r="F67" s="48"/>
      <c r="G67" s="48"/>
      <c r="H67" s="48"/>
    </row>
    <row r="68" spans="2:9" x14ac:dyDescent="0.35">
      <c r="B68" s="120" t="s">
        <v>27</v>
      </c>
      <c r="C68" s="156">
        <v>0</v>
      </c>
      <c r="D68" s="48"/>
      <c r="E68" s="48"/>
      <c r="F68" s="48"/>
      <c r="G68" s="48"/>
      <c r="H68" s="48"/>
    </row>
    <row r="69" spans="2:9" x14ac:dyDescent="0.35">
      <c r="B69" s="120" t="s">
        <v>28</v>
      </c>
      <c r="C69" s="121">
        <v>5</v>
      </c>
      <c r="D69" s="48"/>
      <c r="E69" s="48"/>
      <c r="F69" s="48"/>
      <c r="G69" s="48"/>
      <c r="H69" s="48"/>
    </row>
    <row r="70" spans="2:9" x14ac:dyDescent="0.35">
      <c r="B70" s="120" t="s">
        <v>29</v>
      </c>
      <c r="C70" s="122">
        <v>0.09</v>
      </c>
      <c r="D70" s="48"/>
      <c r="E70" s="48"/>
      <c r="F70" s="48"/>
      <c r="G70" s="48"/>
      <c r="H70" s="48"/>
    </row>
    <row r="71" spans="2:9" x14ac:dyDescent="0.35">
      <c r="B71" s="123"/>
      <c r="C71" s="112"/>
      <c r="D71" s="134"/>
      <c r="E71" s="134"/>
      <c r="F71" s="134"/>
      <c r="G71" s="134"/>
      <c r="H71" s="134"/>
    </row>
    <row r="72" spans="2:9" x14ac:dyDescent="0.35">
      <c r="B72" s="125" t="s">
        <v>30</v>
      </c>
      <c r="C72" s="126"/>
      <c r="D72" s="132">
        <f>C68</f>
        <v>0</v>
      </c>
      <c r="E72" s="132">
        <f t="shared" ref="E72:H72" si="19">D79</f>
        <v>0</v>
      </c>
      <c r="F72" s="132">
        <f t="shared" si="19"/>
        <v>0</v>
      </c>
      <c r="G72" s="132">
        <f t="shared" si="19"/>
        <v>0</v>
      </c>
      <c r="H72" s="132">
        <f t="shared" si="19"/>
        <v>0</v>
      </c>
    </row>
    <row r="73" spans="2:9" x14ac:dyDescent="0.35">
      <c r="B73" s="127" t="s">
        <v>31</v>
      </c>
      <c r="C73" s="128"/>
      <c r="D73" s="134"/>
      <c r="E73" s="134"/>
      <c r="F73" s="134"/>
      <c r="G73" s="134"/>
      <c r="H73" s="134"/>
    </row>
    <row r="74" spans="2:9" x14ac:dyDescent="0.35">
      <c r="B74" s="129"/>
      <c r="C74" s="112"/>
      <c r="D74" s="48">
        <f t="shared" ref="D74:H74" si="20">SUM(D72:D73)</f>
        <v>0</v>
      </c>
      <c r="E74" s="48">
        <f t="shared" si="20"/>
        <v>0</v>
      </c>
      <c r="F74" s="48">
        <f t="shared" si="20"/>
        <v>0</v>
      </c>
      <c r="G74" s="48">
        <f t="shared" si="20"/>
        <v>0</v>
      </c>
      <c r="H74" s="48">
        <f t="shared" si="20"/>
        <v>0</v>
      </c>
    </row>
    <row r="75" spans="2:9" x14ac:dyDescent="0.35">
      <c r="B75" s="129" t="s">
        <v>32</v>
      </c>
      <c r="C75" s="112"/>
      <c r="D75" s="48">
        <f>(D74*$C$70)</f>
        <v>0</v>
      </c>
      <c r="E75" s="48">
        <f t="shared" ref="E75:H75" si="21">(E74*$C$70)</f>
        <v>0</v>
      </c>
      <c r="F75" s="48">
        <f t="shared" si="21"/>
        <v>0</v>
      </c>
      <c r="G75" s="48">
        <f t="shared" si="21"/>
        <v>0</v>
      </c>
      <c r="H75" s="48">
        <f t="shared" si="21"/>
        <v>0</v>
      </c>
    </row>
    <row r="76" spans="2:9" x14ac:dyDescent="0.35">
      <c r="B76" s="129" t="s">
        <v>33</v>
      </c>
      <c r="C76" s="112"/>
      <c r="D76" s="48">
        <f t="shared" ref="D76:H76" si="22">-D75</f>
        <v>0</v>
      </c>
      <c r="E76" s="48">
        <f t="shared" si="22"/>
        <v>0</v>
      </c>
      <c r="F76" s="48">
        <f t="shared" si="22"/>
        <v>0</v>
      </c>
      <c r="G76" s="48">
        <f t="shared" si="22"/>
        <v>0</v>
      </c>
      <c r="H76" s="48">
        <f t="shared" si="22"/>
        <v>0</v>
      </c>
    </row>
    <row r="77" spans="2:9" x14ac:dyDescent="0.35">
      <c r="B77" s="129" t="s">
        <v>34</v>
      </c>
      <c r="C77" s="112"/>
      <c r="D77" s="48">
        <f>IF($C$69=D13+1,-$C$68,0)</f>
        <v>0</v>
      </c>
      <c r="E77" s="48">
        <f t="shared" ref="E77:H77" si="23">IF($C$69=E13+1,-$C$68,0)</f>
        <v>0</v>
      </c>
      <c r="F77" s="48">
        <f t="shared" si="23"/>
        <v>0</v>
      </c>
      <c r="G77" s="48">
        <f t="shared" si="23"/>
        <v>0</v>
      </c>
      <c r="H77" s="48">
        <f t="shared" si="23"/>
        <v>0</v>
      </c>
      <c r="I77" s="48"/>
    </row>
    <row r="78" spans="2:9" x14ac:dyDescent="0.35">
      <c r="B78" s="129" t="s">
        <v>35</v>
      </c>
      <c r="C78" s="112"/>
      <c r="D78" s="134">
        <f>D77+D76</f>
        <v>0</v>
      </c>
      <c r="E78" s="134">
        <f t="shared" ref="E78:H78" si="24">E77+E76</f>
        <v>0</v>
      </c>
      <c r="F78" s="134">
        <f t="shared" si="24"/>
        <v>0</v>
      </c>
      <c r="G78" s="134">
        <f t="shared" si="24"/>
        <v>0</v>
      </c>
      <c r="H78" s="134">
        <f t="shared" si="24"/>
        <v>0</v>
      </c>
    </row>
    <row r="79" spans="2:9" x14ac:dyDescent="0.35">
      <c r="B79" s="130" t="s">
        <v>36</v>
      </c>
      <c r="C79" s="126"/>
      <c r="D79" s="154">
        <f t="shared" ref="D79:H79" si="25">SUM(D74:D77)</f>
        <v>0</v>
      </c>
      <c r="E79" s="154">
        <f t="shared" si="25"/>
        <v>0</v>
      </c>
      <c r="F79" s="154">
        <f t="shared" si="25"/>
        <v>0</v>
      </c>
      <c r="G79" s="154">
        <f t="shared" si="25"/>
        <v>0</v>
      </c>
      <c r="H79" s="154">
        <f t="shared" si="25"/>
        <v>0</v>
      </c>
    </row>
    <row r="80" spans="2:9" x14ac:dyDescent="0.35">
      <c r="B80" s="125"/>
      <c r="C80" s="126"/>
      <c r="D80" s="132"/>
      <c r="E80" s="132"/>
      <c r="F80" s="132"/>
      <c r="G80" s="132"/>
      <c r="H80" s="132"/>
    </row>
    <row r="81" spans="2:8" hidden="1" x14ac:dyDescent="0.35">
      <c r="B81" s="125"/>
      <c r="C81" s="126"/>
      <c r="D81" s="132"/>
      <c r="E81" s="132"/>
      <c r="F81" s="132"/>
      <c r="G81" s="132"/>
      <c r="H81" s="132"/>
    </row>
    <row r="82" spans="2:8" hidden="1" x14ac:dyDescent="0.35">
      <c r="B82" s="110" t="s">
        <v>265</v>
      </c>
      <c r="C82" s="111"/>
      <c r="D82" s="48"/>
      <c r="E82" s="48"/>
      <c r="F82" s="48"/>
      <c r="G82" s="48"/>
      <c r="H82" s="48"/>
    </row>
    <row r="83" spans="2:8" hidden="1" x14ac:dyDescent="0.35">
      <c r="B83" s="112"/>
      <c r="C83" s="111"/>
      <c r="D83" s="48"/>
      <c r="E83" s="48"/>
      <c r="F83" s="48"/>
      <c r="G83" s="48"/>
      <c r="H83" s="48"/>
    </row>
    <row r="84" spans="2:8" hidden="1" x14ac:dyDescent="0.35">
      <c r="B84" s="125" t="s">
        <v>30</v>
      </c>
      <c r="C84" s="126"/>
      <c r="D84" s="132">
        <f t="shared" ref="D84:H91" si="26">D57+D72</f>
        <v>0</v>
      </c>
      <c r="E84" s="132">
        <f t="shared" si="26"/>
        <v>0</v>
      </c>
      <c r="F84" s="132">
        <f t="shared" si="26"/>
        <v>0</v>
      </c>
      <c r="G84" s="132">
        <f t="shared" si="26"/>
        <v>0</v>
      </c>
      <c r="H84" s="132">
        <f t="shared" si="26"/>
        <v>0</v>
      </c>
    </row>
    <row r="85" spans="2:8" hidden="1" x14ac:dyDescent="0.35">
      <c r="B85" s="127" t="s">
        <v>31</v>
      </c>
      <c r="C85" s="128"/>
      <c r="D85" s="134">
        <f t="shared" si="26"/>
        <v>0</v>
      </c>
      <c r="E85" s="134">
        <f t="shared" si="26"/>
        <v>0</v>
      </c>
      <c r="F85" s="134">
        <f t="shared" si="26"/>
        <v>0</v>
      </c>
      <c r="G85" s="134">
        <f t="shared" si="26"/>
        <v>0</v>
      </c>
      <c r="H85" s="134">
        <f t="shared" si="26"/>
        <v>0</v>
      </c>
    </row>
    <row r="86" spans="2:8" hidden="1" x14ac:dyDescent="0.35">
      <c r="B86" s="129"/>
      <c r="C86" s="112"/>
      <c r="D86" s="48">
        <f t="shared" si="26"/>
        <v>0</v>
      </c>
      <c r="E86" s="48">
        <f t="shared" si="26"/>
        <v>0</v>
      </c>
      <c r="F86" s="48">
        <f t="shared" si="26"/>
        <v>0</v>
      </c>
      <c r="G86" s="48">
        <f t="shared" si="26"/>
        <v>0</v>
      </c>
      <c r="H86" s="48">
        <f t="shared" si="26"/>
        <v>0</v>
      </c>
    </row>
    <row r="87" spans="2:8" hidden="1" x14ac:dyDescent="0.35">
      <c r="B87" s="129" t="s">
        <v>32</v>
      </c>
      <c r="C87" s="112"/>
      <c r="D87" s="48">
        <f t="shared" si="26"/>
        <v>0</v>
      </c>
      <c r="E87" s="48">
        <f t="shared" si="26"/>
        <v>0</v>
      </c>
      <c r="F87" s="48">
        <f t="shared" si="26"/>
        <v>0</v>
      </c>
      <c r="G87" s="48">
        <f t="shared" si="26"/>
        <v>0</v>
      </c>
      <c r="H87" s="48">
        <f t="shared" si="26"/>
        <v>0</v>
      </c>
    </row>
    <row r="88" spans="2:8" hidden="1" x14ac:dyDescent="0.35">
      <c r="B88" s="129" t="s">
        <v>33</v>
      </c>
      <c r="C88" s="112"/>
      <c r="D88" s="48">
        <f t="shared" si="26"/>
        <v>0</v>
      </c>
      <c r="E88" s="48">
        <f t="shared" si="26"/>
        <v>0</v>
      </c>
      <c r="F88" s="48">
        <f t="shared" si="26"/>
        <v>0</v>
      </c>
      <c r="G88" s="48">
        <f t="shared" si="26"/>
        <v>0</v>
      </c>
      <c r="H88" s="48">
        <f t="shared" si="26"/>
        <v>0</v>
      </c>
    </row>
    <row r="89" spans="2:8" hidden="1" x14ac:dyDescent="0.35">
      <c r="B89" s="129" t="s">
        <v>34</v>
      </c>
      <c r="C89" s="112"/>
      <c r="D89" s="48">
        <f t="shared" si="26"/>
        <v>0</v>
      </c>
      <c r="E89" s="48">
        <f t="shared" si="26"/>
        <v>0</v>
      </c>
      <c r="F89" s="48">
        <f t="shared" si="26"/>
        <v>0</v>
      </c>
      <c r="G89" s="48">
        <f t="shared" si="26"/>
        <v>0</v>
      </c>
      <c r="H89" s="48">
        <f t="shared" si="26"/>
        <v>0</v>
      </c>
    </row>
    <row r="90" spans="2:8" hidden="1" x14ac:dyDescent="0.35">
      <c r="B90" s="129" t="s">
        <v>35</v>
      </c>
      <c r="C90" s="112"/>
      <c r="D90" s="134">
        <f t="shared" si="26"/>
        <v>0</v>
      </c>
      <c r="E90" s="134">
        <f t="shared" si="26"/>
        <v>0</v>
      </c>
      <c r="F90" s="134">
        <f t="shared" si="26"/>
        <v>0</v>
      </c>
      <c r="G90" s="134">
        <f t="shared" si="26"/>
        <v>0</v>
      </c>
      <c r="H90" s="134">
        <f t="shared" si="26"/>
        <v>0</v>
      </c>
    </row>
    <row r="91" spans="2:8" hidden="1" x14ac:dyDescent="0.35">
      <c r="B91" s="130" t="s">
        <v>36</v>
      </c>
      <c r="C91" s="126"/>
      <c r="D91" s="154">
        <f t="shared" si="26"/>
        <v>0</v>
      </c>
      <c r="E91" s="154">
        <f t="shared" si="26"/>
        <v>0</v>
      </c>
      <c r="F91" s="154">
        <f t="shared" si="26"/>
        <v>0</v>
      </c>
      <c r="G91" s="154">
        <f t="shared" si="26"/>
        <v>0</v>
      </c>
      <c r="H91" s="154">
        <f t="shared" si="26"/>
        <v>0</v>
      </c>
    </row>
    <row r="92" spans="2:8" hidden="1" x14ac:dyDescent="0.35">
      <c r="B92" s="125"/>
      <c r="C92" s="126"/>
      <c r="D92" s="132"/>
      <c r="E92" s="132"/>
      <c r="F92" s="132"/>
      <c r="G92" s="132"/>
      <c r="H92" s="132"/>
    </row>
    <row r="93" spans="2:8" x14ac:dyDescent="0.35">
      <c r="D93" s="48"/>
      <c r="E93" s="48"/>
      <c r="F93" s="48"/>
      <c r="G93" s="48"/>
      <c r="H93" s="48"/>
    </row>
    <row r="94" spans="2:8" x14ac:dyDescent="0.35">
      <c r="B94" s="110" t="s">
        <v>37</v>
      </c>
      <c r="C94" s="157">
        <v>0</v>
      </c>
      <c r="D94" s="155">
        <f>IF((CF!D40+(CF!D39/2))&gt;0,0,(CF!D40+(CF!D39/2)))</f>
        <v>0</v>
      </c>
      <c r="E94" s="155">
        <f>IF((CF!E40+(CF!E39/2))&gt;0,0,(CF!E40+(CF!E39/2)))</f>
        <v>0</v>
      </c>
      <c r="F94" s="155">
        <f>IF((CF!F40+(CF!F39/2))&gt;0,0,(CF!F40+(CF!F39/2)))</f>
        <v>0</v>
      </c>
      <c r="G94" s="155">
        <f>IF((CF!G40+(CF!G39/2))&gt;0,0,(CF!G40+(CF!G39/2)))</f>
        <v>0</v>
      </c>
      <c r="H94" s="155">
        <f>IF((CF!H40+(CF!H39/2))&gt;0,0,(CF!H40+(CF!H39/2)))</f>
        <v>0</v>
      </c>
    </row>
    <row r="95" spans="2:8" x14ac:dyDescent="0.35">
      <c r="B95" s="120" t="s">
        <v>38</v>
      </c>
      <c r="C95" s="115"/>
      <c r="D95" s="48">
        <f>D94*$C$96</f>
        <v>0</v>
      </c>
      <c r="E95" s="48">
        <f t="shared" ref="E95:G95" si="27">E94*$C$96</f>
        <v>0</v>
      </c>
      <c r="F95" s="48">
        <f t="shared" si="27"/>
        <v>0</v>
      </c>
      <c r="G95" s="48">
        <f t="shared" si="27"/>
        <v>0</v>
      </c>
      <c r="H95" s="48">
        <f>H94*$C$96</f>
        <v>0</v>
      </c>
    </row>
    <row r="96" spans="2:8" x14ac:dyDescent="0.35">
      <c r="B96" s="120" t="s">
        <v>39</v>
      </c>
      <c r="C96" s="116">
        <v>0.08</v>
      </c>
      <c r="D96" s="48"/>
      <c r="E96" s="48"/>
      <c r="F96" s="48"/>
      <c r="G96" s="48"/>
      <c r="H96" s="48"/>
    </row>
    <row r="97" spans="2:8" x14ac:dyDescent="0.35">
      <c r="B97" s="31" t="s">
        <v>40</v>
      </c>
      <c r="C97" s="117">
        <v>0</v>
      </c>
      <c r="D97" s="48"/>
      <c r="E97" s="48"/>
      <c r="F97" s="48"/>
      <c r="G97" s="48"/>
      <c r="H97" s="48"/>
    </row>
    <row r="98" spans="2:8" x14ac:dyDescent="0.35">
      <c r="D98" s="48"/>
      <c r="E98" s="48"/>
      <c r="F98" s="48"/>
      <c r="G98" s="48"/>
      <c r="H98" s="48"/>
    </row>
    <row r="99" spans="2:8" x14ac:dyDescent="0.35">
      <c r="B99" s="110" t="s">
        <v>41</v>
      </c>
      <c r="C99" s="157">
        <v>0</v>
      </c>
      <c r="D99" s="155">
        <f>IF((CF!D40+(CF!D39/2))&lt;0,0,(CF!D40+(CF!D39/2)))</f>
        <v>3729.7702874999991</v>
      </c>
      <c r="E99" s="155">
        <f>IF((CF!E40+(CF!E39/2))&lt;0,0,(CF!E40+(CF!E39/2)))</f>
        <v>55824.687081187491</v>
      </c>
      <c r="F99" s="155">
        <f>IF((CF!F40+(CF!F39/2))&lt;0,0,(CF!F40+(CF!F39/2)))</f>
        <v>154223.83411356801</v>
      </c>
      <c r="G99" s="155">
        <f>IF((CF!G40+(CF!G39/2))&lt;0,0,(CF!G40+(CF!G39/2)))</f>
        <v>273128.70320399618</v>
      </c>
      <c r="H99" s="155">
        <f>IF((CF!H40+(CF!H39/2))&lt;0,0,(CF!H40+(CF!H39/2)))</f>
        <v>429312.28211738169</v>
      </c>
    </row>
    <row r="100" spans="2:8" x14ac:dyDescent="0.35">
      <c r="B100" s="120" t="s">
        <v>42</v>
      </c>
      <c r="C100" s="115"/>
      <c r="D100" s="48">
        <f>IF(D99&lt;$D$101,D99*$D$102,$D$101*$D$102+(D99-$D$101)*$D$103)</f>
        <v>0</v>
      </c>
      <c r="E100" s="48">
        <f t="shared" ref="E100:G100" si="28">IF(E99&lt;$D$101,E99*$D$102,$D$101*$D$102+(E99-$D$101)*$D$103)</f>
        <v>0</v>
      </c>
      <c r="F100" s="48">
        <f t="shared" si="28"/>
        <v>0</v>
      </c>
      <c r="G100" s="48">
        <f t="shared" si="28"/>
        <v>731.28703203996179</v>
      </c>
      <c r="H100" s="48">
        <f>IF(H99&lt;$D$101,H99*$D$102,$D$101*$D$102+(H99-$D$101)*$D$103)</f>
        <v>2293.1228211738171</v>
      </c>
    </row>
    <row r="101" spans="2:8" x14ac:dyDescent="0.35">
      <c r="B101" s="31" t="s">
        <v>266</v>
      </c>
      <c r="D101" s="48">
        <v>200000</v>
      </c>
      <c r="E101" s="48"/>
      <c r="F101" s="48"/>
      <c r="G101" s="48"/>
      <c r="H101" s="48"/>
    </row>
    <row r="102" spans="2:8" x14ac:dyDescent="0.35">
      <c r="B102" s="120" t="s">
        <v>268</v>
      </c>
      <c r="D102" s="116">
        <v>0</v>
      </c>
      <c r="E102" s="48"/>
      <c r="F102" s="48"/>
      <c r="G102" s="48"/>
      <c r="H102" s="48"/>
    </row>
    <row r="103" spans="2:8" x14ac:dyDescent="0.35">
      <c r="B103" s="120" t="s">
        <v>267</v>
      </c>
      <c r="D103" s="116">
        <v>0.01</v>
      </c>
      <c r="E103" s="48"/>
      <c r="F103" s="48"/>
      <c r="G103" s="48"/>
      <c r="H103" s="48"/>
    </row>
    <row r="104" spans="2:8" x14ac:dyDescent="0.35">
      <c r="D104" s="48"/>
      <c r="E104" s="48"/>
      <c r="F104" s="48"/>
      <c r="G104" s="48"/>
      <c r="H104" s="48"/>
    </row>
    <row r="105" spans="2:8" x14ac:dyDescent="0.35">
      <c r="D105" s="48"/>
      <c r="E105" s="48"/>
      <c r="F105" s="48"/>
      <c r="G105" s="48"/>
      <c r="H105" s="48"/>
    </row>
    <row r="106" spans="2:8" x14ac:dyDescent="0.35">
      <c r="D106" s="48"/>
      <c r="E106" s="48"/>
      <c r="F106" s="48"/>
      <c r="G106" s="48"/>
      <c r="H106" s="48"/>
    </row>
  </sheetData>
  <phoneticPr fontId="0" type="noConversion"/>
  <printOptions horizontalCentered="1"/>
  <pageMargins left="0.35433070866141736" right="0.35433070866141736" top="0.39370078740157483" bottom="0.39370078740157483" header="0.51181102362204722" footer="0.51181102362204722"/>
  <pageSetup paperSize="9" scale="89" fitToHeight="2" orientation="portrait" r:id="rId1"/>
  <headerFooter alignWithMargins="0"/>
  <rowBreaks count="2" manualBreakCount="2">
    <brk id="48" min="1" max="7" man="1"/>
    <brk id="91" min="1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pageSetUpPr fitToPage="1"/>
  </sheetPr>
  <dimension ref="B1:N29"/>
  <sheetViews>
    <sheetView zoomScaleNormal="100" workbookViewId="0">
      <selection activeCell="M7" sqref="M7"/>
    </sheetView>
  </sheetViews>
  <sheetFormatPr defaultColWidth="9.08984375" defaultRowHeight="14.5" x14ac:dyDescent="0.35"/>
  <cols>
    <col min="1" max="1" width="3.36328125" style="31" customWidth="1"/>
    <col min="2" max="2" width="36" style="31" bestFit="1" customWidth="1"/>
    <col min="3" max="3" width="3.90625" style="31" customWidth="1"/>
    <col min="4" max="5" width="12.08984375" style="31" customWidth="1"/>
    <col min="6" max="6" width="12.90625" style="31" bestFit="1" customWidth="1"/>
    <col min="7" max="8" width="12.08984375" style="31" customWidth="1"/>
    <col min="9" max="16384" width="9.08984375" style="31"/>
  </cols>
  <sheetData>
    <row r="1" spans="2:14" x14ac:dyDescent="0.35">
      <c r="B1" s="32"/>
    </row>
    <row r="2" spans="2:14" ht="21" x14ac:dyDescent="0.35">
      <c r="B2" s="56" t="str">
        <f>Summary!B2</f>
        <v>Cursa Platform</v>
      </c>
      <c r="C2" s="54"/>
      <c r="D2" s="54"/>
      <c r="E2" s="54"/>
      <c r="F2" s="54"/>
      <c r="G2" s="54"/>
      <c r="H2" s="54"/>
    </row>
    <row r="3" spans="2:14" ht="9" customHeight="1" x14ac:dyDescent="0.5">
      <c r="B3" s="50"/>
    </row>
    <row r="4" spans="2:14" ht="21" x14ac:dyDescent="0.35">
      <c r="B4" s="57" t="s">
        <v>119</v>
      </c>
      <c r="C4" s="54"/>
      <c r="D4" s="54"/>
      <c r="E4" s="54"/>
      <c r="F4" s="54"/>
      <c r="G4" s="54"/>
      <c r="H4" s="54"/>
      <c r="K4" s="32"/>
      <c r="L4" s="32"/>
      <c r="M4" s="32"/>
      <c r="N4" s="32"/>
    </row>
    <row r="5" spans="2:14" x14ac:dyDescent="0.35">
      <c r="B5" s="53"/>
      <c r="C5" s="54"/>
      <c r="D5" s="54"/>
      <c r="E5" s="54"/>
      <c r="F5" s="54"/>
      <c r="G5" s="54"/>
      <c r="H5" s="54"/>
      <c r="I5" s="32"/>
    </row>
    <row r="6" spans="2:14" x14ac:dyDescent="0.35">
      <c r="B6" s="32"/>
      <c r="I6" s="32"/>
    </row>
    <row r="7" spans="2:14" x14ac:dyDescent="0.35">
      <c r="D7" s="36" t="s">
        <v>234</v>
      </c>
      <c r="E7" s="37" t="s">
        <v>235</v>
      </c>
      <c r="F7" s="37" t="s">
        <v>236</v>
      </c>
      <c r="G7" s="37" t="s">
        <v>237</v>
      </c>
      <c r="H7" s="68" t="s">
        <v>238</v>
      </c>
    </row>
    <row r="8" spans="2:14" x14ac:dyDescent="0.35">
      <c r="E8" s="35"/>
      <c r="F8" s="35"/>
      <c r="G8" s="35"/>
      <c r="H8" s="35"/>
    </row>
    <row r="9" spans="2:14" x14ac:dyDescent="0.35">
      <c r="B9" s="30" t="s">
        <v>121</v>
      </c>
      <c r="C9" s="38"/>
      <c r="D9" s="38"/>
    </row>
    <row r="11" spans="2:14" x14ac:dyDescent="0.35">
      <c r="B11" s="31" t="s">
        <v>120</v>
      </c>
      <c r="C11" s="32"/>
      <c r="D11" s="48">
        <f>-CoS!C16*D21/365</f>
        <v>0</v>
      </c>
      <c r="E11" s="48">
        <f>-CoS!P16*E21/365</f>
        <v>0</v>
      </c>
      <c r="F11" s="48">
        <f>-CoS!Q16*F21/365</f>
        <v>0</v>
      </c>
      <c r="G11" s="48">
        <f>-CoS!R16*G21/365</f>
        <v>0</v>
      </c>
      <c r="H11" s="48">
        <f>-CoS!S16*H21/365</f>
        <v>0</v>
      </c>
    </row>
    <row r="12" spans="2:14" x14ac:dyDescent="0.35">
      <c r="B12" s="31" t="s">
        <v>49</v>
      </c>
      <c r="C12" s="32"/>
      <c r="D12" s="48">
        <f>+Revenue!C18*D22/365</f>
        <v>0</v>
      </c>
      <c r="E12" s="48">
        <f>+Revenue!P18*E22/365</f>
        <v>0</v>
      </c>
      <c r="F12" s="48">
        <f>+Revenue!Q18*F22/365</f>
        <v>0</v>
      </c>
      <c r="G12" s="48">
        <f>+Revenue!R18*G22/365</f>
        <v>0</v>
      </c>
      <c r="H12" s="48">
        <f>+Revenue!S18*H22/365</f>
        <v>0</v>
      </c>
    </row>
    <row r="13" spans="2:14" x14ac:dyDescent="0.35">
      <c r="B13" s="31" t="s">
        <v>59</v>
      </c>
      <c r="C13" s="32"/>
      <c r="D13" s="48">
        <f>-CoS!C16*D23/365</f>
        <v>0</v>
      </c>
      <c r="E13" s="48">
        <f>-CoS!P16*E23/365</f>
        <v>0</v>
      </c>
      <c r="F13" s="48">
        <f>-CoS!Q16*F23/365</f>
        <v>0</v>
      </c>
      <c r="G13" s="48">
        <f>-CoS!R16*G23/365</f>
        <v>0</v>
      </c>
      <c r="H13" s="48">
        <f>-CoS!S16*H23/365</f>
        <v>0</v>
      </c>
    </row>
    <row r="14" spans="2:14" x14ac:dyDescent="0.35">
      <c r="D14" s="48"/>
      <c r="E14" s="48"/>
      <c r="F14" s="48"/>
      <c r="G14" s="48"/>
      <c r="H14" s="48"/>
    </row>
    <row r="15" spans="2:14" x14ac:dyDescent="0.35">
      <c r="B15" s="32" t="s">
        <v>60</v>
      </c>
      <c r="C15" s="32"/>
      <c r="D15" s="48">
        <f>D11+D12-D13</f>
        <v>0</v>
      </c>
      <c r="E15" s="48">
        <f>E11+E12-E13</f>
        <v>0</v>
      </c>
      <c r="F15" s="48">
        <f t="shared" ref="F15" si="0">F11+F12-F13</f>
        <v>0</v>
      </c>
      <c r="G15" s="48">
        <f t="shared" ref="G15:H15" si="1">G11+G12-G13</f>
        <v>0</v>
      </c>
      <c r="H15" s="48">
        <f t="shared" si="1"/>
        <v>0</v>
      </c>
    </row>
    <row r="16" spans="2:14" x14ac:dyDescent="0.35">
      <c r="B16" s="32" t="s">
        <v>61</v>
      </c>
      <c r="C16" s="32"/>
      <c r="D16" s="48">
        <f>-D15</f>
        <v>0</v>
      </c>
      <c r="E16" s="48">
        <f t="shared" ref="E16:F16" si="2">-E15+D15</f>
        <v>0</v>
      </c>
      <c r="F16" s="48">
        <f t="shared" si="2"/>
        <v>0</v>
      </c>
      <c r="G16" s="48">
        <f t="shared" ref="G16" si="3">-G15+F15</f>
        <v>0</v>
      </c>
      <c r="H16" s="48">
        <f t="shared" ref="H16" si="4">-H15+G15</f>
        <v>0</v>
      </c>
    </row>
    <row r="19" spans="2:8" ht="18.75" customHeight="1" x14ac:dyDescent="0.35">
      <c r="B19" s="43" t="s">
        <v>140</v>
      </c>
      <c r="C19" s="44"/>
      <c r="D19" s="44"/>
      <c r="E19" s="44"/>
      <c r="F19" s="44"/>
      <c r="G19" s="44"/>
      <c r="H19" s="59"/>
    </row>
    <row r="21" spans="2:8" x14ac:dyDescent="0.35">
      <c r="B21" s="31" t="s">
        <v>157</v>
      </c>
      <c r="D21" s="64">
        <f>Summary!I19</f>
        <v>0</v>
      </c>
      <c r="E21" s="52">
        <f t="shared" ref="E21:H21" si="5">D21</f>
        <v>0</v>
      </c>
      <c r="F21" s="52">
        <f t="shared" si="5"/>
        <v>0</v>
      </c>
      <c r="G21" s="52">
        <f t="shared" si="5"/>
        <v>0</v>
      </c>
      <c r="H21" s="52">
        <f t="shared" si="5"/>
        <v>0</v>
      </c>
    </row>
    <row r="22" spans="2:8" x14ac:dyDescent="0.35">
      <c r="B22" s="31" t="s">
        <v>49</v>
      </c>
      <c r="D22" s="64">
        <v>0</v>
      </c>
      <c r="E22" s="52">
        <f t="shared" ref="E22:H23" si="6">D22</f>
        <v>0</v>
      </c>
      <c r="F22" s="52">
        <f t="shared" si="6"/>
        <v>0</v>
      </c>
      <c r="G22" s="52">
        <f t="shared" si="6"/>
        <v>0</v>
      </c>
      <c r="H22" s="52">
        <f t="shared" si="6"/>
        <v>0</v>
      </c>
    </row>
    <row r="23" spans="2:8" x14ac:dyDescent="0.35">
      <c r="B23" s="31" t="s">
        <v>59</v>
      </c>
      <c r="D23" s="64">
        <v>0</v>
      </c>
      <c r="E23" s="52">
        <f t="shared" si="6"/>
        <v>0</v>
      </c>
      <c r="F23" s="52">
        <f t="shared" si="6"/>
        <v>0</v>
      </c>
      <c r="G23" s="52">
        <f t="shared" si="6"/>
        <v>0</v>
      </c>
      <c r="H23" s="52">
        <f t="shared" si="6"/>
        <v>0</v>
      </c>
    </row>
    <row r="24" spans="2:8" x14ac:dyDescent="0.35">
      <c r="D24" s="52"/>
      <c r="E24" s="52"/>
      <c r="F24" s="52"/>
      <c r="G24" s="52"/>
      <c r="H24" s="52"/>
    </row>
    <row r="26" spans="2:8" hidden="1" x14ac:dyDescent="0.35">
      <c r="B26" s="31" t="s">
        <v>180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</row>
    <row r="27" spans="2:8" hidden="1" x14ac:dyDescent="0.35">
      <c r="B27" s="31" t="s">
        <v>217</v>
      </c>
      <c r="D27" s="136">
        <v>0.19</v>
      </c>
    </row>
    <row r="29" spans="2:8" x14ac:dyDescent="0.35">
      <c r="D29" s="48"/>
    </row>
  </sheetData>
  <phoneticPr fontId="0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87" orientation="portrait" r:id="rId1"/>
  <headerFooter alignWithMargins="0"/>
  <ignoredErrors>
    <ignoredError sqref="D12:H12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pageSetUpPr fitToPage="1"/>
  </sheetPr>
  <dimension ref="B1:H452"/>
  <sheetViews>
    <sheetView zoomScaleNormal="100" workbookViewId="0">
      <pane ySplit="7" topLeftCell="A39" activePane="bottomLeft" state="frozen"/>
      <selection pane="bottomLeft" activeCell="D58" sqref="D58"/>
    </sheetView>
  </sheetViews>
  <sheetFormatPr defaultColWidth="9.08984375" defaultRowHeight="14.5" x14ac:dyDescent="0.35"/>
  <cols>
    <col min="1" max="1" width="5.6328125" style="112" customWidth="1"/>
    <col min="2" max="2" width="36.90625" style="31" customWidth="1"/>
    <col min="3" max="3" width="2.90625" style="31" customWidth="1"/>
    <col min="4" max="8" width="11.453125" style="112" customWidth="1"/>
    <col min="9" max="16384" width="9.08984375" style="112"/>
  </cols>
  <sheetData>
    <row r="1" spans="2:8" s="31" customFormat="1" x14ac:dyDescent="0.35"/>
    <row r="2" spans="2:8" s="31" customFormat="1" ht="21" x14ac:dyDescent="0.35">
      <c r="B2" s="56" t="str">
        <f>Summary!B2</f>
        <v>Cursa Platform</v>
      </c>
      <c r="C2" s="54"/>
      <c r="D2" s="54"/>
      <c r="E2" s="54"/>
      <c r="F2" s="54"/>
      <c r="G2" s="54"/>
      <c r="H2" s="54"/>
    </row>
    <row r="3" spans="2:8" s="31" customFormat="1" ht="5.25" customHeight="1" x14ac:dyDescent="0.5">
      <c r="B3" s="92"/>
    </row>
    <row r="4" spans="2:8" s="31" customFormat="1" ht="21" x14ac:dyDescent="0.35">
      <c r="B4" s="57" t="s">
        <v>62</v>
      </c>
      <c r="C4" s="54"/>
      <c r="D4" s="54"/>
      <c r="E4" s="54"/>
      <c r="F4" s="54"/>
      <c r="G4" s="54"/>
      <c r="H4" s="54"/>
    </row>
    <row r="5" spans="2:8" s="31" customFormat="1" x14ac:dyDescent="0.35">
      <c r="B5" s="53"/>
      <c r="C5" s="54"/>
      <c r="D5" s="54"/>
      <c r="E5" s="54"/>
      <c r="F5" s="54"/>
      <c r="G5" s="54"/>
      <c r="H5" s="54"/>
    </row>
    <row r="6" spans="2:8" s="31" customFormat="1" x14ac:dyDescent="0.35"/>
    <row r="7" spans="2:8" s="31" customFormat="1" x14ac:dyDescent="0.35">
      <c r="B7" s="109" t="s">
        <v>233</v>
      </c>
      <c r="D7" s="36" t="s">
        <v>234</v>
      </c>
      <c r="E7" s="37" t="s">
        <v>235</v>
      </c>
      <c r="F7" s="37" t="s">
        <v>236</v>
      </c>
      <c r="G7" s="37" t="s">
        <v>237</v>
      </c>
      <c r="H7" s="68" t="s">
        <v>238</v>
      </c>
    </row>
    <row r="8" spans="2:8" s="31" customFormat="1" x14ac:dyDescent="0.35">
      <c r="B8" s="109" t="s">
        <v>25</v>
      </c>
    </row>
    <row r="9" spans="2:8" ht="8.15" customHeight="1" x14ac:dyDescent="0.35">
      <c r="B9" s="112"/>
      <c r="C9" s="32"/>
    </row>
    <row r="10" spans="2:8" x14ac:dyDescent="0.35">
      <c r="B10" s="110" t="s">
        <v>63</v>
      </c>
      <c r="C10" s="32"/>
      <c r="D10" s="35"/>
      <c r="E10" s="35"/>
      <c r="F10" s="35"/>
      <c r="G10" s="35"/>
      <c r="H10" s="35"/>
    </row>
    <row r="11" spans="2:8" ht="8.15" customHeight="1" x14ac:dyDescent="0.35">
      <c r="B11" s="137"/>
      <c r="C11" s="32"/>
      <c r="D11" s="35"/>
      <c r="E11" s="35"/>
      <c r="F11" s="35"/>
      <c r="G11" s="35"/>
      <c r="H11" s="35"/>
    </row>
    <row r="12" spans="2:8" s="126" customFormat="1" x14ac:dyDescent="0.35">
      <c r="B12" s="126" t="s">
        <v>255</v>
      </c>
      <c r="C12" s="32"/>
      <c r="D12" s="138">
        <f>D54</f>
        <v>1000</v>
      </c>
      <c r="E12" s="138">
        <f>E54</f>
        <v>1000</v>
      </c>
      <c r="F12" s="138">
        <f>F54</f>
        <v>1000</v>
      </c>
      <c r="G12" s="138">
        <f>G54</f>
        <v>1000</v>
      </c>
      <c r="H12" s="138">
        <f>H54</f>
        <v>1000</v>
      </c>
    </row>
    <row r="13" spans="2:8" s="126" customFormat="1" ht="12.75" hidden="1" customHeight="1" x14ac:dyDescent="0.35">
      <c r="C13" s="32"/>
      <c r="D13" s="96"/>
      <c r="E13" s="96"/>
      <c r="F13" s="96"/>
      <c r="G13" s="96"/>
      <c r="H13" s="96"/>
    </row>
    <row r="14" spans="2:8" s="126" customFormat="1" hidden="1" x14ac:dyDescent="0.35">
      <c r="B14" s="126" t="s">
        <v>54</v>
      </c>
      <c r="C14" s="32"/>
      <c r="D14" s="96"/>
      <c r="E14" s="96"/>
      <c r="F14" s="96"/>
      <c r="G14" s="96"/>
      <c r="H14" s="96"/>
    </row>
    <row r="15" spans="2:8" s="126" customFormat="1" hidden="1" x14ac:dyDescent="0.35">
      <c r="B15" s="129" t="s">
        <v>64</v>
      </c>
      <c r="C15" s="32"/>
      <c r="D15" s="52" t="e">
        <f>#REF!</f>
        <v>#REF!</v>
      </c>
      <c r="E15" s="52" t="e">
        <f>D20</f>
        <v>#REF!</v>
      </c>
      <c r="F15" s="52" t="e">
        <f>E20</f>
        <v>#REF!</v>
      </c>
      <c r="G15" s="52" t="e">
        <f>F20</f>
        <v>#REF!</v>
      </c>
      <c r="H15" s="52" t="e">
        <f>G20</f>
        <v>#REF!</v>
      </c>
    </row>
    <row r="16" spans="2:8" s="126" customFormat="1" hidden="1" x14ac:dyDescent="0.35">
      <c r="B16" s="129" t="s">
        <v>65</v>
      </c>
      <c r="C16" s="32"/>
      <c r="D16" s="52">
        <v>0</v>
      </c>
      <c r="E16" s="52"/>
      <c r="F16" s="52"/>
      <c r="G16" s="52"/>
      <c r="H16" s="52"/>
    </row>
    <row r="17" spans="2:8" s="126" customFormat="1" hidden="1" x14ac:dyDescent="0.35">
      <c r="B17" s="129" t="s">
        <v>66</v>
      </c>
      <c r="C17" s="32"/>
      <c r="D17" s="52">
        <v>0</v>
      </c>
      <c r="E17" s="52">
        <f>-E49</f>
        <v>0</v>
      </c>
      <c r="F17" s="52">
        <f>-F49</f>
        <v>0</v>
      </c>
      <c r="G17" s="52">
        <f>-G49</f>
        <v>0</v>
      </c>
      <c r="H17" s="52">
        <f>-H49</f>
        <v>0</v>
      </c>
    </row>
    <row r="18" spans="2:8" s="126" customFormat="1" hidden="1" x14ac:dyDescent="0.35">
      <c r="B18" s="129" t="s">
        <v>67</v>
      </c>
      <c r="C18" s="32"/>
      <c r="D18" s="52"/>
      <c r="E18" s="52"/>
      <c r="F18" s="52"/>
      <c r="G18" s="52"/>
      <c r="H18" s="52"/>
    </row>
    <row r="19" spans="2:8" s="126" customFormat="1" hidden="1" x14ac:dyDescent="0.35">
      <c r="B19" s="129" t="s">
        <v>68</v>
      </c>
      <c r="C19" s="32"/>
      <c r="D19" s="52"/>
      <c r="E19" s="52"/>
      <c r="F19" s="52"/>
      <c r="G19" s="52"/>
      <c r="H19" s="52"/>
    </row>
    <row r="20" spans="2:8" s="126" customFormat="1" hidden="1" x14ac:dyDescent="0.35">
      <c r="B20" s="139" t="s">
        <v>69</v>
      </c>
      <c r="C20" s="32"/>
      <c r="D20" s="138" t="e">
        <f t="shared" ref="D20:H20" si="0">SUM(D15:D19)</f>
        <v>#REF!</v>
      </c>
      <c r="E20" s="138" t="e">
        <f t="shared" si="0"/>
        <v>#REF!</v>
      </c>
      <c r="F20" s="138" t="e">
        <f t="shared" si="0"/>
        <v>#REF!</v>
      </c>
      <c r="G20" s="138" t="e">
        <f t="shared" si="0"/>
        <v>#REF!</v>
      </c>
      <c r="H20" s="138" t="e">
        <f t="shared" si="0"/>
        <v>#REF!</v>
      </c>
    </row>
    <row r="21" spans="2:8" s="126" customFormat="1" ht="8.15" customHeight="1" x14ac:dyDescent="0.35">
      <c r="C21" s="32"/>
      <c r="D21" s="96"/>
      <c r="E21" s="96"/>
      <c r="F21" s="96"/>
      <c r="G21" s="96"/>
      <c r="H21" s="96"/>
    </row>
    <row r="22" spans="2:8" x14ac:dyDescent="0.35">
      <c r="B22" s="126" t="s">
        <v>70</v>
      </c>
      <c r="C22" s="32"/>
      <c r="D22" s="52"/>
      <c r="E22" s="52"/>
      <c r="F22" s="52"/>
      <c r="G22" s="52"/>
      <c r="H22" s="52"/>
    </row>
    <row r="23" spans="2:8" x14ac:dyDescent="0.35">
      <c r="B23" s="129" t="s">
        <v>64</v>
      </c>
      <c r="C23" s="32"/>
      <c r="D23" s="52">
        <v>0</v>
      </c>
      <c r="E23" s="52">
        <f t="shared" ref="E23:H23" si="1">D29</f>
        <v>5652.5405749999982</v>
      </c>
      <c r="F23" s="52">
        <f t="shared" si="1"/>
        <v>90997.833587374975</v>
      </c>
      <c r="G23" s="52">
        <f t="shared" si="1"/>
        <v>188336.32483366976</v>
      </c>
      <c r="H23" s="52">
        <f t="shared" si="1"/>
        <v>308500.3171143792</v>
      </c>
    </row>
    <row r="24" spans="2:8" x14ac:dyDescent="0.35">
      <c r="B24" s="129" t="s">
        <v>71</v>
      </c>
      <c r="C24" s="32"/>
      <c r="D24" s="52">
        <f>'P&amp;L'!C25</f>
        <v>5652.5405749999982</v>
      </c>
      <c r="E24" s="52">
        <f>'P&amp;L'!D25</f>
        <v>85345.293012374983</v>
      </c>
      <c r="F24" s="52">
        <f>'P&amp;L'!E25</f>
        <v>97338.491246294783</v>
      </c>
      <c r="G24" s="52">
        <f>'P&amp;L'!F25</f>
        <v>120163.99228070944</v>
      </c>
      <c r="H24" s="52">
        <f>'P&amp;L'!G25</f>
        <v>165792.31220739719</v>
      </c>
    </row>
    <row r="25" spans="2:8" x14ac:dyDescent="0.35">
      <c r="B25" s="129" t="s">
        <v>66</v>
      </c>
      <c r="C25" s="32"/>
      <c r="D25" s="52">
        <v>0</v>
      </c>
      <c r="E25" s="52"/>
      <c r="F25" s="52"/>
      <c r="G25" s="52"/>
      <c r="H25" s="52"/>
    </row>
    <row r="26" spans="2:8" x14ac:dyDescent="0.35">
      <c r="B26" s="129" t="s">
        <v>68</v>
      </c>
      <c r="C26" s="32"/>
      <c r="D26" s="52">
        <v>0</v>
      </c>
      <c r="E26" s="52"/>
      <c r="F26" s="52"/>
      <c r="G26" s="52"/>
      <c r="H26" s="52"/>
    </row>
    <row r="27" spans="2:8" x14ac:dyDescent="0.35">
      <c r="B27" s="129" t="s">
        <v>72</v>
      </c>
      <c r="C27" s="32"/>
      <c r="D27" s="52">
        <v>0</v>
      </c>
      <c r="E27" s="52"/>
      <c r="F27" s="52"/>
      <c r="G27" s="52"/>
      <c r="H27" s="52"/>
    </row>
    <row r="28" spans="2:8" x14ac:dyDescent="0.35">
      <c r="B28" s="129" t="s">
        <v>73</v>
      </c>
      <c r="C28" s="32"/>
      <c r="D28" s="52">
        <f t="shared" ref="D28" si="2">-D24*D33</f>
        <v>0</v>
      </c>
      <c r="E28" s="52">
        <f>IF(E24&gt;0,-E24*E33,0)</f>
        <v>0</v>
      </c>
      <c r="F28" s="52">
        <f t="shared" ref="F28:H28" si="3">IF(F24&gt;0,-F24*F33,0)</f>
        <v>0</v>
      </c>
      <c r="G28" s="52">
        <f t="shared" si="3"/>
        <v>0</v>
      </c>
      <c r="H28" s="52">
        <f t="shared" si="3"/>
        <v>0</v>
      </c>
    </row>
    <row r="29" spans="2:8" x14ac:dyDescent="0.35">
      <c r="B29" s="139" t="s">
        <v>69</v>
      </c>
      <c r="C29" s="32"/>
      <c r="D29" s="138">
        <f>SUM(D23:D28)</f>
        <v>5652.5405749999982</v>
      </c>
      <c r="E29" s="138">
        <f>SUM(E23:E28)</f>
        <v>90997.833587374975</v>
      </c>
      <c r="F29" s="138">
        <f t="shared" ref="F29:H29" si="4">SUM(F23:F28)</f>
        <v>188336.32483366976</v>
      </c>
      <c r="G29" s="138">
        <f t="shared" si="4"/>
        <v>308500.3171143792</v>
      </c>
      <c r="H29" s="138">
        <f t="shared" si="4"/>
        <v>474292.62932177639</v>
      </c>
    </row>
    <row r="30" spans="2:8" ht="8.15" customHeight="1" x14ac:dyDescent="0.35">
      <c r="B30" s="139"/>
      <c r="C30" s="32"/>
      <c r="D30" s="140"/>
      <c r="E30" s="140"/>
      <c r="F30" s="140"/>
      <c r="G30" s="140"/>
      <c r="H30" s="140"/>
    </row>
    <row r="31" spans="2:8" ht="15" thickBot="1" x14ac:dyDescent="0.4">
      <c r="B31" s="126" t="s">
        <v>74</v>
      </c>
      <c r="C31" s="32"/>
      <c r="D31" s="141">
        <f t="shared" ref="D31:H31" si="5">D12+D14+D29</f>
        <v>6652.5405749999982</v>
      </c>
      <c r="E31" s="141">
        <f t="shared" si="5"/>
        <v>91997.833587374975</v>
      </c>
      <c r="F31" s="141">
        <f t="shared" si="5"/>
        <v>189336.32483366976</v>
      </c>
      <c r="G31" s="141">
        <f t="shared" si="5"/>
        <v>309500.3171143792</v>
      </c>
      <c r="H31" s="141">
        <f t="shared" si="5"/>
        <v>475292.62932177639</v>
      </c>
    </row>
    <row r="32" spans="2:8" ht="15" thickTop="1" x14ac:dyDescent="0.35">
      <c r="B32" s="112"/>
      <c r="C32" s="32"/>
      <c r="D32" s="52"/>
      <c r="E32" s="52"/>
      <c r="F32" s="52"/>
      <c r="G32" s="52"/>
      <c r="H32" s="52"/>
    </row>
    <row r="33" spans="2:8" x14ac:dyDescent="0.35">
      <c r="B33" s="142" t="s">
        <v>75</v>
      </c>
      <c r="C33" s="32"/>
      <c r="D33" s="143">
        <v>0</v>
      </c>
      <c r="E33" s="143">
        <f>D33</f>
        <v>0</v>
      </c>
      <c r="F33" s="143">
        <f>E33</f>
        <v>0</v>
      </c>
      <c r="G33" s="143">
        <f t="shared" ref="G33:H33" si="6">F33</f>
        <v>0</v>
      </c>
      <c r="H33" s="143">
        <f t="shared" si="6"/>
        <v>0</v>
      </c>
    </row>
    <row r="34" spans="2:8" x14ac:dyDescent="0.35">
      <c r="B34" s="112"/>
      <c r="C34" s="32"/>
      <c r="D34" s="52"/>
      <c r="E34" s="52"/>
      <c r="F34" s="52"/>
      <c r="G34" s="52"/>
      <c r="H34" s="52"/>
    </row>
    <row r="35" spans="2:8" x14ac:dyDescent="0.35">
      <c r="B35" s="110" t="s">
        <v>76</v>
      </c>
      <c r="C35" s="32"/>
      <c r="D35" s="144"/>
      <c r="E35" s="144"/>
      <c r="F35" s="144"/>
      <c r="G35" s="144"/>
      <c r="H35" s="144"/>
    </row>
    <row r="36" spans="2:8" x14ac:dyDescent="0.35">
      <c r="B36" s="145" t="s">
        <v>77</v>
      </c>
      <c r="C36" s="32"/>
      <c r="D36" s="52"/>
      <c r="E36" s="52"/>
      <c r="F36" s="52"/>
      <c r="G36" s="52"/>
      <c r="H36" s="52"/>
    </row>
    <row r="37" spans="2:8" x14ac:dyDescent="0.35">
      <c r="B37" s="146" t="s">
        <v>78</v>
      </c>
      <c r="C37" s="32"/>
    </row>
    <row r="38" spans="2:8" x14ac:dyDescent="0.35">
      <c r="B38" s="148" t="s">
        <v>79</v>
      </c>
      <c r="C38" s="32"/>
      <c r="D38" s="52">
        <v>5000000</v>
      </c>
      <c r="E38" s="52">
        <f t="shared" ref="E38:H38" si="7">D40</f>
        <v>5000000</v>
      </c>
      <c r="F38" s="52">
        <f t="shared" si="7"/>
        <v>5000000</v>
      </c>
      <c r="G38" s="52">
        <f t="shared" si="7"/>
        <v>5000000</v>
      </c>
      <c r="H38" s="52">
        <f t="shared" si="7"/>
        <v>5000000</v>
      </c>
    </row>
    <row r="39" spans="2:8" x14ac:dyDescent="0.35">
      <c r="B39" s="148" t="s">
        <v>80</v>
      </c>
      <c r="C39" s="32"/>
      <c r="D39" s="52"/>
      <c r="E39" s="52"/>
      <c r="F39" s="52"/>
      <c r="G39" s="52"/>
      <c r="H39" s="52"/>
    </row>
    <row r="40" spans="2:8" x14ac:dyDescent="0.35">
      <c r="B40" s="148" t="s">
        <v>81</v>
      </c>
      <c r="C40" s="148"/>
      <c r="D40" s="147">
        <f t="shared" ref="D40:H40" si="8">SUM(D38:D39)</f>
        <v>5000000</v>
      </c>
      <c r="E40" s="147">
        <f t="shared" si="8"/>
        <v>5000000</v>
      </c>
      <c r="F40" s="147">
        <f t="shared" si="8"/>
        <v>5000000</v>
      </c>
      <c r="G40" s="147">
        <f t="shared" si="8"/>
        <v>5000000</v>
      </c>
      <c r="H40" s="147">
        <f t="shared" si="8"/>
        <v>5000000</v>
      </c>
    </row>
    <row r="41" spans="2:8" ht="8.15" customHeight="1" x14ac:dyDescent="0.35">
      <c r="B41" s="112"/>
      <c r="C41" s="32"/>
      <c r="D41" s="52"/>
      <c r="E41" s="52"/>
      <c r="F41" s="52"/>
      <c r="G41" s="52"/>
      <c r="H41" s="52"/>
    </row>
    <row r="42" spans="2:8" x14ac:dyDescent="0.35">
      <c r="B42" s="146" t="s">
        <v>256</v>
      </c>
      <c r="C42" s="32"/>
      <c r="D42" s="52">
        <v>0</v>
      </c>
      <c r="E42" s="52">
        <v>0</v>
      </c>
      <c r="F42" s="52">
        <v>0</v>
      </c>
      <c r="G42" s="52">
        <v>0</v>
      </c>
      <c r="H42" s="52">
        <v>0</v>
      </c>
    </row>
    <row r="43" spans="2:8" ht="8.15" customHeight="1" x14ac:dyDescent="0.35">
      <c r="B43" s="149"/>
      <c r="C43" s="149"/>
      <c r="D43" s="52"/>
      <c r="E43" s="52"/>
      <c r="F43" s="52"/>
      <c r="G43" s="52"/>
      <c r="H43" s="52"/>
    </row>
    <row r="44" spans="2:8" s="126" customFormat="1" x14ac:dyDescent="0.35">
      <c r="D44" s="138">
        <f>D40+D42</f>
        <v>5000000</v>
      </c>
      <c r="E44" s="138">
        <f>E40+E42</f>
        <v>5000000</v>
      </c>
      <c r="F44" s="138">
        <f>F40+F42</f>
        <v>5000000</v>
      </c>
      <c r="G44" s="138">
        <f>G40+G42</f>
        <v>5000000</v>
      </c>
      <c r="H44" s="138">
        <f>H40+H42</f>
        <v>5000000</v>
      </c>
    </row>
    <row r="45" spans="2:8" ht="8.15" customHeight="1" x14ac:dyDescent="0.35">
      <c r="B45" s="112"/>
      <c r="C45" s="112"/>
      <c r="D45" s="52"/>
      <c r="E45" s="52"/>
      <c r="F45" s="52"/>
      <c r="G45" s="52"/>
      <c r="H45" s="52"/>
    </row>
    <row r="46" spans="2:8" x14ac:dyDescent="0.35">
      <c r="B46" s="145" t="s">
        <v>82</v>
      </c>
      <c r="C46" s="145"/>
      <c r="D46" s="52"/>
      <c r="E46" s="52"/>
      <c r="F46" s="52"/>
      <c r="G46" s="52"/>
      <c r="H46" s="52"/>
    </row>
    <row r="47" spans="2:8" x14ac:dyDescent="0.35">
      <c r="B47" s="146" t="s">
        <v>78</v>
      </c>
      <c r="C47" s="146"/>
    </row>
    <row r="48" spans="2:8" x14ac:dyDescent="0.35">
      <c r="B48" s="148" t="s">
        <v>79</v>
      </c>
      <c r="C48" s="148"/>
      <c r="D48" s="52">
        <v>0</v>
      </c>
      <c r="E48" s="52">
        <f t="shared" ref="E48:H48" si="9">D50</f>
        <v>1000</v>
      </c>
      <c r="F48" s="52">
        <f t="shared" si="9"/>
        <v>1000</v>
      </c>
      <c r="G48" s="52">
        <f t="shared" si="9"/>
        <v>1000</v>
      </c>
      <c r="H48" s="52">
        <f t="shared" si="9"/>
        <v>1000</v>
      </c>
    </row>
    <row r="49" spans="2:8" x14ac:dyDescent="0.35">
      <c r="B49" s="148" t="s">
        <v>80</v>
      </c>
      <c r="C49" s="148"/>
      <c r="D49" s="52">
        <f>IF(CF!D21+CF!D27&lt;0,ROUND(-(CF!D21+CF!D27)*Equity!D57,-4),0)+1000</f>
        <v>1000</v>
      </c>
      <c r="E49" s="52">
        <f>IF(CF!E21+CF!E27+Loan!D46+Loan!D89&lt;0,ROUND(-(CF!E21+CF!E27+Loan!D46+Loan!D89)*Equity!E57,-4),0)</f>
        <v>0</v>
      </c>
      <c r="F49" s="52">
        <f>IF(CF!F21+CF!F27+Loan!E46+Loan!E89&lt;0,ROUND(-(CF!F21+CF!F27+Loan!E46+Loan!E89)*Equity!F57,-4),0)</f>
        <v>0</v>
      </c>
      <c r="G49" s="52">
        <f>IF(CF!G21+CF!G27+Loan!F46+Loan!F89&lt;0,ROUND(-(CF!G21+CF!G27+Loan!F46+Loan!F89)*Equity!G57,-4),0)</f>
        <v>0</v>
      </c>
      <c r="H49" s="52">
        <f>IF(CF!H21+CF!H27+Loan!G46+Loan!G89&lt;0,ROUND(-(CF!H21+CF!H27+Loan!G46+Loan!G89)*Equity!H57,-4),0)</f>
        <v>0</v>
      </c>
    </row>
    <row r="50" spans="2:8" x14ac:dyDescent="0.35">
      <c r="B50" s="148" t="s">
        <v>81</v>
      </c>
      <c r="C50" s="148"/>
      <c r="D50" s="147">
        <f t="shared" ref="D50:H50" si="10">SUM(D48:D49)</f>
        <v>1000</v>
      </c>
      <c r="E50" s="147">
        <f t="shared" si="10"/>
        <v>1000</v>
      </c>
      <c r="F50" s="147">
        <f t="shared" si="10"/>
        <v>1000</v>
      </c>
      <c r="G50" s="147">
        <f t="shared" si="10"/>
        <v>1000</v>
      </c>
      <c r="H50" s="147">
        <f t="shared" si="10"/>
        <v>1000</v>
      </c>
    </row>
    <row r="51" spans="2:8" ht="8.15" customHeight="1" x14ac:dyDescent="0.35">
      <c r="B51" s="112"/>
      <c r="C51" s="112"/>
      <c r="D51" s="52"/>
      <c r="E51" s="52"/>
      <c r="F51" s="52"/>
      <c r="G51" s="52"/>
      <c r="H51" s="52"/>
    </row>
    <row r="52" spans="2:8" x14ac:dyDescent="0.35">
      <c r="B52" s="146" t="s">
        <v>256</v>
      </c>
      <c r="C52" s="146"/>
      <c r="D52" s="52">
        <v>0</v>
      </c>
      <c r="E52" s="52">
        <v>0</v>
      </c>
      <c r="F52" s="52">
        <v>0</v>
      </c>
      <c r="G52" s="52">
        <v>0</v>
      </c>
      <c r="H52" s="52">
        <v>0</v>
      </c>
    </row>
    <row r="53" spans="2:8" ht="8.15" customHeight="1" x14ac:dyDescent="0.35">
      <c r="B53" s="148"/>
      <c r="C53" s="148"/>
      <c r="D53" s="52"/>
      <c r="E53" s="52"/>
      <c r="F53" s="52"/>
      <c r="G53" s="52"/>
      <c r="H53" s="52"/>
    </row>
    <row r="54" spans="2:8" x14ac:dyDescent="0.35">
      <c r="B54" s="112"/>
      <c r="C54" s="112"/>
      <c r="D54" s="138">
        <f>D52+D50</f>
        <v>1000</v>
      </c>
      <c r="E54" s="138">
        <f>E52+E50</f>
        <v>1000</v>
      </c>
      <c r="F54" s="138">
        <f>F52+F50</f>
        <v>1000</v>
      </c>
      <c r="G54" s="138">
        <f>G52+G50</f>
        <v>1000</v>
      </c>
      <c r="H54" s="138">
        <f>H52+H50</f>
        <v>1000</v>
      </c>
    </row>
    <row r="55" spans="2:8" x14ac:dyDescent="0.35">
      <c r="B55" s="112"/>
      <c r="C55" s="112"/>
    </row>
    <row r="56" spans="2:8" x14ac:dyDescent="0.35">
      <c r="B56" s="112"/>
      <c r="C56" s="112"/>
    </row>
    <row r="57" spans="2:8" x14ac:dyDescent="0.35">
      <c r="B57" s="150" t="s">
        <v>166</v>
      </c>
      <c r="C57" s="151"/>
      <c r="D57" s="152">
        <v>0.85</v>
      </c>
      <c r="E57" s="152">
        <f>D57</f>
        <v>0.85</v>
      </c>
      <c r="F57" s="152">
        <f t="shared" ref="F57:H57" si="11">E57</f>
        <v>0.85</v>
      </c>
      <c r="G57" s="152">
        <f t="shared" si="11"/>
        <v>0.85</v>
      </c>
      <c r="H57" s="251">
        <f t="shared" si="11"/>
        <v>0.85</v>
      </c>
    </row>
    <row r="58" spans="2:8" x14ac:dyDescent="0.35">
      <c r="B58" s="112"/>
      <c r="C58" s="112"/>
    </row>
    <row r="59" spans="2:8" x14ac:dyDescent="0.35">
      <c r="B59" s="112"/>
      <c r="C59" s="112"/>
    </row>
    <row r="60" spans="2:8" x14ac:dyDescent="0.35">
      <c r="B60" s="112"/>
      <c r="C60" s="112"/>
    </row>
    <row r="61" spans="2:8" x14ac:dyDescent="0.35">
      <c r="B61" s="112"/>
      <c r="C61" s="112"/>
    </row>
    <row r="62" spans="2:8" x14ac:dyDescent="0.35">
      <c r="B62" s="112"/>
      <c r="C62" s="112"/>
    </row>
    <row r="63" spans="2:8" x14ac:dyDescent="0.35">
      <c r="B63" s="112"/>
      <c r="C63" s="112"/>
    </row>
    <row r="64" spans="2:8" x14ac:dyDescent="0.35">
      <c r="B64" s="112"/>
      <c r="C64" s="112"/>
    </row>
    <row r="65" s="112" customFormat="1" x14ac:dyDescent="0.35"/>
    <row r="66" s="112" customFormat="1" x14ac:dyDescent="0.35"/>
    <row r="67" s="112" customFormat="1" x14ac:dyDescent="0.35"/>
    <row r="68" s="112" customFormat="1" x14ac:dyDescent="0.35"/>
    <row r="69" s="112" customFormat="1" x14ac:dyDescent="0.35"/>
    <row r="70" s="112" customFormat="1" x14ac:dyDescent="0.35"/>
    <row r="71" s="112" customFormat="1" x14ac:dyDescent="0.35"/>
    <row r="72" s="112" customFormat="1" x14ac:dyDescent="0.35"/>
    <row r="73" s="112" customFormat="1" x14ac:dyDescent="0.35"/>
    <row r="74" s="112" customFormat="1" x14ac:dyDescent="0.35"/>
    <row r="75" s="112" customFormat="1" x14ac:dyDescent="0.35"/>
    <row r="76" s="112" customFormat="1" x14ac:dyDescent="0.35"/>
    <row r="77" s="112" customFormat="1" x14ac:dyDescent="0.35"/>
    <row r="78" s="112" customFormat="1" x14ac:dyDescent="0.35"/>
    <row r="79" s="112" customFormat="1" x14ac:dyDescent="0.35"/>
    <row r="80" s="112" customFormat="1" x14ac:dyDescent="0.35"/>
    <row r="81" s="112" customFormat="1" x14ac:dyDescent="0.35"/>
    <row r="82" s="112" customFormat="1" x14ac:dyDescent="0.35"/>
    <row r="83" s="112" customFormat="1" x14ac:dyDescent="0.35"/>
    <row r="84" s="112" customFormat="1" x14ac:dyDescent="0.35"/>
    <row r="85" s="112" customFormat="1" x14ac:dyDescent="0.35"/>
    <row r="86" s="112" customFormat="1" x14ac:dyDescent="0.35"/>
    <row r="87" s="112" customFormat="1" x14ac:dyDescent="0.35"/>
    <row r="88" s="112" customFormat="1" x14ac:dyDescent="0.35"/>
    <row r="89" s="112" customFormat="1" x14ac:dyDescent="0.35"/>
    <row r="90" s="112" customFormat="1" x14ac:dyDescent="0.35"/>
    <row r="91" s="112" customFormat="1" x14ac:dyDescent="0.35"/>
    <row r="92" s="112" customFormat="1" x14ac:dyDescent="0.35"/>
    <row r="93" s="112" customFormat="1" x14ac:dyDescent="0.35"/>
    <row r="94" s="112" customFormat="1" x14ac:dyDescent="0.35"/>
    <row r="95" s="112" customFormat="1" x14ac:dyDescent="0.35"/>
    <row r="96" s="112" customFormat="1" x14ac:dyDescent="0.35"/>
    <row r="97" s="112" customFormat="1" x14ac:dyDescent="0.35"/>
    <row r="98" s="112" customFormat="1" x14ac:dyDescent="0.35"/>
    <row r="99" s="112" customFormat="1" x14ac:dyDescent="0.35"/>
    <row r="100" s="112" customFormat="1" x14ac:dyDescent="0.35"/>
    <row r="101" s="112" customFormat="1" x14ac:dyDescent="0.35"/>
    <row r="102" s="112" customFormat="1" x14ac:dyDescent="0.35"/>
    <row r="103" s="112" customFormat="1" x14ac:dyDescent="0.35"/>
    <row r="104" s="112" customFormat="1" x14ac:dyDescent="0.35"/>
    <row r="105" s="112" customFormat="1" x14ac:dyDescent="0.35"/>
    <row r="106" s="112" customFormat="1" x14ac:dyDescent="0.35"/>
    <row r="107" s="112" customFormat="1" x14ac:dyDescent="0.35"/>
    <row r="108" s="112" customFormat="1" x14ac:dyDescent="0.35"/>
    <row r="109" s="112" customFormat="1" x14ac:dyDescent="0.35"/>
    <row r="110" s="112" customFormat="1" x14ac:dyDescent="0.35"/>
    <row r="111" s="112" customFormat="1" x14ac:dyDescent="0.35"/>
    <row r="112" s="112" customFormat="1" x14ac:dyDescent="0.35"/>
    <row r="113" s="112" customFormat="1" x14ac:dyDescent="0.35"/>
    <row r="114" s="112" customFormat="1" x14ac:dyDescent="0.35"/>
    <row r="115" s="112" customFormat="1" x14ac:dyDescent="0.35"/>
    <row r="116" s="112" customFormat="1" x14ac:dyDescent="0.35"/>
    <row r="117" s="112" customFormat="1" x14ac:dyDescent="0.35"/>
    <row r="118" s="112" customFormat="1" x14ac:dyDescent="0.35"/>
    <row r="119" s="112" customFormat="1" x14ac:dyDescent="0.35"/>
    <row r="120" s="112" customFormat="1" x14ac:dyDescent="0.35"/>
    <row r="121" s="112" customFormat="1" x14ac:dyDescent="0.35"/>
    <row r="122" s="112" customFormat="1" x14ac:dyDescent="0.35"/>
    <row r="123" s="112" customFormat="1" x14ac:dyDescent="0.35"/>
    <row r="124" s="112" customFormat="1" x14ac:dyDescent="0.35"/>
    <row r="125" s="112" customFormat="1" x14ac:dyDescent="0.35"/>
    <row r="126" s="112" customFormat="1" x14ac:dyDescent="0.35"/>
    <row r="127" s="112" customFormat="1" x14ac:dyDescent="0.35"/>
    <row r="128" s="112" customFormat="1" x14ac:dyDescent="0.35"/>
    <row r="129" s="112" customFormat="1" x14ac:dyDescent="0.35"/>
    <row r="130" s="112" customFormat="1" x14ac:dyDescent="0.35"/>
    <row r="131" s="112" customFormat="1" x14ac:dyDescent="0.35"/>
    <row r="132" s="112" customFormat="1" x14ac:dyDescent="0.35"/>
    <row r="133" s="112" customFormat="1" x14ac:dyDescent="0.35"/>
    <row r="134" s="112" customFormat="1" x14ac:dyDescent="0.35"/>
    <row r="135" s="112" customFormat="1" x14ac:dyDescent="0.35"/>
    <row r="136" s="112" customFormat="1" x14ac:dyDescent="0.35"/>
    <row r="137" s="112" customFormat="1" x14ac:dyDescent="0.35"/>
    <row r="138" s="112" customFormat="1" x14ac:dyDescent="0.35"/>
    <row r="139" s="112" customFormat="1" x14ac:dyDescent="0.35"/>
    <row r="140" s="112" customFormat="1" x14ac:dyDescent="0.35"/>
    <row r="141" s="112" customFormat="1" x14ac:dyDescent="0.35"/>
    <row r="142" s="112" customFormat="1" x14ac:dyDescent="0.35"/>
    <row r="143" s="112" customFormat="1" x14ac:dyDescent="0.35"/>
    <row r="144" s="112" customFormat="1" x14ac:dyDescent="0.35"/>
    <row r="145" s="112" customFormat="1" x14ac:dyDescent="0.35"/>
    <row r="146" s="112" customFormat="1" x14ac:dyDescent="0.35"/>
    <row r="147" s="112" customFormat="1" x14ac:dyDescent="0.35"/>
    <row r="148" s="112" customFormat="1" x14ac:dyDescent="0.35"/>
    <row r="149" s="112" customFormat="1" x14ac:dyDescent="0.35"/>
    <row r="150" s="112" customFormat="1" x14ac:dyDescent="0.35"/>
    <row r="151" s="112" customFormat="1" x14ac:dyDescent="0.35"/>
    <row r="152" s="112" customFormat="1" x14ac:dyDescent="0.35"/>
    <row r="153" s="112" customFormat="1" x14ac:dyDescent="0.35"/>
    <row r="154" s="112" customFormat="1" x14ac:dyDescent="0.35"/>
    <row r="155" s="112" customFormat="1" x14ac:dyDescent="0.35"/>
    <row r="156" s="112" customFormat="1" x14ac:dyDescent="0.35"/>
    <row r="157" s="112" customFormat="1" x14ac:dyDescent="0.35"/>
    <row r="158" s="112" customFormat="1" x14ac:dyDescent="0.35"/>
    <row r="159" s="112" customFormat="1" x14ac:dyDescent="0.35"/>
    <row r="160" s="112" customFormat="1" x14ac:dyDescent="0.35"/>
    <row r="161" s="112" customFormat="1" x14ac:dyDescent="0.35"/>
    <row r="162" s="112" customFormat="1" x14ac:dyDescent="0.35"/>
    <row r="163" s="112" customFormat="1" x14ac:dyDescent="0.35"/>
    <row r="164" s="112" customFormat="1" x14ac:dyDescent="0.35"/>
    <row r="165" s="112" customFormat="1" x14ac:dyDescent="0.35"/>
    <row r="166" s="112" customFormat="1" x14ac:dyDescent="0.35"/>
    <row r="167" s="112" customFormat="1" x14ac:dyDescent="0.35"/>
    <row r="168" s="112" customFormat="1" x14ac:dyDescent="0.35"/>
    <row r="169" s="112" customFormat="1" x14ac:dyDescent="0.35"/>
    <row r="170" s="112" customFormat="1" x14ac:dyDescent="0.35"/>
    <row r="171" s="112" customFormat="1" x14ac:dyDescent="0.35"/>
    <row r="172" s="112" customFormat="1" x14ac:dyDescent="0.35"/>
    <row r="173" s="112" customFormat="1" x14ac:dyDescent="0.35"/>
    <row r="174" s="112" customFormat="1" x14ac:dyDescent="0.35"/>
    <row r="175" s="112" customFormat="1" x14ac:dyDescent="0.35"/>
    <row r="176" s="112" customFormat="1" x14ac:dyDescent="0.35"/>
    <row r="177" s="112" customFormat="1" x14ac:dyDescent="0.35"/>
    <row r="178" s="112" customFormat="1" x14ac:dyDescent="0.35"/>
    <row r="179" s="112" customFormat="1" x14ac:dyDescent="0.35"/>
    <row r="180" s="112" customFormat="1" x14ac:dyDescent="0.35"/>
    <row r="181" s="112" customFormat="1" x14ac:dyDescent="0.35"/>
    <row r="182" s="112" customFormat="1" x14ac:dyDescent="0.35"/>
    <row r="183" s="112" customFormat="1" x14ac:dyDescent="0.35"/>
    <row r="184" s="112" customFormat="1" x14ac:dyDescent="0.35"/>
    <row r="185" s="112" customFormat="1" x14ac:dyDescent="0.35"/>
    <row r="186" s="112" customFormat="1" x14ac:dyDescent="0.35"/>
    <row r="187" s="112" customFormat="1" x14ac:dyDescent="0.35"/>
    <row r="188" s="112" customFormat="1" x14ac:dyDescent="0.35"/>
    <row r="189" s="112" customFormat="1" x14ac:dyDescent="0.35"/>
    <row r="190" s="112" customFormat="1" x14ac:dyDescent="0.35"/>
    <row r="191" s="112" customFormat="1" x14ac:dyDescent="0.35"/>
    <row r="192" s="112" customFormat="1" x14ac:dyDescent="0.35"/>
    <row r="193" s="112" customFormat="1" x14ac:dyDescent="0.35"/>
    <row r="194" s="112" customFormat="1" x14ac:dyDescent="0.35"/>
    <row r="195" s="112" customFormat="1" x14ac:dyDescent="0.35"/>
    <row r="196" s="112" customFormat="1" x14ac:dyDescent="0.35"/>
    <row r="197" s="112" customFormat="1" x14ac:dyDescent="0.35"/>
    <row r="198" s="112" customFormat="1" x14ac:dyDescent="0.35"/>
    <row r="199" s="112" customFormat="1" x14ac:dyDescent="0.35"/>
    <row r="200" s="112" customFormat="1" x14ac:dyDescent="0.35"/>
    <row r="201" s="112" customFormat="1" x14ac:dyDescent="0.35"/>
    <row r="202" s="112" customFormat="1" x14ac:dyDescent="0.35"/>
    <row r="203" s="112" customFormat="1" x14ac:dyDescent="0.35"/>
    <row r="204" s="112" customFormat="1" x14ac:dyDescent="0.35"/>
    <row r="205" s="112" customFormat="1" x14ac:dyDescent="0.35"/>
    <row r="206" s="112" customFormat="1" x14ac:dyDescent="0.35"/>
    <row r="207" s="112" customFormat="1" x14ac:dyDescent="0.35"/>
    <row r="208" s="112" customFormat="1" x14ac:dyDescent="0.35"/>
    <row r="209" s="112" customFormat="1" x14ac:dyDescent="0.35"/>
    <row r="210" s="112" customFormat="1" x14ac:dyDescent="0.35"/>
    <row r="211" s="112" customFormat="1" x14ac:dyDescent="0.35"/>
    <row r="212" s="112" customFormat="1" x14ac:dyDescent="0.35"/>
    <row r="213" s="112" customFormat="1" x14ac:dyDescent="0.35"/>
    <row r="214" s="112" customFormat="1" x14ac:dyDescent="0.35"/>
    <row r="215" s="112" customFormat="1" x14ac:dyDescent="0.35"/>
    <row r="216" s="112" customFormat="1" x14ac:dyDescent="0.35"/>
    <row r="217" s="112" customFormat="1" x14ac:dyDescent="0.35"/>
    <row r="218" s="112" customFormat="1" x14ac:dyDescent="0.35"/>
    <row r="219" s="112" customFormat="1" x14ac:dyDescent="0.35"/>
    <row r="220" s="112" customFormat="1" x14ac:dyDescent="0.35"/>
    <row r="221" s="112" customFormat="1" x14ac:dyDescent="0.35"/>
    <row r="222" s="112" customFormat="1" x14ac:dyDescent="0.35"/>
    <row r="223" s="112" customFormat="1" x14ac:dyDescent="0.35"/>
    <row r="224" s="112" customFormat="1" x14ac:dyDescent="0.35"/>
    <row r="225" s="112" customFormat="1" x14ac:dyDescent="0.35"/>
    <row r="226" s="112" customFormat="1" x14ac:dyDescent="0.35"/>
    <row r="227" s="112" customFormat="1" x14ac:dyDescent="0.35"/>
    <row r="228" s="112" customFormat="1" x14ac:dyDescent="0.35"/>
    <row r="229" s="112" customFormat="1" x14ac:dyDescent="0.35"/>
    <row r="230" s="112" customFormat="1" x14ac:dyDescent="0.35"/>
    <row r="231" s="112" customFormat="1" x14ac:dyDescent="0.35"/>
    <row r="232" s="112" customFormat="1" x14ac:dyDescent="0.35"/>
    <row r="233" s="112" customFormat="1" x14ac:dyDescent="0.35"/>
    <row r="234" s="112" customFormat="1" x14ac:dyDescent="0.35"/>
    <row r="235" s="112" customFormat="1" x14ac:dyDescent="0.35"/>
    <row r="236" s="112" customFormat="1" x14ac:dyDescent="0.35"/>
    <row r="237" s="112" customFormat="1" x14ac:dyDescent="0.35"/>
    <row r="238" s="112" customFormat="1" x14ac:dyDescent="0.35"/>
    <row r="239" s="112" customFormat="1" x14ac:dyDescent="0.35"/>
    <row r="240" s="112" customFormat="1" x14ac:dyDescent="0.35"/>
    <row r="241" s="112" customFormat="1" x14ac:dyDescent="0.35"/>
    <row r="242" s="112" customFormat="1" x14ac:dyDescent="0.35"/>
    <row r="243" s="112" customFormat="1" x14ac:dyDescent="0.35"/>
    <row r="244" s="112" customFormat="1" x14ac:dyDescent="0.35"/>
    <row r="245" s="112" customFormat="1" x14ac:dyDescent="0.35"/>
    <row r="246" s="112" customFormat="1" x14ac:dyDescent="0.35"/>
    <row r="247" s="112" customFormat="1" x14ac:dyDescent="0.35"/>
    <row r="248" s="112" customFormat="1" x14ac:dyDescent="0.35"/>
    <row r="249" s="112" customFormat="1" x14ac:dyDescent="0.35"/>
    <row r="250" s="112" customFormat="1" x14ac:dyDescent="0.35"/>
    <row r="251" s="112" customFormat="1" x14ac:dyDescent="0.35"/>
    <row r="252" s="112" customFormat="1" x14ac:dyDescent="0.35"/>
    <row r="253" s="112" customFormat="1" x14ac:dyDescent="0.35"/>
    <row r="254" s="112" customFormat="1" x14ac:dyDescent="0.35"/>
    <row r="255" s="112" customFormat="1" x14ac:dyDescent="0.35"/>
    <row r="256" s="112" customFormat="1" x14ac:dyDescent="0.35"/>
    <row r="257" s="112" customFormat="1" x14ac:dyDescent="0.35"/>
    <row r="258" s="112" customFormat="1" x14ac:dyDescent="0.35"/>
    <row r="259" s="112" customFormat="1" x14ac:dyDescent="0.35"/>
    <row r="260" s="112" customFormat="1" x14ac:dyDescent="0.35"/>
    <row r="261" s="112" customFormat="1" x14ac:dyDescent="0.35"/>
    <row r="262" s="112" customFormat="1" x14ac:dyDescent="0.35"/>
    <row r="263" s="112" customFormat="1" x14ac:dyDescent="0.35"/>
    <row r="264" s="112" customFormat="1" x14ac:dyDescent="0.35"/>
    <row r="265" s="112" customFormat="1" x14ac:dyDescent="0.35"/>
    <row r="266" s="112" customFormat="1" x14ac:dyDescent="0.35"/>
    <row r="267" s="112" customFormat="1" x14ac:dyDescent="0.35"/>
    <row r="268" s="112" customFormat="1" x14ac:dyDescent="0.35"/>
    <row r="269" s="112" customFormat="1" x14ac:dyDescent="0.35"/>
    <row r="270" s="112" customFormat="1" x14ac:dyDescent="0.35"/>
    <row r="271" s="112" customFormat="1" x14ac:dyDescent="0.35"/>
    <row r="272" s="112" customFormat="1" x14ac:dyDescent="0.35"/>
    <row r="273" s="112" customFormat="1" x14ac:dyDescent="0.35"/>
    <row r="274" s="112" customFormat="1" x14ac:dyDescent="0.35"/>
    <row r="275" s="112" customFormat="1" x14ac:dyDescent="0.35"/>
    <row r="276" s="112" customFormat="1" x14ac:dyDescent="0.35"/>
    <row r="277" s="112" customFormat="1" x14ac:dyDescent="0.35"/>
    <row r="278" s="112" customFormat="1" x14ac:dyDescent="0.35"/>
    <row r="279" s="112" customFormat="1" x14ac:dyDescent="0.35"/>
    <row r="280" s="112" customFormat="1" x14ac:dyDescent="0.35"/>
    <row r="281" s="112" customFormat="1" x14ac:dyDescent="0.35"/>
    <row r="282" s="112" customFormat="1" x14ac:dyDescent="0.35"/>
    <row r="283" s="112" customFormat="1" x14ac:dyDescent="0.35"/>
    <row r="284" s="112" customFormat="1" x14ac:dyDescent="0.35"/>
    <row r="285" s="112" customFormat="1" x14ac:dyDescent="0.35"/>
    <row r="286" s="112" customFormat="1" x14ac:dyDescent="0.35"/>
    <row r="287" s="112" customFormat="1" x14ac:dyDescent="0.35"/>
    <row r="288" s="112" customFormat="1" x14ac:dyDescent="0.35"/>
    <row r="289" s="112" customFormat="1" x14ac:dyDescent="0.35"/>
    <row r="290" s="112" customFormat="1" x14ac:dyDescent="0.35"/>
    <row r="291" s="112" customFormat="1" x14ac:dyDescent="0.35"/>
    <row r="292" s="112" customFormat="1" x14ac:dyDescent="0.35"/>
    <row r="293" s="112" customFormat="1" x14ac:dyDescent="0.35"/>
    <row r="294" s="112" customFormat="1" x14ac:dyDescent="0.35"/>
    <row r="295" s="112" customFormat="1" x14ac:dyDescent="0.35"/>
    <row r="296" s="112" customFormat="1" x14ac:dyDescent="0.35"/>
    <row r="297" s="112" customFormat="1" x14ac:dyDescent="0.35"/>
    <row r="298" s="112" customFormat="1" x14ac:dyDescent="0.35"/>
    <row r="299" s="112" customFormat="1" x14ac:dyDescent="0.35"/>
    <row r="300" s="112" customFormat="1" x14ac:dyDescent="0.35"/>
    <row r="301" s="112" customFormat="1" x14ac:dyDescent="0.35"/>
    <row r="302" s="112" customFormat="1" x14ac:dyDescent="0.35"/>
    <row r="303" s="112" customFormat="1" x14ac:dyDescent="0.35"/>
    <row r="304" s="112" customFormat="1" x14ac:dyDescent="0.35"/>
    <row r="305" s="112" customFormat="1" x14ac:dyDescent="0.35"/>
    <row r="306" s="112" customFormat="1" x14ac:dyDescent="0.35"/>
    <row r="307" s="112" customFormat="1" x14ac:dyDescent="0.35"/>
    <row r="308" s="112" customFormat="1" x14ac:dyDescent="0.35"/>
    <row r="309" s="112" customFormat="1" x14ac:dyDescent="0.35"/>
    <row r="310" s="112" customFormat="1" x14ac:dyDescent="0.35"/>
    <row r="311" s="112" customFormat="1" x14ac:dyDescent="0.35"/>
    <row r="312" s="112" customFormat="1" x14ac:dyDescent="0.35"/>
    <row r="313" s="112" customFormat="1" x14ac:dyDescent="0.35"/>
    <row r="314" s="112" customFormat="1" x14ac:dyDescent="0.35"/>
    <row r="315" s="112" customFormat="1" x14ac:dyDescent="0.35"/>
    <row r="316" s="112" customFormat="1" x14ac:dyDescent="0.35"/>
    <row r="317" s="112" customFormat="1" x14ac:dyDescent="0.35"/>
    <row r="318" s="112" customFormat="1" x14ac:dyDescent="0.35"/>
    <row r="319" s="112" customFormat="1" x14ac:dyDescent="0.35"/>
    <row r="320" s="112" customFormat="1" x14ac:dyDescent="0.35"/>
    <row r="321" s="112" customFormat="1" x14ac:dyDescent="0.35"/>
    <row r="322" s="112" customFormat="1" x14ac:dyDescent="0.35"/>
    <row r="323" s="112" customFormat="1" x14ac:dyDescent="0.35"/>
    <row r="324" s="112" customFormat="1" x14ac:dyDescent="0.35"/>
    <row r="325" s="112" customFormat="1" x14ac:dyDescent="0.35"/>
    <row r="326" s="112" customFormat="1" x14ac:dyDescent="0.35"/>
    <row r="327" s="112" customFormat="1" x14ac:dyDescent="0.35"/>
    <row r="328" s="112" customFormat="1" x14ac:dyDescent="0.35"/>
    <row r="329" s="112" customFormat="1" x14ac:dyDescent="0.35"/>
    <row r="330" s="112" customFormat="1" x14ac:dyDescent="0.35"/>
    <row r="331" s="112" customFormat="1" x14ac:dyDescent="0.35"/>
    <row r="332" s="112" customFormat="1" x14ac:dyDescent="0.35"/>
    <row r="333" s="112" customFormat="1" x14ac:dyDescent="0.35"/>
    <row r="334" s="112" customFormat="1" x14ac:dyDescent="0.35"/>
    <row r="335" s="112" customFormat="1" x14ac:dyDescent="0.35"/>
    <row r="336" s="112" customFormat="1" x14ac:dyDescent="0.35"/>
    <row r="337" s="112" customFormat="1" x14ac:dyDescent="0.35"/>
    <row r="338" s="112" customFormat="1" x14ac:dyDescent="0.35"/>
    <row r="339" s="112" customFormat="1" x14ac:dyDescent="0.35"/>
    <row r="340" s="112" customFormat="1" x14ac:dyDescent="0.35"/>
    <row r="341" s="112" customFormat="1" x14ac:dyDescent="0.35"/>
    <row r="342" s="112" customFormat="1" x14ac:dyDescent="0.35"/>
    <row r="343" s="112" customFormat="1" x14ac:dyDescent="0.35"/>
    <row r="344" s="112" customFormat="1" x14ac:dyDescent="0.35"/>
    <row r="345" s="112" customFormat="1" x14ac:dyDescent="0.35"/>
    <row r="346" s="112" customFormat="1" x14ac:dyDescent="0.35"/>
    <row r="347" s="112" customFormat="1" x14ac:dyDescent="0.35"/>
    <row r="348" s="112" customFormat="1" x14ac:dyDescent="0.35"/>
    <row r="349" s="112" customFormat="1" x14ac:dyDescent="0.35"/>
    <row r="350" s="112" customFormat="1" x14ac:dyDescent="0.35"/>
    <row r="351" s="112" customFormat="1" x14ac:dyDescent="0.35"/>
    <row r="352" s="112" customFormat="1" x14ac:dyDescent="0.35"/>
    <row r="353" s="112" customFormat="1" x14ac:dyDescent="0.35"/>
    <row r="354" s="112" customFormat="1" x14ac:dyDescent="0.35"/>
    <row r="355" s="112" customFormat="1" x14ac:dyDescent="0.35"/>
    <row r="356" s="112" customFormat="1" x14ac:dyDescent="0.35"/>
    <row r="357" s="112" customFormat="1" x14ac:dyDescent="0.35"/>
    <row r="358" s="112" customFormat="1" x14ac:dyDescent="0.35"/>
    <row r="359" s="112" customFormat="1" x14ac:dyDescent="0.35"/>
    <row r="360" s="112" customFormat="1" x14ac:dyDescent="0.35"/>
    <row r="361" s="112" customFormat="1" x14ac:dyDescent="0.35"/>
    <row r="362" s="112" customFormat="1" x14ac:dyDescent="0.35"/>
    <row r="363" s="112" customFormat="1" x14ac:dyDescent="0.35"/>
    <row r="364" s="112" customFormat="1" x14ac:dyDescent="0.35"/>
    <row r="365" s="112" customFormat="1" x14ac:dyDescent="0.35"/>
    <row r="366" s="112" customFormat="1" x14ac:dyDescent="0.35"/>
    <row r="367" s="112" customFormat="1" x14ac:dyDescent="0.35"/>
    <row r="368" s="112" customFormat="1" x14ac:dyDescent="0.35"/>
    <row r="369" s="112" customFormat="1" x14ac:dyDescent="0.35"/>
    <row r="370" s="112" customFormat="1" x14ac:dyDescent="0.35"/>
    <row r="371" s="112" customFormat="1" x14ac:dyDescent="0.35"/>
    <row r="372" s="112" customFormat="1" x14ac:dyDescent="0.35"/>
    <row r="373" s="112" customFormat="1" x14ac:dyDescent="0.35"/>
    <row r="374" s="112" customFormat="1" x14ac:dyDescent="0.35"/>
    <row r="375" s="112" customFormat="1" x14ac:dyDescent="0.35"/>
    <row r="376" s="112" customFormat="1" x14ac:dyDescent="0.35"/>
    <row r="377" s="112" customFormat="1" x14ac:dyDescent="0.35"/>
    <row r="378" s="112" customFormat="1" x14ac:dyDescent="0.35"/>
    <row r="379" s="112" customFormat="1" x14ac:dyDescent="0.35"/>
    <row r="380" s="112" customFormat="1" x14ac:dyDescent="0.35"/>
    <row r="381" s="112" customFormat="1" x14ac:dyDescent="0.35"/>
    <row r="382" s="112" customFormat="1" x14ac:dyDescent="0.35"/>
    <row r="383" s="112" customFormat="1" x14ac:dyDescent="0.35"/>
    <row r="384" s="112" customFormat="1" x14ac:dyDescent="0.35"/>
    <row r="385" s="112" customFormat="1" x14ac:dyDescent="0.35"/>
    <row r="386" s="112" customFormat="1" x14ac:dyDescent="0.35"/>
    <row r="387" s="112" customFormat="1" x14ac:dyDescent="0.35"/>
    <row r="388" s="112" customFormat="1" x14ac:dyDescent="0.35"/>
    <row r="389" s="112" customFormat="1" x14ac:dyDescent="0.35"/>
    <row r="390" s="112" customFormat="1" x14ac:dyDescent="0.35"/>
    <row r="391" s="112" customFormat="1" x14ac:dyDescent="0.35"/>
    <row r="392" s="112" customFormat="1" x14ac:dyDescent="0.35"/>
    <row r="393" s="112" customFormat="1" x14ac:dyDescent="0.35"/>
    <row r="394" s="112" customFormat="1" x14ac:dyDescent="0.35"/>
    <row r="395" s="112" customFormat="1" x14ac:dyDescent="0.35"/>
    <row r="396" s="112" customFormat="1" x14ac:dyDescent="0.35"/>
    <row r="397" s="112" customFormat="1" x14ac:dyDescent="0.35"/>
    <row r="398" s="112" customFormat="1" x14ac:dyDescent="0.35"/>
    <row r="399" s="112" customFormat="1" x14ac:dyDescent="0.35"/>
    <row r="400" s="112" customFormat="1" x14ac:dyDescent="0.35"/>
    <row r="401" s="112" customFormat="1" x14ac:dyDescent="0.35"/>
    <row r="402" s="112" customFormat="1" x14ac:dyDescent="0.35"/>
    <row r="403" s="112" customFormat="1" x14ac:dyDescent="0.35"/>
    <row r="404" s="112" customFormat="1" x14ac:dyDescent="0.35"/>
    <row r="405" s="112" customFormat="1" x14ac:dyDescent="0.35"/>
    <row r="406" s="112" customFormat="1" x14ac:dyDescent="0.35"/>
    <row r="407" s="112" customFormat="1" x14ac:dyDescent="0.35"/>
    <row r="408" s="112" customFormat="1" x14ac:dyDescent="0.35"/>
    <row r="409" s="112" customFormat="1" x14ac:dyDescent="0.35"/>
    <row r="410" s="112" customFormat="1" x14ac:dyDescent="0.35"/>
    <row r="411" s="112" customFormat="1" x14ac:dyDescent="0.35"/>
    <row r="412" s="112" customFormat="1" x14ac:dyDescent="0.35"/>
    <row r="413" s="112" customFormat="1" x14ac:dyDescent="0.35"/>
    <row r="414" s="112" customFormat="1" x14ac:dyDescent="0.35"/>
    <row r="415" s="112" customFormat="1" x14ac:dyDescent="0.35"/>
    <row r="416" s="112" customFormat="1" x14ac:dyDescent="0.35"/>
    <row r="417" s="112" customFormat="1" x14ac:dyDescent="0.35"/>
    <row r="418" s="112" customFormat="1" x14ac:dyDescent="0.35"/>
    <row r="419" s="112" customFormat="1" x14ac:dyDescent="0.35"/>
    <row r="420" s="112" customFormat="1" x14ac:dyDescent="0.35"/>
    <row r="421" s="112" customFormat="1" x14ac:dyDescent="0.35"/>
    <row r="422" s="112" customFormat="1" x14ac:dyDescent="0.35"/>
    <row r="423" s="112" customFormat="1" x14ac:dyDescent="0.35"/>
    <row r="424" s="112" customFormat="1" x14ac:dyDescent="0.35"/>
    <row r="425" s="112" customFormat="1" x14ac:dyDescent="0.35"/>
    <row r="426" s="112" customFormat="1" x14ac:dyDescent="0.35"/>
    <row r="427" s="112" customFormat="1" x14ac:dyDescent="0.35"/>
    <row r="428" s="112" customFormat="1" x14ac:dyDescent="0.35"/>
    <row r="429" s="112" customFormat="1" x14ac:dyDescent="0.35"/>
    <row r="430" s="112" customFormat="1" x14ac:dyDescent="0.35"/>
    <row r="431" s="112" customFormat="1" x14ac:dyDescent="0.35"/>
    <row r="432" s="112" customFormat="1" x14ac:dyDescent="0.35"/>
    <row r="433" s="112" customFormat="1" x14ac:dyDescent="0.35"/>
    <row r="434" s="112" customFormat="1" x14ac:dyDescent="0.35"/>
    <row r="435" s="112" customFormat="1" x14ac:dyDescent="0.35"/>
    <row r="436" s="112" customFormat="1" x14ac:dyDescent="0.35"/>
    <row r="437" s="112" customFormat="1" x14ac:dyDescent="0.35"/>
    <row r="438" s="112" customFormat="1" x14ac:dyDescent="0.35"/>
    <row r="439" s="112" customFormat="1" x14ac:dyDescent="0.35"/>
    <row r="440" s="112" customFormat="1" x14ac:dyDescent="0.35"/>
    <row r="441" s="112" customFormat="1" x14ac:dyDescent="0.35"/>
    <row r="442" s="112" customFormat="1" x14ac:dyDescent="0.35"/>
    <row r="443" s="112" customFormat="1" x14ac:dyDescent="0.35"/>
    <row r="444" s="112" customFormat="1" x14ac:dyDescent="0.35"/>
    <row r="445" s="112" customFormat="1" x14ac:dyDescent="0.35"/>
    <row r="446" s="112" customFormat="1" x14ac:dyDescent="0.35"/>
    <row r="447" s="112" customFormat="1" x14ac:dyDescent="0.35"/>
    <row r="448" s="112" customFormat="1" x14ac:dyDescent="0.35"/>
    <row r="449" s="112" customFormat="1" x14ac:dyDescent="0.35"/>
    <row r="450" s="112" customFormat="1" x14ac:dyDescent="0.35"/>
    <row r="451" s="112" customFormat="1" x14ac:dyDescent="0.35"/>
    <row r="452" s="112" customFormat="1" x14ac:dyDescent="0.35"/>
  </sheetData>
  <phoneticPr fontId="0" type="noConversion"/>
  <printOptions horizontalCentered="1"/>
  <pageMargins left="0.35433070866141736" right="0.35433070866141736" top="0.78740157480314965" bottom="0.39370078740157483" header="0.51181102362204722" footer="0.51181102362204722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>
    <pageSetUpPr fitToPage="1"/>
  </sheetPr>
  <dimension ref="B1:I21"/>
  <sheetViews>
    <sheetView zoomScaleNormal="100" workbookViewId="0">
      <selection activeCell="K10" sqref="K10"/>
    </sheetView>
  </sheetViews>
  <sheetFormatPr defaultColWidth="8.90625" defaultRowHeight="15.75" customHeight="1" x14ac:dyDescent="0.35"/>
  <cols>
    <col min="1" max="1" width="5.08984375" style="31" customWidth="1"/>
    <col min="2" max="2" width="25.36328125" style="31" customWidth="1"/>
    <col min="3" max="3" width="7" style="31" bestFit="1" customWidth="1"/>
    <col min="4" max="4" width="4.6328125" style="31" customWidth="1"/>
    <col min="5" max="6" width="11.1796875" style="31" customWidth="1"/>
    <col min="7" max="7" width="11.1796875" style="159" customWidth="1"/>
    <col min="8" max="9" width="11.1796875" style="31" customWidth="1"/>
    <col min="10" max="16384" width="8.90625" style="31"/>
  </cols>
  <sheetData>
    <row r="1" spans="2:9" ht="15.75" customHeight="1" x14ac:dyDescent="0.35">
      <c r="B1" s="32"/>
      <c r="C1" s="32"/>
      <c r="G1" s="31"/>
    </row>
    <row r="2" spans="2:9" ht="15.75" customHeight="1" x14ac:dyDescent="0.35">
      <c r="B2" s="56" t="str">
        <f>Summary!B2</f>
        <v>Cursa Platform</v>
      </c>
      <c r="C2" s="53"/>
      <c r="D2" s="54"/>
      <c r="E2" s="54"/>
      <c r="F2" s="54"/>
      <c r="G2" s="54"/>
      <c r="H2" s="54"/>
      <c r="I2" s="54"/>
    </row>
    <row r="3" spans="2:9" ht="7.5" customHeight="1" x14ac:dyDescent="0.5">
      <c r="B3" s="50"/>
      <c r="C3" s="32"/>
      <c r="G3" s="31"/>
    </row>
    <row r="4" spans="2:9" ht="15.75" customHeight="1" x14ac:dyDescent="0.35">
      <c r="B4" s="57" t="s">
        <v>257</v>
      </c>
      <c r="C4" s="53"/>
      <c r="D4" s="54"/>
      <c r="E4" s="54"/>
      <c r="F4" s="54"/>
      <c r="G4" s="54"/>
      <c r="H4" s="54"/>
      <c r="I4" s="54"/>
    </row>
    <row r="5" spans="2:9" ht="15.75" customHeight="1" x14ac:dyDescent="0.35">
      <c r="B5" s="53"/>
      <c r="C5" s="53"/>
      <c r="D5" s="54"/>
      <c r="E5" s="54"/>
      <c r="F5" s="54"/>
      <c r="G5" s="54"/>
      <c r="H5" s="54"/>
      <c r="I5" s="54"/>
    </row>
    <row r="6" spans="2:9" ht="15.75" customHeight="1" x14ac:dyDescent="0.35">
      <c r="B6" s="32"/>
      <c r="C6" s="32"/>
      <c r="G6" s="31"/>
    </row>
    <row r="7" spans="2:9" ht="15.75" customHeight="1" x14ac:dyDescent="0.35">
      <c r="E7" s="37" t="s">
        <v>234</v>
      </c>
      <c r="F7" s="37" t="s">
        <v>235</v>
      </c>
      <c r="G7" s="37" t="s">
        <v>236</v>
      </c>
      <c r="H7" s="37" t="s">
        <v>237</v>
      </c>
      <c r="I7" s="68" t="s">
        <v>238</v>
      </c>
    </row>
    <row r="8" spans="2:9" ht="15.75" customHeight="1" x14ac:dyDescent="0.35">
      <c r="E8" s="35"/>
      <c r="F8" s="35"/>
      <c r="G8" s="35"/>
      <c r="H8" s="35"/>
      <c r="I8" s="35"/>
    </row>
    <row r="9" spans="2:9" ht="15.75" customHeight="1" x14ac:dyDescent="0.35">
      <c r="B9" s="31" t="s">
        <v>167</v>
      </c>
      <c r="E9" s="48">
        <f>'P&amp;L'!C22</f>
        <v>6459.5405749999982</v>
      </c>
      <c r="F9" s="48">
        <f>'P&amp;L'!D22</f>
        <v>97537.293012374983</v>
      </c>
      <c r="G9" s="48">
        <f>'P&amp;L'!E22</f>
        <v>112260.00105238604</v>
      </c>
      <c r="H9" s="48">
        <f>'P&amp;L'!F22</f>
        <v>152663.24693456161</v>
      </c>
      <c r="I9" s="48">
        <f>'P&amp;L'!G22</f>
        <v>207124.67535215287</v>
      </c>
    </row>
    <row r="10" spans="2:9" ht="15.75" customHeight="1" x14ac:dyDescent="0.35">
      <c r="B10" s="31" t="s">
        <v>168</v>
      </c>
      <c r="E10" s="134">
        <f>IF(D11&lt;0,D11,0)</f>
        <v>0</v>
      </c>
      <c r="F10" s="134">
        <f t="shared" ref="F10" si="0">IF(E11&lt;0,E11,0)</f>
        <v>0</v>
      </c>
      <c r="G10" s="134">
        <f t="shared" ref="G10" si="1">IF(F11&lt;0,F11,0)</f>
        <v>0</v>
      </c>
      <c r="H10" s="134">
        <f t="shared" ref="H10" si="2">IF(G11&lt;0,G11,0)</f>
        <v>0</v>
      </c>
      <c r="I10" s="134">
        <f t="shared" ref="I10" si="3">IF(H11&lt;0,H11,0)</f>
        <v>0</v>
      </c>
    </row>
    <row r="11" spans="2:9" ht="15.75" customHeight="1" x14ac:dyDescent="0.35">
      <c r="B11" s="41" t="s">
        <v>169</v>
      </c>
      <c r="C11" s="41"/>
      <c r="D11" s="41"/>
      <c r="E11" s="42">
        <f t="shared" ref="E11:F11" si="4">SUM(E9:E10)</f>
        <v>6459.5405749999982</v>
      </c>
      <c r="F11" s="42">
        <f t="shared" si="4"/>
        <v>97537.293012374983</v>
      </c>
      <c r="G11" s="42">
        <f t="shared" ref="G11:I11" si="5">SUM(G9:G10)</f>
        <v>112260.00105238604</v>
      </c>
      <c r="H11" s="42">
        <f t="shared" si="5"/>
        <v>152663.24693456161</v>
      </c>
      <c r="I11" s="42">
        <f t="shared" si="5"/>
        <v>207124.67535215287</v>
      </c>
    </row>
    <row r="12" spans="2:9" ht="15.75" customHeight="1" x14ac:dyDescent="0.35">
      <c r="E12" s="48"/>
      <c r="F12" s="48"/>
      <c r="G12" s="48"/>
      <c r="H12" s="48"/>
      <c r="I12" s="48"/>
    </row>
    <row r="13" spans="2:9" ht="15.75" customHeight="1" x14ac:dyDescent="0.35">
      <c r="B13" s="32" t="s">
        <v>170</v>
      </c>
      <c r="C13" s="32"/>
      <c r="E13" s="160">
        <f t="shared" ref="E13:F13" si="6">IF(E11&lt;0,0,E11)</f>
        <v>6459.5405749999982</v>
      </c>
      <c r="F13" s="160">
        <f t="shared" si="6"/>
        <v>97537.293012374983</v>
      </c>
      <c r="G13" s="160">
        <f t="shared" ref="G13:I13" si="7">IF(G11&lt;0,0,G11)</f>
        <v>112260.00105238604</v>
      </c>
      <c r="H13" s="160">
        <f t="shared" si="7"/>
        <v>152663.24693456161</v>
      </c>
      <c r="I13" s="160">
        <f t="shared" si="7"/>
        <v>207124.67535215287</v>
      </c>
    </row>
    <row r="14" spans="2:9" ht="15.75" customHeight="1" x14ac:dyDescent="0.35">
      <c r="E14" s="48"/>
      <c r="F14" s="48"/>
      <c r="G14" s="48"/>
      <c r="H14" s="48"/>
      <c r="I14" s="48"/>
    </row>
    <row r="15" spans="2:9" ht="15.75" customHeight="1" x14ac:dyDescent="0.35">
      <c r="B15" s="31" t="s">
        <v>43</v>
      </c>
      <c r="C15" s="379">
        <v>0.125</v>
      </c>
      <c r="E15" s="48">
        <f t="shared" ref="E15:F15" si="8">ROUND(E13*$C15,0)</f>
        <v>807</v>
      </c>
      <c r="F15" s="48">
        <f t="shared" si="8"/>
        <v>12192</v>
      </c>
      <c r="G15" s="48">
        <f>ROUND(G13*$C15,0)</f>
        <v>14033</v>
      </c>
      <c r="H15" s="48">
        <f>ROUND(H13*$C15,0)</f>
        <v>19083</v>
      </c>
      <c r="I15" s="48">
        <f>ROUND(I13*$C15,0)</f>
        <v>25891</v>
      </c>
    </row>
    <row r="16" spans="2:9" ht="15.75" customHeight="1" x14ac:dyDescent="0.35">
      <c r="B16" s="31" t="s">
        <v>171</v>
      </c>
      <c r="C16" s="379">
        <v>0.19650000000000001</v>
      </c>
      <c r="E16" s="48">
        <f>C13*70%*$C16</f>
        <v>0</v>
      </c>
      <c r="F16" s="48">
        <f>D13*70%*$C16</f>
        <v>0</v>
      </c>
      <c r="G16" s="48">
        <f t="shared" ref="G16" si="9">E13*70%*$C16</f>
        <v>888.50980609124986</v>
      </c>
      <c r="H16" s="48">
        <f t="shared" ref="H16" si="10">F13*70%*$C16</f>
        <v>13416.254653852178</v>
      </c>
      <c r="I16" s="48">
        <f t="shared" ref="I16" si="11">G13*70%*$C16</f>
        <v>15441.363144755698</v>
      </c>
    </row>
    <row r="17" spans="2:9" ht="15.75" customHeight="1" thickBot="1" x14ac:dyDescent="0.4">
      <c r="B17" s="32" t="s">
        <v>172</v>
      </c>
      <c r="C17" s="32"/>
      <c r="D17" s="32"/>
      <c r="E17" s="161">
        <f t="shared" ref="E17:F17" si="12">SUM(E15:E16)</f>
        <v>807</v>
      </c>
      <c r="F17" s="161">
        <f t="shared" si="12"/>
        <v>12192</v>
      </c>
      <c r="G17" s="161">
        <f t="shared" ref="G17:I17" si="13">SUM(G15:G16)</f>
        <v>14921.50980609125</v>
      </c>
      <c r="H17" s="161">
        <f t="shared" si="13"/>
        <v>32499.254653852178</v>
      </c>
      <c r="I17" s="161">
        <f t="shared" si="13"/>
        <v>41332.363144755698</v>
      </c>
    </row>
    <row r="18" spans="2:9" ht="15.75" customHeight="1" thickTop="1" x14ac:dyDescent="0.35"/>
    <row r="19" spans="2:9" ht="15.75" customHeight="1" x14ac:dyDescent="0.35">
      <c r="E19" s="35"/>
      <c r="F19" s="35"/>
      <c r="G19" s="35"/>
      <c r="H19" s="35"/>
      <c r="I19" s="35"/>
    </row>
    <row r="20" spans="2:9" ht="15.75" customHeight="1" x14ac:dyDescent="0.35">
      <c r="B20" s="32"/>
      <c r="C20" s="32"/>
    </row>
    <row r="21" spans="2:9" ht="15.75" customHeight="1" x14ac:dyDescent="0.35">
      <c r="B21" s="32"/>
      <c r="C21" s="32"/>
    </row>
  </sheetData>
  <phoneticPr fontId="0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8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>
    <pageSetUpPr fitToPage="1"/>
  </sheetPr>
  <dimension ref="B1:O34"/>
  <sheetViews>
    <sheetView zoomScaleNormal="100" workbookViewId="0">
      <selection activeCell="B15" sqref="B15"/>
    </sheetView>
  </sheetViews>
  <sheetFormatPr defaultColWidth="9.08984375" defaultRowHeight="14.5" x14ac:dyDescent="0.35"/>
  <cols>
    <col min="1" max="1" width="5.6328125" style="31" customWidth="1"/>
    <col min="2" max="2" width="34.81640625" style="31" bestFit="1" customWidth="1"/>
    <col min="3" max="3" width="1.54296875" style="31" customWidth="1"/>
    <col min="4" max="4" width="12.36328125" style="31" bestFit="1" customWidth="1"/>
    <col min="5" max="7" width="13.453125" style="31" bestFit="1" customWidth="1"/>
    <col min="8" max="8" width="14.08984375" style="31" bestFit="1" customWidth="1"/>
    <col min="9" max="9" width="5.36328125" style="31" customWidth="1"/>
    <col min="10" max="10" width="25.6328125" style="31" customWidth="1"/>
    <col min="11" max="11" width="10.08984375" style="31" bestFit="1" customWidth="1"/>
    <col min="12" max="15" width="11.6328125" style="31" bestFit="1" customWidth="1"/>
    <col min="16" max="16384" width="9.08984375" style="31"/>
  </cols>
  <sheetData>
    <row r="1" spans="2:15" x14ac:dyDescent="0.35">
      <c r="B1" s="32"/>
    </row>
    <row r="2" spans="2:15" ht="21" x14ac:dyDescent="0.35">
      <c r="B2" s="56" t="str">
        <f>Summary!B2</f>
        <v>Cursa Platform</v>
      </c>
      <c r="C2" s="54"/>
      <c r="D2" s="54"/>
      <c r="E2" s="54"/>
      <c r="F2" s="54"/>
      <c r="G2" s="54"/>
      <c r="H2" s="54"/>
    </row>
    <row r="3" spans="2:15" ht="6.75" customHeight="1" x14ac:dyDescent="0.5">
      <c r="B3" s="50"/>
    </row>
    <row r="4" spans="2:15" ht="21" x14ac:dyDescent="0.35">
      <c r="B4" s="57" t="s">
        <v>107</v>
      </c>
      <c r="C4" s="54"/>
      <c r="D4" s="54"/>
      <c r="E4" s="54"/>
      <c r="F4" s="54"/>
      <c r="G4" s="54"/>
      <c r="H4" s="54"/>
    </row>
    <row r="5" spans="2:15" x14ac:dyDescent="0.35">
      <c r="B5" s="53"/>
      <c r="C5" s="54"/>
      <c r="D5" s="54"/>
      <c r="E5" s="54"/>
      <c r="F5" s="54"/>
      <c r="G5" s="54"/>
      <c r="H5" s="54"/>
    </row>
    <row r="6" spans="2:15" x14ac:dyDescent="0.35">
      <c r="B6" s="32"/>
    </row>
    <row r="7" spans="2:15" x14ac:dyDescent="0.35">
      <c r="D7" s="36" t="s">
        <v>234</v>
      </c>
      <c r="E7" s="37" t="s">
        <v>235</v>
      </c>
      <c r="F7" s="37" t="s">
        <v>236</v>
      </c>
      <c r="G7" s="37" t="s">
        <v>237</v>
      </c>
      <c r="H7" s="68" t="s">
        <v>238</v>
      </c>
      <c r="K7" s="390" t="s">
        <v>234</v>
      </c>
      <c r="L7" s="391" t="s">
        <v>235</v>
      </c>
      <c r="M7" s="391" t="s">
        <v>236</v>
      </c>
      <c r="N7" s="391" t="s">
        <v>237</v>
      </c>
      <c r="O7" s="392" t="s">
        <v>238</v>
      </c>
    </row>
    <row r="8" spans="2:15" x14ac:dyDescent="0.35">
      <c r="J8" s="387" t="s">
        <v>380</v>
      </c>
      <c r="K8" s="393">
        <f>'P&amp;L'!C9</f>
        <v>90591.285000000003</v>
      </c>
      <c r="L8" s="393">
        <f>'P&amp;L'!D9</f>
        <v>508786.93852500006</v>
      </c>
      <c r="M8" s="393">
        <f>'P&amp;L'!E9</f>
        <v>667364.92847377504</v>
      </c>
      <c r="N8" s="393">
        <f>'P&amp;L'!F9</f>
        <v>877426.88274134183</v>
      </c>
      <c r="O8" s="394">
        <f>'P&amp;L'!G9</f>
        <v>1155889.2073031433</v>
      </c>
    </row>
    <row r="9" spans="2:15" x14ac:dyDescent="0.35">
      <c r="B9" s="162" t="s">
        <v>117</v>
      </c>
      <c r="C9" s="162"/>
      <c r="D9" s="48">
        <f>SUM('P&amp;L'!C14:C17)</f>
        <v>-11658.716425000001</v>
      </c>
      <c r="E9" s="48">
        <f>SUM('P&amp;L'!D14:D17)</f>
        <v>-14285.694692625</v>
      </c>
      <c r="F9" s="48">
        <f>SUM('P&amp;L'!E14:E17)</f>
        <v>-31278.584642368878</v>
      </c>
      <c r="G9" s="48">
        <f>SUM('P&amp;L'!F14:F17)</f>
        <v>-32887.72961370671</v>
      </c>
      <c r="H9" s="48">
        <f>SUM('P&amp;L'!G14:G17)</f>
        <v>-34850.053140515723</v>
      </c>
      <c r="J9" s="388" t="s">
        <v>146</v>
      </c>
      <c r="K9" s="395">
        <f>'P&amp;L'!C12</f>
        <v>0.19999999999999996</v>
      </c>
      <c r="L9" s="395">
        <f>'P&amp;L'!D12</f>
        <v>0.2197835267335688</v>
      </c>
      <c r="M9" s="395">
        <f>'P&amp;L'!E12</f>
        <v>0.21508260259198717</v>
      </c>
      <c r="N9" s="395">
        <f>'P&amp;L'!F12</f>
        <v>0.21147172510665738</v>
      </c>
      <c r="O9" s="396">
        <f>'P&amp;L'!G12</f>
        <v>0.20870810103287016</v>
      </c>
    </row>
    <row r="10" spans="2:15" x14ac:dyDescent="0.35">
      <c r="D10" s="48"/>
      <c r="E10" s="48"/>
      <c r="F10" s="48"/>
      <c r="G10" s="48"/>
      <c r="H10" s="48"/>
      <c r="J10" s="388" t="s">
        <v>379</v>
      </c>
      <c r="K10" s="397">
        <f>-D9</f>
        <v>11658.716425000001</v>
      </c>
      <c r="L10" s="397">
        <f t="shared" ref="L10:O10" si="0">-E9</f>
        <v>14285.694692625</v>
      </c>
      <c r="M10" s="397">
        <f t="shared" si="0"/>
        <v>31278.584642368878</v>
      </c>
      <c r="N10" s="397">
        <f t="shared" si="0"/>
        <v>32887.72961370671</v>
      </c>
      <c r="O10" s="398">
        <f t="shared" si="0"/>
        <v>34850.053140515723</v>
      </c>
    </row>
    <row r="11" spans="2:15" x14ac:dyDescent="0.35">
      <c r="B11" s="31" t="s">
        <v>281</v>
      </c>
      <c r="D11" s="48">
        <f>IF(ISERROR(-D9/'P&amp;L'!C12)=TRUE,0,-D9/'P&amp;L'!C12)</f>
        <v>58293.582125000015</v>
      </c>
      <c r="E11" s="48">
        <f>IF(ISERROR(-E9/'P&amp;L'!D12)=TRUE,0,-E9/'P&amp;L'!D12)</f>
        <v>64998.932836048007</v>
      </c>
      <c r="F11" s="48">
        <f>IF(ISERROR(-F9/'P&amp;L'!E12)=TRUE,0,-F9/'P&amp;L'!E12)</f>
        <v>145425.91667306778</v>
      </c>
      <c r="G11" s="48">
        <f>IF(ISERROR(-G9/'P&amp;L'!F12)=TRUE,0,-G9/'P&amp;L'!F12)</f>
        <v>155518.33039201592</v>
      </c>
      <c r="H11" s="48">
        <f>IF(ISERROR(-H9/'P&amp;L'!G12)=TRUE,0,-H9/'P&amp;L'!G12)</f>
        <v>166979.877484617</v>
      </c>
      <c r="J11" s="388" t="s">
        <v>381</v>
      </c>
      <c r="K11" s="399">
        <f>K10/K9</f>
        <v>58293.582125000015</v>
      </c>
      <c r="L11" s="399">
        <f t="shared" ref="L11:O11" si="1">L10/L9</f>
        <v>64998.932836048007</v>
      </c>
      <c r="M11" s="399">
        <f t="shared" si="1"/>
        <v>145425.91667306778</v>
      </c>
      <c r="N11" s="399">
        <f t="shared" si="1"/>
        <v>155518.33039201592</v>
      </c>
      <c r="O11" s="400">
        <f t="shared" si="1"/>
        <v>166979.877484617</v>
      </c>
    </row>
    <row r="12" spans="2:15" x14ac:dyDescent="0.35">
      <c r="J12" s="389" t="s">
        <v>378</v>
      </c>
      <c r="K12" s="401">
        <f>K11/K8</f>
        <v>0.64347891880549013</v>
      </c>
      <c r="L12" s="401">
        <f t="shared" ref="L12:O12" si="2">L11/L8</f>
        <v>0.12775275447220266</v>
      </c>
      <c r="M12" s="401">
        <f t="shared" si="2"/>
        <v>0.21791063699683536</v>
      </c>
      <c r="N12" s="401">
        <f t="shared" si="2"/>
        <v>0.17724363528289733</v>
      </c>
      <c r="O12" s="402">
        <f t="shared" si="2"/>
        <v>0.14446010606345672</v>
      </c>
    </row>
    <row r="13" spans="2:15" x14ac:dyDescent="0.35">
      <c r="B13" s="32" t="s">
        <v>158</v>
      </c>
      <c r="C13" s="32"/>
    </row>
    <row r="14" spans="2:15" x14ac:dyDescent="0.35">
      <c r="B14" s="31" t="str">
        <f>Revenue!B11</f>
        <v>Courier services - documents and parcels</v>
      </c>
      <c r="C14" s="32"/>
      <c r="D14" s="47">
        <f>IF(Revenue!O$18=0,0,Revenue!O11/Revenue!O$18)</f>
        <v>0.25049694349737944</v>
      </c>
      <c r="E14" s="47">
        <f>IF(Revenue!P$18=0,0,Revenue!P11/Revenue!P$18)</f>
        <v>0.25324961323406453</v>
      </c>
      <c r="F14" s="47">
        <f>IF(Revenue!Q$18=0,0,Revenue!Q11/Revenue!Q$18)</f>
        <v>0.25852463978765977</v>
      </c>
      <c r="G14" s="47">
        <f>IF(Revenue!R$18=0,0,Revenue!R11/Revenue!R$18)</f>
        <v>0.26329036235235304</v>
      </c>
      <c r="H14" s="47">
        <f>IF(Revenue!S$18=0,0,Revenue!S11/Revenue!S$18)</f>
        <v>0.26761488570230135</v>
      </c>
    </row>
    <row r="15" spans="2:15" x14ac:dyDescent="0.35">
      <c r="B15" s="31" t="str">
        <f>Revenue!B12</f>
        <v>Corporate logistics services</v>
      </c>
      <c r="C15" s="32"/>
      <c r="D15" s="47">
        <f>IF(Revenue!O$18=0,0,Revenue!O12/Revenue!O$18)</f>
        <v>0.43836965112041404</v>
      </c>
      <c r="E15" s="47">
        <f>IF(Revenue!P$18=0,0,Revenue!P12/Revenue!P$18)</f>
        <v>0.44318682315961294</v>
      </c>
      <c r="F15" s="47">
        <f>IF(Revenue!Q$18=0,0,Revenue!Q12/Revenue!Q$18)</f>
        <v>0.45241811962840467</v>
      </c>
      <c r="G15" s="47">
        <f>IF(Revenue!R$18=0,0,Revenue!R12/Revenue!R$18)</f>
        <v>0.46075813411661792</v>
      </c>
      <c r="H15" s="47">
        <f>IF(Revenue!S$18=0,0,Revenue!S12/Revenue!S$18)</f>
        <v>0.46832604997902749</v>
      </c>
    </row>
    <row r="16" spans="2:15" x14ac:dyDescent="0.35">
      <c r="B16" s="31" t="str">
        <f>Revenue!B13</f>
        <v>Freight services</v>
      </c>
      <c r="C16" s="32"/>
      <c r="D16" s="47">
        <f>IF(Revenue!O$18=0,0,Revenue!O13/Revenue!O$18)</f>
        <v>0.21719705157068916</v>
      </c>
      <c r="E16" s="47">
        <f>IF(Revenue!P$18=0,0,Revenue!P13/Revenue!P$18)</f>
        <v>0.18386555022658732</v>
      </c>
      <c r="F16" s="47">
        <f>IF(Revenue!Q$18=0,0,Revenue!Q13/Revenue!Q$18)</f>
        <v>0.17325724742357904</v>
      </c>
      <c r="G16" s="47">
        <f>IF(Revenue!R$18=0,0,Revenue!R13/Revenue!R$18)</f>
        <v>0.16287796126557486</v>
      </c>
      <c r="H16" s="47">
        <f>IF(Revenue!S$18=0,0,Revenue!S13/Revenue!S$18)</f>
        <v>0.15281835588922046</v>
      </c>
    </row>
    <row r="17" spans="2:8" x14ac:dyDescent="0.35">
      <c r="B17" s="31" t="str">
        <f>Revenue!B14</f>
        <v>Concierge services</v>
      </c>
      <c r="C17" s="32"/>
      <c r="D17" s="47">
        <f>IF(Revenue!O$18=0,0,Revenue!O14/Revenue!O$18)</f>
        <v>9.3936353811517298E-2</v>
      </c>
      <c r="E17" s="47">
        <f>IF(Revenue!P$18=0,0,Revenue!P14/Revenue!P$18)</f>
        <v>9.4968604962774192E-2</v>
      </c>
      <c r="F17" s="47">
        <f>IF(Revenue!Q$18=0,0,Revenue!Q14/Revenue!Q$18)</f>
        <v>9.6946739920372435E-2</v>
      </c>
      <c r="G17" s="47">
        <f>IF(Revenue!R$18=0,0,Revenue!R14/Revenue!R$18)</f>
        <v>9.8733885882132374E-2</v>
      </c>
      <c r="H17" s="47">
        <f>IF(Revenue!S$18=0,0,Revenue!S14/Revenue!S$18)</f>
        <v>0.10035558213836299</v>
      </c>
    </row>
    <row r="19" spans="2:8" x14ac:dyDescent="0.35">
      <c r="B19" s="32" t="s">
        <v>122</v>
      </c>
      <c r="C19" s="32"/>
    </row>
    <row r="20" spans="2:8" x14ac:dyDescent="0.35">
      <c r="B20" s="31" t="str">
        <f>B14</f>
        <v>Courier services - documents and parcels</v>
      </c>
      <c r="C20" s="32"/>
      <c r="D20" s="48">
        <f>D$11*D14</f>
        <v>14602.364147825978</v>
      </c>
      <c r="E20" s="48">
        <f t="shared" ref="E20:H20" si="3">E$11*E14</f>
        <v>16460.954601356094</v>
      </c>
      <c r="F20" s="48">
        <f t="shared" si="3"/>
        <v>37596.18272369507</v>
      </c>
      <c r="G20" s="48">
        <f t="shared" si="3"/>
        <v>40946.47756134683</v>
      </c>
      <c r="H20" s="48">
        <f t="shared" si="3"/>
        <v>44686.300827630061</v>
      </c>
    </row>
    <row r="21" spans="2:8" x14ac:dyDescent="0.35">
      <c r="B21" s="31" t="str">
        <f t="shared" ref="B21:B23" si="4">B15</f>
        <v>Corporate logistics services</v>
      </c>
      <c r="C21" s="32"/>
      <c r="D21" s="48">
        <f t="shared" ref="D21:H23" si="5">D$11*D15</f>
        <v>25554.13725869546</v>
      </c>
      <c r="E21" s="48">
        <f t="shared" si="5"/>
        <v>28806.670552373165</v>
      </c>
      <c r="F21" s="48">
        <f t="shared" si="5"/>
        <v>65793.319766466389</v>
      </c>
      <c r="G21" s="48">
        <f t="shared" si="5"/>
        <v>71656.335732356965</v>
      </c>
      <c r="H21" s="48">
        <f t="shared" si="5"/>
        <v>78201.026448352626</v>
      </c>
    </row>
    <row r="22" spans="2:8" x14ac:dyDescent="0.35">
      <c r="B22" s="31" t="str">
        <f t="shared" si="4"/>
        <v>Freight services</v>
      </c>
      <c r="C22" s="32"/>
      <c r="D22" s="48">
        <f t="shared" si="5"/>
        <v>12661.194163043832</v>
      </c>
      <c r="E22" s="48">
        <f t="shared" si="5"/>
        <v>11951.064550040961</v>
      </c>
      <c r="F22" s="48">
        <f t="shared" si="5"/>
        <v>25196.094026826493</v>
      </c>
      <c r="G22" s="48">
        <f t="shared" si="5"/>
        <v>25330.508593677641</v>
      </c>
      <c r="H22" s="48">
        <f t="shared" si="5"/>
        <v>25517.590343782631</v>
      </c>
    </row>
    <row r="23" spans="2:8" x14ac:dyDescent="0.35">
      <c r="B23" s="31" t="str">
        <f t="shared" si="4"/>
        <v>Concierge services</v>
      </c>
      <c r="C23" s="32"/>
      <c r="D23" s="48">
        <f t="shared" si="5"/>
        <v>5475.8865554347421</v>
      </c>
      <c r="E23" s="48">
        <f t="shared" si="5"/>
        <v>6172.8579755085348</v>
      </c>
      <c r="F23" s="48">
        <f t="shared" si="5"/>
        <v>14098.568521385656</v>
      </c>
      <c r="G23" s="48">
        <f t="shared" si="5"/>
        <v>15354.929085505059</v>
      </c>
      <c r="H23" s="48">
        <f t="shared" si="5"/>
        <v>16757.362810361268</v>
      </c>
    </row>
    <row r="25" spans="2:8" x14ac:dyDescent="0.35">
      <c r="B25" s="32" t="s">
        <v>134</v>
      </c>
      <c r="C25" s="32"/>
      <c r="D25" s="163"/>
      <c r="E25" s="164"/>
    </row>
    <row r="26" spans="2:8" x14ac:dyDescent="0.35">
      <c r="B26" s="31" t="str">
        <f>B14</f>
        <v>Courier services - documents and parcels</v>
      </c>
      <c r="C26" s="32"/>
      <c r="D26" s="52" t="e">
        <f>D20/(Revenue!#REF!*Revenue!#REF!)</f>
        <v>#REF!</v>
      </c>
      <c r="E26" s="52" t="e">
        <f>E20/(Revenue!#REF!*Revenue!#REF!)</f>
        <v>#REF!</v>
      </c>
      <c r="F26" s="52" t="e">
        <f>F20/(Revenue!#REF!*Revenue!#REF!)</f>
        <v>#REF!</v>
      </c>
      <c r="G26" s="52" t="e">
        <f>G20/(Revenue!#REF!*Revenue!#REF!)</f>
        <v>#REF!</v>
      </c>
      <c r="H26" s="52" t="e">
        <f>H20/(Revenue!#REF!*Revenue!#REF!)</f>
        <v>#REF!</v>
      </c>
    </row>
    <row r="27" spans="2:8" x14ac:dyDescent="0.35">
      <c r="B27" s="31" t="str">
        <f t="shared" ref="B27:B28" si="6">B15</f>
        <v>Corporate logistics services</v>
      </c>
      <c r="C27" s="32"/>
      <c r="D27" s="52"/>
      <c r="E27" s="52"/>
      <c r="F27" s="52"/>
      <c r="G27" s="52"/>
      <c r="H27" s="52"/>
    </row>
    <row r="28" spans="2:8" x14ac:dyDescent="0.35">
      <c r="B28" s="31" t="str">
        <f t="shared" si="6"/>
        <v>Freight services</v>
      </c>
      <c r="C28" s="32"/>
      <c r="D28" s="52"/>
      <c r="E28" s="52"/>
      <c r="F28" s="52"/>
      <c r="G28" s="52"/>
      <c r="H28" s="52"/>
    </row>
    <row r="29" spans="2:8" x14ac:dyDescent="0.35">
      <c r="B29" s="31" t="str">
        <f>B17</f>
        <v>Concierge services</v>
      </c>
      <c r="C29" s="39"/>
      <c r="D29" s="165" t="e">
        <f>D26/CoS!#REF!</f>
        <v>#REF!</v>
      </c>
      <c r="E29" s="165" t="e">
        <f>E26/CoS!#REF!</f>
        <v>#REF!</v>
      </c>
      <c r="F29" s="165" t="e">
        <f>F26/CoS!#REF!</f>
        <v>#REF!</v>
      </c>
      <c r="G29" s="165" t="e">
        <f>G26/CoS!#REF!</f>
        <v>#REF!</v>
      </c>
      <c r="H29" s="165" t="e">
        <f>H26/CoS!#REF!</f>
        <v>#REF!</v>
      </c>
    </row>
    <row r="31" spans="2:8" ht="16.5" customHeight="1" x14ac:dyDescent="0.35">
      <c r="B31" s="166"/>
      <c r="D31" s="167" t="s">
        <v>234</v>
      </c>
      <c r="E31" s="168" t="s">
        <v>235</v>
      </c>
      <c r="F31" s="168" t="s">
        <v>236</v>
      </c>
      <c r="G31" s="168" t="s">
        <v>237</v>
      </c>
      <c r="H31" s="252" t="s">
        <v>238</v>
      </c>
    </row>
    <row r="32" spans="2:8" ht="16.5" customHeight="1" x14ac:dyDescent="0.35">
      <c r="B32" s="169" t="s">
        <v>154</v>
      </c>
      <c r="D32" s="171">
        <f>D11</f>
        <v>58293.582125000015</v>
      </c>
      <c r="E32" s="172">
        <f t="shared" ref="E32:H32" si="7">E11</f>
        <v>64998.932836048007</v>
      </c>
      <c r="F32" s="172">
        <f t="shared" si="7"/>
        <v>145425.91667306778</v>
      </c>
      <c r="G32" s="172">
        <f t="shared" si="7"/>
        <v>155518.33039201592</v>
      </c>
      <c r="H32" s="253">
        <f t="shared" si="7"/>
        <v>166979.877484617</v>
      </c>
    </row>
    <row r="33" spans="2:8" ht="18.75" customHeight="1" x14ac:dyDescent="0.35">
      <c r="B33" s="170" t="s">
        <v>155</v>
      </c>
      <c r="D33" s="173">
        <f>'P&amp;L'!C9</f>
        <v>90591.285000000003</v>
      </c>
      <c r="E33" s="174">
        <f>'P&amp;L'!D9</f>
        <v>508786.93852500006</v>
      </c>
      <c r="F33" s="174">
        <f>'P&amp;L'!E9</f>
        <v>667364.92847377504</v>
      </c>
      <c r="G33" s="174">
        <f>'P&amp;L'!F9</f>
        <v>877426.88274134183</v>
      </c>
      <c r="H33" s="254">
        <f>'P&amp;L'!G9</f>
        <v>1155889.2073031433</v>
      </c>
    </row>
    <row r="34" spans="2:8" x14ac:dyDescent="0.35">
      <c r="D34" s="133">
        <f>D32/D33</f>
        <v>0.64347891880549013</v>
      </c>
      <c r="E34" s="133">
        <f t="shared" ref="E34:H34" si="8">E32/E33</f>
        <v>0.12775275447220266</v>
      </c>
      <c r="F34" s="133">
        <f t="shared" si="8"/>
        <v>0.21791063699683536</v>
      </c>
      <c r="G34" s="133">
        <f t="shared" si="8"/>
        <v>0.17724363528289733</v>
      </c>
      <c r="H34" s="133">
        <f t="shared" si="8"/>
        <v>0.14446010606345672</v>
      </c>
    </row>
  </sheetData>
  <phoneticPr fontId="0" type="noConversion"/>
  <printOptions horizontalCentered="1"/>
  <pageMargins left="0.39370078740157483" right="0.39370078740157483" top="0.78740157480314965" bottom="0.39370078740157483" header="0.51181102362204722" footer="0.51181102362204722"/>
  <pageSetup paperSize="9" scale="94" orientation="portrait" horizontalDpi="300" verticalDpi="300" r:id="rId1"/>
  <headerFooter alignWithMargins="0"/>
  <rowBreaks count="2" manualBreakCount="2">
    <brk id="24" min="1" max="9" man="1"/>
    <brk id="33" min="1" max="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O79"/>
  <sheetViews>
    <sheetView zoomScaleNormal="100" workbookViewId="0">
      <selection activeCell="K8" sqref="K8:O15"/>
    </sheetView>
  </sheetViews>
  <sheetFormatPr defaultColWidth="9.08984375" defaultRowHeight="14.5" x14ac:dyDescent="0.35"/>
  <cols>
    <col min="1" max="1" width="2.54296875" style="176" customWidth="1"/>
    <col min="2" max="2" width="29.453125" style="31" customWidth="1"/>
    <col min="3" max="3" width="9.6328125" style="31" customWidth="1"/>
    <col min="4" max="8" width="13" style="31" customWidth="1"/>
    <col min="9" max="9" width="13.36328125" style="176" customWidth="1"/>
    <col min="10" max="10" width="26.453125" style="176" bestFit="1" customWidth="1"/>
    <col min="11" max="11" width="9.6328125" style="176" bestFit="1" customWidth="1"/>
    <col min="12" max="12" width="10.6328125" style="176" bestFit="1" customWidth="1"/>
    <col min="13" max="16384" width="9.08984375" style="176"/>
  </cols>
  <sheetData>
    <row r="1" spans="2:15" s="31" customFormat="1" x14ac:dyDescent="0.35">
      <c r="B1" s="32"/>
      <c r="C1" s="32"/>
    </row>
    <row r="2" spans="2:15" s="31" customFormat="1" ht="21" x14ac:dyDescent="0.35">
      <c r="B2" s="56" t="str">
        <f>Summary!B2</f>
        <v>Cursa Platform</v>
      </c>
      <c r="C2" s="53"/>
      <c r="D2" s="54"/>
      <c r="E2" s="54"/>
      <c r="F2" s="54"/>
      <c r="G2" s="54"/>
      <c r="H2" s="54"/>
    </row>
    <row r="3" spans="2:15" s="31" customFormat="1" ht="21" x14ac:dyDescent="0.35">
      <c r="B3" s="57" t="s">
        <v>213</v>
      </c>
      <c r="C3" s="118"/>
      <c r="D3" s="175"/>
      <c r="E3" s="175"/>
      <c r="F3" s="175"/>
      <c r="G3" s="175"/>
      <c r="H3" s="175"/>
    </row>
    <row r="4" spans="2:15" s="31" customFormat="1" x14ac:dyDescent="0.35">
      <c r="B4" s="118"/>
      <c r="C4" s="118"/>
      <c r="D4" s="175"/>
      <c r="E4" s="175"/>
      <c r="F4" s="175"/>
      <c r="G4" s="175"/>
      <c r="H4" s="175"/>
    </row>
    <row r="5" spans="2:15" s="31" customFormat="1" x14ac:dyDescent="0.35">
      <c r="B5" s="32"/>
      <c r="C5" s="32"/>
    </row>
    <row r="6" spans="2:15" s="31" customFormat="1" x14ac:dyDescent="0.35">
      <c r="D6" s="36" t="s">
        <v>234</v>
      </c>
      <c r="E6" s="37" t="s">
        <v>235</v>
      </c>
      <c r="F6" s="37" t="s">
        <v>236</v>
      </c>
      <c r="G6" s="37" t="s">
        <v>237</v>
      </c>
      <c r="H6" s="68" t="s">
        <v>238</v>
      </c>
      <c r="J6" s="362"/>
      <c r="K6" s="390" t="s">
        <v>234</v>
      </c>
      <c r="L6" s="391" t="s">
        <v>235</v>
      </c>
      <c r="M6" s="391" t="s">
        <v>236</v>
      </c>
      <c r="N6" s="391" t="s">
        <v>237</v>
      </c>
      <c r="O6" s="392" t="s">
        <v>238</v>
      </c>
    </row>
    <row r="7" spans="2:15" s="31" customFormat="1" x14ac:dyDescent="0.35">
      <c r="E7" s="35"/>
      <c r="F7" s="35"/>
      <c r="G7" s="35"/>
      <c r="H7" s="35"/>
      <c r="J7" s="419" t="s">
        <v>409</v>
      </c>
      <c r="K7" s="406"/>
      <c r="L7" s="407"/>
      <c r="M7" s="407"/>
      <c r="N7" s="407"/>
      <c r="O7" s="408"/>
    </row>
    <row r="8" spans="2:15" x14ac:dyDescent="0.35">
      <c r="B8" s="32" t="s">
        <v>185</v>
      </c>
      <c r="C8" s="32"/>
      <c r="G8" s="177"/>
      <c r="H8" s="177"/>
      <c r="J8" s="404" t="s">
        <v>405</v>
      </c>
      <c r="K8" s="409">
        <f>D68</f>
        <v>0.84968148803812438</v>
      </c>
      <c r="L8" s="410">
        <f t="shared" ref="L8:O8" si="0">E68</f>
        <v>0.92768807356010463</v>
      </c>
      <c r="M8" s="410">
        <f t="shared" si="0"/>
        <v>0.51410362661156417</v>
      </c>
      <c r="N8" s="410">
        <f t="shared" si="0"/>
        <v>0.38825159664150372</v>
      </c>
      <c r="O8" s="411">
        <f t="shared" si="0"/>
        <v>0.3488215511441366</v>
      </c>
    </row>
    <row r="9" spans="2:15" x14ac:dyDescent="0.35">
      <c r="G9" s="177"/>
      <c r="H9" s="177"/>
      <c r="J9" s="404" t="str">
        <f>J53</f>
        <v>Gross Profit Ratio (%)</v>
      </c>
      <c r="K9" s="409">
        <f>D53</f>
        <v>0.19999999999999996</v>
      </c>
      <c r="L9" s="410">
        <f t="shared" ref="L9:O9" si="1">E53</f>
        <v>0.2197835267335688</v>
      </c>
      <c r="M9" s="410">
        <f t="shared" si="1"/>
        <v>0.21508260259198717</v>
      </c>
      <c r="N9" s="410">
        <f t="shared" si="1"/>
        <v>0.21147172510665738</v>
      </c>
      <c r="O9" s="411">
        <f t="shared" si="1"/>
        <v>0.20870810103287016</v>
      </c>
    </row>
    <row r="10" spans="2:15" x14ac:dyDescent="0.35">
      <c r="B10" s="32" t="s">
        <v>186</v>
      </c>
      <c r="C10" s="32"/>
      <c r="G10" s="177"/>
      <c r="H10" s="177"/>
      <c r="J10" s="404" t="str">
        <f>J58</f>
        <v xml:space="preserve">Operating Profit Ratio (%) </v>
      </c>
      <c r="K10" s="409">
        <f>D58</f>
        <v>7.1304216238901985E-2</v>
      </c>
      <c r="L10" s="410">
        <f t="shared" ref="L10:O10" si="2">E58</f>
        <v>0.19170557580574041</v>
      </c>
      <c r="M10" s="410">
        <f t="shared" si="2"/>
        <v>0.16821381565423008</v>
      </c>
      <c r="N10" s="410">
        <f t="shared" si="2"/>
        <v>0.17398970778920786</v>
      </c>
      <c r="O10" s="411">
        <f t="shared" si="2"/>
        <v>0.1785581066213591</v>
      </c>
    </row>
    <row r="11" spans="2:15" x14ac:dyDescent="0.35">
      <c r="B11" s="31" t="s">
        <v>187</v>
      </c>
      <c r="D11" s="188">
        <f>BS!D18</f>
        <v>7459.5405749999982</v>
      </c>
      <c r="E11" s="188">
        <f>BS!E18</f>
        <v>104189.83358737497</v>
      </c>
      <c r="F11" s="188">
        <f>BS!F18</f>
        <v>204257.83463976101</v>
      </c>
      <c r="G11" s="188">
        <f>BS!G18</f>
        <v>341999.57176823134</v>
      </c>
      <c r="H11" s="188">
        <f>BS!H18</f>
        <v>516624.99246653204</v>
      </c>
      <c r="J11" s="418" t="s">
        <v>411</v>
      </c>
      <c r="K11" s="409"/>
      <c r="L11" s="410"/>
      <c r="M11" s="410"/>
      <c r="N11" s="410"/>
      <c r="O11" s="411"/>
    </row>
    <row r="12" spans="2:15" x14ac:dyDescent="0.35">
      <c r="B12" s="31" t="s">
        <v>188</v>
      </c>
      <c r="D12" s="188">
        <f>BS!D38</f>
        <v>807</v>
      </c>
      <c r="E12" s="188">
        <f>BS!E38</f>
        <v>12192</v>
      </c>
      <c r="F12" s="188">
        <f>BS!F38</f>
        <v>14921.50980609125</v>
      </c>
      <c r="G12" s="188">
        <f>BS!G38</f>
        <v>32499.254653852178</v>
      </c>
      <c r="H12" s="188">
        <f>BS!H38</f>
        <v>41332.363144755698</v>
      </c>
      <c r="J12" s="404" t="str">
        <f>J18</f>
        <v>Current Ratio</v>
      </c>
      <c r="K12" s="412">
        <f>D18</f>
        <v>9.24</v>
      </c>
      <c r="L12" s="413">
        <f t="shared" ref="L12:O12" si="3">E18</f>
        <v>8.5500000000000007</v>
      </c>
      <c r="M12" s="413">
        <f t="shared" si="3"/>
        <v>13.69</v>
      </c>
      <c r="N12" s="413">
        <f t="shared" si="3"/>
        <v>10.52</v>
      </c>
      <c r="O12" s="414">
        <f t="shared" si="3"/>
        <v>12.5</v>
      </c>
    </row>
    <row r="13" spans="2:15" x14ac:dyDescent="0.35">
      <c r="C13" s="31" t="s">
        <v>189</v>
      </c>
      <c r="D13" s="132">
        <f t="shared" ref="D13:H13" si="4">+D11-D12</f>
        <v>6652.5405749999982</v>
      </c>
      <c r="E13" s="132">
        <f t="shared" si="4"/>
        <v>91997.833587374975</v>
      </c>
      <c r="F13" s="132">
        <f t="shared" si="4"/>
        <v>189336.32483366976</v>
      </c>
      <c r="G13" s="132">
        <f t="shared" si="4"/>
        <v>309500.31711437914</v>
      </c>
      <c r="H13" s="132">
        <f t="shared" si="4"/>
        <v>475292.62932177633</v>
      </c>
      <c r="J13" s="418" t="s">
        <v>410</v>
      </c>
      <c r="K13" s="412"/>
      <c r="L13" s="413"/>
      <c r="M13" s="413"/>
      <c r="N13" s="413"/>
      <c r="O13" s="414"/>
    </row>
    <row r="14" spans="2:15" x14ac:dyDescent="0.35">
      <c r="D14" s="48"/>
      <c r="E14" s="186"/>
      <c r="F14" s="48"/>
      <c r="G14" s="189"/>
      <c r="H14" s="48"/>
      <c r="J14" s="404" t="s">
        <v>406</v>
      </c>
      <c r="K14" s="412">
        <f>D40</f>
        <v>0</v>
      </c>
      <c r="L14" s="413">
        <f t="shared" ref="L14:O14" si="5">E40</f>
        <v>0</v>
      </c>
      <c r="M14" s="413">
        <f t="shared" si="5"/>
        <v>0</v>
      </c>
      <c r="N14" s="413">
        <f t="shared" si="5"/>
        <v>0</v>
      </c>
      <c r="O14" s="414">
        <f t="shared" si="5"/>
        <v>0</v>
      </c>
    </row>
    <row r="15" spans="2:15" x14ac:dyDescent="0.35">
      <c r="B15" s="32" t="s">
        <v>190</v>
      </c>
      <c r="D15" s="48"/>
      <c r="E15" s="186"/>
      <c r="F15" s="48"/>
      <c r="G15" s="189"/>
      <c r="H15" s="48"/>
      <c r="J15" s="405" t="str">
        <f>J46</f>
        <v>Debt to Equity Ratio</v>
      </c>
      <c r="K15" s="415">
        <f>D45</f>
        <v>0</v>
      </c>
      <c r="L15" s="416">
        <f t="shared" ref="L15:O15" si="6">E45</f>
        <v>0</v>
      </c>
      <c r="M15" s="416">
        <f t="shared" si="6"/>
        <v>0</v>
      </c>
      <c r="N15" s="416">
        <f t="shared" si="6"/>
        <v>0</v>
      </c>
      <c r="O15" s="417">
        <f t="shared" si="6"/>
        <v>0</v>
      </c>
    </row>
    <row r="16" spans="2:15" x14ac:dyDescent="0.35">
      <c r="B16" s="31" t="s">
        <v>187</v>
      </c>
      <c r="D16" s="188">
        <f t="shared" ref="D16:D17" si="7">+D11</f>
        <v>7459.5405749999982</v>
      </c>
      <c r="E16" s="188">
        <f t="shared" ref="E16:H16" si="8">+E11</f>
        <v>104189.83358737497</v>
      </c>
      <c r="F16" s="188">
        <f t="shared" si="8"/>
        <v>204257.83463976101</v>
      </c>
      <c r="G16" s="188">
        <f t="shared" si="8"/>
        <v>341999.57176823134</v>
      </c>
      <c r="H16" s="188">
        <f t="shared" si="8"/>
        <v>516624.99246653204</v>
      </c>
    </row>
    <row r="17" spans="2:14" x14ac:dyDescent="0.35">
      <c r="B17" s="31" t="s">
        <v>188</v>
      </c>
      <c r="D17" s="188">
        <f t="shared" si="7"/>
        <v>807</v>
      </c>
      <c r="E17" s="188">
        <f t="shared" ref="E17:H17" si="9">+E12</f>
        <v>12192</v>
      </c>
      <c r="F17" s="188">
        <f t="shared" si="9"/>
        <v>14921.50980609125</v>
      </c>
      <c r="G17" s="188">
        <f t="shared" si="9"/>
        <v>32499.254653852178</v>
      </c>
      <c r="H17" s="188">
        <f t="shared" si="9"/>
        <v>41332.363144755698</v>
      </c>
    </row>
    <row r="18" spans="2:14" x14ac:dyDescent="0.35">
      <c r="C18" s="31" t="s">
        <v>191</v>
      </c>
      <c r="D18" s="179">
        <f t="shared" ref="D18" si="10">ROUND(IF(D17=0,0,D16/D17),2)</f>
        <v>9.24</v>
      </c>
      <c r="E18" s="179">
        <f t="shared" ref="E18:H18" si="11">ROUND(IF(E17=0,0,E16/E17),2)</f>
        <v>8.5500000000000007</v>
      </c>
      <c r="F18" s="179">
        <f t="shared" si="11"/>
        <v>13.69</v>
      </c>
      <c r="G18" s="179">
        <f t="shared" si="11"/>
        <v>10.52</v>
      </c>
      <c r="H18" s="179">
        <f t="shared" si="11"/>
        <v>12.5</v>
      </c>
      <c r="J18" s="403" t="s">
        <v>407</v>
      </c>
      <c r="K18" s="403" t="s">
        <v>386</v>
      </c>
      <c r="L18" s="403"/>
      <c r="M18" s="403"/>
      <c r="N18" s="403"/>
    </row>
    <row r="19" spans="2:14" x14ac:dyDescent="0.35">
      <c r="E19" s="176"/>
      <c r="G19" s="178"/>
    </row>
    <row r="20" spans="2:14" x14ac:dyDescent="0.35">
      <c r="B20" s="32" t="s">
        <v>192</v>
      </c>
      <c r="E20" s="176"/>
      <c r="G20" s="178"/>
    </row>
    <row r="21" spans="2:14" x14ac:dyDescent="0.35">
      <c r="B21" s="31" t="s">
        <v>187</v>
      </c>
      <c r="D21" s="188">
        <f>D11</f>
        <v>7459.5405749999982</v>
      </c>
      <c r="E21" s="188">
        <f t="shared" ref="E21:H21" si="12">E11</f>
        <v>104189.83358737497</v>
      </c>
      <c r="F21" s="188">
        <f t="shared" si="12"/>
        <v>204257.83463976101</v>
      </c>
      <c r="G21" s="188">
        <f t="shared" si="12"/>
        <v>341999.57176823134</v>
      </c>
      <c r="H21" s="188">
        <f t="shared" si="12"/>
        <v>516624.99246653204</v>
      </c>
    </row>
    <row r="22" spans="2:14" x14ac:dyDescent="0.35">
      <c r="B22" s="31" t="s">
        <v>193</v>
      </c>
      <c r="D22" s="188">
        <f>WC!D11</f>
        <v>0</v>
      </c>
      <c r="E22" s="188">
        <f>WC!E11</f>
        <v>0</v>
      </c>
      <c r="F22" s="188">
        <f>WC!F11</f>
        <v>0</v>
      </c>
      <c r="G22" s="188">
        <f>WC!G11</f>
        <v>0</v>
      </c>
      <c r="H22" s="188">
        <f>WC!H11</f>
        <v>0</v>
      </c>
    </row>
    <row r="23" spans="2:14" x14ac:dyDescent="0.35">
      <c r="B23" s="31" t="s">
        <v>188</v>
      </c>
      <c r="D23" s="188">
        <f>D12</f>
        <v>807</v>
      </c>
      <c r="E23" s="188">
        <f t="shared" ref="E23:H23" si="13">E12</f>
        <v>12192</v>
      </c>
      <c r="F23" s="188">
        <f t="shared" si="13"/>
        <v>14921.50980609125</v>
      </c>
      <c r="G23" s="188">
        <f t="shared" si="13"/>
        <v>32499.254653852178</v>
      </c>
      <c r="H23" s="188">
        <f t="shared" si="13"/>
        <v>41332.363144755698</v>
      </c>
      <c r="J23" s="176" t="s">
        <v>387</v>
      </c>
      <c r="K23" s="176" t="s">
        <v>388</v>
      </c>
    </row>
    <row r="24" spans="2:14" x14ac:dyDescent="0.35">
      <c r="C24" s="31" t="s">
        <v>194</v>
      </c>
      <c r="D24" s="255">
        <f t="shared" ref="D24:G24" si="14">ROUND(IF(D23=0,0,(+D21-D22)/D23),2)</f>
        <v>9.24</v>
      </c>
      <c r="E24" s="255">
        <f t="shared" si="14"/>
        <v>8.5500000000000007</v>
      </c>
      <c r="F24" s="255">
        <f t="shared" si="14"/>
        <v>13.69</v>
      </c>
      <c r="G24" s="255">
        <f t="shared" si="14"/>
        <v>10.52</v>
      </c>
      <c r="H24" s="255">
        <f>ROUND(IF(H23=0,0,(+H21-H22)/H23),2)</f>
        <v>12.5</v>
      </c>
    </row>
    <row r="25" spans="2:14" x14ac:dyDescent="0.35">
      <c r="E25" s="176"/>
      <c r="G25" s="178"/>
    </row>
    <row r="26" spans="2:14" x14ac:dyDescent="0.35">
      <c r="B26" s="32" t="s">
        <v>195</v>
      </c>
      <c r="E26" s="176"/>
      <c r="G26" s="178"/>
    </row>
    <row r="27" spans="2:14" x14ac:dyDescent="0.35">
      <c r="E27" s="176"/>
      <c r="G27" s="178"/>
    </row>
    <row r="28" spans="2:14" x14ac:dyDescent="0.35">
      <c r="B28" s="32" t="s">
        <v>196</v>
      </c>
      <c r="E28" s="176"/>
      <c r="G28" s="178"/>
    </row>
    <row r="29" spans="2:14" x14ac:dyDescent="0.35">
      <c r="B29" s="31" t="s">
        <v>197</v>
      </c>
      <c r="E29" s="176"/>
      <c r="G29" s="180"/>
      <c r="H29" s="181">
        <f>[1]BS!J13+[1]BS!J14+[1]BS!O10+'[1]PROJECTS ANALYSIS - IAS'!P46</f>
        <v>2066878.4568712628</v>
      </c>
    </row>
    <row r="30" spans="2:14" x14ac:dyDescent="0.35">
      <c r="B30" s="31" t="s">
        <v>198</v>
      </c>
      <c r="E30" s="176"/>
      <c r="G30" s="180"/>
      <c r="H30" s="183" t="e">
        <f>[1]PL!O10/#REF!</f>
        <v>#REF!</v>
      </c>
      <c r="J30" s="176" t="s">
        <v>389</v>
      </c>
      <c r="K30" s="176" t="s">
        <v>390</v>
      </c>
    </row>
    <row r="31" spans="2:14" x14ac:dyDescent="0.35">
      <c r="B31" s="184" t="s">
        <v>200</v>
      </c>
      <c r="C31" s="31" t="s">
        <v>201</v>
      </c>
      <c r="E31" s="176"/>
      <c r="G31" s="182">
        <f>ROUND(IF(G30=0,0,G29/G30),2)</f>
        <v>0</v>
      </c>
      <c r="H31" s="185" t="e">
        <f>ROUND(IF(H30=0,0,H29/H30),2)</f>
        <v>#REF!</v>
      </c>
      <c r="J31" s="176" t="s">
        <v>391</v>
      </c>
      <c r="K31" s="176" t="s">
        <v>392</v>
      </c>
    </row>
    <row r="32" spans="2:14" x14ac:dyDescent="0.35">
      <c r="E32" s="176"/>
      <c r="G32" s="178"/>
    </row>
    <row r="33" spans="2:14" x14ac:dyDescent="0.35">
      <c r="E33" s="176"/>
      <c r="G33" s="178"/>
    </row>
    <row r="34" spans="2:14" x14ac:dyDescent="0.35">
      <c r="E34" s="176"/>
      <c r="G34" s="178"/>
    </row>
    <row r="35" spans="2:14" x14ac:dyDescent="0.35">
      <c r="B35" s="32" t="s">
        <v>202</v>
      </c>
      <c r="E35" s="176"/>
      <c r="G35" s="178"/>
    </row>
    <row r="36" spans="2:14" x14ac:dyDescent="0.35">
      <c r="E36" s="176"/>
      <c r="G36" s="178"/>
    </row>
    <row r="37" spans="2:14" x14ac:dyDescent="0.35">
      <c r="B37" s="32" t="s">
        <v>203</v>
      </c>
      <c r="E37" s="176"/>
      <c r="G37" s="178"/>
    </row>
    <row r="38" spans="2:14" x14ac:dyDescent="0.35">
      <c r="B38" s="31" t="s">
        <v>214</v>
      </c>
      <c r="D38" s="188">
        <f>BS!D29+BS!D30+BS!D35</f>
        <v>0</v>
      </c>
      <c r="E38" s="188">
        <f>BS!E29+BS!E30+BS!E35</f>
        <v>0</v>
      </c>
      <c r="F38" s="188">
        <f>BS!F29+BS!F30+BS!F35</f>
        <v>0</v>
      </c>
      <c r="G38" s="188">
        <f>BS!G29+BS!G30+BS!G35</f>
        <v>0</v>
      </c>
      <c r="H38" s="188">
        <f>BS!H29+BS!H30+BS!H35</f>
        <v>0</v>
      </c>
    </row>
    <row r="39" spans="2:14" x14ac:dyDescent="0.35">
      <c r="B39" s="31" t="s">
        <v>204</v>
      </c>
      <c r="D39" s="188">
        <f>BS!D20</f>
        <v>7459.5405749999982</v>
      </c>
      <c r="E39" s="188">
        <f>BS!E20</f>
        <v>104189.83358737497</v>
      </c>
      <c r="F39" s="188">
        <f>BS!F20</f>
        <v>204257.83463976101</v>
      </c>
      <c r="G39" s="188">
        <f>BS!G20</f>
        <v>341999.57176823134</v>
      </c>
      <c r="H39" s="188">
        <f>BS!H20</f>
        <v>516624.99246653204</v>
      </c>
    </row>
    <row r="40" spans="2:14" x14ac:dyDescent="0.35">
      <c r="B40" s="31" t="s">
        <v>199</v>
      </c>
      <c r="C40" s="31" t="s">
        <v>215</v>
      </c>
      <c r="D40" s="179">
        <f t="shared" ref="D40" si="15">ROUND(IF(D39=0,0,D38/D39),2)</f>
        <v>0</v>
      </c>
      <c r="E40" s="179">
        <f t="shared" ref="E40:H40" si="16">ROUND(IF(E39=0,0,E38/E39),2)</f>
        <v>0</v>
      </c>
      <c r="F40" s="179">
        <f t="shared" si="16"/>
        <v>0</v>
      </c>
      <c r="G40" s="179">
        <f t="shared" si="16"/>
        <v>0</v>
      </c>
      <c r="H40" s="179">
        <f t="shared" si="16"/>
        <v>0</v>
      </c>
    </row>
    <row r="41" spans="2:14" x14ac:dyDescent="0.35">
      <c r="D41" s="179"/>
      <c r="E41" s="179"/>
      <c r="F41" s="179"/>
      <c r="G41" s="179"/>
      <c r="H41" s="179"/>
    </row>
    <row r="42" spans="2:14" x14ac:dyDescent="0.35">
      <c r="B42" s="32" t="s">
        <v>400</v>
      </c>
      <c r="E42" s="176"/>
      <c r="G42" s="178"/>
    </row>
    <row r="43" spans="2:14" x14ac:dyDescent="0.35">
      <c r="B43" s="31" t="s">
        <v>214</v>
      </c>
      <c r="D43" s="188">
        <f>BS!D29+BS!D30+BS!D35</f>
        <v>0</v>
      </c>
      <c r="E43" s="188">
        <f>BS!E29+BS!E30+BS!E35</f>
        <v>0</v>
      </c>
      <c r="F43" s="188">
        <f>BS!F29+BS!F30+BS!F35</f>
        <v>0</v>
      </c>
      <c r="G43" s="188">
        <f>BS!G29+BS!G30+BS!G35</f>
        <v>0</v>
      </c>
      <c r="H43" s="188">
        <f>BS!H29+BS!H30+BS!H35</f>
        <v>0</v>
      </c>
    </row>
    <row r="44" spans="2:14" x14ac:dyDescent="0.35">
      <c r="B44" s="31" t="s">
        <v>402</v>
      </c>
      <c r="D44" s="188">
        <f>BS!D26</f>
        <v>6652.5405749999982</v>
      </c>
      <c r="E44" s="188">
        <f>BS!E26</f>
        <v>91997.833587374975</v>
      </c>
      <c r="F44" s="188">
        <f>BS!F26</f>
        <v>189336.32483366976</v>
      </c>
      <c r="G44" s="188">
        <f>BS!G26</f>
        <v>309500.3171143792</v>
      </c>
      <c r="H44" s="188">
        <f>BS!H26</f>
        <v>475292.62932177639</v>
      </c>
    </row>
    <row r="45" spans="2:14" x14ac:dyDescent="0.35">
      <c r="B45" s="31" t="s">
        <v>199</v>
      </c>
      <c r="C45" s="31" t="s">
        <v>403</v>
      </c>
      <c r="D45" s="179">
        <f t="shared" ref="D45:H45" si="17">ROUND(IF(D44=0,0,D43/D44),2)</f>
        <v>0</v>
      </c>
      <c r="E45" s="179">
        <f t="shared" si="17"/>
        <v>0</v>
      </c>
      <c r="F45" s="179">
        <f t="shared" si="17"/>
        <v>0</v>
      </c>
      <c r="G45" s="179">
        <f t="shared" si="17"/>
        <v>0</v>
      </c>
      <c r="H45" s="179">
        <f t="shared" si="17"/>
        <v>0</v>
      </c>
    </row>
    <row r="46" spans="2:14" x14ac:dyDescent="0.35">
      <c r="D46" s="179"/>
      <c r="E46" s="179"/>
      <c r="F46" s="179"/>
      <c r="G46" s="179"/>
      <c r="H46" s="179"/>
      <c r="J46" s="403" t="s">
        <v>408</v>
      </c>
      <c r="K46" s="403" t="s">
        <v>396</v>
      </c>
      <c r="L46" s="403"/>
      <c r="M46" s="403"/>
      <c r="N46" s="403"/>
    </row>
    <row r="47" spans="2:14" x14ac:dyDescent="0.35">
      <c r="E47" s="176"/>
      <c r="G47" s="178"/>
    </row>
    <row r="48" spans="2:14" x14ac:dyDescent="0.35">
      <c r="B48" s="32" t="s">
        <v>205</v>
      </c>
      <c r="E48" s="176"/>
      <c r="G48" s="178"/>
      <c r="I48" s="186"/>
    </row>
    <row r="49" spans="2:13" x14ac:dyDescent="0.35">
      <c r="E49" s="176"/>
      <c r="G49" s="178"/>
      <c r="I49" s="133"/>
    </row>
    <row r="50" spans="2:13" x14ac:dyDescent="0.35">
      <c r="B50" s="32" t="s">
        <v>206</v>
      </c>
      <c r="E50" s="176"/>
      <c r="G50" s="178"/>
    </row>
    <row r="51" spans="2:13" x14ac:dyDescent="0.35">
      <c r="B51" s="31" t="s">
        <v>207</v>
      </c>
      <c r="C51" s="176"/>
      <c r="D51" s="188">
        <f>'P&amp;L'!C11</f>
        <v>18118.256999999998</v>
      </c>
      <c r="E51" s="188">
        <f>'P&amp;L'!D11</f>
        <v>111822.98770499998</v>
      </c>
      <c r="F51" s="188">
        <f>'P&amp;L'!E11</f>
        <v>143538.5856947549</v>
      </c>
      <c r="G51" s="188">
        <f>'P&amp;L'!F11</f>
        <v>185550.97654826834</v>
      </c>
      <c r="H51" s="188">
        <f>'P&amp;L'!G11</f>
        <v>241243.44146062864</v>
      </c>
      <c r="J51" s="186"/>
    </row>
    <row r="52" spans="2:13" x14ac:dyDescent="0.35">
      <c r="B52" s="31" t="s">
        <v>208</v>
      </c>
      <c r="C52" s="176"/>
      <c r="D52" s="188">
        <f>'P&amp;L'!C9</f>
        <v>90591.285000000003</v>
      </c>
      <c r="E52" s="188">
        <f>'P&amp;L'!D9</f>
        <v>508786.93852500006</v>
      </c>
      <c r="F52" s="188">
        <f>'P&amp;L'!E9</f>
        <v>667364.92847377504</v>
      </c>
      <c r="G52" s="188">
        <f>'P&amp;L'!F9</f>
        <v>877426.88274134183</v>
      </c>
      <c r="H52" s="188">
        <f>'P&amp;L'!G9</f>
        <v>1155889.2073031433</v>
      </c>
    </row>
    <row r="53" spans="2:13" x14ac:dyDescent="0.35">
      <c r="B53" s="31" t="s">
        <v>199</v>
      </c>
      <c r="C53" s="31" t="s">
        <v>209</v>
      </c>
      <c r="D53" s="187">
        <f>IF(D52=0,0,D51/D52)</f>
        <v>0.19999999999999996</v>
      </c>
      <c r="E53" s="187">
        <f t="shared" ref="E53:H53" si="18">IF(E52=0,0,E51/E52)</f>
        <v>0.2197835267335688</v>
      </c>
      <c r="F53" s="187">
        <f t="shared" si="18"/>
        <v>0.21508260259198717</v>
      </c>
      <c r="G53" s="187">
        <f t="shared" si="18"/>
        <v>0.21147172510665738</v>
      </c>
      <c r="H53" s="187">
        <f t="shared" si="18"/>
        <v>0.20870810103287016</v>
      </c>
      <c r="J53" s="403" t="s">
        <v>393</v>
      </c>
      <c r="K53" s="403" t="s">
        <v>394</v>
      </c>
      <c r="L53" s="403"/>
      <c r="M53" s="403"/>
    </row>
    <row r="54" spans="2:13" x14ac:dyDescent="0.35">
      <c r="E54" s="176"/>
      <c r="G54" s="178"/>
    </row>
    <row r="55" spans="2:13" x14ac:dyDescent="0.35">
      <c r="B55" s="32" t="s">
        <v>210</v>
      </c>
      <c r="E55" s="176"/>
      <c r="G55" s="178"/>
    </row>
    <row r="56" spans="2:13" x14ac:dyDescent="0.35">
      <c r="B56" s="31" t="s">
        <v>211</v>
      </c>
      <c r="D56" s="188">
        <f>'P&amp;L'!C18</f>
        <v>6459.5405749999982</v>
      </c>
      <c r="E56" s="188">
        <f>'P&amp;L'!D18</f>
        <v>97537.293012374983</v>
      </c>
      <c r="F56" s="188">
        <f>'P&amp;L'!E18</f>
        <v>112260.00105238604</v>
      </c>
      <c r="G56" s="188">
        <f>'P&amp;L'!F18</f>
        <v>152663.24693456161</v>
      </c>
      <c r="H56" s="188">
        <f>'P&amp;L'!G18</f>
        <v>206393.38832011292</v>
      </c>
    </row>
    <row r="57" spans="2:13" x14ac:dyDescent="0.35">
      <c r="B57" s="31" t="s">
        <v>208</v>
      </c>
      <c r="D57" s="188">
        <f t="shared" ref="D57" si="19">D52</f>
        <v>90591.285000000003</v>
      </c>
      <c r="E57" s="188">
        <f t="shared" ref="E57:H57" si="20">E52</f>
        <v>508786.93852500006</v>
      </c>
      <c r="F57" s="188">
        <f t="shared" si="20"/>
        <v>667364.92847377504</v>
      </c>
      <c r="G57" s="188">
        <f t="shared" si="20"/>
        <v>877426.88274134183</v>
      </c>
      <c r="H57" s="188">
        <f t="shared" si="20"/>
        <v>1155889.2073031433</v>
      </c>
    </row>
    <row r="58" spans="2:13" x14ac:dyDescent="0.35">
      <c r="B58" s="31" t="s">
        <v>199</v>
      </c>
      <c r="C58" s="31" t="s">
        <v>212</v>
      </c>
      <c r="D58" s="187">
        <f>IF(D57=0,0,D56/D57)</f>
        <v>7.1304216238901985E-2</v>
      </c>
      <c r="E58" s="187">
        <f t="shared" ref="E58" si="21">IF(E57=0,0,E56/E57)</f>
        <v>0.19170557580574041</v>
      </c>
      <c r="F58" s="187">
        <f t="shared" ref="F58" si="22">IF(F57=0,0,F56/F57)</f>
        <v>0.16821381565423008</v>
      </c>
      <c r="G58" s="187">
        <f t="shared" ref="G58" si="23">IF(G57=0,0,G56/G57)</f>
        <v>0.17398970778920786</v>
      </c>
      <c r="H58" s="187">
        <f t="shared" ref="H58" si="24">IF(H57=0,0,H56/H57)</f>
        <v>0.1785581066213591</v>
      </c>
      <c r="J58" s="403" t="s">
        <v>404</v>
      </c>
      <c r="K58" s="403" t="s">
        <v>395</v>
      </c>
      <c r="L58" s="403"/>
      <c r="M58" s="403"/>
    </row>
    <row r="59" spans="2:13" x14ac:dyDescent="0.35">
      <c r="E59" s="176"/>
    </row>
    <row r="60" spans="2:13" x14ac:dyDescent="0.35">
      <c r="B60" s="32" t="s">
        <v>282</v>
      </c>
      <c r="E60" s="176"/>
      <c r="G60" s="178"/>
    </row>
    <row r="61" spans="2:13" x14ac:dyDescent="0.35">
      <c r="B61" s="31" t="s">
        <v>283</v>
      </c>
      <c r="D61" s="188">
        <f>'P&amp;L'!C25</f>
        <v>5652.5405749999982</v>
      </c>
      <c r="E61" s="188">
        <f>'P&amp;L'!D25</f>
        <v>85345.293012374983</v>
      </c>
      <c r="F61" s="188">
        <f>'P&amp;L'!E25</f>
        <v>97338.491246294783</v>
      </c>
      <c r="G61" s="188">
        <f>'P&amp;L'!F25</f>
        <v>120163.99228070944</v>
      </c>
      <c r="H61" s="188">
        <f>'P&amp;L'!G25</f>
        <v>165792.31220739719</v>
      </c>
    </row>
    <row r="62" spans="2:13" x14ac:dyDescent="0.35">
      <c r="B62" s="31" t="s">
        <v>284</v>
      </c>
      <c r="D62" s="188">
        <f>BS!D24+BS!D31</f>
        <v>1000</v>
      </c>
      <c r="E62" s="188">
        <f>BS!E24+BS!E31</f>
        <v>1000</v>
      </c>
      <c r="F62" s="188">
        <f>BS!F24+BS!F31</f>
        <v>1000</v>
      </c>
      <c r="G62" s="188">
        <f>BS!G24+BS!G31</f>
        <v>1000</v>
      </c>
      <c r="H62" s="188">
        <f>BS!H24+BS!H31</f>
        <v>1000</v>
      </c>
    </row>
    <row r="63" spans="2:13" x14ac:dyDescent="0.35">
      <c r="B63" s="31" t="s">
        <v>199</v>
      </c>
      <c r="C63" s="31" t="s">
        <v>285</v>
      </c>
      <c r="D63" s="187">
        <f>IF(D62=0,0,D61/D62)</f>
        <v>5.652540574999998</v>
      </c>
      <c r="E63" s="187">
        <f t="shared" ref="E63:H63" si="25">IF(E62=0,0,E61/E62)</f>
        <v>85.345293012374981</v>
      </c>
      <c r="F63" s="187">
        <f t="shared" si="25"/>
        <v>97.33849124629478</v>
      </c>
      <c r="G63" s="187">
        <f t="shared" si="25"/>
        <v>120.16399228070944</v>
      </c>
      <c r="H63" s="187">
        <f t="shared" si="25"/>
        <v>165.7923122073972</v>
      </c>
    </row>
    <row r="64" spans="2:13" x14ac:dyDescent="0.35">
      <c r="D64" s="187"/>
      <c r="E64" s="187"/>
      <c r="F64" s="187"/>
      <c r="G64" s="187"/>
      <c r="H64" s="187"/>
    </row>
    <row r="65" spans="2:14" x14ac:dyDescent="0.35">
      <c r="B65" s="32" t="s">
        <v>397</v>
      </c>
      <c r="E65" s="176"/>
      <c r="G65" s="178"/>
    </row>
    <row r="66" spans="2:14" x14ac:dyDescent="0.35">
      <c r="B66" s="31" t="s">
        <v>283</v>
      </c>
      <c r="D66" s="188">
        <f>'P&amp;L'!C25</f>
        <v>5652.5405749999982</v>
      </c>
      <c r="E66" s="188">
        <f>'P&amp;L'!D25</f>
        <v>85345.293012374983</v>
      </c>
      <c r="F66" s="188">
        <f>'P&amp;L'!E25</f>
        <v>97338.491246294783</v>
      </c>
      <c r="G66" s="188">
        <f>'P&amp;L'!F25</f>
        <v>120163.99228070944</v>
      </c>
      <c r="H66" s="188">
        <f>'P&amp;L'!G25</f>
        <v>165792.31220739719</v>
      </c>
    </row>
    <row r="67" spans="2:14" x14ac:dyDescent="0.35">
      <c r="B67" s="31" t="s">
        <v>402</v>
      </c>
      <c r="D67" s="188">
        <f>BS!D26</f>
        <v>6652.5405749999982</v>
      </c>
      <c r="E67" s="188">
        <f>BS!E26</f>
        <v>91997.833587374975</v>
      </c>
      <c r="F67" s="188">
        <f>BS!F26</f>
        <v>189336.32483366976</v>
      </c>
      <c r="G67" s="188">
        <f>BS!G26</f>
        <v>309500.3171143792</v>
      </c>
      <c r="H67" s="188">
        <f>BS!H26</f>
        <v>475292.62932177639</v>
      </c>
    </row>
    <row r="68" spans="2:14" x14ac:dyDescent="0.35">
      <c r="B68" s="31" t="s">
        <v>199</v>
      </c>
      <c r="C68" s="31" t="s">
        <v>401</v>
      </c>
      <c r="D68" s="187">
        <f>IF(D67=0,0,D66/D67)</f>
        <v>0.84968148803812438</v>
      </c>
      <c r="E68" s="187">
        <f t="shared" ref="E68:H68" si="26">IF(E67=0,0,E66/E67)</f>
        <v>0.92768807356010463</v>
      </c>
      <c r="F68" s="187">
        <f t="shared" si="26"/>
        <v>0.51410362661156417</v>
      </c>
      <c r="G68" s="187">
        <f t="shared" si="26"/>
        <v>0.38825159664150372</v>
      </c>
      <c r="H68" s="187">
        <f t="shared" si="26"/>
        <v>0.3488215511441366</v>
      </c>
    </row>
    <row r="69" spans="2:14" x14ac:dyDescent="0.35">
      <c r="D69" s="187"/>
      <c r="E69" s="187"/>
      <c r="F69" s="187"/>
      <c r="G69" s="187"/>
      <c r="H69" s="187"/>
      <c r="J69" s="403" t="s">
        <v>382</v>
      </c>
      <c r="K69" s="403" t="s">
        <v>383</v>
      </c>
      <c r="L69" s="403"/>
      <c r="M69" s="403"/>
      <c r="N69" s="403"/>
    </row>
    <row r="70" spans="2:14" x14ac:dyDescent="0.35">
      <c r="B70" s="32" t="s">
        <v>316</v>
      </c>
      <c r="D70" s="187"/>
      <c r="E70" s="187"/>
      <c r="F70" s="187"/>
      <c r="G70" s="187"/>
      <c r="H70" s="187"/>
    </row>
    <row r="71" spans="2:14" x14ac:dyDescent="0.35">
      <c r="D71" s="187"/>
      <c r="E71" s="187"/>
      <c r="F71" s="187"/>
      <c r="G71" s="187"/>
      <c r="H71" s="187"/>
    </row>
    <row r="72" spans="2:14" x14ac:dyDescent="0.35">
      <c r="B72" s="32" t="s">
        <v>286</v>
      </c>
      <c r="E72" s="176"/>
    </row>
    <row r="73" spans="2:14" x14ac:dyDescent="0.35">
      <c r="B73" s="31" t="s">
        <v>398</v>
      </c>
      <c r="D73" s="188">
        <f>SUM('P&amp;L'!C25:G25)</f>
        <v>474292.62932177639</v>
      </c>
    </row>
    <row r="74" spans="2:14" x14ac:dyDescent="0.35">
      <c r="B74" s="31" t="s">
        <v>287</v>
      </c>
      <c r="D74" s="188">
        <f>SUM(CF!D30:H30)</f>
        <v>1000</v>
      </c>
    </row>
    <row r="75" spans="2:14" x14ac:dyDescent="0.35">
      <c r="B75" s="31" t="s">
        <v>199</v>
      </c>
      <c r="C75" s="31" t="s">
        <v>399</v>
      </c>
      <c r="D75" s="187">
        <f>D73/D74</f>
        <v>474.29262932177642</v>
      </c>
      <c r="J75" s="403" t="s">
        <v>384</v>
      </c>
      <c r="K75" s="403" t="s">
        <v>385</v>
      </c>
      <c r="L75" s="403"/>
      <c r="M75" s="403"/>
    </row>
    <row r="76" spans="2:14" x14ac:dyDescent="0.35">
      <c r="K76" s="133"/>
    </row>
    <row r="77" spans="2:14" x14ac:dyDescent="0.35">
      <c r="B77" s="32" t="s">
        <v>317</v>
      </c>
    </row>
    <row r="78" spans="2:14" x14ac:dyDescent="0.35">
      <c r="B78" s="31" t="s">
        <v>318</v>
      </c>
      <c r="D78" s="188">
        <f>-(Loan!C68+Loan!D78)</f>
        <v>0</v>
      </c>
      <c r="E78" s="188">
        <f>-Loan!E78</f>
        <v>0</v>
      </c>
      <c r="F78" s="188">
        <f>-Loan!F78</f>
        <v>0</v>
      </c>
      <c r="G78" s="188">
        <f>-Loan!G78</f>
        <v>0</v>
      </c>
      <c r="H78" s="188">
        <f>-Loan!H78</f>
        <v>0</v>
      </c>
    </row>
    <row r="79" spans="2:14" x14ac:dyDescent="0.35">
      <c r="B79" s="31" t="s">
        <v>319</v>
      </c>
      <c r="D79" s="187" t="e">
        <f>IRR(D78:H78)</f>
        <v>#NUM!</v>
      </c>
    </row>
  </sheetData>
  <phoneticPr fontId="8" type="noConversion"/>
  <printOptions horizontalCentered="1"/>
  <pageMargins left="0.35433070866141736" right="0.35433070866141736" top="0.78740157480314965" bottom="0.39370078740157483" header="0.51181102362204722" footer="0.51181102362204722"/>
  <pageSetup paperSize="9" scale="8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109"/>
  <sheetViews>
    <sheetView zoomScaleNormal="100" workbookViewId="0">
      <selection activeCell="F19" sqref="F19"/>
    </sheetView>
  </sheetViews>
  <sheetFormatPr defaultColWidth="9.08984375" defaultRowHeight="18.75" customHeight="1" x14ac:dyDescent="0.35"/>
  <cols>
    <col min="1" max="1" width="1.90625" style="31" customWidth="1"/>
    <col min="2" max="2" width="7.08984375" style="31" customWidth="1"/>
    <col min="3" max="3" width="18.6328125" style="31" customWidth="1"/>
    <col min="4" max="4" width="16.36328125" style="31" bestFit="1" customWidth="1"/>
    <col min="5" max="5" width="8.81640625" style="31" bestFit="1" customWidth="1"/>
    <col min="6" max="6" width="14" style="31" bestFit="1" customWidth="1"/>
    <col min="7" max="14" width="11.90625" style="31" customWidth="1"/>
    <col min="15" max="15" width="10.90625" style="31" customWidth="1"/>
    <col min="16" max="16" width="10.6328125" style="31" bestFit="1" customWidth="1"/>
    <col min="17" max="17" width="12.36328125" style="31" bestFit="1" customWidth="1"/>
    <col min="18" max="18" width="11.36328125" style="31" customWidth="1"/>
    <col min="19" max="16384" width="9.08984375" style="31"/>
  </cols>
  <sheetData>
    <row r="1" spans="2:17" ht="7.5" customHeight="1" x14ac:dyDescent="0.35"/>
    <row r="2" spans="2:17" ht="21" x14ac:dyDescent="0.5">
      <c r="B2" s="49" t="str">
        <f>Summary!B2</f>
        <v>Cursa Platform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ht="18.75" customHeight="1" x14ac:dyDescent="0.5">
      <c r="B3" s="51" t="s">
        <v>152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2:17" ht="9.65" customHeight="1" x14ac:dyDescent="0.35"/>
    <row r="5" spans="2:17" ht="18.75" customHeight="1" x14ac:dyDescent="0.45">
      <c r="B5" s="359" t="s">
        <v>297</v>
      </c>
      <c r="C5" s="357"/>
      <c r="D5" s="357"/>
      <c r="E5" s="357"/>
      <c r="F5" s="358" t="s">
        <v>298</v>
      </c>
      <c r="G5" s="358" t="s">
        <v>299</v>
      </c>
    </row>
    <row r="6" spans="2:17" ht="18.75" customHeight="1" x14ac:dyDescent="0.35">
      <c r="B6" s="354" t="s">
        <v>336</v>
      </c>
      <c r="C6" s="354"/>
      <c r="D6" s="354"/>
      <c r="E6" s="354"/>
      <c r="F6" s="356">
        <v>4</v>
      </c>
      <c r="G6" s="355">
        <v>0.05</v>
      </c>
    </row>
    <row r="7" spans="2:17" ht="18.75" customHeight="1" x14ac:dyDescent="0.35">
      <c r="B7" s="354" t="s">
        <v>343</v>
      </c>
      <c r="C7" s="354"/>
      <c r="D7" s="354"/>
      <c r="E7" s="354"/>
      <c r="F7" s="356">
        <v>3.5</v>
      </c>
      <c r="G7" s="355">
        <v>0.01</v>
      </c>
    </row>
    <row r="8" spans="2:17" ht="18.75" customHeight="1" x14ac:dyDescent="0.35">
      <c r="B8" s="354" t="s">
        <v>447</v>
      </c>
      <c r="C8" s="354"/>
      <c r="D8" s="354"/>
      <c r="E8" s="354"/>
      <c r="F8" s="356">
        <v>40</v>
      </c>
      <c r="G8" s="355">
        <v>0.05</v>
      </c>
    </row>
    <row r="9" spans="2:17" ht="18.75" customHeight="1" x14ac:dyDescent="0.35">
      <c r="B9" s="354" t="s">
        <v>445</v>
      </c>
      <c r="C9" s="354"/>
      <c r="D9" s="354"/>
      <c r="E9" s="354"/>
      <c r="F9" s="356">
        <v>15</v>
      </c>
      <c r="G9" s="355">
        <v>0.05</v>
      </c>
    </row>
    <row r="11" spans="2:17" ht="15" customHeight="1" x14ac:dyDescent="0.35">
      <c r="B11" s="45" t="s">
        <v>289</v>
      </c>
    </row>
    <row r="12" spans="2:17" ht="4.5" customHeight="1" x14ac:dyDescent="0.35">
      <c r="F12" s="33"/>
      <c r="G12" s="33"/>
      <c r="H12" s="33"/>
      <c r="I12" s="33"/>
      <c r="J12" s="33"/>
      <c r="K12" s="33"/>
      <c r="L12" s="33"/>
      <c r="M12" s="33"/>
      <c r="N12" s="33"/>
    </row>
    <row r="13" spans="2:17" ht="18.75" customHeight="1" x14ac:dyDescent="0.35">
      <c r="E13" s="256" t="s">
        <v>151</v>
      </c>
      <c r="F13" s="257"/>
      <c r="G13" s="257"/>
      <c r="H13" s="257"/>
      <c r="I13" s="257"/>
      <c r="J13" s="338" t="s">
        <v>183</v>
      </c>
      <c r="K13" s="339"/>
      <c r="L13" s="339"/>
      <c r="M13" s="339"/>
      <c r="N13" s="340"/>
      <c r="O13" s="258" t="s">
        <v>143</v>
      </c>
    </row>
    <row r="14" spans="2:17" ht="15.75" customHeight="1" x14ac:dyDescent="0.35">
      <c r="C14" s="259" t="s">
        <v>142</v>
      </c>
      <c r="D14" s="259" t="s">
        <v>290</v>
      </c>
      <c r="E14" s="260" t="s">
        <v>234</v>
      </c>
      <c r="F14" s="261" t="s">
        <v>235</v>
      </c>
      <c r="G14" s="261" t="s">
        <v>236</v>
      </c>
      <c r="H14" s="261" t="s">
        <v>237</v>
      </c>
      <c r="I14" s="262" t="s">
        <v>238</v>
      </c>
      <c r="J14" s="341" t="s">
        <v>234</v>
      </c>
      <c r="K14" s="341" t="s">
        <v>235</v>
      </c>
      <c r="L14" s="341" t="s">
        <v>236</v>
      </c>
      <c r="M14" s="341" t="s">
        <v>237</v>
      </c>
      <c r="N14" s="341" t="s">
        <v>238</v>
      </c>
      <c r="O14" s="263"/>
    </row>
    <row r="15" spans="2:17" ht="15.75" customHeight="1" x14ac:dyDescent="0.35">
      <c r="C15" s="264" t="s">
        <v>293</v>
      </c>
      <c r="D15" s="264" t="s">
        <v>291</v>
      </c>
      <c r="E15" s="265" t="s">
        <v>288</v>
      </c>
      <c r="F15" s="102" t="str">
        <f>E15</f>
        <v>€</v>
      </c>
      <c r="G15" s="102" t="str">
        <f>F15</f>
        <v>€</v>
      </c>
      <c r="H15" s="102" t="str">
        <f>G15</f>
        <v>€</v>
      </c>
      <c r="I15" s="266" t="str">
        <f>H15</f>
        <v>€</v>
      </c>
      <c r="J15" s="342" t="s">
        <v>288</v>
      </c>
      <c r="K15" s="342" t="str">
        <f>J15</f>
        <v>€</v>
      </c>
      <c r="L15" s="342" t="str">
        <f>K15</f>
        <v>€</v>
      </c>
      <c r="M15" s="342" t="str">
        <f>L15</f>
        <v>€</v>
      </c>
      <c r="N15" s="342" t="str">
        <f>M15</f>
        <v>€</v>
      </c>
      <c r="O15" s="267" t="s">
        <v>144</v>
      </c>
    </row>
    <row r="16" spans="2:17" s="32" customFormat="1" ht="15.75" customHeight="1" x14ac:dyDescent="0.35">
      <c r="C16" s="264" t="s">
        <v>291</v>
      </c>
      <c r="D16" s="264" t="s">
        <v>292</v>
      </c>
      <c r="E16" s="268" t="e">
        <f>'P&amp;L'!#REF!</f>
        <v>#REF!</v>
      </c>
      <c r="F16" s="269">
        <f>'P&amp;L'!D25</f>
        <v>85345.293012374983</v>
      </c>
      <c r="G16" s="269">
        <f>'P&amp;L'!E25</f>
        <v>97338.491246294783</v>
      </c>
      <c r="H16" s="269">
        <f>'P&amp;L'!F25</f>
        <v>120163.99228070944</v>
      </c>
      <c r="I16" s="270">
        <f>'P&amp;L'!G25</f>
        <v>165792.31220739719</v>
      </c>
      <c r="J16" s="269">
        <f>CF!D39</f>
        <v>7459.5405749999982</v>
      </c>
      <c r="K16" s="269">
        <f>CF!E39</f>
        <v>96730.293012374983</v>
      </c>
      <c r="L16" s="269">
        <f>CF!F39</f>
        <v>100068.00105238604</v>
      </c>
      <c r="M16" s="269">
        <f>CF!G39</f>
        <v>137741.73712847035</v>
      </c>
      <c r="N16" s="269">
        <f>CF!H39</f>
        <v>174625.4206983007</v>
      </c>
      <c r="O16" s="271" t="e">
        <f>Summary!E49</f>
        <v>#VALUE!</v>
      </c>
    </row>
    <row r="17" spans="2:20" ht="18.75" customHeight="1" x14ac:dyDescent="0.35">
      <c r="C17" s="272">
        <f>+C18-$G$6</f>
        <v>-0.25</v>
      </c>
      <c r="D17" s="307">
        <f t="shared" ref="D17:D20" si="0">$D$22*(1+C17)</f>
        <v>3000000</v>
      </c>
      <c r="E17" s="273" t="e">
        <f t="dataTable" ref="E17:O27" dt2D="0" dtr="0" r1="F6"/>
        <v>#REF!</v>
      </c>
      <c r="F17" s="52">
        <v>16503367141.196583</v>
      </c>
      <c r="G17" s="52">
        <v>21731787589.810719</v>
      </c>
      <c r="H17" s="52">
        <v>27259923477.208759</v>
      </c>
      <c r="I17" s="274">
        <v>36622207596.837242</v>
      </c>
      <c r="J17" s="52">
        <v>3318830884.4367757</v>
      </c>
      <c r="K17" s="52">
        <v>18446137282.196583</v>
      </c>
      <c r="L17" s="52">
        <v>23000424854.414997</v>
      </c>
      <c r="M17" s="52">
        <v>30492884906.157421</v>
      </c>
      <c r="N17" s="52">
        <v>38981014229.290436</v>
      </c>
      <c r="O17" s="275" t="e">
        <v>#VALUE!</v>
      </c>
      <c r="P17" s="47" t="e">
        <f t="shared" ref="P17:P27" si="1">(O17-$O$22)/$O$22</f>
        <v>#VALUE!</v>
      </c>
    </row>
    <row r="18" spans="2:20" ht="18.75" customHeight="1" x14ac:dyDescent="0.35">
      <c r="C18" s="272">
        <f>+C19-$G$6</f>
        <v>-0.2</v>
      </c>
      <c r="D18" s="307">
        <f t="shared" si="0"/>
        <v>3200000</v>
      </c>
      <c r="E18" s="273" t="e">
        <v>#REF!</v>
      </c>
      <c r="F18" s="52">
        <v>17603587508.296585</v>
      </c>
      <c r="G18" s="52">
        <v>23180568955.337589</v>
      </c>
      <c r="H18" s="52">
        <v>29077246131.388226</v>
      </c>
      <c r="I18" s="274">
        <v>39063680294.267998</v>
      </c>
      <c r="J18" s="52">
        <v>3540086074.4367757</v>
      </c>
      <c r="K18" s="52">
        <v>19675875090.296585</v>
      </c>
      <c r="L18" s="52">
        <v>24533781964.326366</v>
      </c>
      <c r="M18" s="52">
        <v>32525737446.776443</v>
      </c>
      <c r="N18" s="52">
        <v>41579740314.694893</v>
      </c>
      <c r="O18" s="275" t="e">
        <v>#VALUE!</v>
      </c>
      <c r="P18" s="47" t="e">
        <f t="shared" si="1"/>
        <v>#VALUE!</v>
      </c>
    </row>
    <row r="19" spans="2:20" ht="18.75" customHeight="1" x14ac:dyDescent="0.35">
      <c r="C19" s="272">
        <f>+C20-$G$6</f>
        <v>-0.15000000000000002</v>
      </c>
      <c r="D19" s="307">
        <f t="shared" si="0"/>
        <v>3400000</v>
      </c>
      <c r="E19" s="273" t="e">
        <v>#REF!</v>
      </c>
      <c r="F19" s="52">
        <v>18703807876.396584</v>
      </c>
      <c r="G19" s="52">
        <v>24629350321.859444</v>
      </c>
      <c r="H19" s="52">
        <v>30894568785.56266</v>
      </c>
      <c r="I19" s="274">
        <v>41505152991.704369</v>
      </c>
      <c r="J19" s="52">
        <v>3761341264.4367757</v>
      </c>
      <c r="K19" s="52">
        <v>20905612897.396584</v>
      </c>
      <c r="L19" s="52">
        <v>26067139075.232723</v>
      </c>
      <c r="M19" s="52">
        <v>34558589988.390427</v>
      </c>
      <c r="N19" s="52">
        <v>44178466400.104279</v>
      </c>
      <c r="O19" s="275" t="e">
        <v>#VALUE!</v>
      </c>
      <c r="P19" s="47" t="e">
        <f t="shared" si="1"/>
        <v>#VALUE!</v>
      </c>
    </row>
    <row r="20" spans="2:20" ht="18.75" customHeight="1" x14ac:dyDescent="0.35">
      <c r="C20" s="272">
        <f>+C21-$G$6</f>
        <v>-0.1</v>
      </c>
      <c r="D20" s="307">
        <f t="shared" si="0"/>
        <v>3600000</v>
      </c>
      <c r="E20" s="273" t="e">
        <v>#REF!</v>
      </c>
      <c r="F20" s="52">
        <v>19804028244.496582</v>
      </c>
      <c r="G20" s="52">
        <v>26078131688.381283</v>
      </c>
      <c r="H20" s="52">
        <v>32711891439.737095</v>
      </c>
      <c r="I20" s="274">
        <v>43946625689.140709</v>
      </c>
      <c r="J20" s="52">
        <v>3982596454.4367757</v>
      </c>
      <c r="K20" s="52">
        <v>22135350704.496582</v>
      </c>
      <c r="L20" s="52">
        <v>27600496186.139061</v>
      </c>
      <c r="M20" s="52">
        <v>36591442530.004417</v>
      </c>
      <c r="N20" s="52">
        <v>46777192485.513634</v>
      </c>
      <c r="O20" s="275" t="e">
        <v>#VALUE!</v>
      </c>
      <c r="P20" s="47" t="e">
        <f t="shared" si="1"/>
        <v>#VALUE!</v>
      </c>
    </row>
    <row r="21" spans="2:20" ht="18.75" customHeight="1" x14ac:dyDescent="0.35">
      <c r="C21" s="272">
        <f>+C22-$G$6</f>
        <v>-0.05</v>
      </c>
      <c r="D21" s="308">
        <f>$D$22*(1+C21)</f>
        <v>3800000</v>
      </c>
      <c r="E21" s="276" t="e">
        <v>#REF!</v>
      </c>
      <c r="F21" s="277">
        <v>20904248612.596581</v>
      </c>
      <c r="G21" s="277">
        <v>27526913054.903141</v>
      </c>
      <c r="H21" s="277">
        <v>34529214093.911568</v>
      </c>
      <c r="I21" s="278">
        <v>46388098386.577072</v>
      </c>
      <c r="J21" s="277">
        <v>4203851644.43677</v>
      </c>
      <c r="K21" s="277">
        <v>23365088511.596581</v>
      </c>
      <c r="L21" s="277">
        <v>29133853297.045418</v>
      </c>
      <c r="M21" s="277">
        <v>38624295071.618446</v>
      </c>
      <c r="N21" s="277">
        <v>49375918570.923012</v>
      </c>
      <c r="O21" s="279" t="e">
        <v>#VALUE!</v>
      </c>
      <c r="P21" s="47" t="e">
        <f t="shared" si="1"/>
        <v>#VALUE!</v>
      </c>
    </row>
    <row r="22" spans="2:20" s="32" customFormat="1" ht="18.75" customHeight="1" x14ac:dyDescent="0.35">
      <c r="B22" s="280" t="s">
        <v>145</v>
      </c>
      <c r="C22" s="281">
        <v>0</v>
      </c>
      <c r="D22" s="318">
        <v>4000000</v>
      </c>
      <c r="E22" s="283" t="e">
        <v>#REF!</v>
      </c>
      <c r="F22" s="283">
        <v>22004468979.696583</v>
      </c>
      <c r="G22" s="283">
        <v>28975694421.429993</v>
      </c>
      <c r="H22" s="283">
        <v>36346536748.091019</v>
      </c>
      <c r="I22" s="283">
        <v>48829571084.012833</v>
      </c>
      <c r="J22" s="284">
        <v>4425106834.4367704</v>
      </c>
      <c r="K22" s="283">
        <v>24594826319.696583</v>
      </c>
      <c r="L22" s="283">
        <v>30667210406.956768</v>
      </c>
      <c r="M22" s="283">
        <v>40657147613.237457</v>
      </c>
      <c r="N22" s="283">
        <v>51974644656.332466</v>
      </c>
      <c r="O22" s="285" t="e">
        <v>#VALUE!</v>
      </c>
      <c r="P22" s="47" t="e">
        <f t="shared" si="1"/>
        <v>#VALUE!</v>
      </c>
    </row>
    <row r="23" spans="2:20" ht="18.75" customHeight="1" x14ac:dyDescent="0.35">
      <c r="C23" s="289">
        <f>+C22+$G$6</f>
        <v>0.05</v>
      </c>
      <c r="D23" s="309">
        <f>$D$22*(1+C23)</f>
        <v>4200000</v>
      </c>
      <c r="E23" s="286" t="e">
        <v>#REF!</v>
      </c>
      <c r="F23" s="286">
        <v>23104689347.796585</v>
      </c>
      <c r="G23" s="286">
        <v>30424475787.951851</v>
      </c>
      <c r="H23" s="286">
        <v>38163859402.265488</v>
      </c>
      <c r="I23" s="286">
        <v>51271043782.449203</v>
      </c>
      <c r="J23" s="287">
        <v>4646362024.4367704</v>
      </c>
      <c r="K23" s="286">
        <v>25824564126.796585</v>
      </c>
      <c r="L23" s="286">
        <v>32200567517.863129</v>
      </c>
      <c r="M23" s="286">
        <v>42690000154.851479</v>
      </c>
      <c r="N23" s="286">
        <v>54573370741.741859</v>
      </c>
      <c r="O23" s="288" t="e">
        <v>#VALUE!</v>
      </c>
      <c r="P23" s="47" t="e">
        <f t="shared" si="1"/>
        <v>#VALUE!</v>
      </c>
    </row>
    <row r="24" spans="2:20" ht="18.75" customHeight="1" x14ac:dyDescent="0.35">
      <c r="C24" s="290">
        <f>+C23+$G$6</f>
        <v>0.1</v>
      </c>
      <c r="D24" s="310">
        <f t="shared" ref="D24:D27" si="2">$D$22*(1+C24)</f>
        <v>4400000</v>
      </c>
      <c r="E24" s="52" t="e">
        <v>#REF!</v>
      </c>
      <c r="F24" s="52">
        <v>24204909715.896599</v>
      </c>
      <c r="G24" s="52">
        <v>31873257154.473709</v>
      </c>
      <c r="H24" s="52">
        <v>39981182056.439926</v>
      </c>
      <c r="I24" s="52">
        <v>53712516479.885544</v>
      </c>
      <c r="J24" s="273">
        <v>4867617214.4367704</v>
      </c>
      <c r="K24" s="52">
        <v>27054301933.896599</v>
      </c>
      <c r="L24" s="52">
        <v>33733924628.769485</v>
      </c>
      <c r="M24" s="52">
        <v>44722852696.465477</v>
      </c>
      <c r="N24" s="52">
        <v>57172096827.151207</v>
      </c>
      <c r="O24" s="275" t="e">
        <v>#VALUE!</v>
      </c>
      <c r="P24" s="47" t="e">
        <f t="shared" si="1"/>
        <v>#VALUE!</v>
      </c>
    </row>
    <row r="25" spans="2:20" ht="18.75" customHeight="1" x14ac:dyDescent="0.35">
      <c r="C25" s="290">
        <f>+C24+$G$6</f>
        <v>0.15000000000000002</v>
      </c>
      <c r="D25" s="310">
        <f t="shared" si="2"/>
        <v>4600000</v>
      </c>
      <c r="E25" s="52" t="e">
        <v>#REF!</v>
      </c>
      <c r="F25" s="52">
        <v>25305130083.996597</v>
      </c>
      <c r="G25" s="52">
        <v>33322038520.995564</v>
      </c>
      <c r="H25" s="52">
        <v>41798504710.614349</v>
      </c>
      <c r="I25" s="52">
        <v>56153989177.321899</v>
      </c>
      <c r="J25" s="273">
        <v>5088872404.4367704</v>
      </c>
      <c r="K25" s="52">
        <v>28284039740.996597</v>
      </c>
      <c r="L25" s="52">
        <v>35267281739.675842</v>
      </c>
      <c r="M25" s="52">
        <v>46755705238.07946</v>
      </c>
      <c r="N25" s="52">
        <v>59770822912.560577</v>
      </c>
      <c r="O25" s="275" t="e">
        <v>#VALUE!</v>
      </c>
      <c r="P25" s="47" t="e">
        <f t="shared" si="1"/>
        <v>#VALUE!</v>
      </c>
    </row>
    <row r="26" spans="2:20" ht="18.75" customHeight="1" x14ac:dyDescent="0.35">
      <c r="C26" s="290">
        <f>+C25+$G$6</f>
        <v>0.2</v>
      </c>
      <c r="D26" s="310">
        <f t="shared" si="2"/>
        <v>4800000</v>
      </c>
      <c r="E26" s="52" t="e">
        <v>#REF!</v>
      </c>
      <c r="F26" s="52">
        <v>26405350451.096596</v>
      </c>
      <c r="G26" s="52">
        <v>34770819887.522385</v>
      </c>
      <c r="H26" s="52">
        <v>43615827364.793793</v>
      </c>
      <c r="I26" s="52">
        <v>58595461874.757668</v>
      </c>
      <c r="J26" s="273">
        <v>5310127594.4367704</v>
      </c>
      <c r="K26" s="52">
        <v>29513777549.096596</v>
      </c>
      <c r="L26" s="52">
        <v>36800638849.587166</v>
      </c>
      <c r="M26" s="52">
        <v>48788557779.698456</v>
      </c>
      <c r="N26" s="52">
        <v>62369548997.970047</v>
      </c>
      <c r="O26" s="275" t="e">
        <v>#VALUE!</v>
      </c>
      <c r="P26" s="47" t="e">
        <f t="shared" si="1"/>
        <v>#VALUE!</v>
      </c>
    </row>
    <row r="27" spans="2:20" ht="18.75" customHeight="1" x14ac:dyDescent="0.35">
      <c r="C27" s="291">
        <f>+C26+$G$6</f>
        <v>0.25</v>
      </c>
      <c r="D27" s="311">
        <f t="shared" si="2"/>
        <v>5000000</v>
      </c>
      <c r="E27" s="277" t="e">
        <v>#REF!</v>
      </c>
      <c r="F27" s="277">
        <v>27505570819.196598</v>
      </c>
      <c r="G27" s="277">
        <v>36219601253.044243</v>
      </c>
      <c r="H27" s="277">
        <v>45433150018.968262</v>
      </c>
      <c r="I27" s="277">
        <v>61036934572.189041</v>
      </c>
      <c r="J27" s="276">
        <v>5531382784.4367704</v>
      </c>
      <c r="K27" s="277">
        <v>30743515356.196598</v>
      </c>
      <c r="L27" s="277">
        <v>38333995960.493523</v>
      </c>
      <c r="M27" s="277">
        <v>50821410320.312469</v>
      </c>
      <c r="N27" s="277">
        <v>64968275083.374428</v>
      </c>
      <c r="O27" s="279" t="e">
        <v>#VALUE!</v>
      </c>
      <c r="P27" s="47" t="e">
        <f t="shared" si="1"/>
        <v>#VALUE!</v>
      </c>
    </row>
    <row r="28" spans="2:20" ht="18.75" customHeight="1" x14ac:dyDescent="0.35">
      <c r="C28" s="292"/>
      <c r="D28" s="293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294"/>
      <c r="T28" s="47"/>
    </row>
    <row r="29" spans="2:20" ht="18.75" customHeight="1" x14ac:dyDescent="0.35">
      <c r="B29" s="45" t="s">
        <v>301</v>
      </c>
      <c r="E29" s="177"/>
      <c r="F29" s="177"/>
      <c r="G29" s="177"/>
      <c r="H29" s="177"/>
      <c r="I29" s="177"/>
      <c r="J29" s="177"/>
      <c r="K29" s="177"/>
      <c r="L29" s="177"/>
      <c r="M29" s="177"/>
      <c r="N29" s="177"/>
    </row>
    <row r="30" spans="2:20" ht="4.5" customHeight="1" x14ac:dyDescent="0.35">
      <c r="E30" s="177"/>
      <c r="F30" s="177"/>
      <c r="G30" s="177"/>
      <c r="H30" s="177"/>
      <c r="I30" s="177"/>
      <c r="J30" s="177"/>
      <c r="K30" s="177"/>
      <c r="L30" s="177"/>
      <c r="M30" s="177"/>
      <c r="N30" s="177"/>
    </row>
    <row r="31" spans="2:20" ht="18.75" customHeight="1" x14ac:dyDescent="0.35">
      <c r="C31" s="322" t="s">
        <v>143</v>
      </c>
      <c r="D31" s="295"/>
      <c r="E31" s="325" t="s">
        <v>296</v>
      </c>
      <c r="F31" s="326"/>
      <c r="G31" s="326"/>
      <c r="H31" s="326"/>
      <c r="I31" s="327"/>
      <c r="J31" s="326"/>
      <c r="K31" s="326"/>
      <c r="L31" s="326"/>
      <c r="M31" s="326"/>
      <c r="N31" s="326"/>
      <c r="O31" s="331"/>
      <c r="Q31" s="114"/>
    </row>
    <row r="32" spans="2:20" ht="15.75" customHeight="1" x14ac:dyDescent="0.35">
      <c r="C32" s="345" t="s">
        <v>142</v>
      </c>
      <c r="D32" s="262" t="s">
        <v>290</v>
      </c>
      <c r="E32" s="328"/>
      <c r="F32" s="328"/>
      <c r="G32" s="328"/>
      <c r="H32" s="328"/>
      <c r="I32" s="328"/>
      <c r="J32" s="296" t="s">
        <v>145</v>
      </c>
      <c r="K32" s="333"/>
      <c r="L32" s="328"/>
      <c r="M32" s="328"/>
      <c r="N32" s="328"/>
      <c r="O32" s="332"/>
      <c r="Q32" s="114"/>
    </row>
    <row r="33" spans="2:18" ht="15.75" customHeight="1" x14ac:dyDescent="0.35">
      <c r="C33" s="346" t="s">
        <v>293</v>
      </c>
      <c r="D33" s="266" t="s">
        <v>291</v>
      </c>
      <c r="E33" s="329">
        <f t="shared" ref="E33:H33" si="3">+F33-$G$7</f>
        <v>-0.05</v>
      </c>
      <c r="F33" s="329">
        <f t="shared" si="3"/>
        <v>-0.04</v>
      </c>
      <c r="G33" s="329">
        <f t="shared" si="3"/>
        <v>-0.03</v>
      </c>
      <c r="H33" s="329">
        <f t="shared" si="3"/>
        <v>-0.02</v>
      </c>
      <c r="I33" s="329">
        <f>+J33-$G$7</f>
        <v>-0.01</v>
      </c>
      <c r="J33" s="297">
        <v>0</v>
      </c>
      <c r="K33" s="334">
        <f>+J33+$G$7</f>
        <v>0.01</v>
      </c>
      <c r="L33" s="329">
        <f t="shared" ref="L33:O33" si="4">+K33+$G$7</f>
        <v>0.02</v>
      </c>
      <c r="M33" s="329">
        <f t="shared" si="4"/>
        <v>0.03</v>
      </c>
      <c r="N33" s="329">
        <f t="shared" si="4"/>
        <v>0.04</v>
      </c>
      <c r="O33" s="335">
        <f t="shared" si="4"/>
        <v>0.05</v>
      </c>
    </row>
    <row r="34" spans="2:18" ht="15.75" customHeight="1" x14ac:dyDescent="0.35">
      <c r="B34" s="32"/>
      <c r="C34" s="347" t="s">
        <v>291</v>
      </c>
      <c r="D34" s="320" t="e">
        <f>Summary!E49</f>
        <v>#VALUE!</v>
      </c>
      <c r="E34" s="330">
        <f t="shared" ref="E34:H34" si="5">$J$34+E33</f>
        <v>2.0000000000000004E-2</v>
      </c>
      <c r="F34" s="330">
        <f t="shared" si="5"/>
        <v>3.0000000000000006E-2</v>
      </c>
      <c r="G34" s="330">
        <f t="shared" si="5"/>
        <v>4.0000000000000008E-2</v>
      </c>
      <c r="H34" s="330">
        <f t="shared" si="5"/>
        <v>0.05</v>
      </c>
      <c r="I34" s="330">
        <f>$J$34+I33</f>
        <v>6.0000000000000005E-2</v>
      </c>
      <c r="J34" s="312">
        <v>7.0000000000000007E-2</v>
      </c>
      <c r="K34" s="336">
        <f>$J$34+K33</f>
        <v>0.08</v>
      </c>
      <c r="L34" s="330">
        <f t="shared" ref="L34:O34" si="6">$J$34+L33</f>
        <v>9.0000000000000011E-2</v>
      </c>
      <c r="M34" s="330">
        <f t="shared" si="6"/>
        <v>0.1</v>
      </c>
      <c r="N34" s="330">
        <f t="shared" si="6"/>
        <v>0.11000000000000001</v>
      </c>
      <c r="O34" s="337">
        <f t="shared" si="6"/>
        <v>0.12000000000000001</v>
      </c>
    </row>
    <row r="35" spans="2:18" ht="18.75" customHeight="1" x14ac:dyDescent="0.35">
      <c r="C35" s="290">
        <f t="shared" ref="C35:C38" si="7">+C36-$G$8</f>
        <v>-0.25</v>
      </c>
      <c r="D35" s="301">
        <f t="shared" ref="D35:D38" si="8">$D$40*(1+C35)</f>
        <v>3000000</v>
      </c>
      <c r="E35" s="298" t="e">
        <f t="dataTable" ref="E35:O45" dt2D="1" dtr="1" r1="F7" r2="F6" ca="1"/>
        <v>#VALUE!</v>
      </c>
      <c r="F35" s="299" t="e">
        <v>#VALUE!</v>
      </c>
      <c r="G35" s="299" t="e">
        <v>#VALUE!</v>
      </c>
      <c r="H35" s="299" t="e">
        <v>#VALUE!</v>
      </c>
      <c r="I35" s="299" t="e">
        <v>#VALUE!</v>
      </c>
      <c r="J35" s="299" t="e">
        <v>#VALUE!</v>
      </c>
      <c r="K35" s="299" t="e">
        <v>#VALUE!</v>
      </c>
      <c r="L35" s="299" t="e">
        <v>#VALUE!</v>
      </c>
      <c r="M35" s="299" t="e">
        <v>#VALUE!</v>
      </c>
      <c r="N35" s="299" t="e">
        <v>#VALUE!</v>
      </c>
      <c r="O35" s="300" t="e">
        <v>#VALUE!</v>
      </c>
      <c r="R35" s="47"/>
    </row>
    <row r="36" spans="2:18" ht="18.75" customHeight="1" x14ac:dyDescent="0.35">
      <c r="C36" s="290">
        <f t="shared" si="7"/>
        <v>-0.2</v>
      </c>
      <c r="D36" s="302">
        <f t="shared" si="8"/>
        <v>3200000</v>
      </c>
      <c r="E36" s="298" t="e">
        <v>#VALUE!</v>
      </c>
      <c r="F36" s="299" t="e">
        <v>#VALUE!</v>
      </c>
      <c r="G36" s="299" t="e">
        <v>#VALUE!</v>
      </c>
      <c r="H36" s="299" t="e">
        <v>#VALUE!</v>
      </c>
      <c r="I36" s="299" t="e">
        <v>#VALUE!</v>
      </c>
      <c r="J36" s="299" t="e">
        <v>#VALUE!</v>
      </c>
      <c r="K36" s="299" t="e">
        <v>#VALUE!</v>
      </c>
      <c r="L36" s="299" t="e">
        <v>#VALUE!</v>
      </c>
      <c r="M36" s="299" t="e">
        <v>#VALUE!</v>
      </c>
      <c r="N36" s="299" t="e">
        <v>#VALUE!</v>
      </c>
      <c r="O36" s="300" t="e">
        <v>#VALUE!</v>
      </c>
    </row>
    <row r="37" spans="2:18" ht="18.75" customHeight="1" x14ac:dyDescent="0.35">
      <c r="C37" s="290">
        <f t="shared" si="7"/>
        <v>-0.15000000000000002</v>
      </c>
      <c r="D37" s="302">
        <f t="shared" si="8"/>
        <v>3400000</v>
      </c>
      <c r="E37" s="298" t="e">
        <v>#VALUE!</v>
      </c>
      <c r="F37" s="299" t="e">
        <v>#VALUE!</v>
      </c>
      <c r="G37" s="299" t="e">
        <v>#VALUE!</v>
      </c>
      <c r="H37" s="299" t="e">
        <v>#VALUE!</v>
      </c>
      <c r="I37" s="299" t="e">
        <v>#VALUE!</v>
      </c>
      <c r="J37" s="299" t="e">
        <v>#VALUE!</v>
      </c>
      <c r="K37" s="299" t="e">
        <v>#VALUE!</v>
      </c>
      <c r="L37" s="299" t="e">
        <v>#VALUE!</v>
      </c>
      <c r="M37" s="299" t="e">
        <v>#VALUE!</v>
      </c>
      <c r="N37" s="299" t="e">
        <v>#VALUE!</v>
      </c>
      <c r="O37" s="300" t="e">
        <v>#VALUE!</v>
      </c>
    </row>
    <row r="38" spans="2:18" ht="18.75" customHeight="1" x14ac:dyDescent="0.35">
      <c r="C38" s="290">
        <f t="shared" si="7"/>
        <v>-0.1</v>
      </c>
      <c r="D38" s="302">
        <f t="shared" si="8"/>
        <v>3600000</v>
      </c>
      <c r="E38" s="298" t="e">
        <v>#VALUE!</v>
      </c>
      <c r="F38" s="299" t="e">
        <v>#VALUE!</v>
      </c>
      <c r="G38" s="299" t="e">
        <v>#VALUE!</v>
      </c>
      <c r="H38" s="299" t="e">
        <v>#VALUE!</v>
      </c>
      <c r="I38" s="299" t="e">
        <v>#VALUE!</v>
      </c>
      <c r="J38" s="299" t="e">
        <v>#VALUE!</v>
      </c>
      <c r="K38" s="299" t="e">
        <v>#VALUE!</v>
      </c>
      <c r="L38" s="299" t="e">
        <v>#VALUE!</v>
      </c>
      <c r="M38" s="299" t="e">
        <v>#VALUE!</v>
      </c>
      <c r="N38" s="299" t="e">
        <v>#VALUE!</v>
      </c>
      <c r="O38" s="300" t="e">
        <v>#VALUE!</v>
      </c>
    </row>
    <row r="39" spans="2:18" ht="18.75" customHeight="1" x14ac:dyDescent="0.35">
      <c r="C39" s="290">
        <f>+C40-$G$8</f>
        <v>-0.05</v>
      </c>
      <c r="D39" s="303">
        <f>$D$40*(1+C39)</f>
        <v>3800000</v>
      </c>
      <c r="E39" s="298" t="e">
        <v>#VALUE!</v>
      </c>
      <c r="F39" s="299" t="e">
        <v>#VALUE!</v>
      </c>
      <c r="G39" s="299" t="e">
        <v>#VALUE!</v>
      </c>
      <c r="H39" s="299" t="e">
        <v>#VALUE!</v>
      </c>
      <c r="I39" s="299" t="e">
        <v>#VALUE!</v>
      </c>
      <c r="J39" s="299" t="e">
        <v>#VALUE!</v>
      </c>
      <c r="K39" s="299" t="e">
        <v>#VALUE!</v>
      </c>
      <c r="L39" s="299" t="e">
        <v>#VALUE!</v>
      </c>
      <c r="M39" s="299" t="e">
        <v>#VALUE!</v>
      </c>
      <c r="N39" s="299" t="e">
        <v>#VALUE!</v>
      </c>
      <c r="O39" s="300" t="e">
        <v>#VALUE!</v>
      </c>
    </row>
    <row r="40" spans="2:18" ht="18.75" customHeight="1" x14ac:dyDescent="0.35">
      <c r="B40" s="280" t="s">
        <v>145</v>
      </c>
      <c r="C40" s="323">
        <v>0</v>
      </c>
      <c r="D40" s="321">
        <v>4000000</v>
      </c>
      <c r="E40" s="298" t="e">
        <v>#VALUE!</v>
      </c>
      <c r="F40" s="299" t="e">
        <v>#VALUE!</v>
      </c>
      <c r="G40" s="299" t="e">
        <v>#VALUE!</v>
      </c>
      <c r="H40" s="299" t="e">
        <v>#VALUE!</v>
      </c>
      <c r="I40" s="299" t="e">
        <v>#VALUE!</v>
      </c>
      <c r="J40" s="282" t="e">
        <v>#VALUE!</v>
      </c>
      <c r="K40" s="299" t="e">
        <v>#VALUE!</v>
      </c>
      <c r="L40" s="299" t="e">
        <v>#VALUE!</v>
      </c>
      <c r="M40" s="299" t="e">
        <v>#VALUE!</v>
      </c>
      <c r="N40" s="299" t="e">
        <v>#VALUE!</v>
      </c>
      <c r="O40" s="300" t="e">
        <v>#VALUE!</v>
      </c>
    </row>
    <row r="41" spans="2:18" ht="18.75" customHeight="1" x14ac:dyDescent="0.35">
      <c r="C41" s="290">
        <f>+C40+$G$8</f>
        <v>0.05</v>
      </c>
      <c r="D41" s="301">
        <f t="shared" ref="D41:D44" si="9">$D$40*(1+C41)</f>
        <v>4200000</v>
      </c>
      <c r="E41" s="298" t="e">
        <v>#VALUE!</v>
      </c>
      <c r="F41" s="299" t="e">
        <v>#VALUE!</v>
      </c>
      <c r="G41" s="299" t="e">
        <v>#VALUE!</v>
      </c>
      <c r="H41" s="299" t="e">
        <v>#VALUE!</v>
      </c>
      <c r="I41" s="299" t="e">
        <v>#VALUE!</v>
      </c>
      <c r="J41" s="299" t="e">
        <v>#VALUE!</v>
      </c>
      <c r="K41" s="299" t="e">
        <v>#VALUE!</v>
      </c>
      <c r="L41" s="299" t="e">
        <v>#VALUE!</v>
      </c>
      <c r="M41" s="299" t="e">
        <v>#VALUE!</v>
      </c>
      <c r="N41" s="299" t="e">
        <v>#VALUE!</v>
      </c>
      <c r="O41" s="300" t="e">
        <v>#VALUE!</v>
      </c>
    </row>
    <row r="42" spans="2:18" ht="18.75" customHeight="1" x14ac:dyDescent="0.35">
      <c r="C42" s="290">
        <f t="shared" ref="C42:C45" si="10">+C41+$G$8</f>
        <v>0.1</v>
      </c>
      <c r="D42" s="302">
        <f t="shared" si="9"/>
        <v>4400000</v>
      </c>
      <c r="E42" s="298" t="e">
        <v>#VALUE!</v>
      </c>
      <c r="F42" s="299" t="e">
        <v>#VALUE!</v>
      </c>
      <c r="G42" s="299" t="e">
        <v>#VALUE!</v>
      </c>
      <c r="H42" s="299" t="e">
        <v>#VALUE!</v>
      </c>
      <c r="I42" s="299" t="e">
        <v>#VALUE!</v>
      </c>
      <c r="J42" s="299" t="e">
        <v>#VALUE!</v>
      </c>
      <c r="K42" s="299" t="e">
        <v>#VALUE!</v>
      </c>
      <c r="L42" s="299" t="e">
        <v>#VALUE!</v>
      </c>
      <c r="M42" s="299" t="e">
        <v>#VALUE!</v>
      </c>
      <c r="N42" s="299" t="e">
        <v>#VALUE!</v>
      </c>
      <c r="O42" s="300" t="e">
        <v>#VALUE!</v>
      </c>
    </row>
    <row r="43" spans="2:18" ht="18.75" customHeight="1" x14ac:dyDescent="0.35">
      <c r="C43" s="290">
        <f t="shared" si="10"/>
        <v>0.15000000000000002</v>
      </c>
      <c r="D43" s="302">
        <f t="shared" si="9"/>
        <v>4600000</v>
      </c>
      <c r="E43" s="298" t="e">
        <v>#VALUE!</v>
      </c>
      <c r="F43" s="299" t="e">
        <v>#VALUE!</v>
      </c>
      <c r="G43" s="299" t="e">
        <v>#VALUE!</v>
      </c>
      <c r="H43" s="299" t="e">
        <v>#VALUE!</v>
      </c>
      <c r="I43" s="299" t="e">
        <v>#VALUE!</v>
      </c>
      <c r="J43" s="299" t="e">
        <v>#VALUE!</v>
      </c>
      <c r="K43" s="299" t="e">
        <v>#VALUE!</v>
      </c>
      <c r="L43" s="299" t="e">
        <v>#VALUE!</v>
      </c>
      <c r="M43" s="299" t="e">
        <v>#VALUE!</v>
      </c>
      <c r="N43" s="299" t="e">
        <v>#VALUE!</v>
      </c>
      <c r="O43" s="300" t="e">
        <v>#VALUE!</v>
      </c>
    </row>
    <row r="44" spans="2:18" ht="18.75" customHeight="1" x14ac:dyDescent="0.35">
      <c r="C44" s="290">
        <f t="shared" si="10"/>
        <v>0.2</v>
      </c>
      <c r="D44" s="302">
        <f t="shared" si="9"/>
        <v>4800000</v>
      </c>
      <c r="E44" s="298" t="e">
        <v>#VALUE!</v>
      </c>
      <c r="F44" s="299" t="e">
        <v>#VALUE!</v>
      </c>
      <c r="G44" s="299" t="e">
        <v>#VALUE!</v>
      </c>
      <c r="H44" s="299" t="e">
        <v>#VALUE!</v>
      </c>
      <c r="I44" s="299" t="e">
        <v>#VALUE!</v>
      </c>
      <c r="J44" s="299" t="e">
        <v>#VALUE!</v>
      </c>
      <c r="K44" s="299" t="e">
        <v>#VALUE!</v>
      </c>
      <c r="L44" s="299" t="e">
        <v>#VALUE!</v>
      </c>
      <c r="M44" s="299" t="e">
        <v>#VALUE!</v>
      </c>
      <c r="N44" s="299" t="e">
        <v>#VALUE!</v>
      </c>
      <c r="O44" s="300" t="e">
        <v>#VALUE!</v>
      </c>
    </row>
    <row r="45" spans="2:18" ht="18.75" customHeight="1" x14ac:dyDescent="0.35">
      <c r="C45" s="291">
        <f t="shared" si="10"/>
        <v>0.25</v>
      </c>
      <c r="D45" s="303">
        <f>$D$40*(1+C45)</f>
        <v>5000000</v>
      </c>
      <c r="E45" s="304" t="e">
        <v>#VALUE!</v>
      </c>
      <c r="F45" s="305" t="e">
        <v>#VALUE!</v>
      </c>
      <c r="G45" s="305" t="e">
        <v>#VALUE!</v>
      </c>
      <c r="H45" s="305" t="e">
        <v>#VALUE!</v>
      </c>
      <c r="I45" s="305" t="e">
        <v>#VALUE!</v>
      </c>
      <c r="J45" s="305" t="e">
        <v>#VALUE!</v>
      </c>
      <c r="K45" s="305" t="e">
        <v>#VALUE!</v>
      </c>
      <c r="L45" s="305" t="e">
        <v>#VALUE!</v>
      </c>
      <c r="M45" s="305" t="e">
        <v>#VALUE!</v>
      </c>
      <c r="N45" s="305" t="e">
        <v>#VALUE!</v>
      </c>
      <c r="O45" s="306" t="e">
        <v>#VALUE!</v>
      </c>
    </row>
    <row r="47" spans="2:18" ht="15" customHeight="1" x14ac:dyDescent="0.35">
      <c r="B47" s="45" t="s">
        <v>302</v>
      </c>
    </row>
    <row r="48" spans="2:18" ht="4.5" customHeight="1" x14ac:dyDescent="0.35">
      <c r="F48" s="33"/>
      <c r="G48" s="33"/>
      <c r="H48" s="33"/>
      <c r="I48" s="33"/>
      <c r="J48" s="33"/>
      <c r="K48" s="33"/>
      <c r="L48" s="33"/>
      <c r="M48" s="33"/>
      <c r="N48" s="33"/>
    </row>
    <row r="49" spans="2:16" ht="18.75" customHeight="1" x14ac:dyDescent="0.35">
      <c r="E49" s="256" t="s">
        <v>151</v>
      </c>
      <c r="F49" s="257"/>
      <c r="G49" s="257"/>
      <c r="H49" s="257"/>
      <c r="I49" s="257"/>
      <c r="J49" s="338" t="s">
        <v>183</v>
      </c>
      <c r="K49" s="339"/>
      <c r="L49" s="339"/>
      <c r="M49" s="339"/>
      <c r="N49" s="340"/>
      <c r="O49" s="258" t="s">
        <v>143</v>
      </c>
    </row>
    <row r="50" spans="2:16" ht="15.75" customHeight="1" x14ac:dyDescent="0.35">
      <c r="C50" s="259" t="s">
        <v>142</v>
      </c>
      <c r="D50" s="259" t="s">
        <v>303</v>
      </c>
      <c r="E50" s="260" t="s">
        <v>234</v>
      </c>
      <c r="F50" s="261" t="s">
        <v>235</v>
      </c>
      <c r="G50" s="261" t="s">
        <v>236</v>
      </c>
      <c r="H50" s="261" t="s">
        <v>237</v>
      </c>
      <c r="I50" s="262" t="s">
        <v>238</v>
      </c>
      <c r="J50" s="341" t="s">
        <v>234</v>
      </c>
      <c r="K50" s="341" t="s">
        <v>235</v>
      </c>
      <c r="L50" s="341" t="s">
        <v>236</v>
      </c>
      <c r="M50" s="341" t="s">
        <v>237</v>
      </c>
      <c r="N50" s="341" t="s">
        <v>238</v>
      </c>
      <c r="O50" s="263"/>
    </row>
    <row r="51" spans="2:16" ht="15.75" customHeight="1" x14ac:dyDescent="0.35">
      <c r="C51" s="264" t="s">
        <v>306</v>
      </c>
      <c r="D51" s="264" t="s">
        <v>304</v>
      </c>
      <c r="E51" s="265" t="s">
        <v>288</v>
      </c>
      <c r="F51" s="102" t="str">
        <f>E51</f>
        <v>€</v>
      </c>
      <c r="G51" s="102" t="str">
        <f>F51</f>
        <v>€</v>
      </c>
      <c r="H51" s="102" t="str">
        <f>G51</f>
        <v>€</v>
      </c>
      <c r="I51" s="266" t="str">
        <f>H51</f>
        <v>€</v>
      </c>
      <c r="J51" s="342" t="s">
        <v>288</v>
      </c>
      <c r="K51" s="342" t="str">
        <f>J51</f>
        <v>€</v>
      </c>
      <c r="L51" s="342" t="str">
        <f>K51</f>
        <v>€</v>
      </c>
      <c r="M51" s="342" t="str">
        <f>L51</f>
        <v>€</v>
      </c>
      <c r="N51" s="342" t="str">
        <f>M51</f>
        <v>€</v>
      </c>
      <c r="O51" s="267" t="s">
        <v>144</v>
      </c>
    </row>
    <row r="52" spans="2:16" s="32" customFormat="1" ht="15.75" customHeight="1" x14ac:dyDescent="0.35">
      <c r="C52" s="264" t="s">
        <v>304</v>
      </c>
      <c r="D52" s="264" t="s">
        <v>305</v>
      </c>
      <c r="E52" s="268" t="e">
        <f>'P&amp;L'!#REF!</f>
        <v>#REF!</v>
      </c>
      <c r="F52" s="269">
        <f>'P&amp;L'!D25</f>
        <v>85345.293012374983</v>
      </c>
      <c r="G52" s="269">
        <f>'P&amp;L'!E25</f>
        <v>97338.491246294783</v>
      </c>
      <c r="H52" s="269">
        <f>'P&amp;L'!F25</f>
        <v>120163.99228070944</v>
      </c>
      <c r="I52" s="270">
        <f>'P&amp;L'!G25</f>
        <v>165792.31220739719</v>
      </c>
      <c r="J52" s="269">
        <f>CF!D39</f>
        <v>7459.5405749999982</v>
      </c>
      <c r="K52" s="269">
        <f>CF!E39</f>
        <v>96730.293012374983</v>
      </c>
      <c r="L52" s="269">
        <f>CF!F39</f>
        <v>100068.00105238604</v>
      </c>
      <c r="M52" s="269">
        <f>CF!G39</f>
        <v>137741.73712847035</v>
      </c>
      <c r="N52" s="269">
        <f>CF!H39</f>
        <v>174625.4206983007</v>
      </c>
      <c r="O52" s="271" t="e">
        <f>Summary!E49</f>
        <v>#VALUE!</v>
      </c>
    </row>
    <row r="53" spans="2:16" ht="18.75" customHeight="1" x14ac:dyDescent="0.35">
      <c r="C53" s="272">
        <f t="shared" ref="C53:C56" si="11">+C54-$G$8</f>
        <v>-0.25</v>
      </c>
      <c r="D53" s="313">
        <f t="shared" ref="D53:D56" si="12">$D$58*(1+C53)</f>
        <v>15</v>
      </c>
      <c r="E53" s="273" t="e">
        <f t="dataTable" ref="E53:O63" dt2D="0" dtr="0" r1="F8" ca="1"/>
        <v>#REF!</v>
      </c>
      <c r="F53" s="52">
        <v>75369.082932374993</v>
      </c>
      <c r="G53" s="52">
        <v>85338.44488901498</v>
      </c>
      <c r="H53" s="52">
        <v>106491.64569283772</v>
      </c>
      <c r="I53" s="274">
        <v>148598.21977873516</v>
      </c>
      <c r="J53" s="52">
        <v>5061.5085749999944</v>
      </c>
      <c r="K53" s="52">
        <v>85628.082932374993</v>
      </c>
      <c r="L53" s="52">
        <v>87401.105393506223</v>
      </c>
      <c r="M53" s="52">
        <v>122416.00339569466</v>
      </c>
      <c r="N53" s="52">
        <v>156504.22446826377</v>
      </c>
      <c r="O53" s="275" t="e">
        <v>#VALUE!</v>
      </c>
      <c r="P53" s="47" t="e">
        <f>(O53-$O$58)/$O$58</f>
        <v>#VALUE!</v>
      </c>
    </row>
    <row r="54" spans="2:16" ht="18.75" customHeight="1" x14ac:dyDescent="0.35">
      <c r="C54" s="272">
        <f t="shared" si="11"/>
        <v>-0.2</v>
      </c>
      <c r="D54" s="313">
        <f t="shared" si="12"/>
        <v>16</v>
      </c>
      <c r="E54" s="273" t="e">
        <v>#REF!</v>
      </c>
      <c r="F54" s="52">
        <v>75768.131335574944</v>
      </c>
      <c r="G54" s="52">
        <v>85818.926743306045</v>
      </c>
      <c r="H54" s="52">
        <v>107038.61955635267</v>
      </c>
      <c r="I54" s="274">
        <v>149285.34547588154</v>
      </c>
      <c r="J54" s="52">
        <v>5157.4298550000003</v>
      </c>
      <c r="K54" s="52">
        <v>86072.131335574944</v>
      </c>
      <c r="L54" s="52">
        <v>87907.781219861296</v>
      </c>
      <c r="M54" s="52">
        <v>123029.51274500575</v>
      </c>
      <c r="N54" s="52">
        <v>157229.15431746515</v>
      </c>
      <c r="O54" s="275" t="e">
        <v>#VALUE!</v>
      </c>
      <c r="P54" s="47" t="e">
        <f t="shared" ref="P54:P63" si="13">(O54-$O$58)/$O$58</f>
        <v>#VALUE!</v>
      </c>
    </row>
    <row r="55" spans="2:16" ht="18.75" customHeight="1" x14ac:dyDescent="0.35">
      <c r="C55" s="272">
        <f t="shared" si="11"/>
        <v>-0.15000000000000002</v>
      </c>
      <c r="D55" s="313">
        <f t="shared" si="12"/>
        <v>17</v>
      </c>
      <c r="E55" s="273" t="e">
        <v>#REF!</v>
      </c>
      <c r="F55" s="52">
        <v>76167.179738774954</v>
      </c>
      <c r="G55" s="52">
        <v>86298.408597597328</v>
      </c>
      <c r="H55" s="52">
        <v>107585.59341986757</v>
      </c>
      <c r="I55" s="274">
        <v>149973.46617302805</v>
      </c>
      <c r="J55" s="52">
        <v>5253.3511349999999</v>
      </c>
      <c r="K55" s="52">
        <v>86516.179738774954</v>
      </c>
      <c r="L55" s="52">
        <v>88414.457046216587</v>
      </c>
      <c r="M55" s="52">
        <v>123642.02209431681</v>
      </c>
      <c r="N55" s="52">
        <v>157954.07916666663</v>
      </c>
      <c r="O55" s="275" t="e">
        <v>#VALUE!</v>
      </c>
      <c r="P55" s="47" t="e">
        <f t="shared" si="13"/>
        <v>#VALUE!</v>
      </c>
    </row>
    <row r="56" spans="2:16" ht="18.75" customHeight="1" x14ac:dyDescent="0.35">
      <c r="C56" s="272">
        <f t="shared" si="11"/>
        <v>-0.1</v>
      </c>
      <c r="D56" s="313">
        <f t="shared" si="12"/>
        <v>18</v>
      </c>
      <c r="E56" s="273" t="e">
        <v>#REF!</v>
      </c>
      <c r="F56" s="52">
        <v>76566.228141974963</v>
      </c>
      <c r="G56" s="52">
        <v>86778.890451888408</v>
      </c>
      <c r="H56" s="52">
        <v>108132.56728338248</v>
      </c>
      <c r="I56" s="274">
        <v>150661.59187017469</v>
      </c>
      <c r="J56" s="52">
        <v>5349.2724149999913</v>
      </c>
      <c r="K56" s="52">
        <v>86960.228141974963</v>
      </c>
      <c r="L56" s="52">
        <v>88921.132872571659</v>
      </c>
      <c r="M56" s="52">
        <v>124255.53144362789</v>
      </c>
      <c r="N56" s="52">
        <v>158679.00901586827</v>
      </c>
      <c r="O56" s="275" t="e">
        <v>#VALUE!</v>
      </c>
      <c r="P56" s="47" t="e">
        <f t="shared" si="13"/>
        <v>#VALUE!</v>
      </c>
    </row>
    <row r="57" spans="2:16" ht="18.75" customHeight="1" x14ac:dyDescent="0.35">
      <c r="C57" s="272">
        <f>+C58-$G$8</f>
        <v>-0.05</v>
      </c>
      <c r="D57" s="314">
        <f>$D$58*(1+C57)</f>
        <v>19</v>
      </c>
      <c r="E57" s="276" t="e">
        <v>#REF!</v>
      </c>
      <c r="F57" s="277">
        <v>76965.276545174973</v>
      </c>
      <c r="G57" s="277">
        <v>87258.37230617975</v>
      </c>
      <c r="H57" s="277">
        <v>108679.54114689727</v>
      </c>
      <c r="I57" s="278">
        <v>151348.71256732114</v>
      </c>
      <c r="J57" s="277">
        <v>5445.1936950000045</v>
      </c>
      <c r="K57" s="277">
        <v>87404.276545174973</v>
      </c>
      <c r="L57" s="277">
        <v>89427.808698926994</v>
      </c>
      <c r="M57" s="277">
        <v>124868.04079293885</v>
      </c>
      <c r="N57" s="277">
        <v>159403.93386506973</v>
      </c>
      <c r="O57" s="279" t="e">
        <v>#VALUE!</v>
      </c>
      <c r="P57" s="47" t="e">
        <f t="shared" si="13"/>
        <v>#VALUE!</v>
      </c>
    </row>
    <row r="58" spans="2:16" s="32" customFormat="1" ht="18.75" customHeight="1" x14ac:dyDescent="0.35">
      <c r="B58" s="280" t="s">
        <v>145</v>
      </c>
      <c r="C58" s="281">
        <v>0</v>
      </c>
      <c r="D58" s="319">
        <v>20</v>
      </c>
      <c r="E58" s="283" t="e">
        <v>#REF!</v>
      </c>
      <c r="F58" s="283">
        <v>77364.324948375055</v>
      </c>
      <c r="G58" s="283">
        <v>87738.85416047083</v>
      </c>
      <c r="H58" s="283">
        <v>109226.51501041217</v>
      </c>
      <c r="I58" s="283">
        <v>152036.83826446751</v>
      </c>
      <c r="J58" s="284">
        <v>5541.1149749999968</v>
      </c>
      <c r="K58" s="283">
        <v>87848.324948375055</v>
      </c>
      <c r="L58" s="283">
        <v>89934.484525282081</v>
      </c>
      <c r="M58" s="283">
        <v>125481.55014224991</v>
      </c>
      <c r="N58" s="283">
        <v>160128.86371427108</v>
      </c>
      <c r="O58" s="285" t="e">
        <v>#VALUE!</v>
      </c>
      <c r="P58" s="47" t="e">
        <f t="shared" si="13"/>
        <v>#VALUE!</v>
      </c>
    </row>
    <row r="59" spans="2:16" ht="18.75" customHeight="1" x14ac:dyDescent="0.35">
      <c r="C59" s="289">
        <f>+C58+$G$8</f>
        <v>0.05</v>
      </c>
      <c r="D59" s="315">
        <f>$D$58*(1+C59)</f>
        <v>21</v>
      </c>
      <c r="E59" s="286" t="e">
        <v>#REF!</v>
      </c>
      <c r="F59" s="286">
        <v>77763.373351575006</v>
      </c>
      <c r="G59" s="286">
        <v>88218.336014762172</v>
      </c>
      <c r="H59" s="286">
        <v>109773.48887392697</v>
      </c>
      <c r="I59" s="286">
        <v>152724.95896161388</v>
      </c>
      <c r="J59" s="287">
        <v>5637.0362549999891</v>
      </c>
      <c r="K59" s="286">
        <v>88292.373351575006</v>
      </c>
      <c r="L59" s="286">
        <v>90441.160351637416</v>
      </c>
      <c r="M59" s="286">
        <v>126094.05949156087</v>
      </c>
      <c r="N59" s="286">
        <v>160853.78856347248</v>
      </c>
      <c r="O59" s="288" t="e">
        <v>#VALUE!</v>
      </c>
      <c r="P59" s="47" t="e">
        <f t="shared" si="13"/>
        <v>#VALUE!</v>
      </c>
    </row>
    <row r="60" spans="2:16" ht="18.75" customHeight="1" x14ac:dyDescent="0.35">
      <c r="C60" s="290">
        <f t="shared" ref="C60:C63" si="14">+C59+$G$8</f>
        <v>0.1</v>
      </c>
      <c r="D60" s="316">
        <f t="shared" ref="D60:D63" si="15">$D$58*(1+C60)</f>
        <v>22</v>
      </c>
      <c r="E60" s="52" t="e">
        <v>#REF!</v>
      </c>
      <c r="F60" s="52">
        <v>78162.421754774958</v>
      </c>
      <c r="G60" s="52">
        <v>88698.817869053193</v>
      </c>
      <c r="H60" s="52">
        <v>110320.46273744188</v>
      </c>
      <c r="I60" s="52">
        <v>153412.08465876064</v>
      </c>
      <c r="J60" s="273">
        <v>5732.9575350000014</v>
      </c>
      <c r="K60" s="52">
        <v>88736.421754774958</v>
      </c>
      <c r="L60" s="52">
        <v>90947.836177992445</v>
      </c>
      <c r="M60" s="52">
        <v>126707.56884087193</v>
      </c>
      <c r="N60" s="52">
        <v>161578.71841267421</v>
      </c>
      <c r="O60" s="275" t="e">
        <v>#VALUE!</v>
      </c>
      <c r="P60" s="47" t="e">
        <f t="shared" si="13"/>
        <v>#VALUE!</v>
      </c>
    </row>
    <row r="61" spans="2:16" ht="18.75" customHeight="1" x14ac:dyDescent="0.35">
      <c r="C61" s="290">
        <f t="shared" si="14"/>
        <v>0.15000000000000002</v>
      </c>
      <c r="D61" s="316">
        <f t="shared" si="15"/>
        <v>23</v>
      </c>
      <c r="E61" s="52" t="e">
        <v>#REF!</v>
      </c>
      <c r="F61" s="52">
        <v>78561.470157975025</v>
      </c>
      <c r="G61" s="52">
        <v>89178.299723344549</v>
      </c>
      <c r="H61" s="52">
        <v>110867.43660095667</v>
      </c>
      <c r="I61" s="52">
        <v>154100.20535590698</v>
      </c>
      <c r="J61" s="273">
        <v>5828.8788150000009</v>
      </c>
      <c r="K61" s="52">
        <v>89180.470157975025</v>
      </c>
      <c r="L61" s="52">
        <v>91454.512004347795</v>
      </c>
      <c r="M61" s="52">
        <v>127320.07819018289</v>
      </c>
      <c r="N61" s="52">
        <v>162303.64326187555</v>
      </c>
      <c r="O61" s="275" t="e">
        <v>#VALUE!</v>
      </c>
      <c r="P61" s="47" t="e">
        <f t="shared" si="13"/>
        <v>#VALUE!</v>
      </c>
    </row>
    <row r="62" spans="2:16" ht="18.75" customHeight="1" x14ac:dyDescent="0.35">
      <c r="C62" s="290">
        <f t="shared" si="14"/>
        <v>0.2</v>
      </c>
      <c r="D62" s="316">
        <f t="shared" si="15"/>
        <v>24</v>
      </c>
      <c r="E62" s="52" t="e">
        <v>#REF!</v>
      </c>
      <c r="F62" s="52">
        <v>78960.518561174977</v>
      </c>
      <c r="G62" s="52">
        <v>89658.781577635615</v>
      </c>
      <c r="H62" s="52">
        <v>111414.41046447158</v>
      </c>
      <c r="I62" s="52">
        <v>154788.33105305338</v>
      </c>
      <c r="J62" s="273">
        <v>5924.800094999986</v>
      </c>
      <c r="K62" s="52">
        <v>89624.518561174977</v>
      </c>
      <c r="L62" s="52">
        <v>91961.187830702867</v>
      </c>
      <c r="M62" s="52">
        <v>127933.58753949395</v>
      </c>
      <c r="N62" s="52">
        <v>163028.57311107696</v>
      </c>
      <c r="O62" s="275" t="e">
        <v>#VALUE!</v>
      </c>
      <c r="P62" s="47" t="e">
        <f t="shared" si="13"/>
        <v>#VALUE!</v>
      </c>
    </row>
    <row r="63" spans="2:16" ht="18.75" customHeight="1" x14ac:dyDescent="0.35">
      <c r="C63" s="291">
        <f t="shared" si="14"/>
        <v>0.25</v>
      </c>
      <c r="D63" s="317">
        <f t="shared" si="15"/>
        <v>25</v>
      </c>
      <c r="E63" s="277" t="e">
        <v>#REF!</v>
      </c>
      <c r="F63" s="277">
        <v>79359.566964375044</v>
      </c>
      <c r="G63" s="277">
        <v>90138.263431926884</v>
      </c>
      <c r="H63" s="277">
        <v>111960.38432798636</v>
      </c>
      <c r="I63" s="277">
        <v>155475.45175019989</v>
      </c>
      <c r="J63" s="276">
        <v>6020.7213749999992</v>
      </c>
      <c r="K63" s="277">
        <v>90068.566964375044</v>
      </c>
      <c r="L63" s="277">
        <v>92467.863657058129</v>
      </c>
      <c r="M63" s="277">
        <v>128546.09688880491</v>
      </c>
      <c r="N63" s="277">
        <v>163752.49796027844</v>
      </c>
      <c r="O63" s="279" t="e">
        <v>#VALUE!</v>
      </c>
      <c r="P63" s="47" t="e">
        <f t="shared" si="13"/>
        <v>#VALUE!</v>
      </c>
    </row>
    <row r="65" spans="2:16" ht="15" customHeight="1" x14ac:dyDescent="0.35">
      <c r="B65" s="45" t="s">
        <v>307</v>
      </c>
    </row>
    <row r="66" spans="2:16" ht="4.5" customHeight="1" x14ac:dyDescent="0.35">
      <c r="F66" s="33"/>
      <c r="G66" s="33"/>
      <c r="H66" s="33"/>
      <c r="I66" s="33"/>
      <c r="J66" s="33"/>
      <c r="K66" s="33"/>
      <c r="L66" s="33"/>
      <c r="M66" s="33"/>
      <c r="N66" s="33"/>
    </row>
    <row r="67" spans="2:16" ht="18.75" customHeight="1" x14ac:dyDescent="0.35">
      <c r="E67" s="256" t="s">
        <v>151</v>
      </c>
      <c r="F67" s="257"/>
      <c r="G67" s="257"/>
      <c r="H67" s="257"/>
      <c r="I67" s="257"/>
      <c r="J67" s="338" t="s">
        <v>183</v>
      </c>
      <c r="K67" s="339"/>
      <c r="L67" s="339"/>
      <c r="M67" s="339"/>
      <c r="N67" s="340"/>
      <c r="O67" s="258" t="s">
        <v>143</v>
      </c>
    </row>
    <row r="68" spans="2:16" ht="15.75" customHeight="1" x14ac:dyDescent="0.35">
      <c r="C68" s="259" t="s">
        <v>142</v>
      </c>
      <c r="D68" s="259" t="s">
        <v>308</v>
      </c>
      <c r="E68" s="260" t="s">
        <v>234</v>
      </c>
      <c r="F68" s="261" t="s">
        <v>235</v>
      </c>
      <c r="G68" s="261" t="s">
        <v>236</v>
      </c>
      <c r="H68" s="261" t="s">
        <v>237</v>
      </c>
      <c r="I68" s="262" t="s">
        <v>238</v>
      </c>
      <c r="J68" s="341" t="s">
        <v>234</v>
      </c>
      <c r="K68" s="341" t="s">
        <v>235</v>
      </c>
      <c r="L68" s="341" t="s">
        <v>236</v>
      </c>
      <c r="M68" s="341" t="s">
        <v>237</v>
      </c>
      <c r="N68" s="341" t="s">
        <v>238</v>
      </c>
      <c r="O68" s="263"/>
    </row>
    <row r="69" spans="2:16" ht="15.75" customHeight="1" x14ac:dyDescent="0.35">
      <c r="C69" s="264" t="s">
        <v>311</v>
      </c>
      <c r="D69" s="264" t="s">
        <v>309</v>
      </c>
      <c r="E69" s="265" t="s">
        <v>288</v>
      </c>
      <c r="F69" s="102" t="str">
        <f>E69</f>
        <v>€</v>
      </c>
      <c r="G69" s="102" t="str">
        <f>F69</f>
        <v>€</v>
      </c>
      <c r="H69" s="102" t="str">
        <f>G69</f>
        <v>€</v>
      </c>
      <c r="I69" s="266" t="str">
        <f>H69</f>
        <v>€</v>
      </c>
      <c r="J69" s="342" t="s">
        <v>288</v>
      </c>
      <c r="K69" s="342" t="str">
        <f>J69</f>
        <v>€</v>
      </c>
      <c r="L69" s="342" t="str">
        <f>K69</f>
        <v>€</v>
      </c>
      <c r="M69" s="342" t="str">
        <f>L69</f>
        <v>€</v>
      </c>
      <c r="N69" s="342" t="str">
        <f>M69</f>
        <v>€</v>
      </c>
      <c r="O69" s="267" t="s">
        <v>144</v>
      </c>
    </row>
    <row r="70" spans="2:16" s="32" customFormat="1" ht="15.75" customHeight="1" x14ac:dyDescent="0.35">
      <c r="C70" s="264"/>
      <c r="D70" s="264" t="s">
        <v>310</v>
      </c>
      <c r="E70" s="268" t="e">
        <f>'P&amp;L'!#REF!</f>
        <v>#REF!</v>
      </c>
      <c r="F70" s="269">
        <f>'P&amp;L'!D25</f>
        <v>85345.293012374983</v>
      </c>
      <c r="G70" s="269">
        <f>'P&amp;L'!E25</f>
        <v>97338.491246294783</v>
      </c>
      <c r="H70" s="269">
        <f>'P&amp;L'!F25</f>
        <v>120163.99228070944</v>
      </c>
      <c r="I70" s="270">
        <f>'P&amp;L'!G25</f>
        <v>165792.31220739719</v>
      </c>
      <c r="J70" s="269">
        <f>CF!D39</f>
        <v>7459.5405749999982</v>
      </c>
      <c r="K70" s="269">
        <f>CF!E39</f>
        <v>96730.293012374983</v>
      </c>
      <c r="L70" s="269">
        <f>CF!F39</f>
        <v>100068.00105238604</v>
      </c>
      <c r="M70" s="269">
        <f>CF!G39</f>
        <v>137741.73712847035</v>
      </c>
      <c r="N70" s="269">
        <f>CF!H39</f>
        <v>174625.4206983007</v>
      </c>
      <c r="O70" s="271" t="e">
        <f>Summary!E49</f>
        <v>#VALUE!</v>
      </c>
    </row>
    <row r="71" spans="2:16" ht="18.75" customHeight="1" x14ac:dyDescent="0.35">
      <c r="C71" s="272">
        <f t="shared" ref="C71:C74" si="16">+C72-$G$9</f>
        <v>-0.25</v>
      </c>
      <c r="D71" s="313">
        <f t="shared" ref="D71:D74" si="17">$D$76*(1+C71)</f>
        <v>6.9375</v>
      </c>
      <c r="E71" s="273" t="e">
        <f t="dataTable" ref="E71:O81" dt2D="0" dtr="0" r1="F9" ca="1"/>
        <v>#REF!</v>
      </c>
      <c r="F71" s="52">
        <v>80913.880278332828</v>
      </c>
      <c r="G71" s="52">
        <v>91527.928252556172</v>
      </c>
      <c r="H71" s="52">
        <v>112915.5103087452</v>
      </c>
      <c r="I71" s="274">
        <v>155946.34685180912</v>
      </c>
      <c r="J71" s="52">
        <v>6567.6055903124925</v>
      </c>
      <c r="K71" s="52">
        <v>91776.880278332828</v>
      </c>
      <c r="L71" s="52">
        <v>93919.752401503662</v>
      </c>
      <c r="M71" s="52">
        <v>129632.33084208239</v>
      </c>
      <c r="N71" s="52">
        <v>164138.30456235129</v>
      </c>
      <c r="O71" s="275" t="e">
        <v>#VALUE!</v>
      </c>
      <c r="P71" s="47" t="e">
        <f>(O71-$O$76)/$O$76</f>
        <v>#VALUE!</v>
      </c>
    </row>
    <row r="72" spans="2:16" ht="18.75" customHeight="1" x14ac:dyDescent="0.35">
      <c r="C72" s="272">
        <f t="shared" si="16"/>
        <v>-0.2</v>
      </c>
      <c r="D72" s="313">
        <f t="shared" si="17"/>
        <v>7.4</v>
      </c>
      <c r="E72" s="273" t="e">
        <v>#REF!</v>
      </c>
      <c r="F72" s="52">
        <v>81168.39697780498</v>
      </c>
      <c r="G72" s="52">
        <v>91861.892331266659</v>
      </c>
      <c r="H72" s="52">
        <v>113331.42322806724</v>
      </c>
      <c r="I72" s="274">
        <v>156511.50526755606</v>
      </c>
      <c r="J72" s="52">
        <v>6618.7708530000027</v>
      </c>
      <c r="K72" s="52">
        <v>92061.39697780498</v>
      </c>
      <c r="L72" s="52">
        <v>94272.754262096816</v>
      </c>
      <c r="M72" s="52">
        <v>130098.16655153417</v>
      </c>
      <c r="N72" s="52">
        <v>164740.00961201038</v>
      </c>
      <c r="O72" s="275" t="e">
        <v>#VALUE!</v>
      </c>
      <c r="P72" s="47" t="e">
        <f t="shared" ref="P72:P81" si="18">(O72-$O$76)/$O$76</f>
        <v>#VALUE!</v>
      </c>
    </row>
    <row r="73" spans="2:16" ht="18.75" customHeight="1" x14ac:dyDescent="0.35">
      <c r="C73" s="272">
        <f t="shared" si="16"/>
        <v>-0.15000000000000002</v>
      </c>
      <c r="D73" s="313">
        <f t="shared" si="17"/>
        <v>7.8624999999999998</v>
      </c>
      <c r="E73" s="273" t="e">
        <v>#REF!</v>
      </c>
      <c r="F73" s="52">
        <v>81421.913677277189</v>
      </c>
      <c r="G73" s="52">
        <v>92194.856409977307</v>
      </c>
      <c r="H73" s="52">
        <v>113747.33614738919</v>
      </c>
      <c r="I73" s="274">
        <v>157076.63868330297</v>
      </c>
      <c r="J73" s="52">
        <v>6669.9361156874975</v>
      </c>
      <c r="K73" s="52">
        <v>92344.913677277189</v>
      </c>
      <c r="L73" s="52">
        <v>94624.756122690116</v>
      </c>
      <c r="M73" s="52">
        <v>130563.00226098586</v>
      </c>
      <c r="N73" s="52">
        <v>165341.68966166952</v>
      </c>
      <c r="O73" s="275" t="e">
        <v>#VALUE!</v>
      </c>
      <c r="P73" s="47" t="e">
        <f t="shared" si="18"/>
        <v>#VALUE!</v>
      </c>
    </row>
    <row r="74" spans="2:16" ht="18.75" customHeight="1" x14ac:dyDescent="0.35">
      <c r="C74" s="272">
        <f t="shared" si="16"/>
        <v>-0.1</v>
      </c>
      <c r="D74" s="313">
        <f t="shared" si="17"/>
        <v>8.3250000000000011</v>
      </c>
      <c r="E74" s="273" t="e">
        <v>#REF!</v>
      </c>
      <c r="F74" s="52">
        <v>81676.43037674934</v>
      </c>
      <c r="G74" s="52">
        <v>92527.820488687925</v>
      </c>
      <c r="H74" s="52">
        <v>114163.24906671111</v>
      </c>
      <c r="I74" s="274">
        <v>157640.7920990499</v>
      </c>
      <c r="J74" s="52">
        <v>6721.1013783749922</v>
      </c>
      <c r="K74" s="52">
        <v>92629.43037674934</v>
      </c>
      <c r="L74" s="52">
        <v>94977.757983283402</v>
      </c>
      <c r="M74" s="52">
        <v>131027.83797043751</v>
      </c>
      <c r="N74" s="52">
        <v>165943.38971132864</v>
      </c>
      <c r="O74" s="275" t="e">
        <v>#VALUE!</v>
      </c>
      <c r="P74" s="47" t="e">
        <f t="shared" si="18"/>
        <v>#VALUE!</v>
      </c>
    </row>
    <row r="75" spans="2:16" ht="18.75" customHeight="1" x14ac:dyDescent="0.35">
      <c r="C75" s="272">
        <f>+C76-$G$9</f>
        <v>-0.05</v>
      </c>
      <c r="D75" s="314">
        <f>$D$76*(1+C75)</f>
        <v>8.7874999999999996</v>
      </c>
      <c r="E75" s="276" t="e">
        <v>#REF!</v>
      </c>
      <c r="F75" s="277">
        <v>81930.947076221535</v>
      </c>
      <c r="G75" s="277">
        <v>92861.784567398441</v>
      </c>
      <c r="H75" s="277">
        <v>114579.16198603316</v>
      </c>
      <c r="I75" s="278">
        <v>158205.94051479679</v>
      </c>
      <c r="J75" s="277">
        <v>6772.2666410625015</v>
      </c>
      <c r="K75" s="277">
        <v>92912.947076221535</v>
      </c>
      <c r="L75" s="277">
        <v>95330.759843876585</v>
      </c>
      <c r="M75" s="277">
        <v>131493.67367988927</v>
      </c>
      <c r="N75" s="277">
        <v>166545.08476098772</v>
      </c>
      <c r="O75" s="279" t="e">
        <v>#VALUE!</v>
      </c>
      <c r="P75" s="47" t="e">
        <f t="shared" si="18"/>
        <v>#VALUE!</v>
      </c>
    </row>
    <row r="76" spans="2:16" s="32" customFormat="1" ht="18.75" customHeight="1" x14ac:dyDescent="0.35">
      <c r="B76" s="280" t="s">
        <v>145</v>
      </c>
      <c r="C76" s="281">
        <v>0</v>
      </c>
      <c r="D76" s="319">
        <v>9.25</v>
      </c>
      <c r="E76" s="283" t="e">
        <v>#REF!</v>
      </c>
      <c r="F76" s="283">
        <v>82184.463775693745</v>
      </c>
      <c r="G76" s="283">
        <v>93194.74864610903</v>
      </c>
      <c r="H76" s="283">
        <v>114995.0749053551</v>
      </c>
      <c r="I76" s="283">
        <v>158771.08393054371</v>
      </c>
      <c r="J76" s="284">
        <v>6823.4319037499818</v>
      </c>
      <c r="K76" s="283">
        <v>93197.463775693745</v>
      </c>
      <c r="L76" s="283">
        <v>95682.761704469842</v>
      </c>
      <c r="M76" s="283">
        <v>131958.50938934096</v>
      </c>
      <c r="N76" s="283">
        <v>167146.77481064686</v>
      </c>
      <c r="O76" s="285" t="e">
        <v>#VALUE!</v>
      </c>
      <c r="P76" s="47" t="e">
        <f t="shared" si="18"/>
        <v>#VALUE!</v>
      </c>
    </row>
    <row r="77" spans="2:16" ht="18.75" customHeight="1" x14ac:dyDescent="0.35">
      <c r="C77" s="289">
        <f>+C76+$G$9</f>
        <v>0.05</v>
      </c>
      <c r="D77" s="315">
        <f>$D$76*(1+C77)</f>
        <v>9.7125000000000004</v>
      </c>
      <c r="E77" s="286" t="e">
        <v>#REF!</v>
      </c>
      <c r="F77" s="286">
        <v>82438.980475165954</v>
      </c>
      <c r="G77" s="286">
        <v>93527.712724819678</v>
      </c>
      <c r="H77" s="286">
        <v>115409.98782467714</v>
      </c>
      <c r="I77" s="286">
        <v>159335.23734629061</v>
      </c>
      <c r="J77" s="287">
        <v>6874.597166437492</v>
      </c>
      <c r="K77" s="286">
        <v>93481.980475165954</v>
      </c>
      <c r="L77" s="286">
        <v>96035.763565063156</v>
      </c>
      <c r="M77" s="286">
        <v>132423.34509879275</v>
      </c>
      <c r="N77" s="286">
        <v>167747.47486030596</v>
      </c>
      <c r="O77" s="288" t="e">
        <v>#VALUE!</v>
      </c>
      <c r="P77" s="47" t="e">
        <f t="shared" si="18"/>
        <v>#VALUE!</v>
      </c>
    </row>
    <row r="78" spans="2:16" ht="18.75" customHeight="1" x14ac:dyDescent="0.35">
      <c r="C78" s="290">
        <f t="shared" ref="C78:C81" si="19">+C77+$G$9</f>
        <v>0.1</v>
      </c>
      <c r="D78" s="316">
        <f t="shared" ref="D78:D81" si="20">$D$76*(1+C78)</f>
        <v>10.175000000000001</v>
      </c>
      <c r="E78" s="52" t="e">
        <v>#REF!</v>
      </c>
      <c r="F78" s="52">
        <v>82693.497174638091</v>
      </c>
      <c r="G78" s="52">
        <v>93861.676803530267</v>
      </c>
      <c r="H78" s="52">
        <v>115825.90074399907</v>
      </c>
      <c r="I78" s="52">
        <v>159900.38576203759</v>
      </c>
      <c r="J78" s="273">
        <v>6925.7624291250022</v>
      </c>
      <c r="K78" s="52">
        <v>93765.497174638091</v>
      </c>
      <c r="L78" s="52">
        <v>96388.765425656413</v>
      </c>
      <c r="M78" s="52">
        <v>132889.18080824439</v>
      </c>
      <c r="N78" s="52">
        <v>168349.16990996516</v>
      </c>
      <c r="O78" s="275" t="e">
        <v>#VALUE!</v>
      </c>
      <c r="P78" s="47" t="e">
        <f t="shared" si="18"/>
        <v>#VALUE!</v>
      </c>
    </row>
    <row r="79" spans="2:16" ht="18.75" customHeight="1" x14ac:dyDescent="0.35">
      <c r="C79" s="290">
        <f t="shared" si="19"/>
        <v>0.15000000000000002</v>
      </c>
      <c r="D79" s="316">
        <f t="shared" si="20"/>
        <v>10.637499999999999</v>
      </c>
      <c r="E79" s="52" t="e">
        <v>#REF!</v>
      </c>
      <c r="F79" s="52">
        <v>82947.0138741103</v>
      </c>
      <c r="G79" s="52">
        <v>94194.64088224087</v>
      </c>
      <c r="H79" s="52">
        <v>116241.81366332102</v>
      </c>
      <c r="I79" s="52">
        <v>160465.52917778451</v>
      </c>
      <c r="J79" s="273">
        <v>6976.927691812497</v>
      </c>
      <c r="K79" s="52">
        <v>94050.0138741103</v>
      </c>
      <c r="L79" s="52">
        <v>96740.767286249684</v>
      </c>
      <c r="M79" s="52">
        <v>133354.01651769609</v>
      </c>
      <c r="N79" s="52">
        <v>168950.8599596243</v>
      </c>
      <c r="O79" s="275" t="e">
        <v>#VALUE!</v>
      </c>
      <c r="P79" s="47" t="e">
        <f t="shared" si="18"/>
        <v>#VALUE!</v>
      </c>
    </row>
    <row r="80" spans="2:16" ht="18.75" customHeight="1" x14ac:dyDescent="0.35">
      <c r="C80" s="290">
        <f t="shared" si="19"/>
        <v>0.2</v>
      </c>
      <c r="D80" s="316">
        <f t="shared" si="20"/>
        <v>11.1</v>
      </c>
      <c r="E80" s="52" t="e">
        <v>#REF!</v>
      </c>
      <c r="F80" s="52">
        <v>83201.53057358251</v>
      </c>
      <c r="G80" s="52">
        <v>94528.604960951488</v>
      </c>
      <c r="H80" s="52">
        <v>116657.72658264294</v>
      </c>
      <c r="I80" s="52">
        <v>161029.67759353144</v>
      </c>
      <c r="J80" s="273">
        <v>7028.0929544999917</v>
      </c>
      <c r="K80" s="52">
        <v>94333.53057358251</v>
      </c>
      <c r="L80" s="52">
        <v>97093.769146842955</v>
      </c>
      <c r="M80" s="52">
        <v>133819.85222714773</v>
      </c>
      <c r="N80" s="52">
        <v>169552.55500928342</v>
      </c>
      <c r="O80" s="275" t="e">
        <v>#VALUE!</v>
      </c>
      <c r="P80" s="47" t="e">
        <f t="shared" si="18"/>
        <v>#VALUE!</v>
      </c>
    </row>
    <row r="81" spans="2:18" ht="18.75" customHeight="1" x14ac:dyDescent="0.35">
      <c r="C81" s="291">
        <f t="shared" si="19"/>
        <v>0.25</v>
      </c>
      <c r="D81" s="317">
        <f t="shared" si="20"/>
        <v>11.5625</v>
      </c>
      <c r="E81" s="277" t="e">
        <v>#REF!</v>
      </c>
      <c r="F81" s="277">
        <v>83456.047273054661</v>
      </c>
      <c r="G81" s="277">
        <v>94861.569039662107</v>
      </c>
      <c r="H81" s="277">
        <v>117073.63950196501</v>
      </c>
      <c r="I81" s="277">
        <v>161594.83100927836</v>
      </c>
      <c r="J81" s="276">
        <v>7079.258217187501</v>
      </c>
      <c r="K81" s="277">
        <v>94618.047273054661</v>
      </c>
      <c r="L81" s="277">
        <v>97446.771007436255</v>
      </c>
      <c r="M81" s="277">
        <v>134284.68793659954</v>
      </c>
      <c r="N81" s="277">
        <v>170154.25505894257</v>
      </c>
      <c r="O81" s="279" t="e">
        <v>#VALUE!</v>
      </c>
      <c r="P81" s="47" t="e">
        <f t="shared" si="18"/>
        <v>#VALUE!</v>
      </c>
    </row>
    <row r="83" spans="2:18" ht="18.75" customHeight="1" x14ac:dyDescent="0.35">
      <c r="B83" s="45" t="s">
        <v>312</v>
      </c>
      <c r="E83" s="177"/>
      <c r="F83" s="177"/>
      <c r="G83" s="177"/>
      <c r="H83" s="177"/>
      <c r="I83" s="177"/>
      <c r="J83" s="177"/>
      <c r="K83" s="177"/>
      <c r="L83" s="177"/>
      <c r="M83" s="177"/>
      <c r="N83" s="177"/>
    </row>
    <row r="84" spans="2:18" ht="4.5" customHeight="1" x14ac:dyDescent="0.35">
      <c r="E84" s="177"/>
      <c r="F84" s="177"/>
      <c r="G84" s="177"/>
      <c r="H84" s="177"/>
      <c r="I84" s="177"/>
      <c r="J84" s="177"/>
      <c r="K84" s="177"/>
      <c r="L84" s="177"/>
      <c r="M84" s="177"/>
      <c r="N84" s="177"/>
    </row>
    <row r="85" spans="2:18" ht="18.75" customHeight="1" x14ac:dyDescent="0.35">
      <c r="C85" s="322" t="s">
        <v>143</v>
      </c>
      <c r="D85" s="344"/>
      <c r="E85" s="325" t="s">
        <v>315</v>
      </c>
      <c r="F85" s="326"/>
      <c r="G85" s="326"/>
      <c r="H85" s="326"/>
      <c r="I85" s="327"/>
      <c r="J85" s="326"/>
      <c r="K85" s="326"/>
      <c r="L85" s="326"/>
      <c r="M85" s="326"/>
      <c r="N85" s="326"/>
      <c r="O85" s="331"/>
      <c r="Q85" s="114"/>
    </row>
    <row r="86" spans="2:18" ht="15.75" customHeight="1" x14ac:dyDescent="0.35">
      <c r="C86" s="345" t="s">
        <v>142</v>
      </c>
      <c r="D86" s="261" t="s">
        <v>313</v>
      </c>
      <c r="E86" s="333"/>
      <c r="F86" s="328"/>
      <c r="G86" s="328"/>
      <c r="H86" s="328"/>
      <c r="I86" s="328"/>
      <c r="J86" s="296" t="s">
        <v>145</v>
      </c>
      <c r="K86" s="328"/>
      <c r="L86" s="328"/>
      <c r="M86" s="328"/>
      <c r="N86" s="328"/>
      <c r="O86" s="332"/>
      <c r="Q86" s="114"/>
    </row>
    <row r="87" spans="2:18" ht="15.75" customHeight="1" x14ac:dyDescent="0.35">
      <c r="C87" s="346" t="s">
        <v>313</v>
      </c>
      <c r="D87" s="102" t="s">
        <v>314</v>
      </c>
      <c r="E87" s="334">
        <f t="shared" ref="E87:H87" si="21">+F87-$G$9</f>
        <v>-0.25</v>
      </c>
      <c r="F87" s="329">
        <f t="shared" si="21"/>
        <v>-0.2</v>
      </c>
      <c r="G87" s="329">
        <f t="shared" si="21"/>
        <v>-0.15000000000000002</v>
      </c>
      <c r="H87" s="329">
        <f t="shared" si="21"/>
        <v>-0.1</v>
      </c>
      <c r="I87" s="329">
        <f>+J87-$G$9</f>
        <v>-0.05</v>
      </c>
      <c r="J87" s="297">
        <v>0</v>
      </c>
      <c r="K87" s="329">
        <f>+J87+$G$9</f>
        <v>0.05</v>
      </c>
      <c r="L87" s="329">
        <f t="shared" ref="L87:O87" si="22">+K87+$G$9</f>
        <v>0.1</v>
      </c>
      <c r="M87" s="329">
        <f t="shared" si="22"/>
        <v>0.15000000000000002</v>
      </c>
      <c r="N87" s="329">
        <f t="shared" si="22"/>
        <v>0.2</v>
      </c>
      <c r="O87" s="335">
        <f t="shared" si="22"/>
        <v>0.25</v>
      </c>
    </row>
    <row r="88" spans="2:18" ht="15.75" customHeight="1" x14ac:dyDescent="0.35">
      <c r="B88" s="32"/>
      <c r="C88" s="347" t="s">
        <v>314</v>
      </c>
      <c r="D88" s="348" t="e">
        <f>Summary!E49</f>
        <v>#VALUE!</v>
      </c>
      <c r="E88" s="349">
        <f t="shared" ref="E88:H88" si="23">$J$88*(1+E87)</f>
        <v>6.9375</v>
      </c>
      <c r="F88" s="350">
        <f t="shared" si="23"/>
        <v>7.4</v>
      </c>
      <c r="G88" s="350">
        <f t="shared" si="23"/>
        <v>7.8624999999999998</v>
      </c>
      <c r="H88" s="350">
        <f t="shared" si="23"/>
        <v>8.3250000000000011</v>
      </c>
      <c r="I88" s="350">
        <f>$J$88*(1+I87)</f>
        <v>8.7874999999999996</v>
      </c>
      <c r="J88" s="324">
        <v>9.25</v>
      </c>
      <c r="K88" s="350">
        <f>$J$88*(1+K87)</f>
        <v>9.7125000000000004</v>
      </c>
      <c r="L88" s="350">
        <f t="shared" ref="L88:O88" si="24">$J$88*(1+L87)</f>
        <v>10.175000000000001</v>
      </c>
      <c r="M88" s="350">
        <f t="shared" si="24"/>
        <v>10.637499999999999</v>
      </c>
      <c r="N88" s="350">
        <f t="shared" si="24"/>
        <v>11.1</v>
      </c>
      <c r="O88" s="343">
        <f t="shared" si="24"/>
        <v>11.5625</v>
      </c>
    </row>
    <row r="89" spans="2:18" ht="18.75" customHeight="1" x14ac:dyDescent="0.35">
      <c r="C89" s="290">
        <f t="shared" ref="C89:C92" si="25">+C90-$G$8</f>
        <v>-0.25</v>
      </c>
      <c r="D89" s="351">
        <f t="shared" ref="D89:D92" si="26">$D$94*(1+C89)</f>
        <v>15</v>
      </c>
      <c r="E89" s="299" t="e">
        <f t="dataTable" ref="E89:O99" dt2D="1" dtr="1" r1="F9" r2="F8" ca="1"/>
        <v>#VALUE!</v>
      </c>
      <c r="F89" s="299" t="e">
        <v>#VALUE!</v>
      </c>
      <c r="G89" s="299" t="e">
        <v>#VALUE!</v>
      </c>
      <c r="H89" s="299" t="e">
        <v>#VALUE!</v>
      </c>
      <c r="I89" s="299" t="e">
        <v>#VALUE!</v>
      </c>
      <c r="J89" s="299" t="e">
        <v>#VALUE!</v>
      </c>
      <c r="K89" s="299" t="e">
        <v>#VALUE!</v>
      </c>
      <c r="L89" s="299" t="e">
        <v>#VALUE!</v>
      </c>
      <c r="M89" s="299" t="e">
        <v>#VALUE!</v>
      </c>
      <c r="N89" s="299" t="e">
        <v>#VALUE!</v>
      </c>
      <c r="O89" s="300" t="e">
        <v>#VALUE!</v>
      </c>
      <c r="R89" s="47"/>
    </row>
    <row r="90" spans="2:18" ht="18.75" customHeight="1" x14ac:dyDescent="0.35">
      <c r="C90" s="290">
        <f t="shared" si="25"/>
        <v>-0.2</v>
      </c>
      <c r="D90" s="351">
        <f t="shared" si="26"/>
        <v>16</v>
      </c>
      <c r="E90" s="299" t="e">
        <v>#VALUE!</v>
      </c>
      <c r="F90" s="299" t="e">
        <v>#VALUE!</v>
      </c>
      <c r="G90" s="299" t="e">
        <v>#VALUE!</v>
      </c>
      <c r="H90" s="299" t="e">
        <v>#VALUE!</v>
      </c>
      <c r="I90" s="299" t="e">
        <v>#VALUE!</v>
      </c>
      <c r="J90" s="299" t="e">
        <v>#VALUE!</v>
      </c>
      <c r="K90" s="299" t="e">
        <v>#VALUE!</v>
      </c>
      <c r="L90" s="299" t="e">
        <v>#VALUE!</v>
      </c>
      <c r="M90" s="299" t="e">
        <v>#VALUE!</v>
      </c>
      <c r="N90" s="299" t="e">
        <v>#VALUE!</v>
      </c>
      <c r="O90" s="300" t="e">
        <v>#VALUE!</v>
      </c>
    </row>
    <row r="91" spans="2:18" ht="18.75" customHeight="1" x14ac:dyDescent="0.35">
      <c r="C91" s="290">
        <f t="shared" si="25"/>
        <v>-0.15000000000000002</v>
      </c>
      <c r="D91" s="351">
        <f t="shared" si="26"/>
        <v>17</v>
      </c>
      <c r="E91" s="299" t="e">
        <v>#VALUE!</v>
      </c>
      <c r="F91" s="299" t="e">
        <v>#VALUE!</v>
      </c>
      <c r="G91" s="299" t="e">
        <v>#VALUE!</v>
      </c>
      <c r="H91" s="299" t="e">
        <v>#VALUE!</v>
      </c>
      <c r="I91" s="299" t="e">
        <v>#VALUE!</v>
      </c>
      <c r="J91" s="299" t="e">
        <v>#VALUE!</v>
      </c>
      <c r="K91" s="299" t="e">
        <v>#VALUE!</v>
      </c>
      <c r="L91" s="299" t="e">
        <v>#VALUE!</v>
      </c>
      <c r="M91" s="299" t="e">
        <v>#VALUE!</v>
      </c>
      <c r="N91" s="299" t="e">
        <v>#VALUE!</v>
      </c>
      <c r="O91" s="300" t="e">
        <v>#VALUE!</v>
      </c>
    </row>
    <row r="92" spans="2:18" ht="18.75" customHeight="1" x14ac:dyDescent="0.35">
      <c r="C92" s="290">
        <f t="shared" si="25"/>
        <v>-0.1</v>
      </c>
      <c r="D92" s="351">
        <f t="shared" si="26"/>
        <v>18</v>
      </c>
      <c r="E92" s="299" t="e">
        <v>#VALUE!</v>
      </c>
      <c r="F92" s="299" t="e">
        <v>#VALUE!</v>
      </c>
      <c r="G92" s="299" t="e">
        <v>#VALUE!</v>
      </c>
      <c r="H92" s="299" t="e">
        <v>#VALUE!</v>
      </c>
      <c r="I92" s="299" t="e">
        <v>#VALUE!</v>
      </c>
      <c r="J92" s="299" t="e">
        <v>#VALUE!</v>
      </c>
      <c r="K92" s="299" t="e">
        <v>#VALUE!</v>
      </c>
      <c r="L92" s="299" t="e">
        <v>#VALUE!</v>
      </c>
      <c r="M92" s="299" t="e">
        <v>#VALUE!</v>
      </c>
      <c r="N92" s="299" t="e">
        <v>#VALUE!</v>
      </c>
      <c r="O92" s="300" t="e">
        <v>#VALUE!</v>
      </c>
    </row>
    <row r="93" spans="2:18" ht="18.75" customHeight="1" x14ac:dyDescent="0.35">
      <c r="C93" s="290">
        <f>+C94-$G$8</f>
        <v>-0.05</v>
      </c>
      <c r="D93" s="351">
        <f>$D$94*(1+C93)</f>
        <v>19</v>
      </c>
      <c r="E93" s="299" t="e">
        <v>#VALUE!</v>
      </c>
      <c r="F93" s="299" t="e">
        <v>#VALUE!</v>
      </c>
      <c r="G93" s="299" t="e">
        <v>#VALUE!</v>
      </c>
      <c r="H93" s="299" t="e">
        <v>#VALUE!</v>
      </c>
      <c r="I93" s="299" t="e">
        <v>#VALUE!</v>
      </c>
      <c r="J93" s="299" t="e">
        <v>#VALUE!</v>
      </c>
      <c r="K93" s="299" t="e">
        <v>#VALUE!</v>
      </c>
      <c r="L93" s="299" t="e">
        <v>#VALUE!</v>
      </c>
      <c r="M93" s="299" t="e">
        <v>#VALUE!</v>
      </c>
      <c r="N93" s="299" t="e">
        <v>#VALUE!</v>
      </c>
      <c r="O93" s="300" t="e">
        <v>#VALUE!</v>
      </c>
    </row>
    <row r="94" spans="2:18" ht="18.75" customHeight="1" x14ac:dyDescent="0.35">
      <c r="B94" s="280" t="s">
        <v>145</v>
      </c>
      <c r="C94" s="323">
        <v>0</v>
      </c>
      <c r="D94" s="352">
        <v>20</v>
      </c>
      <c r="E94" s="299" t="e">
        <v>#VALUE!</v>
      </c>
      <c r="F94" s="299" t="e">
        <v>#VALUE!</v>
      </c>
      <c r="G94" s="299" t="e">
        <v>#VALUE!</v>
      </c>
      <c r="H94" s="299" t="e">
        <v>#VALUE!</v>
      </c>
      <c r="I94" s="299" t="e">
        <v>#VALUE!</v>
      </c>
      <c r="J94" s="282" t="e">
        <v>#VALUE!</v>
      </c>
      <c r="K94" s="299" t="e">
        <v>#VALUE!</v>
      </c>
      <c r="L94" s="299" t="e">
        <v>#VALUE!</v>
      </c>
      <c r="M94" s="299" t="e">
        <v>#VALUE!</v>
      </c>
      <c r="N94" s="299" t="e">
        <v>#VALUE!</v>
      </c>
      <c r="O94" s="300" t="e">
        <v>#VALUE!</v>
      </c>
    </row>
    <row r="95" spans="2:18" ht="18.75" customHeight="1" x14ac:dyDescent="0.35">
      <c r="C95" s="290">
        <f>+C94+$G$8</f>
        <v>0.05</v>
      </c>
      <c r="D95" s="351">
        <f>$D$94*(1+C95)</f>
        <v>21</v>
      </c>
      <c r="E95" s="299" t="e">
        <v>#VALUE!</v>
      </c>
      <c r="F95" s="299" t="e">
        <v>#VALUE!</v>
      </c>
      <c r="G95" s="299" t="e">
        <v>#VALUE!</v>
      </c>
      <c r="H95" s="299" t="e">
        <v>#VALUE!</v>
      </c>
      <c r="I95" s="299" t="e">
        <v>#VALUE!</v>
      </c>
      <c r="J95" s="299" t="e">
        <v>#VALUE!</v>
      </c>
      <c r="K95" s="299" t="e">
        <v>#VALUE!</v>
      </c>
      <c r="L95" s="299" t="e">
        <v>#VALUE!</v>
      </c>
      <c r="M95" s="299" t="e">
        <v>#VALUE!</v>
      </c>
      <c r="N95" s="299" t="e">
        <v>#VALUE!</v>
      </c>
      <c r="O95" s="300" t="e">
        <v>#VALUE!</v>
      </c>
    </row>
    <row r="96" spans="2:18" ht="18.75" customHeight="1" x14ac:dyDescent="0.35">
      <c r="C96" s="290">
        <f t="shared" ref="C96:C99" si="27">+C95+$G$8</f>
        <v>0.1</v>
      </c>
      <c r="D96" s="351">
        <f t="shared" ref="D96:D99" si="28">$D$94*(1+C96)</f>
        <v>22</v>
      </c>
      <c r="E96" s="299" t="e">
        <v>#VALUE!</v>
      </c>
      <c r="F96" s="299" t="e">
        <v>#VALUE!</v>
      </c>
      <c r="G96" s="299" t="e">
        <v>#VALUE!</v>
      </c>
      <c r="H96" s="299" t="e">
        <v>#VALUE!</v>
      </c>
      <c r="I96" s="299" t="e">
        <v>#VALUE!</v>
      </c>
      <c r="J96" s="299" t="e">
        <v>#VALUE!</v>
      </c>
      <c r="K96" s="299" t="e">
        <v>#VALUE!</v>
      </c>
      <c r="L96" s="299" t="e">
        <v>#VALUE!</v>
      </c>
      <c r="M96" s="299" t="e">
        <v>#VALUE!</v>
      </c>
      <c r="N96" s="299" t="e">
        <v>#VALUE!</v>
      </c>
      <c r="O96" s="300" t="e">
        <v>#VALUE!</v>
      </c>
    </row>
    <row r="97" spans="2:15" ht="18.75" customHeight="1" x14ac:dyDescent="0.35">
      <c r="C97" s="290">
        <f t="shared" si="27"/>
        <v>0.15000000000000002</v>
      </c>
      <c r="D97" s="351">
        <f t="shared" si="28"/>
        <v>23</v>
      </c>
      <c r="E97" s="299" t="e">
        <v>#VALUE!</v>
      </c>
      <c r="F97" s="299" t="e">
        <v>#VALUE!</v>
      </c>
      <c r="G97" s="299" t="e">
        <v>#VALUE!</v>
      </c>
      <c r="H97" s="299" t="e">
        <v>#VALUE!</v>
      </c>
      <c r="I97" s="299" t="e">
        <v>#VALUE!</v>
      </c>
      <c r="J97" s="299" t="e">
        <v>#VALUE!</v>
      </c>
      <c r="K97" s="299" t="e">
        <v>#VALUE!</v>
      </c>
      <c r="L97" s="299" t="e">
        <v>#VALUE!</v>
      </c>
      <c r="M97" s="299" t="e">
        <v>#VALUE!</v>
      </c>
      <c r="N97" s="299" t="e">
        <v>#VALUE!</v>
      </c>
      <c r="O97" s="300" t="e">
        <v>#VALUE!</v>
      </c>
    </row>
    <row r="98" spans="2:15" ht="18.75" customHeight="1" x14ac:dyDescent="0.35">
      <c r="C98" s="290">
        <f t="shared" si="27"/>
        <v>0.2</v>
      </c>
      <c r="D98" s="351">
        <f t="shared" si="28"/>
        <v>24</v>
      </c>
      <c r="E98" s="299" t="e">
        <v>#VALUE!</v>
      </c>
      <c r="F98" s="299" t="e">
        <v>#VALUE!</v>
      </c>
      <c r="G98" s="299" t="e">
        <v>#VALUE!</v>
      </c>
      <c r="H98" s="299" t="e">
        <v>#VALUE!</v>
      </c>
      <c r="I98" s="299" t="e">
        <v>#VALUE!</v>
      </c>
      <c r="J98" s="299" t="e">
        <v>#VALUE!</v>
      </c>
      <c r="K98" s="299" t="e">
        <v>#VALUE!</v>
      </c>
      <c r="L98" s="299" t="e">
        <v>#VALUE!</v>
      </c>
      <c r="M98" s="299" t="e">
        <v>#VALUE!</v>
      </c>
      <c r="N98" s="299" t="e">
        <v>#VALUE!</v>
      </c>
      <c r="O98" s="300" t="e">
        <v>#VALUE!</v>
      </c>
    </row>
    <row r="99" spans="2:15" ht="18.75" customHeight="1" x14ac:dyDescent="0.35">
      <c r="C99" s="291">
        <f t="shared" si="27"/>
        <v>0.25</v>
      </c>
      <c r="D99" s="353">
        <f t="shared" si="28"/>
        <v>25</v>
      </c>
      <c r="E99" s="305" t="e">
        <v>#VALUE!</v>
      </c>
      <c r="F99" s="305" t="e">
        <v>#VALUE!</v>
      </c>
      <c r="G99" s="305" t="e">
        <v>#VALUE!</v>
      </c>
      <c r="H99" s="305" t="e">
        <v>#VALUE!</v>
      </c>
      <c r="I99" s="305" t="e">
        <v>#VALUE!</v>
      </c>
      <c r="J99" s="305" t="e">
        <v>#VALUE!</v>
      </c>
      <c r="K99" s="305" t="e">
        <v>#VALUE!</v>
      </c>
      <c r="L99" s="305" t="e">
        <v>#VALUE!</v>
      </c>
      <c r="M99" s="305" t="e">
        <v>#VALUE!</v>
      </c>
      <c r="N99" s="305" t="e">
        <v>#VALUE!</v>
      </c>
      <c r="O99" s="306" t="e">
        <v>#VALUE!</v>
      </c>
    </row>
    <row r="101" spans="2:15" ht="18.75" customHeight="1" x14ac:dyDescent="0.35">
      <c r="B101" s="45" t="s">
        <v>331</v>
      </c>
    </row>
    <row r="102" spans="2:15" ht="18.75" customHeight="1" x14ac:dyDescent="0.35">
      <c r="F102" s="33"/>
      <c r="G102" s="33"/>
      <c r="H102" s="33"/>
      <c r="I102" s="33"/>
      <c r="J102" s="33"/>
    </row>
    <row r="103" spans="2:15" ht="18.75" customHeight="1" x14ac:dyDescent="0.35">
      <c r="C103" s="362"/>
      <c r="D103" s="362"/>
      <c r="E103" s="362"/>
      <c r="F103" s="363" t="s">
        <v>143</v>
      </c>
      <c r="G103" s="363" t="s">
        <v>320</v>
      </c>
      <c r="H103" s="363" t="s">
        <v>321</v>
      </c>
      <c r="I103" s="363" t="s">
        <v>322</v>
      </c>
      <c r="J103" s="363" t="s">
        <v>323</v>
      </c>
    </row>
    <row r="104" spans="2:15" ht="14.5" x14ac:dyDescent="0.35">
      <c r="C104" s="364" t="s">
        <v>324</v>
      </c>
      <c r="D104" s="575" t="s">
        <v>325</v>
      </c>
      <c r="E104" s="576"/>
      <c r="F104" s="365"/>
      <c r="G104" s="365"/>
      <c r="H104" s="365" t="s">
        <v>330</v>
      </c>
      <c r="I104" s="365" t="s">
        <v>330</v>
      </c>
      <c r="J104" s="365" t="s">
        <v>330</v>
      </c>
    </row>
    <row r="105" spans="2:15" ht="18.75" customHeight="1" x14ac:dyDescent="0.35">
      <c r="C105" s="366"/>
      <c r="D105" s="367" t="s">
        <v>234</v>
      </c>
      <c r="E105" s="366" t="s">
        <v>237</v>
      </c>
      <c r="F105" s="368" t="s">
        <v>144</v>
      </c>
      <c r="G105" s="368" t="s">
        <v>288</v>
      </c>
      <c r="H105" s="368" t="s">
        <v>326</v>
      </c>
      <c r="I105" s="368" t="s">
        <v>288</v>
      </c>
      <c r="J105" s="368" t="s">
        <v>288</v>
      </c>
    </row>
    <row r="106" spans="2:15" ht="18.75" customHeight="1" x14ac:dyDescent="0.35">
      <c r="C106" s="369" t="s">
        <v>327</v>
      </c>
      <c r="D106" s="370">
        <v>1.4999999999999999E-2</v>
      </c>
      <c r="E106" s="370">
        <v>4.0799999999999996E-2</v>
      </c>
      <c r="F106" s="371">
        <v>0.78076631665551277</v>
      </c>
      <c r="G106" s="372">
        <v>23640005.993030995</v>
      </c>
      <c r="H106" s="372">
        <v>266312</v>
      </c>
      <c r="I106" s="372">
        <v>1166111.1939352567</v>
      </c>
      <c r="J106" s="372">
        <v>2756165.9086156851</v>
      </c>
    </row>
    <row r="107" spans="2:15" ht="18.75" customHeight="1" x14ac:dyDescent="0.35">
      <c r="C107" s="312" t="s">
        <v>328</v>
      </c>
      <c r="D107" s="282">
        <v>3.5000000000000003E-2</v>
      </c>
      <c r="E107" s="282">
        <v>9.5200000000000007E-2</v>
      </c>
      <c r="F107" s="285">
        <v>1.3978770649057752</v>
      </c>
      <c r="G107" s="373">
        <v>50609838.369906671</v>
      </c>
      <c r="H107" s="373">
        <v>518728.00000000006</v>
      </c>
      <c r="I107" s="373">
        <v>2852821.1010440579</v>
      </c>
      <c r="J107" s="373">
        <v>8885126.9416300021</v>
      </c>
      <c r="K107" s="32"/>
    </row>
    <row r="108" spans="2:15" ht="18.75" customHeight="1" x14ac:dyDescent="0.35">
      <c r="C108" s="369" t="s">
        <v>329</v>
      </c>
      <c r="D108" s="370">
        <v>0.05</v>
      </c>
      <c r="E108" s="370">
        <v>0.13599999999999998</v>
      </c>
      <c r="F108" s="371">
        <v>1.9111011437079468</v>
      </c>
      <c r="G108" s="374">
        <v>74242427.010309383</v>
      </c>
      <c r="H108" s="374">
        <v>708039.99999999988</v>
      </c>
      <c r="I108" s="374">
        <v>4403193.5854659574</v>
      </c>
      <c r="J108" s="374">
        <v>13641170.765913267</v>
      </c>
    </row>
    <row r="109" spans="2:15" ht="18.75" customHeight="1" x14ac:dyDescent="0.35">
      <c r="D109" s="376" t="e">
        <f>#REF!</f>
        <v>#REF!</v>
      </c>
      <c r="E109" s="376" t="e">
        <f>Revenue!#REF!</f>
        <v>#REF!</v>
      </c>
      <c r="F109" s="376" t="e">
        <f>Summary!E49</f>
        <v>#VALUE!</v>
      </c>
      <c r="G109" s="375" t="e">
        <f>Summary!E47</f>
        <v>#DIV/0!</v>
      </c>
      <c r="H109" s="375" t="e">
        <f>Revenue!#REF!</f>
        <v>#REF!</v>
      </c>
      <c r="I109" s="375">
        <f>Summary!H37</f>
        <v>120163.99228070944</v>
      </c>
      <c r="J109" s="375">
        <f>CF!G41</f>
        <v>341999.57176823134</v>
      </c>
    </row>
  </sheetData>
  <mergeCells count="1">
    <mergeCell ref="D104:E104"/>
  </mergeCells>
  <phoneticPr fontId="8" type="noConversion"/>
  <printOptions horizontalCentered="1"/>
  <pageMargins left="0.35433070866141736" right="0.35433070866141736" top="0.35433070866141736" bottom="0.19685039370078741" header="0.51181102362204722" footer="0.51181102362204722"/>
  <pageSetup paperSize="9" scale="85" fitToHeight="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9F6212611BD46AC5843B07AB66647" ma:contentTypeVersion="7" ma:contentTypeDescription="Create a new document." ma:contentTypeScope="" ma:versionID="ae53c5a5606f4c8df69c86c3708de3e7">
  <xsd:schema xmlns:xsd="http://www.w3.org/2001/XMLSchema" xmlns:xs="http://www.w3.org/2001/XMLSchema" xmlns:p="http://schemas.microsoft.com/office/2006/metadata/properties" xmlns:ns2="a32551e1-01b0-45ac-a4d0-776c454b08aa" xmlns:ns3="598f0b73-6d14-46ae-89b5-7200b44df433" targetNamespace="http://schemas.microsoft.com/office/2006/metadata/properties" ma:root="true" ma:fieldsID="1f5f17ba968976a0699e5430d66a4d71" ns2:_="" ns3:_="">
    <xsd:import namespace="a32551e1-01b0-45ac-a4d0-776c454b08aa"/>
    <xsd:import namespace="598f0b73-6d14-46ae-89b5-7200b44df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551e1-01b0-45ac-a4d0-776c454b0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f0b73-6d14-46ae-89b5-7200b44df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E5E819-1A6E-4B3F-B6E9-5B0D9BB8E8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D8BA10-BD73-46ED-8E5C-205D8FB096C9}">
  <ds:schemaRefs>
    <ds:schemaRef ds:uri="a32551e1-01b0-45ac-a4d0-776c454b08aa"/>
    <ds:schemaRef ds:uri="598f0b73-6d14-46ae-89b5-7200b44df43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7C1ED5-5CE9-4DE3-B83B-DA20BD630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2551e1-01b0-45ac-a4d0-776c454b08aa"/>
    <ds:schemaRef ds:uri="598f0b73-6d14-46ae-89b5-7200b44df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20</vt:i4>
      </vt:variant>
    </vt:vector>
  </HeadingPairs>
  <TitlesOfParts>
    <vt:vector size="37" baseType="lpstr">
      <vt:lpstr>Summary</vt:lpstr>
      <vt:lpstr>P&amp;L</vt:lpstr>
      <vt:lpstr>BS</vt:lpstr>
      <vt:lpstr>CF</vt:lpstr>
      <vt:lpstr>Revenue</vt:lpstr>
      <vt:lpstr>Tables</vt:lpstr>
      <vt:lpstr>CoS</vt:lpstr>
      <vt:lpstr>Admin &amp; Operating</vt:lpstr>
      <vt:lpstr>FA</vt:lpstr>
      <vt:lpstr>Contingent Liabilities</vt:lpstr>
      <vt:lpstr>Loan</vt:lpstr>
      <vt:lpstr>WC</vt:lpstr>
      <vt:lpstr>Equity</vt:lpstr>
      <vt:lpstr>Tax</vt:lpstr>
      <vt:lpstr>Break Even</vt:lpstr>
      <vt:lpstr>Ratios</vt:lpstr>
      <vt:lpstr>Sens</vt:lpstr>
      <vt:lpstr>'Admin &amp; Operating'!Print_Area</vt:lpstr>
      <vt:lpstr>'Break Even'!Print_Area</vt:lpstr>
      <vt:lpstr>BS!Print_Area</vt:lpstr>
      <vt:lpstr>CF!Print_Area</vt:lpstr>
      <vt:lpstr>CoS!Print_Area</vt:lpstr>
      <vt:lpstr>FA!Print_Area</vt:lpstr>
      <vt:lpstr>Loan!Print_Area</vt:lpstr>
      <vt:lpstr>'P&amp;L'!Print_Area</vt:lpstr>
      <vt:lpstr>Ratios!Print_Area</vt:lpstr>
      <vt:lpstr>Revenue!Print_Area</vt:lpstr>
      <vt:lpstr>Sens!Print_Area</vt:lpstr>
      <vt:lpstr>Summary!Print_Area</vt:lpstr>
      <vt:lpstr>Tax!Print_Area</vt:lpstr>
      <vt:lpstr>WC!Print_Area</vt:lpstr>
      <vt:lpstr>'Admin &amp; Operating'!Print_Titles</vt:lpstr>
      <vt:lpstr>'Break Even'!Print_Titles</vt:lpstr>
      <vt:lpstr>CoS!Print_Titles</vt:lpstr>
      <vt:lpstr>FA!Print_Titles</vt:lpstr>
      <vt:lpstr>Revenue!Print_Titles</vt:lpstr>
      <vt:lpstr>Summary!Print_Titles</vt:lpstr>
    </vt:vector>
  </TitlesOfParts>
  <Company>CISCO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SteliosI</dc:creator>
  <cp:lastModifiedBy>george tsitouris</cp:lastModifiedBy>
  <cp:lastPrinted>2019-09-20T13:16:16Z</cp:lastPrinted>
  <dcterms:created xsi:type="dcterms:W3CDTF">2001-06-26T07:45:58Z</dcterms:created>
  <dcterms:modified xsi:type="dcterms:W3CDTF">2023-08-13T08:58:07Z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0x01010047C9F6212611BD46AC5843B07AB66647</vt:lpwstr>
  </property>
</Properties>
</file>