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worksheets/sheet10.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Business" sheetId="1" state="visible" r:id="rId2"/>
    <sheet name="Waaree Energies" sheetId="2" state="visible" r:id="rId3"/>
    <sheet name="Waaree Energies main" sheetId="3" state="visible" r:id="rId4"/>
    <sheet name="ReNew-main" sheetId="4" state="visible" r:id="rId5"/>
    <sheet name="ReNew" sheetId="5" state="visible" r:id="rId6"/>
    <sheet name="Tata Power main" sheetId="6" state="visible" r:id="rId7"/>
    <sheet name="TATAPOWER" sheetId="7" state="visible" r:id="rId8"/>
    <sheet name="Suzlon power main" sheetId="8" state="visible" r:id="rId9"/>
    <sheet name="SUZLON" sheetId="9" state="visible" r:id="rId10"/>
    <sheet name="servo-tec" sheetId="10" state="visible" r:id="rId11"/>
    <sheet name="servo-tec-basic-6" sheetId="11" state="visible" r:id="rId12"/>
    <sheet name="ADANIGREEN" sheetId="12" state="visible" r:id="rId13"/>
    <sheet name="Adani Green main" sheetId="13" state="visible" r:id="rId14"/>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tc={6788FAC3-FD09-97E3-2E6A-DE380B094467}</author>
    <author>tc={C25DF110-51D2-DBB6-4294-91D168F94F65}</author>
    <author>tc={C4C9A323-5FD8-C318-48C7-625C083DE3CC}</author>
    <author>tc={D25D12BC-92CF-4707-7E5C-ECCCA284E96B}</author>
    <author>tc={C552B544-9419-49D1-86D6-3AA8D3E8C5A6}</author>
    <author>tc={5D933D35-8ACA-E96A-9241-B30FA5B6FB21}</author>
    <author>tc={4A354EEA-C58E-D99D-F7E3-1F3AC30D963E}</author>
    <author>tc={AE93DCD3-52A9-F445-D5C9-F624B1CF9FDF}</author>
    <author>tc={E071A292-1398-1D6B-A6A1-B97D26136388}</author>
    <author>tc={7FE70B89-01A7-FEEF-6513-920E788E781A}</author>
    <author>tc={3EFF5A57-05A6-6336-1E59-C33C8CCBF375}</author>
    <author>tc={7200CAE6-E6E3-1427-AA30-8B8AD0F86A6F}</author>
    <author>tc={17AF943B-8130-ED9E-4453-68498A5563E6}</author>
    <author>tc={3CB725A5-1E1E-8B7C-3D4E-334F096E1B49}</author>
    <author>tc={9A4B6B9E-88EE-C23D-B709-D7D46A1D7A02}</author>
  </authors>
  <commentList>
    <comment ref="L16" authorId="0" xr:uid="{6788FAC3-FD09-97E3-2E6A-DE380B094467}">
      <text>
        <r>
          <rPr>
            <b/>
            <sz val="9"/>
            <rFont val="Tahoma"/>
          </rPr>
          <t>mohit:</t>
        </r>
        <r>
          <rPr>
            <sz val="9"/>
            <rFont val="Tahoma"/>
          </rPr>
          <t xml:space="preserve">
This is coming from making OCD / CD to equity and removing rerducing debt and increasing the no. of shares
</t>
        </r>
      </text>
    </comment>
    <comment ref="R16" authorId="1" xr:uid="{C25DF110-51D2-DBB6-4294-91D168F94F65}">
      <text>
        <r>
          <rPr>
            <b/>
            <sz val="9"/>
            <rFont val="Tahoma"/>
          </rPr>
          <t>mohit:</t>
        </r>
        <r>
          <rPr>
            <sz val="9"/>
            <rFont val="Tahoma"/>
          </rPr>
          <t xml:space="preserve">
AGAIN ? high value ?
</t>
        </r>
      </text>
    </comment>
    <comment ref="V16" authorId="2" xr:uid="{C4C9A323-5FD8-C318-48C7-625C083DE3CC}">
      <text>
        <r>
          <rPr>
            <b/>
            <sz val="9"/>
            <rFont val="Tahoma"/>
          </rPr>
          <t>mohit:</t>
        </r>
        <r>
          <rPr>
            <sz val="9"/>
            <rFont val="Tahoma"/>
          </rPr>
          <t xml:space="preserve">
AGAIN ? high value ?
</t>
        </r>
      </text>
    </comment>
    <comment ref="W16" authorId="3" xr:uid="{D25D12BC-92CF-4707-7E5C-ECCCA284E96B}">
      <text>
        <r>
          <rPr>
            <b/>
            <sz val="9"/>
            <rFont val="Tahoma"/>
          </rPr>
          <t>mohit:</t>
        </r>
        <r>
          <rPr>
            <sz val="9"/>
            <rFont val="Tahoma"/>
          </rPr>
          <t xml:space="preserve">
AGAIN ? high value ?
</t>
        </r>
      </text>
    </comment>
    <comment ref="X16" authorId="4" xr:uid="{C552B544-9419-49D1-86D6-3AA8D3E8C5A6}">
      <text>
        <r>
          <rPr>
            <b/>
            <sz val="9"/>
            <rFont val="Tahoma"/>
          </rPr>
          <t>mohit:</t>
        </r>
        <r>
          <rPr>
            <sz val="9"/>
            <rFont val="Tahoma"/>
          </rPr>
          <t xml:space="preserve">
AGAIN ? high value ?
</t>
        </r>
      </text>
    </comment>
    <comment ref="Y16" authorId="5" xr:uid="{5D933D35-8ACA-E96A-9241-B30FA5B6FB21}">
      <text>
        <r>
          <rPr>
            <b/>
            <sz val="9"/>
            <rFont val="Tahoma"/>
          </rPr>
          <t>mohit:</t>
        </r>
        <r>
          <rPr>
            <sz val="9"/>
            <rFont val="Tahoma"/>
          </rPr>
          <t xml:space="preserve">
AGAIN ? high value ?
</t>
        </r>
      </text>
    </comment>
    <comment ref="Z16" authorId="6" xr:uid="{4A354EEA-C58E-D99D-F7E3-1F3AC30D963E}">
      <text>
        <r>
          <rPr>
            <b/>
            <sz val="9"/>
            <rFont val="Tahoma"/>
          </rPr>
          <t>mohit:</t>
        </r>
        <r>
          <rPr>
            <sz val="9"/>
            <rFont val="Tahoma"/>
          </rPr>
          <t xml:space="preserve">
AGAIN ? high value ?
</t>
        </r>
      </text>
    </comment>
    <comment ref="AA16" authorId="7" xr:uid="{AE93DCD3-52A9-F445-D5C9-F624B1CF9FDF}">
      <text>
        <r>
          <rPr>
            <b/>
            <sz val="9"/>
            <rFont val="Tahoma"/>
          </rPr>
          <t>mohit:</t>
        </r>
        <r>
          <rPr>
            <sz val="9"/>
            <rFont val="Tahoma"/>
          </rPr>
          <t xml:space="preserve">
AGAIN ? high value ?
</t>
        </r>
      </text>
    </comment>
    <comment ref="AB16" authorId="8" xr:uid="{E071A292-1398-1D6B-A6A1-B97D26136388}">
      <text>
        <r>
          <rPr>
            <b/>
            <sz val="9"/>
            <rFont val="Tahoma"/>
          </rPr>
          <t>mohit:</t>
        </r>
        <r>
          <rPr>
            <sz val="9"/>
            <rFont val="Tahoma"/>
          </rPr>
          <t xml:space="preserve">
AGAIN ? high value ?
</t>
        </r>
      </text>
    </comment>
    <comment ref="AC16" authorId="9" xr:uid="{7FE70B89-01A7-FEEF-6513-920E788E781A}">
      <text>
        <r>
          <rPr>
            <b/>
            <sz val="9"/>
            <rFont val="Tahoma"/>
          </rPr>
          <t>mohit:</t>
        </r>
        <r>
          <rPr>
            <sz val="9"/>
            <rFont val="Tahoma"/>
          </rPr>
          <t xml:space="preserve">
AGAIN ? high value ?
</t>
        </r>
      </text>
    </comment>
    <comment ref="AD16" authorId="10" xr:uid="{3EFF5A57-05A6-6336-1E59-C33C8CCBF375}">
      <text>
        <r>
          <rPr>
            <b/>
            <sz val="9"/>
            <rFont val="Tahoma"/>
          </rPr>
          <t>mohit:</t>
        </r>
        <r>
          <rPr>
            <sz val="9"/>
            <rFont val="Tahoma"/>
          </rPr>
          <t xml:space="preserve">
AGAIN ? high value ?
</t>
        </r>
      </text>
    </comment>
    <comment ref="AE16" authorId="11" xr:uid="{7200CAE6-E6E3-1427-AA30-8B8AD0F86A6F}">
      <text>
        <r>
          <rPr>
            <b/>
            <sz val="9"/>
            <rFont val="Tahoma"/>
          </rPr>
          <t>mohit:</t>
        </r>
        <r>
          <rPr>
            <sz val="9"/>
            <rFont val="Tahoma"/>
          </rPr>
          <t xml:space="preserve">
AGAIN ? high value ?
</t>
        </r>
      </text>
    </comment>
    <comment ref="AF16" authorId="12" xr:uid="{17AF943B-8130-ED9E-4453-68498A5563E6}">
      <text>
        <r>
          <rPr>
            <b/>
            <sz val="9"/>
            <rFont val="Tahoma"/>
          </rPr>
          <t>mohit:</t>
        </r>
        <r>
          <rPr>
            <sz val="9"/>
            <rFont val="Tahoma"/>
          </rPr>
          <t xml:space="preserve">
AGAIN ? high value ?
</t>
        </r>
      </text>
    </comment>
    <comment ref="P19" authorId="13" xr:uid="{3CB725A5-1E1E-8B7C-3D4E-334F096E1B49}">
      <text>
        <r>
          <rPr>
            <b/>
            <sz val="9"/>
            <rFont val="Tahoma"/>
          </rPr>
          <t>mohit:</t>
        </r>
        <r>
          <rPr>
            <sz val="9"/>
            <rFont val="Tahoma"/>
          </rPr>
          <t xml:space="preserve">
Converting Convertible debentures to equity leading to increased equity value
</t>
        </r>
      </text>
    </comment>
    <comment ref="P40" authorId="14"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<sst xmlns="http://schemas.openxmlformats.org/spreadsheetml/2006/main" count="424" uniqueCount="424">
  <si>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</si>
  <si>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</si>
  <si>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</si>
  <si>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</si>
  <si>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</si>
  <si>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</si>
  <si>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</si>
  <si>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</si>
  <si>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</si>
  <si>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</si>
  <si>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</si>
  <si>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</si>
  <si>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</si>
  <si>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</si>
  <si>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</si>
  <si>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</si>
  <si>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</si>
  <si>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</si>
  <si>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</si>
  <si>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</si>
  <si>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</si>
  <si>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</si>
  <si>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</si>
  <si>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</si>
  <si>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</si>
  <si>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</si>
  <si>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late 2024 IPO </t>
  </si>
  <si>
    <t xml:space="preserve">Waaree Energies</t>
  </si>
  <si>
    <t>WAAREE</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</si>
  <si>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</si>
  <si>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</si>
  <si>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</si>
  <si>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</si>
  <si>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</si>
  <si>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</si>
  <si>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</si>
  <si>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</si>
  <si>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</si>
  <si>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</si>
  <si>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</si>
  <si>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</si>
  <si>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</si>
  <si>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</si>
  <si>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</si>
  <si>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</si>
  <si>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</si>
  <si>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</si>
  <si>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C&amp;I </t>
  </si>
  <si>
    <t xml:space="preserve">Commercial and industrial sector</t>
  </si>
  <si>
    <t xml:space="preserve">LODR </t>
  </si>
  <si>
    <t xml:space="preserve">Listing Obligation and Disclosure Requirements</t>
  </si>
  <si>
    <t>BESS</t>
  </si>
  <si>
    <t xml:space="preserve">Batery energy storage system </t>
  </si>
  <si>
    <t xml:space="preserve">GWp </t>
  </si>
  <si>
    <t xml:space="preserve">Giga watt Peak </t>
  </si>
  <si>
    <t xml:space="preserve">IPP </t>
  </si>
  <si>
    <t xml:space="preserve">Independent Power producer</t>
  </si>
  <si>
    <t xml:space="preserve">FDRE </t>
  </si>
  <si>
    <t xml:space="preserve">Firm and dispatchable Renewable Energy</t>
  </si>
  <si>
    <t xml:space="preserve">NTPC </t>
  </si>
  <si>
    <t xml:space="preserve">National Thermal Power Corporation </t>
  </si>
  <si>
    <t xml:space="preserve">OMS </t>
  </si>
  <si>
    <t xml:space="preserve">Operations &amp; Maintenance Services</t>
  </si>
  <si>
    <t xml:space="preserve">EPC </t>
  </si>
  <si>
    <t xml:space="preserve">Turn Key solutions that mean company does everything end to end , and provides the user with a key to turn to start the operations ... </t>
  </si>
  <si>
    <t xml:space="preserve">EPC means that the company that is responsible for the entire process of delivering a fully operational facility or project from the initial design and engineering , through procurement of all necessary materials </t>
  </si>
  <si>
    <t xml:space="preserve">Non EPC </t>
  </si>
  <si>
    <t xml:space="preserve">Its more limited to distribution , raw materials supplier , etc </t>
  </si>
  <si>
    <t xml:space="preserve">OEM </t>
  </si>
  <si>
    <t xml:space="preserve">Original Equipment Manufacturer</t>
  </si>
  <si>
    <t>RLMM</t>
  </si>
  <si>
    <t xml:space="preserve">Revised List of Models and Manufacturers</t>
  </si>
  <si>
    <t xml:space="preserve">List of RLMM prepared bt the wind parts manufacturers </t>
  </si>
  <si>
    <t>https://cdnbbsr.s3waas.gov.in/s3716e1b8c6cd17b771da77391355749f3/uploads/2025/05/202506122092181356.pdf</t>
  </si>
  <si>
    <t xml:space="preserve">WTG </t>
  </si>
  <si>
    <t xml:space="preserve">Wind turbine generator</t>
  </si>
  <si>
    <t xml:space="preserve">Variable cost</t>
  </si>
  <si>
    <t xml:space="preserve">Firm dispatchable renewable energy</t>
  </si>
  <si>
    <t xml:space="preserve">  </t>
  </si>
  <si>
    <t xml:space="preserve">So they have there own DISCOM they operate it and sell the energy generated back to there discom .. this is how they all work .. </t>
  </si>
  <si>
    <t xml:space="preserve">Rated module </t>
  </si>
  <si>
    <t>5kW</t>
  </si>
  <si>
    <t xml:space="preserve">operated for 1 hour</t>
  </si>
  <si>
    <t>5kWh</t>
  </si>
  <si>
    <t xml:space="preserve">operated for 2 hour</t>
  </si>
  <si>
    <t>10kWh</t>
  </si>
  <si>
    <t xml:space="preserve">SOLAR </t>
  </si>
  <si>
    <t xml:space="preserve">Solar roof top installations</t>
  </si>
  <si>
    <t xml:space="preserve">Battery and energy storage services</t>
  </si>
  <si>
    <t xml:space="preserve">Transmission and Distribution </t>
  </si>
  <si>
    <t xml:space="preserve">Solar Products manufacturing </t>
  </si>
  <si>
    <t xml:space="preserve">Distribution and dealershipp </t>
  </si>
  <si>
    <t xml:space="preserve">Operational and Maintenance Service</t>
  </si>
  <si>
    <t xml:space="preserve">Solar Financing and lease</t>
  </si>
  <si>
    <t xml:space="preserve">EV Solar Charging Station </t>
  </si>
  <si>
    <t xml:space="preserve">developer owner operator </t>
  </si>
  <si>
    <t xml:space="preserve">WIND </t>
  </si>
  <si>
    <t xml:space="preserve">Waaree Renewable Techonologies Limited</t>
  </si>
  <si>
    <t xml:space="preserve">Its an EPC </t>
  </si>
  <si>
    <t xml:space="preserve">1.1 Crore profit for every MW of project</t>
  </si>
  <si>
    <t xml:space="preserve">How does cash flows in </t>
  </si>
  <si>
    <t xml:space="preserve">10-15% </t>
  </si>
  <si>
    <t xml:space="preserve">On signUp / deal started</t>
  </si>
  <si>
    <t>65-70%</t>
  </si>
  <si>
    <t xml:space="preserve">payments against the supplies that we do </t>
  </si>
  <si>
    <t>20-25%</t>
  </si>
  <si>
    <t xml:space="preserve">milestone based paymetn </t>
  </si>
  <si>
    <t xml:space="preserve">and this procurement takes around 3-4 months</t>
  </si>
  <si>
    <t xml:space="preserve">Earlier they used to take projects from C&amp;I sector , and they are now getting projects in GW single location worth of contract .</t>
  </si>
  <si>
    <t xml:space="preserve">and these projects last from 9-12 months and this is why cash flow is a bit changed</t>
  </si>
  <si>
    <t xml:space="preserve">Order book for EPC business </t>
  </si>
  <si>
    <t>3.2GW</t>
  </si>
  <si>
    <t xml:space="preserve">Total order book </t>
  </si>
  <si>
    <t>26.5GW</t>
  </si>
  <si>
    <t xml:space="preserve">revenue is 1.1 Crore / MW</t>
  </si>
  <si>
    <t>Revenue</t>
  </si>
  <si>
    <t>3200MW</t>
  </si>
  <si>
    <t>Ebitda</t>
  </si>
  <si>
    <t xml:space="preserve">Low End EBITDA</t>
  </si>
  <si>
    <t xml:space="preserve">High End EBITDA</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</si>
  <si>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</si>
  <si>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</si>
  <si>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</si>
  <si>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</si>
  <si>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</si>
  <si>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</si>
  <si>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</si>
  <si>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</si>
  <si>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</si>
  <si>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</si>
  <si>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</si>
  <si>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</si>
  <si>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</si>
  <si>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</si>
  <si>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</si>
  <si>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</si>
  <si>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</si>
  <si>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</si>
  <si>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</si>
  <si>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</si>
  <si>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</si>
  <si>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</si>
  <si>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</si>
  <si>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</si>
  <si>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</si>
  <si>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</si>
  <si>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</si>
  <si>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</si>
  <si>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</si>
  <si>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</si>
  <si>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</si>
  <si>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</si>
  <si>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</si>
  <si>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</si>
  <si>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</si>
  <si>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</si>
  <si>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</si>
  <si>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</si>
  <si>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</si>
  <si>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</si>
  <si>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</si>
  <si>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</si>
  <si>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</si>
  <si>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</si>
  <si>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</si>
  <si>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</si>
  <si>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</si>
  <si>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</si>
  <si>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</si>
  <si>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</si>
  <si>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</si>
  <si>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</si>
  <si>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</si>
  <si>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Leader in rooftop installation in India </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</si>
  <si>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</si>
  <si>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</si>
  <si>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</si>
  <si>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</si>
  <si>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</si>
  <si>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</si>
  <si>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</si>
  <si>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</si>
  <si>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</si>
  <si>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</si>
  <si>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</si>
  <si>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</si>
  <si>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</si>
  <si>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</si>
  <si>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</si>
  <si>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</si>
  <si>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</si>
  <si>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</si>
  <si>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</si>
  <si>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</si>
  <si>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</si>
  <si>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</si>
  <si>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</si>
  <si>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</si>
  <si>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</si>
  <si>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</si>
  <si>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</si>
  <si>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</si>
  <si>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</si>
  <si>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</si>
  <si>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</si>
  <si>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</si>
  <si>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</si>
  <si>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</si>
  <si>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</si>
  <si>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</si>
  <si>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</si>
  <si>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</si>
  <si>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</si>
  <si>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</si>
  <si>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</si>
  <si>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</si>
  <si>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</si>
  <si>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</si>
  <si>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</si>
  <si>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</si>
  <si>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</si>
  <si>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</si>
  <si>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</si>
  <si>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</si>
  <si>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</si>
  <si>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</si>
  <si>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</si>
  <si>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</si>
  <si>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</si>
  <si>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</si>
  <si>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</si>
  <si>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</si>
  <si>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</si>
  <si>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Q123</t>
  </si>
  <si>
    <t>Q223</t>
  </si>
  <si>
    <t>Q323</t>
  </si>
  <si>
    <t>Q423</t>
  </si>
  <si>
    <t>Q124</t>
  </si>
  <si>
    <t>Q224</t>
  </si>
  <si>
    <t>Q324</t>
  </si>
  <si>
    <t>Q424</t>
  </si>
  <si>
    <t>Q125</t>
  </si>
  <si>
    <t>Q225</t>
  </si>
  <si>
    <t>Q325</t>
  </si>
  <si>
    <t>Q425</t>
  </si>
  <si>
    <t>Q126</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</si>
  <si>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</si>
  <si>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</si>
  <si>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</si>
  <si>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</si>
  <si>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</si>
  <si>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</si>
  <si>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</si>
  <si>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Operational Expense</t>
  </si>
  <si>
    <t xml:space="preserve">Stock in trade</t>
  </si>
  <si>
    <t xml:space="preserve">Finance Cost</t>
  </si>
  <si>
    <t xml:space="preserve">Other Expenses</t>
  </si>
  <si>
    <t xml:space="preserve">Total Expenses</t>
  </si>
  <si>
    <t xml:space="preserve">Operational Profit </t>
  </si>
  <si>
    <t xml:space="preserve">Regulatory Deferral Balances</t>
  </si>
  <si>
    <t xml:space="preserve">Exceptional Items </t>
  </si>
  <si>
    <t xml:space="preserve">Share of Net profit from JV / Associates</t>
  </si>
  <si>
    <t xml:space="preserve">AVERAGE </t>
  </si>
  <si>
    <t xml:space="preserve">MEDIAN </t>
  </si>
  <si>
    <t>TAKING</t>
  </si>
  <si>
    <t xml:space="preserve">Terminal Value</t>
  </si>
  <si>
    <t xml:space="preserve">Discount  Rate</t>
  </si>
  <si>
    <t xml:space="preserve">Revenue growht</t>
  </si>
  <si>
    <t xml:space="preserve">Total no. of shares</t>
  </si>
  <si>
    <t xml:space="preserve">Operational  Profit</t>
  </si>
  <si>
    <t>NPV</t>
  </si>
  <si>
    <t xml:space="preserve">Operational  Margin</t>
  </si>
  <si>
    <t xml:space="preserve">Shares price</t>
  </si>
  <si>
    <t xml:space="preserve">EBE y/y</t>
  </si>
  <si>
    <t xml:space="preserve">Predicted Share price</t>
  </si>
  <si>
    <t xml:space="preserve">D&amp;A y/y</t>
  </si>
  <si>
    <t xml:space="preserve">Finance Cost y/y</t>
  </si>
  <si>
    <t xml:space="preserve">Tax rate</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</si>
  <si>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</si>
  <si>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</si>
  <si>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</si>
  <si>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</si>
  <si>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</si>
  <si>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</si>
  <si>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 xml:space="preserve">commercial and industrial </t>
  </si>
  <si>
    <t xml:space="preserve">Battery energy storeage systems </t>
  </si>
  <si>
    <t xml:space="preserve">:: All wind energy related materials ( generator , blades , motor etc ) all should be taken from indian manufacturers no import allowed .. all data , data-center and server needs to be from india .. manufactures need to setup R&amp;D center in India</t>
  </si>
  <si>
    <t xml:space="preserve">Engineering procurement and construction </t>
  </si>
  <si>
    <t>https://chatgpt.com/share/68587513-f3dc-8009-b82e-cfb336198247</t>
  </si>
  <si>
    <t xml:space="preserve">2026 Predicted </t>
  </si>
  <si>
    <t>https://www.suzlon.com/NewPdf/Financial_Reports_&amp;_Presentations/2024-25/Call_Transcript-May_2025.pdf</t>
  </si>
  <si>
    <t xml:space="preserve">2025 Predictions met </t>
  </si>
  <si>
    <t xml:space="preserve">TODO </t>
  </si>
  <si>
    <t xml:space="preserve">Order book check and internal deliverables ... </t>
  </si>
  <si>
    <t xml:space="preserve">2x times</t>
  </si>
  <si>
    <t xml:space="preserve">CFO </t>
  </si>
  <si>
    <t xml:space="preserve">Says this year the company will perform 60% growth across all the key parameters</t>
  </si>
  <si>
    <t xml:space="preserve"> </t>
  </si>
  <si>
    <t xml:space="preserve">Contribution margin </t>
  </si>
  <si>
    <t xml:space="preserve">Have a lot of order for next 24 months, execution is the problem ... more the execution better the margin wil be </t>
  </si>
  <si>
    <r>
      <rPr>
        <sz val="11"/>
        <color theme="1"/>
        <rFont val="Calibri"/>
        <scheme val="minor"/>
      </rPr>
      <t xml:space="preserve">Bulk pipelines coming from </t>
    </r>
    <r>
      <rPr>
        <b/>
        <sz val="11"/>
        <color theme="1"/>
        <rFont val="Calibri"/>
        <scheme val="minor"/>
      </rPr>
      <t xml:space="preserve">S144  , </t>
    </r>
  </si>
  <si>
    <t xml:space="preserve">Order book , fulfilling happens after 2-3 years ,depend on many factors </t>
  </si>
  <si>
    <t xml:space="preserve">Renom </t>
  </si>
  <si>
    <t xml:space="preserve">Maintainance of around 3GW of energy </t>
  </si>
  <si>
    <t xml:space="preserve">Under operations and maintainance they have 15GW+ to maintain</t>
  </si>
  <si>
    <t xml:space="preserve">Quaterly results and earnings calls for the quarter go hand-in-hand .. </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</si>
  <si>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</si>
  <si>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</si>
  <si>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</si>
  <si>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</si>
  <si>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Q226</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</si>
  <si>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</si>
  <si>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</si>
  <si>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</si>
  <si>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</si>
  <si>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</si>
  <si>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</si>
  <si>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</si>
  <si>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</si>
  <si>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</si>
  <si>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</si>
  <si>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</si>
  <si>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</si>
  <si>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</si>
  <si>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AVERAGE</t>
  </si>
  <si>
    <t>MEDIAN</t>
  </si>
  <si>
    <t>TARGET</t>
  </si>
  <si>
    <t xml:space="preserve">Terminal value </t>
  </si>
  <si>
    <t xml:space="preserve">Income / CORM</t>
  </si>
  <si>
    <t xml:space="preserve">Discount rate</t>
  </si>
  <si>
    <t xml:space="preserve">Gross Profit</t>
  </si>
  <si>
    <t xml:space="preserve">Income Revenue</t>
  </si>
  <si>
    <t xml:space="preserve">Current share price</t>
  </si>
  <si>
    <t xml:space="preserve">Operational  margin</t>
  </si>
  <si>
    <t xml:space="preserve">Predicted shares price</t>
  </si>
  <si>
    <t xml:space="preserve">CORM y/y</t>
  </si>
  <si>
    <t xml:space="preserve">Finance cost / Debt</t>
  </si>
  <si>
    <t xml:space="preserve">Op profit y/y</t>
  </si>
  <si>
    <t xml:space="preserve">Tax Rate</t>
  </si>
  <si>
    <t xml:space="preserve">Income y/y</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</si>
  <si>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</si>
  <si>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</si>
  <si>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</si>
  <si>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</si>
  <si>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</si>
  <si>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</si>
  <si>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</si>
  <si>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</si>
  <si>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</si>
  <si>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</si>
  <si>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</si>
  <si>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</si>
  <si>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</si>
  <si>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</si>
  <si>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</si>
  <si>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</si>
  <si>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</si>
  <si>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</si>
  <si>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</si>
  <si>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</si>
  <si>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</si>
  <si>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</si>
  <si>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</si>
  <si>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</si>
  <si>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</si>
  <si>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</si>
  <si>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</si>
  <si>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</si>
  <si>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</si>
  <si>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</si>
  <si>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</si>
  <si>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</si>
  <si>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</si>
  <si>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</si>
  <si>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</si>
  <si>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</si>
  <si>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</si>
  <si>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</si>
  <si>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</si>
  <si>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</si>
  <si>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</si>
  <si>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</si>
  <si>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</si>
  <si>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</si>
  <si>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</si>
  <si>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</si>
  <si>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</si>
  <si>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</si>
  <si>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</si>
  <si>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</si>
  <si>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</si>
  <si>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</si>
  <si>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</si>
  <si>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</si>
  <si>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</si>
  <si>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</si>
  <si>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TAKEN</t>
  </si>
  <si>
    <t xml:space="preserve">AFTER 10 YEAR</t>
  </si>
  <si>
    <t xml:space="preserve">Discount Rate</t>
  </si>
  <si>
    <t xml:space="preserve">Gross Margin </t>
  </si>
  <si>
    <t xml:space="preserve">Revenue Growth</t>
  </si>
  <si>
    <t xml:space="preserve">Share price </t>
  </si>
  <si>
    <t xml:space="preserve">Total Shares</t>
  </si>
  <si>
    <t xml:space="preserve">Debt financing cost </t>
  </si>
  <si>
    <t xml:space="preserve">Valuation prie</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</si>
  <si>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</si>
  <si>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</si>
  <si>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</si>
  <si>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</si>
  <si>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</si>
  <si>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</si>
  <si>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</si>
  <si>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</si>
  <si>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</si>
  <si>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</si>
  <si>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</si>
  <si>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</si>
  <si>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</si>
  <si>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</si>
  <si>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</si>
  <si>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Its a developer - owner - operator that sells energy produced as PPA </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</si>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</sst>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9">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name val="Liberation Sans"/>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57">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0" fillId="0" borderId="0" numFmtId="0" xfId="0"/>
    <xf fontId="1" fillId="0" borderId="0" numFmtId="0" xfId="0" applyFont="1"/>
    <xf fontId="0" fillId="0" borderId="0" numFmtId="0" xfId="0"/>
    <xf fontId="0" fillId="0" borderId="0" numFmtId="9" xfId="0" applyNumberFormat="1"/>
    <xf fontId="0" fillId="0" borderId="0" numFmtId="9" xfId="0" applyNumberFormat="1"/>
    <xf fontId="0" fillId="0" borderId="0" numFmtId="0" xfId="0">
      <protection hidden="0" locked="1"/>
    </xf>
    <xf fontId="5" fillId="0" borderId="0" numFmtId="0" xfId="0" applyFont="1"/>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165" xfId="2" applyNumberFormat="1">
      <protection hidden="0" locked="1"/>
    </xf>
    <xf fontId="0" fillId="0" borderId="0" numFmtId="165" xfId="2" applyNumberFormat="1"/>
    <xf fontId="1" fillId="0" borderId="0" numFmtId="165" xfId="2" applyNumberFormat="1" applyFont="1"/>
    <xf fontId="1" fillId="0" borderId="0" numFmtId="2" xfId="0" applyNumberFormat="1" applyFont="1"/>
    <xf fontId="1" fillId="0" borderId="0" numFmtId="165" xfId="2" applyNumberFormat="1" applyFont="1">
      <protection hidden="0" locked="1"/>
    </xf>
    <xf fontId="0" fillId="0" borderId="0" numFmtId="2" xfId="0" applyNumberFormat="1"/>
    <xf fontId="0" fillId="0" borderId="0" numFmtId="165" xfId="0" applyNumberFormat="1"/>
    <xf fontId="0" fillId="0" borderId="0" numFmtId="10" xfId="0" applyNumberFormat="1"/>
    <xf fontId="0" fillId="0" borderId="0" numFmtId="164" xfId="0" applyNumberFormat="1"/>
    <xf fontId="0" fillId="0" borderId="0" numFmtId="2" xfId="0" applyNumberFormat="1">
      <protection hidden="0" locked="1"/>
    </xf>
    <xf fontId="0" fillId="0" borderId="1" numFmtId="165" xfId="2" applyNumberFormat="1" applyBorder="1"/>
    <xf fontId="1" fillId="0" borderId="1" numFmtId="165" xfId="2" applyNumberFormat="1" applyFont="1" applyBorder="1"/>
    <xf fontId="0" fillId="0" borderId="1" numFmtId="165" xfId="2" applyNumberFormat="1" applyBorder="1">
      <protection hidden="0" locked="1"/>
    </xf>
    <xf fontId="1" fillId="0" borderId="1" numFmtId="165" xfId="2" applyNumberFormat="1" applyFont="1" applyBorder="1">
      <protection hidden="0" locked="1"/>
    </xf>
    <xf fontId="1" fillId="0" borderId="0" numFmtId="2" xfId="0" applyNumberFormat="1" applyFont="1">
      <protection hidden="0" locked="1"/>
    </xf>
    <xf fontId="4" fillId="0" borderId="0" numFmtId="165" xfId="2" applyNumberFormat="1" applyFont="1">
      <protection hidden="0" locked="1"/>
    </xf>
    <xf fontId="4" fillId="0" borderId="1" numFmtId="165" xfId="2" applyNumberFormat="1" applyFont="1" applyBorder="1">
      <protection hidden="0" locked="1"/>
    </xf>
    <xf fontId="6" fillId="0" borderId="0" numFmtId="3" xfId="0" applyNumberFormat="1" applyFont="1" applyAlignment="1">
      <alignment horizontal="right"/>
    </xf>
    <xf fontId="0" fillId="0" borderId="0" numFmtId="10" xfId="1" applyNumberFormat="1">
      <protection hidden="0" locked="1"/>
    </xf>
    <xf fontId="1" fillId="0" borderId="0" numFmtId="164" xfId="1" applyNumberFormat="1" applyFont="1"/>
    <xf fontId="7" fillId="0" borderId="0" numFmtId="0" xfId="0" applyFont="1"/>
    <xf fontId="8" fillId="0" borderId="0" numFmtId="0" xfId="0" applyFont="1"/>
    <xf fontId="7" fillId="0" borderId="0" numFmtId="166" xfId="2" applyNumberFormat="1" applyFont="1"/>
    <xf fontId="7"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1" fillId="0" borderId="0" numFmtId="167" xfId="2" applyNumberFormat="1" applyFont="1"/>
    <xf fontId="1" fillId="0" borderId="0" numFmtId="165" xfId="0" applyNumberFormat="1" applyFont="1"/>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theme" Target="theme/theme1.xml"/><Relationship  Id="rId16"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26</xdr:col>
      <xdr:colOff>88899</xdr:colOff>
      <xdr:row>0</xdr:row>
      <xdr:rowOff>158747</xdr:rowOff>
    </xdr:from>
    <xdr:to>
      <xdr:col>26</xdr:col>
      <xdr:colOff>88899</xdr:colOff>
      <xdr:row>38</xdr:row>
      <xdr:rowOff>155573</xdr:rowOff>
    </xdr:to>
    <xdr:cxnSp>
      <xdr:nvCxnSpPr>
        <xdr:cNvPr id="0" name=""/>
        <xdr:cNvCxnSpPr>
          <a:cxnSpLocks/>
        </xdr:cNvCxnSpPr>
        <xdr:nvPr/>
      </xdr:nvCxnSpPr>
      <xdr:spPr bwMode="auto">
        <a:xfrm flipH="1" flipV="0">
          <a:off x="27495498" y="158749"/>
          <a:ext cx="0" cy="67532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29</xdr:col>
      <xdr:colOff>44449</xdr:colOff>
      <xdr:row>1</xdr:row>
      <xdr:rowOff>76199</xdr:rowOff>
    </xdr:from>
    <xdr:to>
      <xdr:col>29</xdr:col>
      <xdr:colOff>44449</xdr:colOff>
      <xdr:row>37</xdr:row>
      <xdr:rowOff>15874</xdr:rowOff>
    </xdr:to>
    <xdr:cxnSp>
      <xdr:nvCxnSpPr>
        <xdr:cNvPr id="0" name=""/>
        <xdr:cNvCxnSpPr>
          <a:cxnSpLocks/>
        </xdr:cNvCxnSpPr>
        <xdr:nvPr/>
      </xdr:nvCxnSpPr>
      <xdr:spPr bwMode="auto">
        <a:xfrm flipH="0" flipV="0">
          <a:off x="30613349" y="253999"/>
          <a:ext cx="0" cy="634047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14</xdr:col>
      <xdr:colOff>38099</xdr:colOff>
      <xdr:row>0</xdr:row>
      <xdr:rowOff>174623</xdr:rowOff>
    </xdr:from>
    <xdr:to>
      <xdr:col>14</xdr:col>
      <xdr:colOff>38099</xdr:colOff>
      <xdr:row>46</xdr:row>
      <xdr:rowOff>171449</xdr:rowOff>
    </xdr:to>
    <xdr:cxnSp>
      <xdr:nvCxnSpPr>
        <xdr:cNvPr id="0" name=""/>
        <xdr:cNvCxnSpPr>
          <a:cxnSpLocks/>
        </xdr:cNvCxnSpPr>
        <xdr:nvPr/>
      </xdr:nvCxnSpPr>
      <xdr:spPr bwMode="auto">
        <a:xfrm flipH="1" flipV="0">
          <a:off x="14795499" y="174623"/>
          <a:ext cx="0" cy="81756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22</xdr:col>
      <xdr:colOff>43542</xdr:colOff>
      <xdr:row>0</xdr:row>
      <xdr:rowOff>171449</xdr:rowOff>
    </xdr:from>
    <xdr:to>
      <xdr:col>22</xdr:col>
      <xdr:colOff>43542</xdr:colOff>
      <xdr:row>35</xdr:row>
      <xdr:rowOff>29935</xdr:rowOff>
    </xdr:to>
    <xdr:cxnSp>
      <xdr:nvCxnSpPr>
        <xdr:cNvPr id="0" name=""/>
        <xdr:cNvCxnSpPr>
          <a:cxnSpLocks/>
        </xdr:cNvCxnSpPr>
        <xdr:nvPr/>
      </xdr:nvCxnSpPr>
      <xdr:spPr bwMode="auto">
        <a:xfrm flipH="0" flipV="0">
          <a:off x="28172228" y="171449"/>
          <a:ext cx="0" cy="634637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32</xdr:col>
      <xdr:colOff>13605</xdr:colOff>
      <xdr:row>1</xdr:row>
      <xdr:rowOff>13605</xdr:rowOff>
    </xdr:from>
    <xdr:to>
      <xdr:col>32</xdr:col>
      <xdr:colOff>13605</xdr:colOff>
      <xdr:row>35</xdr:row>
      <xdr:rowOff>152399</xdr:rowOff>
    </xdr:to>
    <xdr:cxnSp>
      <xdr:nvCxnSpPr>
        <xdr:cNvPr id="0" name=""/>
        <xdr:cNvCxnSpPr>
          <a:cxnSpLocks/>
        </xdr:cNvCxnSpPr>
        <xdr:nvPr/>
      </xdr:nvCxnSpPr>
      <xdr:spPr bwMode="auto">
        <a:xfrm flipH="0" flipV="0">
          <a:off x="37939435" y="198664"/>
          <a:ext cx="0" cy="644162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79372</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07B03D4E-8616-E89A-4FB9-642C0CCBEBE0}"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L16" dT="2025-06-19T21:36:36.25Z" personId="{07B03D4E-8616-E89A-4FB9-642C0CCBEBE0}" id="{6788FAC3-FD09-97E3-2E6A-DE380B094467}" done="1">
    <text xml:space="preserve">This is coming from making OCD / CD to equity and removing rerducing debt and increasing the no. of shares
</text>
  </threadedComment>
  <threadedComment ref="R16" dT="2025-06-19T21:34:29.91Z" personId="{07B03D4E-8616-E89A-4FB9-642C0CCBEBE0}" id="{C25DF110-51D2-DBB6-4294-91D168F94F65}" done="1">
    <text xml:space="preserve">AGAIN ? high value ?
</text>
  </threadedComment>
  <threadedComment ref="V16" dT="2025-06-19T21:34:29.91Z" personId="{07B03D4E-8616-E89A-4FB9-642C0CCBEBE0}" id="{C4C9A323-5FD8-C318-48C7-625C083DE3CC}" done="1">
    <text xml:space="preserve">AGAIN ? high value ?
</text>
  </threadedComment>
  <threadedComment ref="W16" dT="2025-06-19T21:34:29.91Z" personId="{07B03D4E-8616-E89A-4FB9-642C0CCBEBE0}" id="{D25D12BC-92CF-4707-7E5C-ECCCA284E96B}" done="1">
    <text xml:space="preserve">AGAIN ? high value ?
</text>
  </threadedComment>
  <threadedComment ref="X16" dT="2025-06-19T21:34:29.91Z" personId="{07B03D4E-8616-E89A-4FB9-642C0CCBEBE0}" id="{C552B544-9419-49D1-86D6-3AA8D3E8C5A6}" done="1">
    <text xml:space="preserve">AGAIN ? high value ?
</text>
  </threadedComment>
  <threadedComment ref="Y16" dT="2025-06-19T21:34:29.91Z" personId="{07B03D4E-8616-E89A-4FB9-642C0CCBEBE0}" id="{5D933D35-8ACA-E96A-9241-B30FA5B6FB21}" done="1">
    <text xml:space="preserve">AGAIN ? high value ?
</text>
  </threadedComment>
  <threadedComment ref="Z16" dT="2025-06-19T21:34:29.91Z" personId="{07B03D4E-8616-E89A-4FB9-642C0CCBEBE0}" id="{4A354EEA-C58E-D99D-F7E3-1F3AC30D963E}" done="1">
    <text xml:space="preserve">AGAIN ? high value ?
</text>
  </threadedComment>
  <threadedComment ref="AA16" dT="2025-06-19T21:34:29.91Z" personId="{07B03D4E-8616-E89A-4FB9-642C0CCBEBE0}" id="{AE93DCD3-52A9-F445-D5C9-F624B1CF9FDF}" done="1">
    <text xml:space="preserve">AGAIN ? high value ?
</text>
  </threadedComment>
  <threadedComment ref="AB16" dT="2025-06-19T21:34:29.91Z" personId="{07B03D4E-8616-E89A-4FB9-642C0CCBEBE0}" id="{E071A292-1398-1D6B-A6A1-B97D26136388}" done="1">
    <text xml:space="preserve">AGAIN ? high value ?
</text>
  </threadedComment>
  <threadedComment ref="AC16" dT="2025-06-19T21:34:29.91Z" personId="{07B03D4E-8616-E89A-4FB9-642C0CCBEBE0}" id="{7FE70B89-01A7-FEEF-6513-920E788E781A}" done="1">
    <text xml:space="preserve">AGAIN ? high value ?
</text>
  </threadedComment>
  <threadedComment ref="AD16" dT="2025-06-19T21:34:29.91Z" personId="{07B03D4E-8616-E89A-4FB9-642C0CCBEBE0}" id="{3EFF5A57-05A6-6336-1E59-C33C8CCBF375}" done="1">
    <text xml:space="preserve">AGAIN ? high value ?
</text>
  </threadedComment>
  <threadedComment ref="AE16" dT="2025-06-19T21:34:29.91Z" personId="{07B03D4E-8616-E89A-4FB9-642C0CCBEBE0}" id="{7200CAE6-E6E3-1427-AA30-8B8AD0F86A6F}" done="1">
    <text xml:space="preserve">AGAIN ? high value ?
</text>
  </threadedComment>
  <threadedComment ref="AF16" dT="2025-06-19T21:34:29.91Z" personId="{07B03D4E-8616-E89A-4FB9-642C0CCBEBE0}" id="{17AF943B-8130-ED9E-4453-68498A5563E6}" done="1">
    <text xml:space="preserve">AGAIN ? high value ?
</text>
  </threadedComment>
  <threadedComment ref="P19" dT="2025-06-19T21:38:44.15Z" personId="{07B03D4E-8616-E89A-4FB9-642C0CCBEBE0}" id="{3CB725A5-1E1E-8B7C-3D4E-334F096E1B49}" done="0">
    <text xml:space="preserve">Converting Convertible debentures to equity leading to increased equity value
</text>
  </threadedComment>
  <threadedComment ref="P40" dT="2025-06-18T21:27:29.95Z" personId="{07B03D4E-8616-E89A-4FB9-642C0CCBEBE0}" id="{9A4B6B9E-88EE-C23D-B709-D7D46A1D7A02}" done="1">
    <text xml:space="preserve">this money came from exceptional item
</text>
  </threadedComment>
</ThreadedComments>
</file>

<file path=xl/worksheets/_rels/sheet11.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  Id="rId5" Type="http://schemas.openxmlformats.org/officeDocument/2006/relationships/drawing" Target="../drawings/drawing1.xml"/></Relationships>
</file>

<file path=xl/worksheets/_rels/sheet8.xml.rels><?xml version="1.0" encoding="UTF-8" standalone="yes"?><Relationships xmlns="http://schemas.openxmlformats.org/package/2006/relationships"><Relationship  Id="rId1" Type="http://schemas.openxmlformats.org/officeDocument/2006/relationships/hyperlink" Target="https://cdnbbsr.s3waas.gov.in/s3716e1b8c6cd17b771da77391355749f3/uploads/2025/05/202506122092181356.pdf" TargetMode="External"/><Relationship  Id="rId2" Type="http://schemas.openxmlformats.org/officeDocument/2006/relationships/hyperlink" Target="https://chatgpt.com/share/68587513-f3dc-8009-b82e-cfb336198247" TargetMode="External"/><Relationship  Id="rId3" Type="http://schemas.openxmlformats.org/officeDocument/2006/relationships/hyperlink" Target="https://www.suzlon.com/NewPdf/Financial_Reports_&amp;_Presentations/2024-25/Call_Transcript-May_2025.pdf" TargetMode="External"/></Relationships>
</file>

<file path=xl/worksheets/_rels/sheet9.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drawing" Target="../drawings/drawing2.xml"/><Relationship  Id="rId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4" zoomScale="100" workbookViewId="0">
      <selection activeCell="A1" activeCellId="0" sqref="A1"/>
    </sheetView>
  </sheetViews>
  <sheetFormatPr defaultRowHeight="14.25"/>
  <cols>
    <col customWidth="1" min="1" max="1" width="15.140625"/>
    <col customWidth="1" min="2" max="2" width="17.00390625"/>
    <col customWidth="1" min="3"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12" ht="14.25">
      <c r="A12" t="s">
        <v>26</v>
      </c>
      <c r="B12" t="s">
        <v>27</v>
      </c>
      <c r="C12" t="s">
        <v>28</v>
      </c>
    </row>
    <row r="26" ht="14.25">
      <c r="B26" t="s">
        <v>29</v>
      </c>
      <c r="C26" t="s">
        <v>30</v>
      </c>
    </row>
    <row r="27" ht="14.25">
      <c r="B27" t="s">
        <v>31</v>
      </c>
      <c r="C27" t="s">
        <v>32</v>
      </c>
    </row>
    <row r="28" ht="14.25">
      <c r="B28" t="s">
        <v>33</v>
      </c>
      <c r="C28" t="s">
        <v>34</v>
      </c>
    </row>
    <row r="29" ht="14.25">
      <c r="B29" t="s">
        <v>35</v>
      </c>
      <c r="C29" t="s">
        <v>36</v>
      </c>
    </row>
    <row r="30" ht="14.25">
      <c r="B30" t="s">
        <v>37</v>
      </c>
      <c r="C30" t="s">
        <v>38</v>
      </c>
    </row>
    <row r="31" ht="14.25">
      <c r="B31" t="s">
        <v>39</v>
      </c>
      <c r="C31" t="s">
        <v>40</v>
      </c>
    </row>
    <row r="32" ht="14.25">
      <c r="B32" t="s">
        <v>41</v>
      </c>
      <c r="C32" t="s">
        <v>42</v>
      </c>
    </row>
    <row r="33" ht="14.25">
      <c r="B33" t="s">
        <v>43</v>
      </c>
      <c r="C33" t="s">
        <v>44</v>
      </c>
    </row>
    <row r="34" ht="14.25">
      <c r="B34" t="s">
        <v>45</v>
      </c>
      <c r="C34" t="s">
        <v>46</v>
      </c>
    </row>
    <row r="35" ht="14.25">
      <c r="B35" t="s">
        <v>47</v>
      </c>
      <c r="C35" t="s">
        <v>48</v>
      </c>
    </row>
    <row r="36" ht="14.25">
      <c r="B36" s="5" t="s">
        <v>49</v>
      </c>
      <c r="C36" s="5" t="s">
        <v>50</v>
      </c>
    </row>
    <row r="37" ht="14.25">
      <c r="B37" s="5" t="s">
        <v>51</v>
      </c>
      <c r="C37" s="5" t="s">
        <v>52</v>
      </c>
    </row>
    <row r="38" ht="14.25">
      <c r="B38" s="5" t="s">
        <v>53</v>
      </c>
      <c r="C38" s="5" t="s">
        <v>54</v>
      </c>
    </row>
    <row r="39" ht="14.25">
      <c r="B39" s="5" t="s">
        <v>55</v>
      </c>
      <c r="C39" s="5" t="s">
        <v>56</v>
      </c>
    </row>
    <row r="40" ht="14.25">
      <c r="B40" s="5" t="s">
        <v>57</v>
      </c>
      <c r="C40" s="5" t="s">
        <v>58</v>
      </c>
    </row>
    <row r="41" ht="14.25">
      <c r="B41" s="6" t="s">
        <v>59</v>
      </c>
      <c r="C41" s="5" t="s">
        <v>60</v>
      </c>
    </row>
    <row r="42" ht="14.25">
      <c r="B42" s="6" t="s">
        <v>61</v>
      </c>
      <c r="C42" s="5" t="s">
        <v>62</v>
      </c>
    </row>
    <row r="43" ht="14.25">
      <c r="B43" s="6" t="s">
        <v>63</v>
      </c>
      <c r="C43" s="5" t="s">
        <v>64</v>
      </c>
    </row>
    <row r="44" ht="14.25">
      <c r="B44" s="6"/>
      <c r="C44" t="s">
        <v>65</v>
      </c>
      <c r="D44" s="5"/>
    </row>
    <row r="45" ht="14.25">
      <c r="B45" s="6" t="s">
        <v>66</v>
      </c>
      <c r="C45" s="5" t="s">
        <v>67</v>
      </c>
    </row>
    <row r="46" ht="14.25">
      <c r="B46" s="6" t="s">
        <v>68</v>
      </c>
      <c r="C46" s="5" t="s">
        <v>69</v>
      </c>
    </row>
    <row r="47" ht="14.25">
      <c r="B47" s="6" t="s">
        <v>70</v>
      </c>
      <c r="C47" s="5" t="s">
        <v>71</v>
      </c>
    </row>
    <row r="48" ht="14.25">
      <c r="B48" s="6"/>
      <c r="C48" s="5" t="s">
        <v>72</v>
      </c>
      <c r="D48" t="s">
        <v>73</v>
      </c>
    </row>
    <row r="49" ht="14.25">
      <c r="B49" s="6" t="s">
        <v>74</v>
      </c>
      <c r="C49" s="5" t="s">
        <v>75</v>
      </c>
    </row>
    <row r="50" ht="14.25">
      <c r="B50" s="6" t="s">
        <v>76</v>
      </c>
      <c r="C50" s="5"/>
    </row>
    <row r="51" ht="14.25">
      <c r="B51" s="6" t="s">
        <v>57</v>
      </c>
      <c r="C51" s="5" t="s">
        <v>77</v>
      </c>
    </row>
    <row r="52" ht="14.25">
      <c r="B52" s="6"/>
      <c r="C52" s="5"/>
    </row>
    <row r="53" ht="14.25">
      <c r="B53" s="5" t="s">
        <v>78</v>
      </c>
      <c r="C53" s="5"/>
    </row>
    <row r="54" ht="14.25">
      <c r="B54" t="s">
        <v>79</v>
      </c>
    </row>
    <row r="55" ht="14.25">
      <c r="B55" t="s">
        <v>78</v>
      </c>
    </row>
    <row r="56" ht="14.25">
      <c r="B56" t="s">
        <v>80</v>
      </c>
      <c r="C56" s="7" t="s">
        <v>81</v>
      </c>
    </row>
    <row r="57" ht="14.25">
      <c r="B57" t="s">
        <v>82</v>
      </c>
      <c r="C57" s="7" t="s">
        <v>83</v>
      </c>
    </row>
    <row r="58" ht="14.25">
      <c r="B58" t="s">
        <v>84</v>
      </c>
      <c r="C58" s="7" t="s">
        <v>85</v>
      </c>
    </row>
    <row r="60" ht="14.25">
      <c r="A60" s="1" t="s">
        <v>86</v>
      </c>
    </row>
    <row r="61" ht="14.25">
      <c r="B61" t="s">
        <v>87</v>
      </c>
    </row>
    <row r="62" ht="14.25">
      <c r="B62" t="s">
        <v>31</v>
      </c>
    </row>
    <row r="63" ht="14.25">
      <c r="B63" t="s">
        <v>88</v>
      </c>
    </row>
    <row r="64" ht="14.25">
      <c r="B64" t="s">
        <v>89</v>
      </c>
    </row>
    <row r="65" ht="14.25">
      <c r="B65" t="s">
        <v>90</v>
      </c>
    </row>
    <row r="66" ht="14.25">
      <c r="B66" t="s">
        <v>91</v>
      </c>
    </row>
    <row r="67" ht="14.25">
      <c r="B67" t="s">
        <v>92</v>
      </c>
    </row>
    <row r="68" ht="14.25">
      <c r="B68" s="5" t="s">
        <v>93</v>
      </c>
    </row>
    <row r="69" ht="14.25">
      <c r="B69" s="5" t="s">
        <v>94</v>
      </c>
    </row>
    <row r="70" ht="14.25">
      <c r="B70" s="5" t="s">
        <v>95</v>
      </c>
    </row>
    <row r="72" ht="14.25">
      <c r="A72" s="1" t="s">
        <v>96</v>
      </c>
    </row>
    <row r="74"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343</v>
      </c>
    </row>
    <row r="2" ht="14.25">
      <c r="A2" t="s">
        <v>126</v>
      </c>
    </row>
    <row r="3" s="1" customFormat="1" ht="15">
      <c r="C3" s="1" t="s">
        <v>344</v>
      </c>
      <c r="D3" s="1" t="s">
        <v>345</v>
      </c>
      <c r="E3" s="1" t="s">
        <v>346</v>
      </c>
      <c r="F3" s="1" t="s">
        <v>347</v>
      </c>
      <c r="G3" s="1" t="s">
        <v>348</v>
      </c>
      <c r="H3" s="1" t="s">
        <v>349</v>
      </c>
    </row>
    <row r="4" ht="14.25">
      <c r="B4" t="s">
        <v>350</v>
      </c>
      <c r="C4" s="12">
        <v>87.439999999999998</v>
      </c>
      <c r="D4" s="12">
        <v>87.989999999999995</v>
      </c>
      <c r="E4" s="12">
        <v>143.66999999999999</v>
      </c>
      <c r="F4" s="12">
        <v>269.56</v>
      </c>
      <c r="G4">
        <v>353.68000000000001</v>
      </c>
      <c r="H4">
        <v>674.42999999999995</v>
      </c>
    </row>
    <row r="5" ht="14.25">
      <c r="B5" t="s">
        <v>351</v>
      </c>
      <c r="C5" s="12">
        <v>0.53000000000000003</v>
      </c>
      <c r="D5" s="12">
        <v>0.90000000000000002</v>
      </c>
      <c r="E5" s="12">
        <v>0.56999999999999995</v>
      </c>
      <c r="F5" s="12">
        <v>9.0700000000000003</v>
      </c>
      <c r="G5">
        <v>1.5800000000000001</v>
      </c>
      <c r="H5">
        <v>2.3599999999999999</v>
      </c>
    </row>
    <row r="6" s="1" customFormat="1" ht="14.25">
      <c r="B6" s="1" t="s">
        <v>352</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353</v>
      </c>
      <c r="C8" s="10">
        <v>70.439999999999998</v>
      </c>
      <c r="D8" s="10">
        <v>77.670000000000002</v>
      </c>
      <c r="E8" s="10">
        <v>123.41</v>
      </c>
      <c r="F8" s="10">
        <v>236.19999999999999</v>
      </c>
      <c r="G8">
        <v>301.81999999999999</v>
      </c>
      <c r="H8">
        <v>575.76999999999998</v>
      </c>
    </row>
    <row r="9" ht="14.25">
      <c r="B9" t="s">
        <v>354</v>
      </c>
      <c r="C9" s="10">
        <v>0</v>
      </c>
      <c r="D9" s="10">
        <v>0</v>
      </c>
      <c r="E9" s="10">
        <v>0</v>
      </c>
      <c r="F9" s="10">
        <v>0</v>
      </c>
      <c r="G9">
        <v>0</v>
      </c>
      <c r="H9">
        <v>0</v>
      </c>
    </row>
    <row r="10" ht="14.25">
      <c r="B10" t="s">
        <v>355</v>
      </c>
      <c r="C10" s="10">
        <v>-0.97999999999999998</v>
      </c>
      <c r="D10" s="10">
        <v>-3.3475999999999999</v>
      </c>
      <c r="E10" s="10">
        <v>1.4199999999999999</v>
      </c>
      <c r="F10" s="10">
        <v>-5.9100000000000001</v>
      </c>
      <c r="G10">
        <v>-5.0300000000000002</v>
      </c>
      <c r="H10">
        <v>-15.24</v>
      </c>
    </row>
    <row r="11" ht="14.25">
      <c r="B11" t="s">
        <v>136</v>
      </c>
      <c r="C11" s="10">
        <v>4.6100000000000003</v>
      </c>
      <c r="D11" s="10">
        <v>4</v>
      </c>
      <c r="E11" s="10">
        <v>5.4100000000000001</v>
      </c>
      <c r="F11" s="10">
        <v>9.6999999999999993</v>
      </c>
      <c r="G11">
        <v>14.130000000000001</v>
      </c>
      <c r="H11">
        <v>19.050000000000001</v>
      </c>
    </row>
    <row r="12" ht="14.25">
      <c r="A12" t="s">
        <v>356</v>
      </c>
      <c r="B12" t="s">
        <v>357</v>
      </c>
      <c r="C12" s="10">
        <v>2.77</v>
      </c>
      <c r="D12" s="10">
        <v>2.77</v>
      </c>
      <c r="E12" s="10">
        <v>2.4399999999999999</v>
      </c>
      <c r="F12" s="10">
        <v>2.3799999999999999</v>
      </c>
      <c r="G12">
        <v>3.1499999999999999</v>
      </c>
      <c r="H12">
        <v>7.2599999999999998</v>
      </c>
    </row>
    <row r="13" ht="14.25">
      <c r="B13" t="s">
        <v>137</v>
      </c>
      <c r="C13" s="10">
        <v>0.89149999999999996</v>
      </c>
      <c r="D13" s="10">
        <v>0.95999999999999996</v>
      </c>
      <c r="E13" s="10">
        <v>1.5700000000000001</v>
      </c>
      <c r="F13" s="10">
        <v>2.1200000000000001</v>
      </c>
      <c r="G13">
        <v>3.0299999999999998</v>
      </c>
      <c r="H13">
        <v>5.8600000000000003</v>
      </c>
    </row>
    <row r="14" ht="14.25">
      <c r="B14" t="s">
        <v>256</v>
      </c>
      <c r="C14" s="10">
        <v>9</v>
      </c>
      <c r="D14" s="10">
        <v>5.3799999999999999</v>
      </c>
      <c r="E14" s="10">
        <v>4.3300000000000001</v>
      </c>
      <c r="F14" s="10">
        <v>19.68</v>
      </c>
      <c r="G14">
        <v>21.969999999999999</v>
      </c>
      <c r="H14">
        <v>39.270000000000003</v>
      </c>
    </row>
    <row r="15" ht="14.25">
      <c r="C15" s="10"/>
      <c r="D15" s="10"/>
      <c r="E15" s="10"/>
      <c r="F15" s="10"/>
    </row>
    <row r="16" ht="14.25">
      <c r="B16" t="s">
        <v>358</v>
      </c>
      <c r="C16" s="10">
        <f>SUM(C8:C14)</f>
        <v>86.731499999999983</v>
      </c>
      <c r="D16" s="10">
        <f>SUM(D8:D14)</f>
        <v>87.432399999999987</v>
      </c>
      <c r="E16" s="10">
        <f>SUM(E8:E14)</f>
        <v>138.58000000000001</v>
      </c>
      <c r="F16" s="10">
        <f>SUM(F8:F14)</f>
        <v>264.16999999999996</v>
      </c>
      <c r="G16">
        <f>SUM(G8:G14)</f>
        <v>339.06999999999994</v>
      </c>
      <c r="H16" s="10">
        <f>SUM(H8:H14)</f>
        <v>631.96999999999991</v>
      </c>
    </row>
    <row r="17" ht="14.25">
      <c r="C17" s="10"/>
      <c r="D17" s="10"/>
      <c r="E17" s="10"/>
      <c r="F17" s="10"/>
    </row>
    <row r="18" ht="14.25">
      <c r="B18" t="s">
        <v>359</v>
      </c>
      <c r="C18" s="10">
        <v>0.080000000000000002</v>
      </c>
      <c r="D18" s="10">
        <v>0.23250000000000001</v>
      </c>
      <c r="E18" s="10">
        <v>0.050000000000000003</v>
      </c>
      <c r="F18" s="10">
        <v>0</v>
      </c>
      <c r="G18">
        <v>0</v>
      </c>
      <c r="H18">
        <v>0</v>
      </c>
    </row>
    <row r="19" s="1" customFormat="1" ht="14.25">
      <c r="B19" s="1" t="s">
        <v>146</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147</v>
      </c>
      <c r="C20" s="10">
        <f>0.29+0.0044</f>
        <v>0.2944</v>
      </c>
      <c r="D20" s="10">
        <f>0.3075-0.0076</f>
        <v>0.2999</v>
      </c>
      <c r="E20" s="10">
        <f>1.5318</f>
        <v>1.5318000000000001</v>
      </c>
      <c r="F20" s="10">
        <f>3.37</f>
        <v>3.3700000000000001</v>
      </c>
      <c r="G20">
        <f>4.02+0.05+0.27</f>
        <v>4.3399999999999999</v>
      </c>
      <c r="H20">
        <f>11.74++0.41</f>
        <v>12.15</v>
      </c>
    </row>
    <row r="21" s="1" customFormat="1" ht="14.25">
      <c r="B21" s="1" t="s">
        <v>148</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360</v>
      </c>
      <c r="C22" s="10">
        <v>0</v>
      </c>
      <c r="D22" s="10">
        <v>0</v>
      </c>
      <c r="E22" s="10">
        <v>0.0074999999999999997</v>
      </c>
      <c r="F22" s="10">
        <v>0.02</v>
      </c>
      <c r="G22">
        <f>0.017-0.0043</f>
        <v>0.012700000000000001</v>
      </c>
      <c r="H22">
        <v>9.6500000000000004</v>
      </c>
    </row>
    <row r="23" ht="14.25">
      <c r="B23" t="s">
        <v>361</v>
      </c>
      <c r="C23" s="10">
        <f>C19</f>
        <v>1.1585000000000161</v>
      </c>
      <c r="D23" s="10">
        <f>D19</f>
        <v>1.2251000000000136</v>
      </c>
      <c r="E23" s="10">
        <v>4.04</v>
      </c>
      <c r="F23" s="10">
        <v>11.039999999999999</v>
      </c>
      <c r="G23">
        <v>11.76</v>
      </c>
      <c r="H23">
        <v>32.729999999999997</v>
      </c>
    </row>
    <row r="24" ht="14.25">
      <c r="B24" s="12"/>
      <c r="C24" s="12"/>
      <c r="D24" s="12"/>
      <c r="E24" s="12"/>
      <c r="F24" s="12"/>
      <c r="G24" s="12"/>
    </row>
    <row r="25" ht="14.25">
      <c r="B25" s="12" t="s">
        <v>362</v>
      </c>
      <c r="C25" s="12"/>
      <c r="D25" s="12"/>
      <c r="E25" s="12"/>
      <c r="F25" s="12"/>
      <c r="G25" s="12"/>
    </row>
    <row r="26" ht="14.25">
      <c r="B26" t="s">
        <v>8</v>
      </c>
      <c r="C26" s="10">
        <v>0.44</v>
      </c>
      <c r="D26" s="10">
        <v>0.5</v>
      </c>
      <c r="E26" s="10"/>
      <c r="F26" s="10">
        <v>0.56000000000000005</v>
      </c>
      <c r="G26">
        <v>0.54000000000000004</v>
      </c>
    </row>
    <row r="27" ht="14.25">
      <c r="C27" s="10"/>
      <c r="D27" s="10"/>
      <c r="E27" s="10"/>
      <c r="F27" s="10"/>
    </row>
    <row r="28" ht="14.25">
      <c r="C28" s="10"/>
      <c r="D28" s="10"/>
      <c r="E28" s="10"/>
      <c r="F28" s="10"/>
    </row>
    <row r="29" ht="14.25">
      <c r="B29" t="s">
        <v>150</v>
      </c>
      <c r="C29" s="10">
        <f>C4-C8</f>
        <v>17</v>
      </c>
      <c r="D29" s="10">
        <f>D4-D8</f>
        <v>10.319999999999993</v>
      </c>
      <c r="E29" s="10">
        <f>E4-E8</f>
        <v>20.259999999999991</v>
      </c>
      <c r="F29" s="10">
        <f>F4-F8</f>
        <v>33.360000000000014</v>
      </c>
      <c r="G29">
        <f>G4-G8</f>
        <v>51.860000000000014</v>
      </c>
      <c r="H29" s="10">
        <f>H4-H8</f>
        <v>98.659999999999968</v>
      </c>
    </row>
    <row r="30" s="1" customFormat="1" ht="14.25">
      <c r="A30" s="1" t="s">
        <v>363</v>
      </c>
      <c r="B30" s="1" t="s">
        <v>7</v>
      </c>
      <c r="C30" s="42">
        <f>C29/C4</f>
        <v>0.19441903019213175</v>
      </c>
      <c r="D30" s="42">
        <f>D29/D4</f>
        <v>0.11728605523354919</v>
      </c>
      <c r="E30" s="42">
        <f>E29/E4</f>
        <v>0.14101760980023662</v>
      </c>
      <c r="F30" s="42">
        <f>F29/F4</f>
        <v>0.1237572340109809</v>
      </c>
      <c r="G30" s="42">
        <f>G29/G4</f>
        <v>0.14662972178240222</v>
      </c>
      <c r="H30" s="42">
        <f>H29/H4</f>
        <v>0.14628649377993264</v>
      </c>
    </row>
    <row r="31" ht="14.25">
      <c r="C31" s="10"/>
      <c r="D31" s="10"/>
    </row>
    <row r="32" ht="14.25">
      <c r="C32" s="10"/>
      <c r="D32" s="10"/>
    </row>
    <row r="33" ht="14.25">
      <c r="B33" t="s">
        <v>364</v>
      </c>
      <c r="C33" s="14">
        <f>D21/C21</f>
        <v>1.0707094086332558</v>
      </c>
      <c r="D33" s="14">
        <f>E21/D21</f>
        <v>4.4079118028533388</v>
      </c>
      <c r="E33" s="14">
        <f>F21/E21</f>
        <v>2.7193369623853956</v>
      </c>
      <c r="F33" s="14">
        <f>G21/F21</f>
        <v>1.0685302073940501</v>
      </c>
      <c r="G33" s="14">
        <f>H21/G21</f>
        <v>2.7569620253164473</v>
      </c>
      <c r="H33" s="14">
        <f>I21/H21</f>
        <v>0</v>
      </c>
    </row>
    <row r="34" ht="14.25">
      <c r="B34" t="s">
        <v>365</v>
      </c>
      <c r="C34" s="10"/>
      <c r="D34" s="14">
        <f>D6/C6</f>
        <v>1.0104581107195636</v>
      </c>
      <c r="E34" s="14">
        <f>E6/D6</f>
        <v>1.6226797165035434</v>
      </c>
      <c r="F34" s="14">
        <f>F6/E6</f>
        <v>1.9317110371602886</v>
      </c>
      <c r="G34" s="14">
        <f>G6/F6</f>
        <v>1.2750242256756272</v>
      </c>
      <c r="H34" s="14">
        <f>H6/G6</f>
        <v>1.9050554523447616</v>
      </c>
    </row>
    <row r="35" ht="14.25">
      <c r="B35" t="s">
        <v>366</v>
      </c>
      <c r="C35" s="14"/>
      <c r="D35" s="14">
        <f>D8/C8</f>
        <v>1.1026405451448043</v>
      </c>
      <c r="E35" s="14">
        <f>E8/D8</f>
        <v>1.5889017638727951</v>
      </c>
      <c r="F35" s="14">
        <f>F8/E8</f>
        <v>1.9139453853010291</v>
      </c>
      <c r="G35" s="14">
        <f>G8/F8</f>
        <v>1.2778154106689246</v>
      </c>
      <c r="H35" s="14">
        <f>H8/G8</f>
        <v>1.9076601948181036</v>
      </c>
    </row>
    <row r="36" ht="14.25">
      <c r="C36" s="10"/>
      <c r="D36" s="10"/>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43" width="9.140625"/>
    <col customWidth="1" min="13" max="13" style="43" width="13.7109375"/>
    <col customWidth="1" min="14" max="14" style="43" width="22.00390625"/>
    <col min="15" max="16384" style="43" width="9.140625"/>
  </cols>
  <sheetData>
    <row r="1" ht="16.5">
      <c r="A1" s="44" t="s">
        <v>367</v>
      </c>
      <c r="C1" s="43" t="s">
        <v>368</v>
      </c>
    </row>
    <row r="2" ht="16.5">
      <c r="M2" s="43" t="s">
        <v>369</v>
      </c>
      <c r="N2" s="43">
        <v>123.7</v>
      </c>
      <c r="O2" s="43"/>
      <c r="P2" s="43"/>
    </row>
    <row r="3" ht="16.5">
      <c r="B3" s="43" t="s">
        <v>370</v>
      </c>
      <c r="M3" s="43" t="s">
        <v>371</v>
      </c>
      <c r="N3" s="43">
        <v>216904290</v>
      </c>
      <c r="O3" s="43"/>
      <c r="P3" s="43"/>
    </row>
    <row r="4" ht="16.5">
      <c r="M4" s="43" t="s">
        <v>372</v>
      </c>
      <c r="N4" s="45">
        <f>N3*N2</f>
        <v>26831060673</v>
      </c>
      <c r="O4" s="43">
        <f>N4/10000000</f>
        <v>2683.1060673000002</v>
      </c>
      <c r="P4" s="43"/>
      <c r="Q4" s="43"/>
    </row>
    <row r="5" ht="16.5">
      <c r="B5" s="43" t="s">
        <v>373</v>
      </c>
      <c r="D5" s="43">
        <v>2024</v>
      </c>
      <c r="M5" s="43" t="s">
        <v>374</v>
      </c>
      <c r="N5" s="43">
        <f>32.59</f>
        <v>32.590000000000003</v>
      </c>
      <c r="O5" s="43"/>
      <c r="P5" s="43"/>
    </row>
    <row r="6" ht="16.5">
      <c r="B6" s="43" t="s">
        <v>375</v>
      </c>
      <c r="D6" s="43"/>
      <c r="M6" s="43" t="s">
        <v>356</v>
      </c>
      <c r="N6" s="43">
        <f>59.6471</f>
        <v>59.647100000000002</v>
      </c>
      <c r="O6" s="43"/>
      <c r="P6" s="43"/>
    </row>
    <row r="7" ht="16.5">
      <c r="B7" s="43" t="s">
        <v>376</v>
      </c>
      <c r="D7" s="43" t="s">
        <v>377</v>
      </c>
      <c r="M7" s="43" t="s">
        <v>378</v>
      </c>
      <c r="N7" s="43">
        <f>O4+N6-N5</f>
        <v>2710.1631673000002</v>
      </c>
      <c r="O7" s="43"/>
      <c r="P7" s="43"/>
    </row>
    <row r="8" ht="16.5">
      <c r="B8" s="43" t="s">
        <v>379</v>
      </c>
    </row>
    <row r="9" ht="16.5">
      <c r="D9" s="43">
        <v>2021</v>
      </c>
    </row>
    <row r="10" ht="14.25">
      <c r="D10" s="43"/>
      <c r="H10" s="46"/>
    </row>
    <row r="18" ht="16.5">
      <c r="B18" s="44" t="s">
        <v>380</v>
      </c>
    </row>
    <row r="20" ht="16.5">
      <c r="A20" s="43">
        <v>2024</v>
      </c>
      <c r="B20" s="43" t="s">
        <v>381</v>
      </c>
    </row>
    <row r="21" ht="16.5">
      <c r="A21" s="43">
        <v>2021</v>
      </c>
      <c r="B21" s="43" t="s">
        <v>382</v>
      </c>
    </row>
    <row r="22" ht="16.5">
      <c r="B22" s="43" t="s">
        <v>383</v>
      </c>
      <c r="C22" s="43" t="s">
        <v>384</v>
      </c>
    </row>
    <row r="23" ht="16.5">
      <c r="B23" s="43" t="s">
        <v>385</v>
      </c>
    </row>
    <row r="24" ht="16.5">
      <c r="B24" s="43" t="s">
        <v>386</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126</v>
      </c>
      <c r="B1" t="s">
        <v>228</v>
      </c>
      <c r="C1" s="12"/>
      <c r="D1" s="12"/>
      <c r="E1" s="12"/>
      <c r="F1" s="12"/>
      <c r="G1" s="12"/>
      <c r="N1" s="10"/>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246</v>
      </c>
      <c r="C3" s="24">
        <v>1480.2822000000001</v>
      </c>
      <c r="D3" s="24">
        <v>2057.9830999999999</v>
      </c>
      <c r="E3" s="24">
        <v>2549</v>
      </c>
      <c r="F3" s="24">
        <v>3124</v>
      </c>
      <c r="G3" s="24">
        <v>5133</v>
      </c>
      <c r="H3" s="24">
        <v>7776</v>
      </c>
      <c r="I3" s="24">
        <v>9220</v>
      </c>
      <c r="J3">
        <v>11212</v>
      </c>
      <c r="N3" s="10">
        <v>11212</v>
      </c>
      <c r="Y3" s="10"/>
      <c r="Z3" s="10"/>
      <c r="AA3" s="10"/>
      <c r="AB3" s="10"/>
      <c r="AC3" s="10"/>
      <c r="AD3" s="10"/>
      <c r="AE3" s="10"/>
      <c r="AF3" s="10"/>
      <c r="AG3" s="10"/>
      <c r="AH3" s="10"/>
      <c r="AI3" s="10"/>
      <c r="AJ3" s="10"/>
      <c r="AK3" s="10"/>
      <c r="AL3" s="10"/>
      <c r="AM3" s="10"/>
    </row>
    <row r="4" ht="14.25">
      <c r="B4" t="s">
        <v>247</v>
      </c>
      <c r="C4" s="24">
        <v>51.127400000000002</v>
      </c>
      <c r="D4" s="24">
        <v>73.014899999999997</v>
      </c>
      <c r="E4" s="24">
        <v>80</v>
      </c>
      <c r="F4" s="24">
        <v>475</v>
      </c>
      <c r="G4" s="24">
        <v>444</v>
      </c>
      <c r="H4" s="24">
        <v>841</v>
      </c>
      <c r="I4" s="24">
        <v>1240</v>
      </c>
      <c r="J4">
        <v>1210</v>
      </c>
      <c r="N4" s="10">
        <v>1210</v>
      </c>
      <c r="Y4" s="10"/>
      <c r="Z4" s="10"/>
      <c r="AA4" s="10"/>
      <c r="AB4" s="10"/>
      <c r="AC4" s="10"/>
      <c r="AD4" s="10"/>
      <c r="AE4" s="10"/>
      <c r="AF4" s="10"/>
      <c r="AG4" s="10"/>
      <c r="AH4" s="10"/>
      <c r="AI4" s="10"/>
      <c r="AJ4" s="10"/>
      <c r="AK4" s="10"/>
      <c r="AL4" s="10"/>
      <c r="AM4" s="10"/>
    </row>
    <row r="5" s="1" customFormat="1" ht="14.25">
      <c r="B5" s="1" t="s">
        <v>134</v>
      </c>
      <c r="C5" s="25">
        <f>SUM(C3:C4)</f>
        <v>1531.4096000000002</v>
      </c>
      <c r="D5" s="25">
        <f>SUM(D3:D4)</f>
        <v>2130.998</v>
      </c>
      <c r="E5" s="25">
        <f>SUM(E3:E4)</f>
        <v>2629</v>
      </c>
      <c r="F5" s="25">
        <f>SUM(F3:F4)</f>
        <v>3599</v>
      </c>
      <c r="G5" s="25">
        <f>SUM(G3:G4)</f>
        <v>5577</v>
      </c>
      <c r="H5" s="25">
        <f>SUM(H3:H4)</f>
        <v>8617</v>
      </c>
      <c r="I5" s="25">
        <f>SUM(I3:I4)</f>
        <v>10460</v>
      </c>
      <c r="J5" s="25">
        <f>SUM(J3:J4)</f>
        <v>12422</v>
      </c>
      <c r="N5" s="25">
        <f>SUM(N3:N4)</f>
        <v>12422</v>
      </c>
      <c r="O5" s="1">
        <f>N5*(1+$M$28)</f>
        <v>14657.959999999999</v>
      </c>
      <c r="P5" s="1">
        <f>O5*(1+$M$28)</f>
        <v>17296.392799999998</v>
      </c>
      <c r="Q5" s="47">
        <f>P5*(1+$M$28)</f>
        <v>20409.743503999995</v>
      </c>
      <c r="R5" s="47">
        <f>Q5*(1+$M$28)</f>
        <v>24083.497334719992</v>
      </c>
      <c r="S5" s="47">
        <f>R5*(1+$M$28)</f>
        <v>28418.52685496959</v>
      </c>
      <c r="T5" s="47">
        <f>S5*(1+$M$28)</f>
        <v>33533.861688864112</v>
      </c>
      <c r="U5" s="47">
        <f>T5*(1+$M$28)</f>
        <v>39569.956792859652</v>
      </c>
      <c r="V5" s="47">
        <f>U5*(1+$M$28)</f>
        <v>46692.54901557439</v>
      </c>
      <c r="W5" s="47">
        <f>V5*(1+$M$28)</f>
        <v>55097.207838377777</v>
      </c>
      <c r="X5" s="47">
        <f>W5*(1+$M$28)</f>
        <v>65014.705249285777</v>
      </c>
      <c r="Y5" s="47">
        <f>X5*($N$28+1)</f>
        <v>70866.028721721508</v>
      </c>
      <c r="Z5" s="47">
        <f>Y5*($N$28+1)</f>
        <v>77243.971306676453</v>
      </c>
      <c r="AA5" s="47">
        <f>Z5*($N$28+1)</f>
        <v>84195.928724277343</v>
      </c>
      <c r="AB5" s="47">
        <f>AA5*($N$28+1)</f>
        <v>91773.562309462315</v>
      </c>
      <c r="AC5" s="47">
        <f>AB5*($N$28+1)</f>
        <v>100033.18291731393</v>
      </c>
      <c r="AD5" s="47">
        <f>AC5*($N$28+1)</f>
        <v>109036.16937987218</v>
      </c>
      <c r="AE5" s="47">
        <f>AD5*($N$28+1)</f>
        <v>118849.42462406069</v>
      </c>
      <c r="AF5" s="47">
        <f>AE5*($N$28+1)</f>
        <v>129545.87284022616</v>
      </c>
      <c r="AG5" s="47">
        <f>AF5*($N$28+1)</f>
        <v>141205.00139584651</v>
      </c>
      <c r="AH5" s="47">
        <f>AG5*($N$28+1)</f>
        <v>153913.45152147271</v>
      </c>
      <c r="AI5" s="47">
        <f>AH5*($N$28+1)</f>
        <v>167765.66215840526</v>
      </c>
      <c r="AJ5" s="47">
        <f>AI5*($N$28+1)</f>
        <v>182864.57175266175</v>
      </c>
      <c r="AK5" s="47">
        <f>AJ5*($N$28+1)</f>
        <v>199322.38321040131</v>
      </c>
      <c r="AL5" s="47">
        <f>AK5*($N$28+1)</f>
        <v>217261.39769933745</v>
      </c>
      <c r="AM5" s="47">
        <f>AL5*($N$28+1)</f>
        <v>236814.92349227783</v>
      </c>
    </row>
    <row r="6" s="0" customFormat="1" ht="14.25">
      <c r="B6" s="12" t="s">
        <v>387</v>
      </c>
      <c r="C6" s="24">
        <f>C45</f>
        <v>1351.3099999999999</v>
      </c>
      <c r="D6" s="24">
        <f>D45</f>
        <v>742.22000000000003</v>
      </c>
      <c r="E6" s="24">
        <f>E45</f>
        <v>1115</v>
      </c>
      <c r="F6" s="24">
        <f>F45</f>
        <v>3693</v>
      </c>
      <c r="G6" s="24">
        <f>G45</f>
        <v>9471</v>
      </c>
      <c r="H6" s="24">
        <f>H45</f>
        <v>4215</v>
      </c>
      <c r="I6" s="24">
        <f>I45</f>
        <v>22557</v>
      </c>
      <c r="J6" s="24">
        <f>J45</f>
        <v>10706</v>
      </c>
      <c r="N6" s="24">
        <f>N45</f>
        <v>0</v>
      </c>
      <c r="P6" s="10"/>
      <c r="Q6" s="48"/>
      <c r="R6" s="48"/>
      <c r="S6" s="48"/>
      <c r="T6" s="48"/>
      <c r="U6" s="48"/>
      <c r="V6" s="48"/>
      <c r="W6" s="48"/>
      <c r="X6" s="48"/>
      <c r="Y6" s="48"/>
      <c r="Z6" s="48"/>
      <c r="AA6" s="48"/>
      <c r="AB6" s="48"/>
      <c r="AC6" s="48"/>
      <c r="AD6" s="48"/>
      <c r="AE6" s="48"/>
      <c r="AF6" s="48"/>
      <c r="AG6" s="48"/>
      <c r="AH6" s="48"/>
      <c r="AI6" s="48"/>
      <c r="AJ6" s="48"/>
      <c r="AK6" s="48"/>
      <c r="AL6" s="48"/>
      <c r="AM6" s="48"/>
    </row>
    <row r="7" s="0" customFormat="1" ht="14.25">
      <c r="B7" s="12" t="s">
        <v>388</v>
      </c>
      <c r="C7" s="24">
        <f>C44+C43</f>
        <v>8373.0499999999993</v>
      </c>
      <c r="D7" s="24">
        <f>D44+D43</f>
        <v>9948.1100000000006</v>
      </c>
      <c r="E7" s="24">
        <f>E44+E43</f>
        <v>12610</v>
      </c>
      <c r="F7" s="24">
        <f>F44+F43</f>
        <v>19746</v>
      </c>
      <c r="G7" s="24">
        <f>G44+G43</f>
        <v>42717</v>
      </c>
      <c r="H7" s="24">
        <f>H44+H43</f>
        <v>48632</v>
      </c>
      <c r="I7" s="24">
        <f>I44+I43</f>
        <v>40503</v>
      </c>
      <c r="J7" s="24">
        <f>J44+J43</f>
        <v>67363</v>
      </c>
      <c r="N7" s="24">
        <f>N44+N43</f>
        <v>0</v>
      </c>
      <c r="P7" s="10"/>
      <c r="Q7" s="48"/>
      <c r="R7" s="48"/>
      <c r="S7" s="48"/>
      <c r="T7" s="48"/>
      <c r="U7" s="48"/>
      <c r="V7" s="48"/>
      <c r="W7" s="48"/>
      <c r="X7" s="48"/>
      <c r="Y7" s="48"/>
      <c r="Z7" s="48"/>
      <c r="AA7" s="48"/>
      <c r="AB7" s="48"/>
      <c r="AC7" s="48"/>
      <c r="AD7" s="48"/>
      <c r="AE7" s="48"/>
      <c r="AF7" s="48"/>
      <c r="AG7" s="48"/>
      <c r="AH7" s="48"/>
      <c r="AI7" s="48"/>
      <c r="AJ7" s="48"/>
      <c r="AK7" s="48"/>
      <c r="AL7" s="48"/>
      <c r="AM7" s="48"/>
    </row>
    <row r="8" s="0" customFormat="1" ht="14.25">
      <c r="B8" s="12" t="s">
        <v>315</v>
      </c>
      <c r="C8" s="24">
        <f>C40</f>
        <v>1341.4100000000001</v>
      </c>
      <c r="D8" s="24">
        <f>D40</f>
        <v>1933.346</v>
      </c>
      <c r="E8" s="24">
        <f>E40</f>
        <v>2356</v>
      </c>
      <c r="F8" s="24">
        <f>F40</f>
        <v>2200</v>
      </c>
      <c r="G8" s="24">
        <f>G40</f>
        <v>2614</v>
      </c>
      <c r="H8" s="24">
        <f>H40</f>
        <v>7304</v>
      </c>
      <c r="I8" s="24">
        <f>I40</f>
        <v>9834</v>
      </c>
      <c r="J8" s="24">
        <f>J40</f>
        <v>12137</v>
      </c>
      <c r="N8" s="24">
        <f>N40</f>
        <v>0</v>
      </c>
      <c r="P8" s="10"/>
      <c r="Q8" s="48"/>
      <c r="R8" s="48"/>
      <c r="S8" s="48"/>
      <c r="T8" s="48"/>
      <c r="U8" s="48"/>
      <c r="V8" s="48"/>
      <c r="W8" s="48"/>
      <c r="X8" s="48"/>
      <c r="Y8" s="48"/>
      <c r="Z8" s="48"/>
      <c r="AA8" s="48"/>
      <c r="AB8" s="48"/>
      <c r="AC8" s="48"/>
      <c r="AD8" s="48"/>
      <c r="AE8" s="48"/>
      <c r="AF8" s="48"/>
      <c r="AG8" s="48"/>
      <c r="AH8" s="48"/>
      <c r="AI8" s="48"/>
      <c r="AJ8" s="48"/>
      <c r="AK8" s="48"/>
      <c r="AL8" s="48"/>
      <c r="AM8" s="48"/>
    </row>
    <row r="9" s="0" customFormat="1" ht="14.25">
      <c r="B9" s="12"/>
      <c r="C9" s="24"/>
      <c r="D9" s="24"/>
      <c r="E9" s="24"/>
      <c r="F9" s="24"/>
      <c r="G9" s="24"/>
      <c r="H9" s="24"/>
      <c r="I9" s="24"/>
      <c r="J9" s="24"/>
      <c r="N9" s="24"/>
      <c r="P9" s="10"/>
      <c r="Q9" s="48"/>
      <c r="R9" s="48"/>
      <c r="S9" s="48"/>
      <c r="T9" s="48"/>
      <c r="U9" s="48"/>
      <c r="V9" s="48"/>
      <c r="W9" s="48"/>
      <c r="X9" s="48"/>
      <c r="Y9" s="48"/>
      <c r="Z9" s="48"/>
      <c r="AA9" s="48"/>
      <c r="AB9" s="48"/>
      <c r="AC9" s="48"/>
      <c r="AD9" s="48"/>
      <c r="AE9" s="48"/>
      <c r="AF9" s="48"/>
      <c r="AG9" s="48"/>
      <c r="AH9" s="48"/>
      <c r="AI9" s="48"/>
      <c r="AJ9" s="48"/>
      <c r="AK9" s="48"/>
      <c r="AL9" s="48"/>
      <c r="AM9" s="48"/>
    </row>
    <row r="10" ht="14.25">
      <c r="B10" t="s">
        <v>353</v>
      </c>
      <c r="C10" s="23">
        <v>90.540999999999997</v>
      </c>
      <c r="D10" s="23">
        <v>130.13589999999999</v>
      </c>
      <c r="E10" s="23">
        <v>462</v>
      </c>
      <c r="F10" s="23">
        <v>528</v>
      </c>
      <c r="G10" s="23">
        <v>1286</v>
      </c>
      <c r="H10" s="23">
        <v>1748</v>
      </c>
      <c r="I10" s="24">
        <v>1187</v>
      </c>
      <c r="J10" s="24">
        <v>1440</v>
      </c>
      <c r="N10" s="49">
        <v>1440</v>
      </c>
      <c r="O10" s="50">
        <f>O5*(1-$M$27)</f>
        <v>2198.6940000000004</v>
      </c>
      <c r="P10" s="51">
        <f>P5*(1-$M$27)</f>
        <v>2594.45892</v>
      </c>
      <c r="Q10" s="48">
        <f>Q5*(1-$M$27)</f>
        <v>3061.4615255999997</v>
      </c>
      <c r="R10" s="48">
        <f>R5*(1-$M$27)</f>
        <v>3612.5246002079994</v>
      </c>
      <c r="S10" s="48">
        <f>S5*(1-$M$27)</f>
        <v>4262.7790282454389</v>
      </c>
      <c r="T10" s="48">
        <f>T5*(1-$M$27)</f>
        <v>5030.0792533296171</v>
      </c>
      <c r="U10" s="48">
        <f>U5*(1-$M$27)</f>
        <v>5935.493518928949</v>
      </c>
      <c r="V10" s="48">
        <f>V5*(1-$M$27)</f>
        <v>7003.8823523361598</v>
      </c>
      <c r="W10" s="48">
        <f>W5*(1-$M$27)</f>
        <v>8264.581175756668</v>
      </c>
      <c r="X10" s="48">
        <f>X5*(1-$M$27)</f>
        <v>9752.2057873928679</v>
      </c>
      <c r="Y10" s="48">
        <f>Y5*(1-$N$27)</f>
        <v>9921.2440210410114</v>
      </c>
      <c r="Z10" s="48">
        <f>Z5*(1-$N$27)</f>
        <v>10814.155982934704</v>
      </c>
      <c r="AA10" s="48">
        <f>AA5*(1-$N$27)</f>
        <v>11787.43002139883</v>
      </c>
      <c r="AB10" s="48">
        <f>AB5*(1-$N$27)</f>
        <v>12848.298723324726</v>
      </c>
      <c r="AC10" s="48">
        <f>AC5*(1-$N$27)</f>
        <v>14004.645608423951</v>
      </c>
      <c r="AD10" s="48">
        <f>AD5*(1-$N$27)</f>
        <v>15265.063713182108</v>
      </c>
      <c r="AE10" s="48">
        <f>AE5*(1-$N$27)</f>
        <v>16638.919447368498</v>
      </c>
      <c r="AF10" s="48">
        <f>AF5*(1-$N$27)</f>
        <v>18136.422197631666</v>
      </c>
      <c r="AG10" s="48">
        <f>AG5*(1-$N$27)</f>
        <v>19768.700195418514</v>
      </c>
      <c r="AH10" s="48">
        <f>AH5*(1-$N$27)</f>
        <v>21547.883213006182</v>
      </c>
      <c r="AI10" s="48">
        <f>AI5*(1-$N$27)</f>
        <v>23487.192702176741</v>
      </c>
      <c r="AJ10" s="48">
        <f>AJ5*(1-$N$27)</f>
        <v>25601.040045372647</v>
      </c>
      <c r="AK10" s="48">
        <f>AK5*(1-$N$27)</f>
        <v>27905.133649456187</v>
      </c>
      <c r="AL10" s="48">
        <f>AL5*(1-$N$27)</f>
        <v>30416.595677907248</v>
      </c>
      <c r="AM10" s="48">
        <f>AM5*(1-$N$27)</f>
        <v>33154.089288918898</v>
      </c>
    </row>
    <row r="11" ht="14.25">
      <c r="B11" s="12" t="s">
        <v>389</v>
      </c>
      <c r="C11" s="23">
        <v>423.86680000000001</v>
      </c>
      <c r="D11" s="23">
        <v>0</v>
      </c>
      <c r="E11" s="23">
        <v>19</v>
      </c>
      <c r="F11" s="23">
        <v>96</v>
      </c>
      <c r="G11" s="23"/>
      <c r="H11" s="23"/>
      <c r="I11" s="24"/>
      <c r="J11" s="24"/>
      <c r="N11" s="24"/>
      <c r="P11" s="10"/>
      <c r="Q11" s="48"/>
      <c r="R11" s="48"/>
      <c r="S11" s="48"/>
      <c r="T11" s="48"/>
      <c r="U11" s="48"/>
      <c r="V11" s="48"/>
      <c r="W11" s="48"/>
      <c r="X11" s="48"/>
      <c r="Y11" s="48"/>
      <c r="Z11" s="48"/>
      <c r="AA11" s="48"/>
      <c r="AB11" s="48"/>
      <c r="AC11" s="48"/>
      <c r="AD11" s="48"/>
      <c r="AE11" s="48"/>
      <c r="AF11" s="48"/>
      <c r="AG11" s="48"/>
      <c r="AH11" s="48"/>
      <c r="AI11" s="48"/>
      <c r="AJ11" s="48"/>
      <c r="AK11" s="48"/>
      <c r="AL11" s="48"/>
      <c r="AM11" s="48"/>
    </row>
    <row r="12" ht="14.25">
      <c r="B12" t="s">
        <v>136</v>
      </c>
      <c r="C12" s="23">
        <v>43.653799999999997</v>
      </c>
      <c r="D12" s="23">
        <v>59.649500000000003</v>
      </c>
      <c r="E12" s="23">
        <v>107</v>
      </c>
      <c r="F12" s="23">
        <v>38</v>
      </c>
      <c r="G12" s="23">
        <v>34</v>
      </c>
      <c r="H12" s="23">
        <v>40</v>
      </c>
      <c r="I12" s="24">
        <v>77</v>
      </c>
      <c r="J12" s="24">
        <v>128</v>
      </c>
      <c r="N12" s="24">
        <v>128</v>
      </c>
      <c r="O12">
        <f>N12*($M$29+1)</f>
        <v>151.03999999999999</v>
      </c>
      <c r="P12" s="52">
        <f>O12*($M$29+1)</f>
        <v>178.22719999999998</v>
      </c>
      <c r="Q12" s="48">
        <f>P12*($M$29+1)</f>
        <v>210.30809599999998</v>
      </c>
      <c r="R12" s="48">
        <f>Q12*($M$29+1)</f>
        <v>248.16355327999997</v>
      </c>
      <c r="S12" s="48">
        <f>R12*($M$29+1)</f>
        <v>292.83299287039995</v>
      </c>
      <c r="T12" s="48">
        <f>S12*($M$29+1)</f>
        <v>345.54293158707191</v>
      </c>
      <c r="U12" s="48">
        <f>T12*($M$29+1)</f>
        <v>407.74065927274484</v>
      </c>
      <c r="V12" s="48">
        <f>U12*($M$29+1)</f>
        <v>481.13397794183891</v>
      </c>
      <c r="W12" s="48">
        <f>V12*($M$29+1)</f>
        <v>567.73809397136984</v>
      </c>
      <c r="X12" s="48">
        <f>W12*($M$29+1)</f>
        <v>669.93095088621635</v>
      </c>
      <c r="Y12" s="48">
        <f>X12*($N$29+1)</f>
        <v>730.22473646597587</v>
      </c>
      <c r="Z12" s="48">
        <f>Y12*($N$29+1)</f>
        <v>795.94496274791379</v>
      </c>
      <c r="AA12" s="48">
        <f>Z12*($N$29+1)</f>
        <v>867.58000939522606</v>
      </c>
      <c r="AB12" s="48">
        <f>AA12*($N$29+1)</f>
        <v>945.66221024079653</v>
      </c>
      <c r="AC12" s="48">
        <f>AB12*($N$29+1)</f>
        <v>1030.7718091624683</v>
      </c>
      <c r="AD12" s="48">
        <f>AC12*($N$29+1)</f>
        <v>1123.5412719870906</v>
      </c>
      <c r="AE12" s="48">
        <f>AD12*($N$29+1)</f>
        <v>1224.6599864659288</v>
      </c>
      <c r="AF12" s="48">
        <f>AE12*($N$29+1)</f>
        <v>1334.8793852478625</v>
      </c>
      <c r="AG12" s="48">
        <f>AF12*($N$29+1)</f>
        <v>1455.0185299201703</v>
      </c>
      <c r="AH12" s="48">
        <f>AG12*($N$29+1)</f>
        <v>1585.9701976129857</v>
      </c>
      <c r="AI12" s="48">
        <f>AH12*($N$29+1)</f>
        <v>1728.7075153981546</v>
      </c>
      <c r="AJ12" s="48">
        <f>AI12*($N$29+1)</f>
        <v>1884.2911917839886</v>
      </c>
      <c r="AK12" s="48">
        <f>AJ12*($N$29+1)</f>
        <v>2053.8773990445475</v>
      </c>
      <c r="AL12" s="48">
        <f>AK12*($N$29+1)</f>
        <v>2238.726364958557</v>
      </c>
      <c r="AM12" s="48">
        <f>AL12*($N$29+1)</f>
        <v>2440.2117378048274</v>
      </c>
    </row>
    <row r="13" ht="14.25">
      <c r="A13" t="s">
        <v>390</v>
      </c>
      <c r="B13" t="s">
        <v>255</v>
      </c>
      <c r="C13" s="23">
        <v>551.82259999999997</v>
      </c>
      <c r="D13" s="23">
        <v>1121.1756</v>
      </c>
      <c r="E13" s="23">
        <v>995</v>
      </c>
      <c r="F13" s="23">
        <v>1953</v>
      </c>
      <c r="G13" s="23">
        <v>2617</v>
      </c>
      <c r="H13" s="23">
        <v>2911</v>
      </c>
      <c r="I13" s="24">
        <v>5006</v>
      </c>
      <c r="J13" s="24">
        <v>5492</v>
      </c>
      <c r="N13" s="24">
        <v>5492</v>
      </c>
      <c r="O13">
        <f>N13*($M$28+1)</f>
        <v>6480.5599999999995</v>
      </c>
      <c r="P13" s="32">
        <f>O13*($M$28+1)</f>
        <v>7647.0607999999993</v>
      </c>
      <c r="Q13" s="48">
        <f>P13*($M$28+1)</f>
        <v>9023.5317439999981</v>
      </c>
      <c r="R13" s="48">
        <f>Q13*($M$28+1)</f>
        <v>10647.767457919997</v>
      </c>
      <c r="S13" s="48">
        <f>R13*($M$28+1)</f>
        <v>12564.365600345596</v>
      </c>
      <c r="T13" s="48">
        <f>S13*($M$28+1)</f>
        <v>14825.951408407804</v>
      </c>
      <c r="U13" s="48">
        <f>T13*($M$28+1)</f>
        <v>17494.622661921207</v>
      </c>
      <c r="V13" s="48">
        <f>U13*($M$28+1)</f>
        <v>20643.654741067021</v>
      </c>
      <c r="W13" s="48">
        <f>V13*($M$28+1)</f>
        <v>24359.512594459084</v>
      </c>
      <c r="X13" s="48">
        <f>W13*($M$28+1)</f>
        <v>28744.224861461717</v>
      </c>
      <c r="Y13" s="48">
        <f>X13*($N$28+1)</f>
        <v>31331.205098993272</v>
      </c>
      <c r="Z13" s="48">
        <f>Y13*($N$28+1)</f>
        <v>34151.013557902668</v>
      </c>
      <c r="AA13" s="48">
        <f>Z13*($N$28+1)</f>
        <v>37224.604778113913</v>
      </c>
      <c r="AB13" s="48">
        <f>AA13*($N$28+1)</f>
        <v>40574.819208144167</v>
      </c>
      <c r="AC13" s="48">
        <f>AB13*($N$28+1)</f>
        <v>44226.552936877146</v>
      </c>
      <c r="AD13" s="48">
        <f>AC13*($N$28+1)</f>
        <v>48206.942701196094</v>
      </c>
      <c r="AE13" s="48">
        <f>AD13*($N$28+1)</f>
        <v>52545.567544303747</v>
      </c>
      <c r="AF13" s="48">
        <f>AE13*($N$28+1)</f>
        <v>57274.668623291087</v>
      </c>
      <c r="AG13" s="48">
        <f>AF13*($N$28+1)</f>
        <v>62429.388799387292</v>
      </c>
      <c r="AH13" s="48">
        <f>AG13*($N$28+1)</f>
        <v>68048.033791332156</v>
      </c>
      <c r="AI13" s="48">
        <f>AH13*($N$28+1)</f>
        <v>74172.356832552061</v>
      </c>
      <c r="AJ13" s="48">
        <f>AI13*($N$28+1)</f>
        <v>80847.868947481751</v>
      </c>
      <c r="AK13" s="48">
        <f>AJ13*($N$28+1)</f>
        <v>88124.177152755117</v>
      </c>
      <c r="AL13" s="48">
        <f>AK13*($N$28+1)</f>
        <v>96055.35309650308</v>
      </c>
      <c r="AM13" s="48">
        <f>AL13*($N$28+1)</f>
        <v>104700.33487518836</v>
      </c>
    </row>
    <row r="14" ht="14.25">
      <c r="B14" t="s">
        <v>137</v>
      </c>
      <c r="C14" s="23">
        <v>542.98710000000005</v>
      </c>
      <c r="D14" s="23">
        <v>1061.9597000000001</v>
      </c>
      <c r="E14" s="23">
        <v>394</v>
      </c>
      <c r="F14" s="23">
        <v>486</v>
      </c>
      <c r="G14" s="23">
        <v>849</v>
      </c>
      <c r="H14" s="23">
        <v>1300</v>
      </c>
      <c r="I14" s="24">
        <v>1903</v>
      </c>
      <c r="J14" s="24">
        <v>2498</v>
      </c>
      <c r="N14" s="24">
        <v>2498</v>
      </c>
      <c r="O14">
        <f>N14*($M$31+1)</f>
        <v>2797.7600000000002</v>
      </c>
      <c r="P14" s="32">
        <f>O14*($M$31+1)</f>
        <v>3133.4912000000004</v>
      </c>
      <c r="Q14" s="48">
        <f>P14*($M$31+1)</f>
        <v>3509.5101440000008</v>
      </c>
      <c r="R14" s="48">
        <f>Q14*($M$31+1)</f>
        <v>3930.6513612800013</v>
      </c>
      <c r="S14" s="48">
        <f>R14*($M$31+1)</f>
        <v>4402.329524633602</v>
      </c>
      <c r="T14" s="48">
        <f>S14*($M$31+1)</f>
        <v>4930.6090675896348</v>
      </c>
      <c r="U14" s="48">
        <f>T14*($M$31+1)</f>
        <v>5522.2821557003917</v>
      </c>
      <c r="V14" s="48">
        <f>U14*($M$31+1)</f>
        <v>6184.9560143844392</v>
      </c>
      <c r="W14" s="48">
        <f>V14*($M$31+1)</f>
        <v>6927.1507361105723</v>
      </c>
      <c r="X14" s="48">
        <f>W14*($M$31+1)</f>
        <v>7758.4088244438417</v>
      </c>
      <c r="Y14" s="48">
        <f>X14*($N$31+1)</f>
        <v>8689.4178833771039</v>
      </c>
      <c r="Z14" s="48">
        <f>Y14*($N$31+1)</f>
        <v>9732.148029382357</v>
      </c>
      <c r="AA14" s="48">
        <f>Z14*($N$31+1)</f>
        <v>10900.005792908241</v>
      </c>
      <c r="AB14" s="48">
        <f>AA14*($N$31+1)</f>
        <v>12208.006488057232</v>
      </c>
      <c r="AC14" s="48">
        <f>AB14*($N$31+1)</f>
        <v>13672.9672666241</v>
      </c>
      <c r="AD14" s="48">
        <f>AC14*($N$31+1)</f>
        <v>15313.723338618995</v>
      </c>
      <c r="AE14" s="48">
        <f>AD14*($N$31+1)</f>
        <v>17151.370139253275</v>
      </c>
      <c r="AF14" s="48">
        <f>AE14*($N$31+1)</f>
        <v>19209.53455596367</v>
      </c>
      <c r="AG14" s="48">
        <f>AF14*($N$31+1)</f>
        <v>21514.678702679314</v>
      </c>
      <c r="AH14" s="48">
        <f>AG14*($N$31+1)</f>
        <v>24096.440147000834</v>
      </c>
      <c r="AI14" s="48">
        <f>AH14*($N$31+1)</f>
        <v>26988.012964640937</v>
      </c>
      <c r="AJ14" s="48">
        <f>AI14*($N$31+1)</f>
        <v>30226.574520397851</v>
      </c>
      <c r="AK14" s="48">
        <f>AJ14*($N$31+1)</f>
        <v>33853.7634628456</v>
      </c>
      <c r="AL14" s="48">
        <f>AK14*($N$31+1)</f>
        <v>37916.215078387075</v>
      </c>
      <c r="AM14" s="48">
        <f>AL14*($N$31+1)</f>
        <v>42466.160887793529</v>
      </c>
    </row>
    <row r="15" ht="14.25">
      <c r="B15" t="s">
        <v>138</v>
      </c>
      <c r="C15" s="23">
        <v>88.717200000000005</v>
      </c>
      <c r="D15" s="23">
        <v>342.73259999999999</v>
      </c>
      <c r="E15" s="23">
        <v>511</v>
      </c>
      <c r="F15" s="24">
        <v>227</v>
      </c>
      <c r="G15" s="23">
        <v>303</v>
      </c>
      <c r="H15" s="23">
        <v>1057</v>
      </c>
      <c r="I15" s="24">
        <v>659</v>
      </c>
      <c r="J15" s="24">
        <v>767</v>
      </c>
      <c r="N15" s="24">
        <v>767</v>
      </c>
      <c r="O15">
        <v>850</v>
      </c>
      <c r="P15" s="10">
        <v>850</v>
      </c>
      <c r="Q15" s="48">
        <v>850</v>
      </c>
      <c r="R15" s="48">
        <v>850</v>
      </c>
      <c r="S15" s="48">
        <v>850</v>
      </c>
      <c r="T15" s="48">
        <v>850</v>
      </c>
      <c r="U15" s="48">
        <v>850</v>
      </c>
      <c r="V15" s="48">
        <v>850</v>
      </c>
      <c r="W15" s="48">
        <v>850</v>
      </c>
      <c r="X15" s="48">
        <v>850</v>
      </c>
      <c r="Y15" s="48">
        <v>850</v>
      </c>
      <c r="Z15" s="48">
        <v>850</v>
      </c>
      <c r="AA15" s="48">
        <v>850</v>
      </c>
      <c r="AB15" s="48">
        <v>850</v>
      </c>
      <c r="AC15" s="48">
        <v>850</v>
      </c>
      <c r="AD15" s="48">
        <v>850</v>
      </c>
      <c r="AE15" s="48">
        <v>850</v>
      </c>
      <c r="AF15" s="48">
        <v>850</v>
      </c>
      <c r="AG15" s="48">
        <v>850</v>
      </c>
      <c r="AH15" s="48">
        <v>850</v>
      </c>
      <c r="AI15" s="48">
        <v>850</v>
      </c>
      <c r="AJ15" s="48">
        <v>850</v>
      </c>
      <c r="AK15" s="48">
        <v>850</v>
      </c>
      <c r="AL15" s="48">
        <v>850</v>
      </c>
      <c r="AM15" s="48">
        <v>850</v>
      </c>
    </row>
    <row r="16" s="1" customFormat="1" ht="14.25">
      <c r="B16" s="1" t="s">
        <v>142</v>
      </c>
      <c r="C16" s="25">
        <f>SUM(C10:C15)</f>
        <v>1741.5885000000001</v>
      </c>
      <c r="D16" s="25">
        <f>SUM(D10:D15)</f>
        <v>2715.6532999999999</v>
      </c>
      <c r="E16" s="25">
        <f>SUM(E10:E15)</f>
        <v>2488</v>
      </c>
      <c r="F16" s="25">
        <f>SUM(F10:F15)</f>
        <v>3328</v>
      </c>
      <c r="G16" s="25">
        <f>SUM(G10:G15)</f>
        <v>5089</v>
      </c>
      <c r="H16" s="25">
        <f>SUM(H10:H15)</f>
        <v>7056</v>
      </c>
      <c r="I16" s="25">
        <f>SUM(I10:I15)</f>
        <v>8832</v>
      </c>
      <c r="J16" s="25">
        <f>SUM(J10:J15)</f>
        <v>10325</v>
      </c>
      <c r="N16" s="25">
        <f>SUM(N10:N15)</f>
        <v>10325</v>
      </c>
      <c r="O16" s="26">
        <f>SUM(O10:O15)</f>
        <v>12478.054</v>
      </c>
      <c r="P16" s="26">
        <f>SUM(P10:P15)</f>
        <v>14403.23812</v>
      </c>
      <c r="Q16" s="47">
        <f>SUM(Q10:Q15)</f>
        <v>16654.811509599996</v>
      </c>
      <c r="R16" s="47">
        <f>SUM(R10:R15)</f>
        <v>19289.106972687998</v>
      </c>
      <c r="S16" s="47">
        <f>SUM(S10:S15)</f>
        <v>22372.307146095038</v>
      </c>
      <c r="T16" s="47">
        <f>SUM(T10:T15)</f>
        <v>25982.182660914128</v>
      </c>
      <c r="U16" s="47">
        <f>SUM(U10:U15)</f>
        <v>30210.13899582329</v>
      </c>
      <c r="V16" s="47">
        <f>SUM(V10:V15)</f>
        <v>35163.627085729458</v>
      </c>
      <c r="W16" s="47">
        <f>SUM(W10:W15)</f>
        <v>40968.982600297692</v>
      </c>
      <c r="X16" s="47">
        <f>SUM(X10:X15)</f>
        <v>47774.770424184644</v>
      </c>
      <c r="Y16" s="47">
        <f>SUM(Y10:Y15)</f>
        <v>51522.09173987736</v>
      </c>
      <c r="Z16" s="47">
        <f>SUM(Z10:Z15)</f>
        <v>56343.262532967638</v>
      </c>
      <c r="AA16" s="47">
        <f>SUM(AA10:AA15)</f>
        <v>61629.620601816205</v>
      </c>
      <c r="AB16" s="47">
        <f>SUM(AB10:AB15)</f>
        <v>67426.786629766924</v>
      </c>
      <c r="AC16" s="47">
        <f>SUM(AC10:AC15)</f>
        <v>73784.937621087665</v>
      </c>
      <c r="AD16" s="47">
        <f>SUM(AD10:AD15)</f>
        <v>80759.271024984278</v>
      </c>
      <c r="AE16" s="47">
        <f>SUM(AE10:AE15)</f>
        <v>88410.517117391457</v>
      </c>
      <c r="AF16" s="47">
        <f>SUM(AF10:AF15)</f>
        <v>96805.504762134282</v>
      </c>
      <c r="AG16" s="47">
        <f>SUM(AG10:AG15)</f>
        <v>106017.78622740529</v>
      </c>
      <c r="AH16" s="47">
        <f>SUM(AH10:AH15)</f>
        <v>116128.32734895215</v>
      </c>
      <c r="AI16" s="47">
        <f>SUM(AI10:AI15)</f>
        <v>127226.27001476788</v>
      </c>
      <c r="AJ16" s="47">
        <f>SUM(AJ10:AJ15)</f>
        <v>139409.77470503622</v>
      </c>
      <c r="AK16" s="47">
        <f>SUM(AK10:AK15)</f>
        <v>152786.95166410145</v>
      </c>
      <c r="AL16" s="47">
        <f>SUM(AL10:AL15)</f>
        <v>167476.89021775598</v>
      </c>
      <c r="AM16" s="47">
        <f>SUM(AM10:AM15)</f>
        <v>183610.79678970561</v>
      </c>
    </row>
    <row r="17" ht="14.25">
      <c r="B17" t="s">
        <v>391</v>
      </c>
      <c r="C17" s="23">
        <v>0</v>
      </c>
      <c r="D17" s="23">
        <v>0</v>
      </c>
      <c r="E17" s="23">
        <v>-7</v>
      </c>
      <c r="F17" s="23">
        <v>6</v>
      </c>
      <c r="G17" s="23">
        <v>1</v>
      </c>
      <c r="H17" s="23">
        <v>59</v>
      </c>
      <c r="I17" s="24">
        <v>289</v>
      </c>
      <c r="J17" s="24">
        <v>444</v>
      </c>
      <c r="N17" s="24">
        <v>444</v>
      </c>
      <c r="O17">
        <v>200</v>
      </c>
      <c r="P17" s="10">
        <v>200</v>
      </c>
      <c r="Q17" s="48">
        <v>200</v>
      </c>
      <c r="R17" s="48">
        <v>200</v>
      </c>
      <c r="S17" s="48">
        <v>200</v>
      </c>
      <c r="T17" s="48">
        <v>200</v>
      </c>
      <c r="U17" s="48">
        <v>200</v>
      </c>
      <c r="V17" s="48">
        <v>200</v>
      </c>
      <c r="W17" s="48">
        <v>200</v>
      </c>
      <c r="X17" s="48">
        <v>200</v>
      </c>
      <c r="Y17" s="48">
        <v>200</v>
      </c>
      <c r="Z17" s="48">
        <v>200</v>
      </c>
      <c r="AA17" s="48">
        <v>200</v>
      </c>
      <c r="AB17" s="48">
        <v>200</v>
      </c>
      <c r="AC17" s="48">
        <v>200</v>
      </c>
      <c r="AD17" s="48">
        <v>200</v>
      </c>
      <c r="AE17" s="48">
        <v>200</v>
      </c>
      <c r="AF17" s="48">
        <v>200</v>
      </c>
      <c r="AG17" s="48">
        <v>200</v>
      </c>
      <c r="AH17" s="48">
        <v>200</v>
      </c>
      <c r="AI17" s="48">
        <v>200</v>
      </c>
      <c r="AJ17" s="48">
        <v>200</v>
      </c>
      <c r="AK17" s="48">
        <v>200</v>
      </c>
      <c r="AL17" s="48">
        <v>200</v>
      </c>
      <c r="AM17" s="48">
        <v>200</v>
      </c>
    </row>
    <row r="18" ht="14.25">
      <c r="B18" t="s">
        <v>392</v>
      </c>
      <c r="C18" s="23">
        <v>0</v>
      </c>
      <c r="D18" s="23">
        <v>0</v>
      </c>
      <c r="E18" s="23">
        <v>-191</v>
      </c>
      <c r="F18" s="23">
        <v>-84</v>
      </c>
      <c r="G18" s="23">
        <v>64</v>
      </c>
      <c r="H18" s="23">
        <v>-194</v>
      </c>
      <c r="I18" s="24">
        <v>-246</v>
      </c>
      <c r="J18" s="24">
        <v>-326</v>
      </c>
      <c r="N18" s="24">
        <v>-326</v>
      </c>
      <c r="O18">
        <v>0</v>
      </c>
      <c r="P18" s="10">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row>
    <row r="19" ht="14.25">
      <c r="A19" t="s">
        <v>393</v>
      </c>
      <c r="B19" s="1" t="s">
        <v>146</v>
      </c>
      <c r="C19" s="25">
        <f>C5-C16+C17+C18</f>
        <v>-210.17889999999989</v>
      </c>
      <c r="D19" s="25">
        <f>D5-D16+D17+D18</f>
        <v>-584.6552999999999</v>
      </c>
      <c r="E19" s="25">
        <f>E5-E16+E17+E18</f>
        <v>-57</v>
      </c>
      <c r="F19" s="25">
        <f>F5-F16+F17+F18</f>
        <v>193</v>
      </c>
      <c r="G19" s="25">
        <f>G5-G16+G17+G18</f>
        <v>553</v>
      </c>
      <c r="H19" s="25">
        <f>H5-H16+H17+H18</f>
        <v>1426</v>
      </c>
      <c r="I19" s="25">
        <f>I5-I16+I17+I18</f>
        <v>1671</v>
      </c>
      <c r="J19" s="25">
        <f>J5-J16+J17+J18</f>
        <v>2215</v>
      </c>
      <c r="N19" s="25">
        <f>N5-N16+N17+N18</f>
        <v>2215</v>
      </c>
      <c r="O19" s="25">
        <f>O5-O16+O17+O18</f>
        <v>2379.905999999999</v>
      </c>
      <c r="P19" s="25">
        <f>P5-P16+P17+P18</f>
        <v>3093.1546799999978</v>
      </c>
      <c r="Q19" s="53">
        <f>Q5-Q16+Q17+Q18</f>
        <v>3954.9319943999981</v>
      </c>
      <c r="R19" s="53">
        <f>R5-R16+R17+R18</f>
        <v>4994.3903620319943</v>
      </c>
      <c r="S19" s="53">
        <f>S5-S16+S17+S18</f>
        <v>6246.2197088745525</v>
      </c>
      <c r="T19" s="53">
        <f>T5-T16+T17+T18</f>
        <v>7751.6790279499837</v>
      </c>
      <c r="U19" s="53">
        <f>U5-U16+U17+U18</f>
        <v>9559.8177970363613</v>
      </c>
      <c r="V19" s="53">
        <f>V5-V16+V17+V18</f>
        <v>11728.921929844932</v>
      </c>
      <c r="W19" s="53">
        <f>W5-W16+W17+W18</f>
        <v>14328.225238080086</v>
      </c>
      <c r="X19" s="53">
        <f>X5-X16+X17+X18</f>
        <v>17439.934825101132</v>
      </c>
      <c r="Y19" s="53">
        <f>Y5-Y16+Y17+Y18</f>
        <v>19543.936981844148</v>
      </c>
      <c r="Z19" s="53">
        <f>Z5-Z16+Z17+Z18</f>
        <v>21100.708773708815</v>
      </c>
      <c r="AA19" s="53">
        <f>AA5-AA16+AA17+AA18</f>
        <v>22766.308122461138</v>
      </c>
      <c r="AB19" s="53">
        <f>AB5-AB16+AB17+AB18</f>
        <v>24546.775679695391</v>
      </c>
      <c r="AC19" s="53">
        <f>AC5-AC16+AC17+AC18</f>
        <v>26448.245296226261</v>
      </c>
      <c r="AD19" s="53">
        <f>AD5-AD16+AD17+AD18</f>
        <v>28476.898354887904</v>
      </c>
      <c r="AE19" s="53">
        <f>AE5-AE16+AE17+AE18</f>
        <v>30638.907506669231</v>
      </c>
      <c r="AF19" s="53">
        <f>AF5-AF16+AF17+AF18</f>
        <v>32940.36807809188</v>
      </c>
      <c r="AG19" s="53">
        <f>AG5-AG16+AG17+AG18</f>
        <v>35387.215168441224</v>
      </c>
      <c r="AH19" s="53">
        <f>AH5-AH16+AH17+AH18</f>
        <v>37985.124172520562</v>
      </c>
      <c r="AI19" s="53">
        <f>AI5-AI16+AI17+AI18</f>
        <v>40739.392143637378</v>
      </c>
      <c r="AJ19" s="53">
        <f>AJ5-AJ16+AJ17+AJ18</f>
        <v>43654.797047625529</v>
      </c>
      <c r="AK19" s="53">
        <f>AK5-AK16+AK17+AK18</f>
        <v>46735.431546299864</v>
      </c>
      <c r="AL19" s="53">
        <f>AL5-AL16+AL17+AL18</f>
        <v>49984.507481581473</v>
      </c>
      <c r="AM19" s="53">
        <f>AM5-AM16+AM17+AM18</f>
        <v>53404.126702572219</v>
      </c>
    </row>
    <row r="20" s="0" customFormat="1" ht="14.25">
      <c r="B20" s="12" t="s">
        <v>147</v>
      </c>
      <c r="C20" s="23">
        <v>72.696899999999999</v>
      </c>
      <c r="D20" s="23">
        <v>113.1631</v>
      </c>
      <c r="E20" s="23">
        <v>-11</v>
      </c>
      <c r="F20" s="23">
        <v>-11</v>
      </c>
      <c r="G20" s="23">
        <v>-64</v>
      </c>
      <c r="H20" s="24">
        <v>-453</v>
      </c>
      <c r="I20" s="24">
        <v>-411</v>
      </c>
      <c r="J20" s="24">
        <v>-214</v>
      </c>
      <c r="N20" s="24">
        <v>-214</v>
      </c>
      <c r="O20">
        <f>-1*$M$32*O19</f>
        <v>-333.1868399999999</v>
      </c>
      <c r="P20" s="32">
        <f>-1*$M$32*P19</f>
        <v>-433.04165519999975</v>
      </c>
      <c r="Q20" s="48">
        <f>-1*$M$32*Q19</f>
        <v>-553.69047921599974</v>
      </c>
      <c r="R20" s="48">
        <f>-1*$M$32*R19</f>
        <v>-699.21465068447924</v>
      </c>
      <c r="S20" s="48">
        <f>-1*$M$32*S19</f>
        <v>-874.47075924243745</v>
      </c>
      <c r="T20" s="48">
        <f>-1*$M$32*T19</f>
        <v>-1085.2350639129979</v>
      </c>
      <c r="U20" s="48">
        <f>-1*$M$32*U19</f>
        <v>-1338.3744915850907</v>
      </c>
      <c r="V20" s="48">
        <f>-1*$M$32*V19</f>
        <v>-1642.0490701782905</v>
      </c>
      <c r="W20" s="48">
        <f>-1*$M$32*W19</f>
        <v>-2005.9515333312122</v>
      </c>
      <c r="X20" s="48">
        <f>-1*$M$32*X19</f>
        <v>-2441.5908755141586</v>
      </c>
      <c r="Y20" s="48">
        <f>-1*$N$32*Y19</f>
        <v>-2736.1511774581809</v>
      </c>
      <c r="Z20" s="48">
        <f>-1*$N$32*Z19</f>
        <v>-2954.0992283192345</v>
      </c>
      <c r="AA20" s="48">
        <f>-1*$N$32*AA19</f>
        <v>-3187.2831371445595</v>
      </c>
      <c r="AB20" s="48">
        <f>-1*$N$32*AB19</f>
        <v>-3436.5485951573551</v>
      </c>
      <c r="AC20" s="48">
        <f>-1*$N$32*AC19</f>
        <v>-3702.754341471677</v>
      </c>
      <c r="AD20" s="48">
        <f>-1*$N$32*AD19</f>
        <v>-3986.7657696843071</v>
      </c>
      <c r="AE20" s="48">
        <f>-1*$N$32*AE19</f>
        <v>-4289.4470509336925</v>
      </c>
      <c r="AF20" s="48">
        <f>-1*$N$32*AF19</f>
        <v>-4611.6515309328634</v>
      </c>
      <c r="AG20" s="48">
        <f>-1*$N$32*AG19</f>
        <v>-4954.2101235817718</v>
      </c>
      <c r="AH20" s="48">
        <f>-1*$N$32*AH19</f>
        <v>-5317.9173841528791</v>
      </c>
      <c r="AI20" s="48">
        <f>-1*$N$32*AI19</f>
        <v>-5703.5149001092332</v>
      </c>
      <c r="AJ20" s="48">
        <f>-1*$N$32*AJ19</f>
        <v>-6111.671586667575</v>
      </c>
      <c r="AK20" s="48">
        <f>-1*$N$32*AK19</f>
        <v>-6542.9604164819812</v>
      </c>
      <c r="AL20" s="48">
        <f>-1*$N$32*AL19</f>
        <v>-6997.8310474214068</v>
      </c>
      <c r="AM20" s="48">
        <f>-1*$N$32*AM19</f>
        <v>-7476.5777383601117</v>
      </c>
    </row>
    <row r="21" s="1" customFormat="1" ht="14.25">
      <c r="B21" s="1" t="s">
        <v>148</v>
      </c>
      <c r="C21" s="25">
        <f>C19+C20</f>
        <v>-137.48199999999989</v>
      </c>
      <c r="D21" s="25">
        <f>D19+D20</f>
        <v>-471.49219999999991</v>
      </c>
      <c r="E21" s="25">
        <f>E19+E20</f>
        <v>-68</v>
      </c>
      <c r="F21" s="25">
        <f>F19+F20</f>
        <v>182</v>
      </c>
      <c r="G21" s="25">
        <f>G19+G20</f>
        <v>489</v>
      </c>
      <c r="H21" s="25">
        <f>H19+H20</f>
        <v>973</v>
      </c>
      <c r="I21" s="25">
        <f>I19+I20</f>
        <v>1260</v>
      </c>
      <c r="J21" s="25">
        <f>J19+J20</f>
        <v>2001</v>
      </c>
      <c r="N21" s="25">
        <f>N19+N20</f>
        <v>2001</v>
      </c>
      <c r="O21" s="54">
        <f>O19+O20</f>
        <v>2046.7191599999992</v>
      </c>
      <c r="P21" s="54">
        <f>P19+P20</f>
        <v>2660.1130247999981</v>
      </c>
      <c r="Q21" s="47">
        <f>Q19+Q20</f>
        <v>3401.2415151839982</v>
      </c>
      <c r="R21" s="47">
        <f>R19+R20</f>
        <v>4295.1757113475151</v>
      </c>
      <c r="S21" s="47">
        <f>S19+S20</f>
        <v>5371.748949632115</v>
      </c>
      <c r="T21" s="47">
        <f>T19+T20</f>
        <v>6666.4439640369856</v>
      </c>
      <c r="U21" s="47">
        <f>U19+U20</f>
        <v>8221.4433054512701</v>
      </c>
      <c r="V21" s="47">
        <f>V19+V20</f>
        <v>10086.872859666641</v>
      </c>
      <c r="W21" s="47">
        <f>W19+W20</f>
        <v>12322.273704748874</v>
      </c>
      <c r="X21" s="47">
        <f>X19+X20</f>
        <v>14998.343949586973</v>
      </c>
      <c r="Y21" s="47">
        <f>Y19+Y20</f>
        <v>16807.785804385967</v>
      </c>
      <c r="Z21" s="47">
        <f>Z19+Z20</f>
        <v>18146.60954538958</v>
      </c>
      <c r="AA21" s="47">
        <f>AA19+AA20</f>
        <v>19579.024985316577</v>
      </c>
      <c r="AB21" s="47">
        <f>AB19+AB20</f>
        <v>21110.227084538037</v>
      </c>
      <c r="AC21" s="47">
        <f>AC19+AC20</f>
        <v>22745.490954754583</v>
      </c>
      <c r="AD21" s="47">
        <f>AD19+AD20</f>
        <v>24490.132585203595</v>
      </c>
      <c r="AE21" s="47">
        <f>AE19+AE20</f>
        <v>26349.460455735538</v>
      </c>
      <c r="AF21" s="47">
        <f>AF19+AF20</f>
        <v>28328.716547159016</v>
      </c>
      <c r="AG21" s="47">
        <f>AG19+AG20</f>
        <v>30433.005044859452</v>
      </c>
      <c r="AH21" s="47">
        <f>AH19+AH20</f>
        <v>32667.206788367683</v>
      </c>
      <c r="AI21" s="47">
        <f>AI19+AI20</f>
        <v>35035.877243528143</v>
      </c>
      <c r="AJ21" s="47">
        <f>AJ19+AJ20</f>
        <v>37543.125460957956</v>
      </c>
      <c r="AK21" s="47">
        <f>AK19+AK20</f>
        <v>40192.471129817881</v>
      </c>
      <c r="AL21" s="47">
        <f>AL19+AL20</f>
        <v>42986.676434160065</v>
      </c>
      <c r="AM21" s="47">
        <f>AM19+AM20</f>
        <v>45927.54896421211</v>
      </c>
      <c r="AN21" s="26">
        <f>AM21*(1+$Z$25)</f>
        <v>46386.824453854235</v>
      </c>
      <c r="AO21" s="26">
        <f>AN21*(1+$Z$25)</f>
        <v>46850.692698392777</v>
      </c>
      <c r="AP21" s="26">
        <f>AO21*(1+$Z$25)</f>
        <v>47319.199625376707</v>
      </c>
      <c r="AQ21" s="26">
        <f>AP21*(1+$Z$25)</f>
        <v>47792.391621630471</v>
      </c>
      <c r="AR21" s="26">
        <f>AQ21*(1+$Z$25)</f>
        <v>48270.315537846778</v>
      </c>
      <c r="AS21" s="26">
        <f>AR21*(1+$Z$25)</f>
        <v>48753.018693225247</v>
      </c>
      <c r="AT21" s="26">
        <f>AS21*(1+$Z$25)</f>
        <v>49240.548880157497</v>
      </c>
      <c r="AU21" s="26">
        <f>AT21*(1+$Z$25)</f>
        <v>49732.954368959072</v>
      </c>
      <c r="AV21" s="26">
        <f>AU21*(1+$Z$25)</f>
        <v>50230.283912648665</v>
      </c>
      <c r="AW21" s="26">
        <f>AV21*(1+$Z$25)</f>
        <v>50732.586751775154</v>
      </c>
      <c r="AX21" s="26">
        <f>AW21*(1+$Z$25)</f>
        <v>51239.912619292903</v>
      </c>
      <c r="AY21" s="26">
        <f>AX21*(1+$Z$25)</f>
        <v>51752.311745485829</v>
      </c>
      <c r="AZ21" s="26">
        <f>AY21*(1+$Z$25)</f>
        <v>52269.83486294069</v>
      </c>
      <c r="BA21" s="26">
        <f>AZ21*(1+$Z$25)</f>
        <v>52792.533211570095</v>
      </c>
      <c r="BB21" s="26">
        <f>BA21*(1+$Z$25)</f>
        <v>53320.458543685796</v>
      </c>
      <c r="BC21" s="26">
        <f>BB21*(1+$Z$25)</f>
        <v>53853.663129122651</v>
      </c>
      <c r="BD21" s="26">
        <f>BC21*(1+$Z$25)</f>
        <v>54392.199760413881</v>
      </c>
      <c r="BE21" s="26">
        <f>BD21*(1+$Z$25)</f>
        <v>54936.121758018024</v>
      </c>
      <c r="BF21" s="26">
        <f>BE21*(1+$Z$25)</f>
        <v>55485.482975598206</v>
      </c>
      <c r="BG21" s="26">
        <f>BF21*(1+$Z$25)</f>
        <v>56040.337805354189</v>
      </c>
      <c r="BH21" s="26">
        <f>BG21*(1+$Z$25)</f>
        <v>56600.741183407728</v>
      </c>
      <c r="BI21" s="26">
        <f>BH21*(1+$Z$25)</f>
        <v>57166.748595241806</v>
      </c>
      <c r="BJ21" s="26">
        <f>BI21*(1+$Z$25)</f>
        <v>57738.416081194227</v>
      </c>
      <c r="BK21" s="26">
        <f>BJ21*(1+$Z$25)</f>
        <v>58315.800242006168</v>
      </c>
      <c r="BL21" s="26">
        <f>BK21*(1+$Z$25)</f>
        <v>58898.958244426227</v>
      </c>
      <c r="BM21" s="26">
        <f>BL21*(1+$Z$25)</f>
        <v>59487.947826870492</v>
      </c>
      <c r="BN21" s="26">
        <f>BM21*(1+$Z$25)</f>
        <v>60082.827305139195</v>
      </c>
      <c r="BO21" s="26">
        <f>BN21*(1+$Z$25)</f>
        <v>60683.655578190584</v>
      </c>
      <c r="BP21" s="26">
        <f>BO21*(1+$Z$25)</f>
        <v>61290.49213397249</v>
      </c>
      <c r="BQ21" s="26">
        <f>BP21*(1+$Z$25)</f>
        <v>61903.397055312213</v>
      </c>
      <c r="BR21" s="26">
        <f>BQ21*(1+$Z$25)</f>
        <v>62522.431025865335</v>
      </c>
      <c r="BS21" s="26">
        <f>BR21*(1+$Z$25)</f>
        <v>63147.655336123986</v>
      </c>
      <c r="BT21" s="26">
        <f>BS21*(1+$Z$25)</f>
        <v>63779.131889485223</v>
      </c>
      <c r="BU21" s="26">
        <f>BT21*(1+$Z$25)</f>
        <v>64416.923208380074</v>
      </c>
      <c r="BV21" s="26">
        <f>BU21*(1+$Z$25)</f>
        <v>65061.092440463879</v>
      </c>
    </row>
    <row r="22" s="1" customFormat="1" ht="14.25">
      <c r="B22" s="1"/>
      <c r="C22" s="25"/>
      <c r="D22" s="25"/>
      <c r="E22" s="25"/>
      <c r="F22" s="25"/>
      <c r="G22" s="25"/>
      <c r="H22" s="25"/>
      <c r="I22" s="25"/>
      <c r="J22" s="25"/>
    </row>
    <row r="23" ht="14.25">
      <c r="B23" t="s">
        <v>394</v>
      </c>
      <c r="C23" s="23"/>
      <c r="D23" s="23"/>
      <c r="E23" s="23"/>
      <c r="F23" s="23"/>
      <c r="G23" s="23"/>
      <c r="H23" s="23"/>
      <c r="I23" s="24"/>
      <c r="J23" s="24"/>
    </row>
    <row r="24" ht="14.25">
      <c r="B24" t="s">
        <v>395</v>
      </c>
      <c r="C24" s="23">
        <v>-0.88</v>
      </c>
      <c r="D24" s="23">
        <v>-3.5699999999999998</v>
      </c>
      <c r="E24" s="23">
        <v>0.68000000000000005</v>
      </c>
      <c r="F24" s="23">
        <v>0.68000000000000005</v>
      </c>
      <c r="G24" s="23">
        <v>2.4100000000000001</v>
      </c>
      <c r="H24" s="23">
        <v>5.4100000000000001</v>
      </c>
      <c r="I24" s="24">
        <v>6.21</v>
      </c>
      <c r="J24" s="24">
        <v>8.3699999999999992</v>
      </c>
    </row>
    <row r="25" ht="14.25">
      <c r="J25" s="10"/>
      <c r="K25" s="1" t="s">
        <v>324</v>
      </c>
      <c r="L25" s="1" t="s">
        <v>263</v>
      </c>
      <c r="M25" s="1" t="s">
        <v>396</v>
      </c>
      <c r="N25" s="1" t="s">
        <v>397</v>
      </c>
      <c r="Y25" s="1" t="s">
        <v>265</v>
      </c>
      <c r="Z25" s="9">
        <v>0.01</v>
      </c>
    </row>
    <row r="26" ht="14.25">
      <c r="B26" t="s">
        <v>150</v>
      </c>
      <c r="C26" s="29">
        <f>C3-C10</f>
        <v>1389.7412000000002</v>
      </c>
      <c r="D26" s="29">
        <f>D3-D10</f>
        <v>1927.8471999999999</v>
      </c>
      <c r="E26" s="29">
        <f>E3-E10</f>
        <v>2087</v>
      </c>
      <c r="F26" s="29">
        <f>F3-F10</f>
        <v>2596</v>
      </c>
      <c r="G26" s="29">
        <f>G3-G10</f>
        <v>3847</v>
      </c>
      <c r="H26" s="29">
        <f>H3-H10</f>
        <v>6028</v>
      </c>
      <c r="I26" s="29">
        <f>I3-I10</f>
        <v>8033</v>
      </c>
      <c r="J26" s="29">
        <f>J3-J10</f>
        <v>9772</v>
      </c>
      <c r="Y26" s="1" t="s">
        <v>398</v>
      </c>
      <c r="Z26" s="9">
        <v>0.11</v>
      </c>
    </row>
    <row r="27" ht="14.25">
      <c r="B27" t="s">
        <v>399</v>
      </c>
      <c r="C27" s="14">
        <f>C26/C3</f>
        <v>0.93883531126700037</v>
      </c>
      <c r="D27" s="14">
        <f>D26/D3</f>
        <v>0.93676532134787693</v>
      </c>
      <c r="E27" s="14">
        <f>E26/E3</f>
        <v>0.81875245194193802</v>
      </c>
      <c r="F27" s="14">
        <f>F26/F3</f>
        <v>0.83098591549295775</v>
      </c>
      <c r="G27" s="14">
        <f>G26/G3</f>
        <v>0.74946425092538471</v>
      </c>
      <c r="H27" s="14">
        <f>H26/H3</f>
        <v>0.77520576131687247</v>
      </c>
      <c r="I27" s="14">
        <f>I26/I3</f>
        <v>0.87125813449023859</v>
      </c>
      <c r="J27" s="14">
        <f>J26/J3</f>
        <v>0.87156617909382805</v>
      </c>
      <c r="K27" s="31">
        <f t="shared" ref="K27:K31" si="6">AVERAGE(C27:J27)</f>
        <v>0.8491041657345122</v>
      </c>
      <c r="L27" s="31">
        <f t="shared" ref="L27:L31" si="7">MEDIAN(C27:J27)</f>
        <v>0.85112202499159817</v>
      </c>
      <c r="M27" s="9">
        <v>0.84999999999999998</v>
      </c>
      <c r="N27" s="9">
        <v>0.85999999999999999</v>
      </c>
      <c r="Y27" t="s">
        <v>270</v>
      </c>
      <c r="Z27" s="28">
        <f>NPV(Z26,O21:BV21)</f>
        <v>132495.56975781417</v>
      </c>
    </row>
    <row r="28" ht="14.25">
      <c r="B28" s="12" t="s">
        <v>400</v>
      </c>
      <c r="C28" s="14"/>
      <c r="D28" s="14">
        <f>D5/C5-1</f>
        <v>0.3915271263808191</v>
      </c>
      <c r="E28" s="14">
        <f>E5/D5-1</f>
        <v>0.23369425968489876</v>
      </c>
      <c r="F28" s="14">
        <f>F5/E5-1</f>
        <v>0.36896158235070375</v>
      </c>
      <c r="G28" s="14">
        <f>G5/F5-1</f>
        <v>0.54959711030841896</v>
      </c>
      <c r="H28" s="14">
        <f>H5/G5-1</f>
        <v>0.54509592971131426</v>
      </c>
      <c r="I28" s="14">
        <f>I5/H5-1</f>
        <v>0.21387954044330981</v>
      </c>
      <c r="J28" s="14">
        <f>J5/I5-1</f>
        <v>0.18757170172084137</v>
      </c>
      <c r="K28" s="31">
        <f t="shared" si="6"/>
        <v>0.35576103580004376</v>
      </c>
      <c r="L28" s="31">
        <f t="shared" si="7"/>
        <v>0.36896158235070375</v>
      </c>
      <c r="M28" s="31">
        <v>0.17999999999999999</v>
      </c>
      <c r="N28" s="9">
        <v>0.089999999999999997</v>
      </c>
      <c r="Y28" t="s">
        <v>401</v>
      </c>
      <c r="Z28" s="1">
        <v>951</v>
      </c>
    </row>
    <row r="29" ht="14.25">
      <c r="B29" t="s">
        <v>273</v>
      </c>
      <c r="D29" s="29">
        <f>D12/C12-1</f>
        <v>0.36642170899211535</v>
      </c>
      <c r="E29" s="29">
        <f>E12/D12-1</f>
        <v>0.79381218618764615</v>
      </c>
      <c r="F29" s="29">
        <f>F12/E12-1</f>
        <v>-0.64485981308411211</v>
      </c>
      <c r="G29" s="29">
        <f>G12/F12-1</f>
        <v>-0.10526315789473684</v>
      </c>
      <c r="H29" s="29">
        <f>H12/G12-1</f>
        <v>0.17647058823529416</v>
      </c>
      <c r="I29" s="29">
        <f>I12/H12-1</f>
        <v>0.92500000000000004</v>
      </c>
      <c r="J29" s="29">
        <f>J12/I12-1</f>
        <v>0.66233766233766245</v>
      </c>
      <c r="K29" s="31">
        <f t="shared" si="6"/>
        <v>0.31055988211055274</v>
      </c>
      <c r="L29" s="31">
        <f t="shared" si="7"/>
        <v>0.36642170899211535</v>
      </c>
      <c r="M29" s="9">
        <v>0.17999999999999999</v>
      </c>
      <c r="N29" s="9">
        <v>0.089999999999999997</v>
      </c>
      <c r="Y29" t="s">
        <v>402</v>
      </c>
      <c r="Z29">
        <v>1684931507</v>
      </c>
    </row>
    <row r="30" ht="14.25">
      <c r="B30" t="s">
        <v>403</v>
      </c>
      <c r="C30" s="14">
        <f>C13/C6</f>
        <v>0.40836121985332752</v>
      </c>
      <c r="D30" s="14">
        <f>D13/D6</f>
        <v>1.5105704508097328</v>
      </c>
      <c r="E30" s="14">
        <f>E13/E6</f>
        <v>0.8923766816143498</v>
      </c>
      <c r="F30" s="14">
        <f>F13/F6</f>
        <v>0.52883834281072295</v>
      </c>
      <c r="G30" s="14">
        <f>G13/G6</f>
        <v>0.27631717875620315</v>
      </c>
      <c r="H30" s="14">
        <f>H13/H6</f>
        <v>0.69062870699881374</v>
      </c>
      <c r="I30" s="14">
        <f>I13/I6</f>
        <v>0.22192667464645122</v>
      </c>
      <c r="J30" s="14">
        <f>J13/J6</f>
        <v>0.51298337380907899</v>
      </c>
      <c r="K30" s="31">
        <f t="shared" si="6"/>
        <v>0.6302503286623351</v>
      </c>
      <c r="L30" s="31">
        <f t="shared" si="7"/>
        <v>0.52091085830990091</v>
      </c>
      <c r="M30" s="9">
        <v>0.52000000000000002</v>
      </c>
      <c r="N30" s="9">
        <v>0.25</v>
      </c>
      <c r="Y30" t="s">
        <v>404</v>
      </c>
      <c r="Z30" s="26">
        <f>Z27*10000000/Z29</f>
        <v>786.35582044353191</v>
      </c>
    </row>
    <row r="31" ht="14.25">
      <c r="B31" s="12" t="s">
        <v>275</v>
      </c>
      <c r="C31" s="14"/>
      <c r="D31" s="14">
        <f>D14/C14-1</f>
        <v>0.95577335078494507</v>
      </c>
      <c r="E31" s="14">
        <f>E14/D14-1</f>
        <v>-0.62898780433946788</v>
      </c>
      <c r="F31" s="14">
        <f>F14/E14-1</f>
        <v>0.23350253807106602</v>
      </c>
      <c r="G31" s="14">
        <f>G14/F14-1</f>
        <v>0.74691358024691357</v>
      </c>
      <c r="H31" s="14">
        <f>H14/G14-1</f>
        <v>0.53121319199057715</v>
      </c>
      <c r="I31" s="14">
        <f>I14/H14-1</f>
        <v>0.4638461538461538</v>
      </c>
      <c r="J31" s="14">
        <f>J14/I14-1</f>
        <v>0.31266421439831849</v>
      </c>
      <c r="K31" s="31">
        <f t="shared" si="6"/>
        <v>0.37356074642835807</v>
      </c>
      <c r="L31" s="31">
        <f t="shared" si="7"/>
        <v>0.4638461538461538</v>
      </c>
      <c r="M31" s="9">
        <v>0.12</v>
      </c>
      <c r="N31" s="9">
        <v>0.12</v>
      </c>
    </row>
    <row r="32" ht="14.25">
      <c r="B32" t="s">
        <v>405</v>
      </c>
      <c r="C32" s="29">
        <f>MAX(0,C19/C20)</f>
        <v>0</v>
      </c>
      <c r="D32" s="29">
        <f>MAX(0,D19/D20)</f>
        <v>0</v>
      </c>
      <c r="E32" s="29">
        <v>0</v>
      </c>
      <c r="F32" s="14">
        <f>F20/F19*-1</f>
        <v>0.056994818652849742</v>
      </c>
      <c r="G32" s="14">
        <f>G20/G19*-1</f>
        <v>0.11573236889692586</v>
      </c>
      <c r="H32" s="14">
        <f>H20/H19*-1</f>
        <v>0.317671809256662</v>
      </c>
      <c r="I32" s="14">
        <f>I20/I19*-1</f>
        <v>0.24596050269299821</v>
      </c>
      <c r="J32" s="14">
        <f>J20/J19*-1</f>
        <v>0.096613995485327314</v>
      </c>
      <c r="K32" s="31">
        <f>AVERAGE(F32:J32)</f>
        <v>0.16659469899695262</v>
      </c>
      <c r="L32" s="31">
        <f>MEDIAN(F32:J32)</f>
        <v>0.11573236889692586</v>
      </c>
      <c r="M32" s="9">
        <v>0.14000000000000001</v>
      </c>
      <c r="N32" s="9">
        <v>0.14000000000000001</v>
      </c>
    </row>
    <row r="33" ht="14.25">
      <c r="B33" t="s">
        <v>406</v>
      </c>
      <c r="C33">
        <f>C47/C40</f>
        <v>7.2493570198522432</v>
      </c>
      <c r="D33" s="10">
        <f>D47/D40</f>
        <v>5.5294448070857465</v>
      </c>
      <c r="E33" s="10">
        <f>E47/E40</f>
        <v>5.8255517826825125</v>
      </c>
      <c r="F33" s="10">
        <f>F47/F40</f>
        <v>10.654090909090909</v>
      </c>
      <c r="G33" s="10">
        <f>G47/G40</f>
        <v>19.964804896710024</v>
      </c>
      <c r="H33" s="10">
        <f>H47/H40</f>
        <v>7.2353504928806132</v>
      </c>
      <c r="I33" s="10">
        <f>I47/I40</f>
        <v>6.4124466137888954</v>
      </c>
      <c r="J33" s="10">
        <f>J47/J40</f>
        <v>6.4323144104803491</v>
      </c>
      <c r="K33" s="31"/>
      <c r="L33" s="31"/>
    </row>
    <row r="34" ht="14.25"/>
    <row r="36" ht="14.25">
      <c r="A36" s="1" t="s">
        <v>407</v>
      </c>
    </row>
    <row r="37" ht="14.25">
      <c r="B37" t="s">
        <v>408</v>
      </c>
      <c r="C37" s="10">
        <v>1564.01</v>
      </c>
      <c r="D37">
        <v>1564.01</v>
      </c>
      <c r="E37" s="10">
        <v>1564</v>
      </c>
      <c r="F37">
        <v>1564</v>
      </c>
      <c r="G37" s="55">
        <v>1564</v>
      </c>
      <c r="H37" s="55">
        <v>1584</v>
      </c>
      <c r="I37">
        <v>1584</v>
      </c>
      <c r="J37">
        <v>1584</v>
      </c>
    </row>
    <row r="38" ht="14.25">
      <c r="B38" t="s">
        <v>409</v>
      </c>
      <c r="C38" s="10">
        <v>0</v>
      </c>
      <c r="D38">
        <v>1093.336</v>
      </c>
      <c r="E38" s="10">
        <v>1593</v>
      </c>
      <c r="F38">
        <v>1339</v>
      </c>
      <c r="G38" s="55">
        <v>1424</v>
      </c>
      <c r="H38" s="55">
        <v>1424</v>
      </c>
      <c r="I38">
        <v>1424</v>
      </c>
      <c r="J38">
        <v>1424</v>
      </c>
    </row>
    <row r="39" ht="14.25">
      <c r="B39" t="s">
        <v>410</v>
      </c>
      <c r="C39" s="10">
        <v>-222.59999999999999</v>
      </c>
      <c r="D39">
        <v>-724</v>
      </c>
      <c r="E39" s="10">
        <v>-801</v>
      </c>
      <c r="F39">
        <v>-703</v>
      </c>
      <c r="G39" s="55">
        <v>-374</v>
      </c>
      <c r="H39" s="55">
        <v>4296</v>
      </c>
      <c r="I39">
        <v>6826</v>
      </c>
      <c r="J39">
        <v>9129</v>
      </c>
    </row>
    <row r="40" s="1" customFormat="1" ht="14.25">
      <c r="B40" s="1" t="s">
        <v>411</v>
      </c>
      <c r="C40" s="56">
        <f>SUM(C37:C39)</f>
        <v>1341.4100000000001</v>
      </c>
      <c r="D40" s="56">
        <f>SUM(D37:D39)</f>
        <v>1933.346</v>
      </c>
      <c r="E40" s="56">
        <f>SUM(E37:E39)</f>
        <v>2356</v>
      </c>
      <c r="F40" s="56">
        <f>SUM(F37:F39)</f>
        <v>2200</v>
      </c>
      <c r="G40" s="56">
        <f>SUM(G37:G39)</f>
        <v>2614</v>
      </c>
      <c r="H40" s="56">
        <f>SUM(H37:H39)</f>
        <v>7304</v>
      </c>
      <c r="I40" s="56">
        <f>SUM(I37:I39)</f>
        <v>9834</v>
      </c>
      <c r="J40" s="56">
        <f>SUM(J37:J39)</f>
        <v>12137</v>
      </c>
    </row>
    <row r="41" ht="14.25">
      <c r="C41" s="55"/>
      <c r="D41" s="55"/>
      <c r="E41" s="55"/>
      <c r="F41" s="55"/>
      <c r="G41" s="55"/>
      <c r="H41" s="55"/>
    </row>
    <row r="42" ht="14.25">
      <c r="B42" s="1" t="s">
        <v>412</v>
      </c>
      <c r="C42" s="55"/>
      <c r="D42" s="55"/>
      <c r="E42" s="55"/>
      <c r="F42" s="55"/>
      <c r="G42" s="55"/>
      <c r="H42" s="55"/>
    </row>
    <row r="43" ht="14.25">
      <c r="A43" t="s">
        <v>413</v>
      </c>
      <c r="B43" t="s">
        <v>414</v>
      </c>
      <c r="C43" s="55">
        <v>0</v>
      </c>
      <c r="D43" s="55">
        <v>0</v>
      </c>
      <c r="E43" s="55">
        <v>0</v>
      </c>
      <c r="F43" s="55">
        <v>4013</v>
      </c>
      <c r="G43" s="55">
        <v>4013</v>
      </c>
      <c r="H43" s="55">
        <v>4013</v>
      </c>
      <c r="I43">
        <v>0</v>
      </c>
    </row>
    <row r="44" ht="14.25">
      <c r="B44" t="s">
        <v>415</v>
      </c>
      <c r="C44" s="55">
        <v>8373.0499999999993</v>
      </c>
      <c r="D44" s="55">
        <v>9948.1100000000006</v>
      </c>
      <c r="E44" s="55">
        <v>12610</v>
      </c>
      <c r="F44" s="55">
        <v>15733</v>
      </c>
      <c r="G44" s="55">
        <v>38704</v>
      </c>
      <c r="H44" s="55">
        <v>44619</v>
      </c>
      <c r="I44">
        <v>40503</v>
      </c>
      <c r="J44">
        <v>67363</v>
      </c>
    </row>
    <row r="45" ht="14.25">
      <c r="B45" s="1" t="s">
        <v>416</v>
      </c>
      <c r="C45" s="55">
        <v>1351.3099999999999</v>
      </c>
      <c r="D45" s="55">
        <v>742.22000000000003</v>
      </c>
      <c r="E45" s="55">
        <v>1115</v>
      </c>
      <c r="F45" s="55">
        <v>3693</v>
      </c>
      <c r="G45" s="55">
        <v>9471</v>
      </c>
      <c r="H45" s="55">
        <v>4215</v>
      </c>
      <c r="I45">
        <v>22557</v>
      </c>
      <c r="J45">
        <v>10706</v>
      </c>
    </row>
    <row r="46" ht="14.25">
      <c r="C46" s="55"/>
      <c r="D46" s="55"/>
      <c r="E46" s="55"/>
      <c r="F46" s="55"/>
      <c r="G46" s="55"/>
      <c r="H46" s="55"/>
    </row>
    <row r="47" ht="14.25">
      <c r="B47" s="1" t="s">
        <v>417</v>
      </c>
      <c r="C47" s="56">
        <f>SUM(C43:C45)</f>
        <v>9724.3599999999988</v>
      </c>
      <c r="D47" s="56">
        <f>SUM(D43:D45)</f>
        <v>10690.33</v>
      </c>
      <c r="E47" s="56">
        <f>SUM(E43:E45)</f>
        <v>13725</v>
      </c>
      <c r="F47" s="56">
        <f>SUM(F43:F45)</f>
        <v>23439</v>
      </c>
      <c r="G47" s="56">
        <f>SUM(G43:G45)</f>
        <v>52188</v>
      </c>
      <c r="H47" s="56">
        <f>SUM(H43:H45)</f>
        <v>52847</v>
      </c>
      <c r="I47" s="56">
        <f>SUM(I43:I45)</f>
        <v>63060</v>
      </c>
      <c r="J47" s="56">
        <f>SUM(J43:J45)</f>
        <v>78069</v>
      </c>
    </row>
    <row r="48" ht="14.25"/>
    <row r="50" ht="14.25">
      <c r="A50" s="1" t="s">
        <v>418</v>
      </c>
    </row>
    <row r="55" ht="14.25">
      <c r="G55" s="10"/>
      <c r="H55" s="10"/>
      <c r="I55" s="10"/>
      <c r="J55" s="1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419</v>
      </c>
    </row>
    <row r="3" ht="14.25">
      <c r="B3" t="s">
        <v>420</v>
      </c>
    </row>
    <row r="5" ht="14.25">
      <c r="A5">
        <v>2024</v>
      </c>
      <c r="B5" t="s">
        <v>421</v>
      </c>
      <c r="C5" s="12" t="s">
        <v>422</v>
      </c>
    </row>
    <row r="7" ht="14.25">
      <c r="B7" t="s">
        <v>423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 style="0" width="9.140625"/>
    <col customWidth="1" min="2" max="2" style="0" width="14.421875"/>
    <col min="3" max="16384" style="0" width="9.140625"/>
  </cols>
  <sheetData>
    <row r="2" ht="14.25">
      <c r="B2" s="1" t="s">
        <v>97</v>
      </c>
    </row>
    <row r="3" ht="14.25">
      <c r="B3" s="7" t="s">
        <v>98</v>
      </c>
    </row>
    <row r="4" ht="14.25">
      <c r="B4" s="7"/>
    </row>
    <row r="5" ht="14.25">
      <c r="B5" s="7" t="s">
        <v>99</v>
      </c>
    </row>
    <row r="6" ht="14.25">
      <c r="B6" s="7"/>
      <c r="C6"/>
    </row>
    <row r="7" ht="14.25">
      <c r="B7" s="7" t="s">
        <v>100</v>
      </c>
      <c r="C7"/>
    </row>
    <row r="8" ht="14.25">
      <c r="B8"/>
      <c r="C8"/>
    </row>
    <row r="9" ht="14.25">
      <c r="B9" s="7" t="s">
        <v>101</v>
      </c>
      <c r="C9" s="7" t="s">
        <v>102</v>
      </c>
    </row>
    <row r="10" ht="14.25">
      <c r="B10" s="7" t="s">
        <v>103</v>
      </c>
      <c r="C10" s="7" t="s">
        <v>104</v>
      </c>
    </row>
    <row r="11" ht="14.25">
      <c r="B11" s="8" t="s">
        <v>105</v>
      </c>
      <c r="C11" s="7" t="s">
        <v>106</v>
      </c>
    </row>
    <row r="13" ht="14.25">
      <c r="B13" s="7" t="s">
        <v>107</v>
      </c>
    </row>
    <row r="15" ht="14.25">
      <c r="B15" s="7" t="s">
        <v>108</v>
      </c>
    </row>
    <row r="16" ht="14.25">
      <c r="B16" s="7" t="s">
        <v>109</v>
      </c>
    </row>
    <row r="19" ht="14.25">
      <c r="B19" s="7" t="s">
        <v>110</v>
      </c>
      <c r="C19" s="7" t="s">
        <v>111</v>
      </c>
    </row>
    <row r="20" ht="14.25">
      <c r="B20" s="7" t="s">
        <v>112</v>
      </c>
      <c r="C20" s="7" t="s">
        <v>113</v>
      </c>
    </row>
    <row r="22" ht="14.25">
      <c r="B22" s="7" t="s">
        <v>114</v>
      </c>
    </row>
    <row r="23" ht="14.25">
      <c r="A23" s="7" t="s">
        <v>115</v>
      </c>
      <c r="B23" s="7" t="s">
        <v>116</v>
      </c>
      <c r="C23">
        <v>1.1000000000000001</v>
      </c>
      <c r="D23">
        <f>1.15*3200</f>
        <v>3679.9999999999995</v>
      </c>
      <c r="E23" s="7"/>
    </row>
    <row r="25" ht="14.25">
      <c r="A25" s="7" t="s">
        <v>117</v>
      </c>
      <c r="B25" s="7" t="s">
        <v>118</v>
      </c>
      <c r="C25" s="9">
        <v>0.14000000000000001</v>
      </c>
      <c r="D25">
        <f>D23*C25</f>
        <v>515.19999999999993</v>
      </c>
    </row>
    <row r="26" ht="14.25">
      <c r="A26" s="7" t="s">
        <v>117</v>
      </c>
      <c r="B26" s="7" t="s">
        <v>119</v>
      </c>
      <c r="C26" s="9">
        <v>0.14999999999999999</v>
      </c>
      <c r="D26" s="10">
        <f>D23*C26</f>
        <v>551.99999999999989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120</v>
      </c>
    </row>
    <row r="3" ht="15">
      <c r="B3" t="s">
        <v>121</v>
      </c>
    </row>
    <row r="4" ht="15">
      <c r="B4" t="s">
        <v>122</v>
      </c>
    </row>
    <row r="6" ht="15">
      <c r="B6" t="s">
        <v>123</v>
      </c>
      <c r="C6" t="s">
        <v>124</v>
      </c>
    </row>
    <row r="8" ht="15">
      <c r="B8" t="s">
        <v>125</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126</v>
      </c>
      <c r="B1" t="s">
        <v>127</v>
      </c>
      <c r="F1" s="11" t="s">
        <v>128</v>
      </c>
    </row>
    <row r="2" s="1" customFormat="1">
      <c r="C2" s="1">
        <v>2021</v>
      </c>
      <c r="D2" s="1">
        <v>2022</v>
      </c>
      <c r="E2" s="1">
        <f>D2+1</f>
        <v>2023</v>
      </c>
      <c r="F2" s="1">
        <v>2024</v>
      </c>
      <c r="G2" s="1">
        <f>F2+1</f>
        <v>2025</v>
      </c>
      <c r="H2" s="1"/>
      <c r="I2" s="1"/>
      <c r="J2" s="1"/>
    </row>
    <row r="3">
      <c r="B3" t="s">
        <v>115</v>
      </c>
      <c r="D3">
        <v>5934.8999999999996</v>
      </c>
      <c r="E3">
        <v>7822.3000000000002</v>
      </c>
      <c r="F3">
        <v>8131.8999999999996</v>
      </c>
    </row>
    <row r="4">
      <c r="B4" t="s">
        <v>129</v>
      </c>
      <c r="D4">
        <v>269.39999999999998</v>
      </c>
      <c r="E4">
        <v>110.5</v>
      </c>
      <c r="F4">
        <v>62.899999999999999</v>
      </c>
    </row>
    <row r="5">
      <c r="B5" t="s">
        <v>130</v>
      </c>
      <c r="D5">
        <v>0</v>
      </c>
      <c r="E5">
        <v>113.40000000000001</v>
      </c>
      <c r="F5">
        <v>145.09999999999999</v>
      </c>
    </row>
    <row r="6">
      <c r="B6" t="s">
        <v>131</v>
      </c>
      <c r="D6">
        <v>201.30000000000001</v>
      </c>
      <c r="E6" s="10">
        <v>291</v>
      </c>
      <c r="F6">
        <v>527.20000000000005</v>
      </c>
    </row>
    <row r="7">
      <c r="B7" t="s">
        <v>132</v>
      </c>
      <c r="D7">
        <v>513.89999999999998</v>
      </c>
      <c r="E7" s="10">
        <v>458.10000000000002</v>
      </c>
      <c r="F7">
        <v>730.89999999999998</v>
      </c>
    </row>
    <row r="8">
      <c r="B8" t="s">
        <v>133</v>
      </c>
      <c r="D8">
        <v>0</v>
      </c>
      <c r="E8" s="10">
        <v>135.59999999999999</v>
      </c>
      <c r="F8">
        <v>55.100000000000001</v>
      </c>
    </row>
    <row r="9" s="1" customFormat="1">
      <c r="B9" s="1" t="s">
        <v>134</v>
      </c>
      <c r="D9" s="1">
        <f>SUM(D3:D8)</f>
        <v>6919.4999999999991</v>
      </c>
      <c r="E9" s="1">
        <f>SUM(E3:E8)</f>
        <v>8930.9000000000015</v>
      </c>
      <c r="F9" s="1">
        <f>SUM(F3:F8)</f>
        <v>9653.1000000000004</v>
      </c>
      <c r="G9" s="1"/>
      <c r="H9" s="1"/>
      <c r="I9" s="1"/>
    </row>
    <row r="10" ht="14.25">
      <c r="D10" s="10"/>
      <c r="E10" s="10"/>
    </row>
    <row r="11" ht="14.25">
      <c r="B11" t="s">
        <v>135</v>
      </c>
      <c r="D11" s="10">
        <v>32.399999999999999</v>
      </c>
      <c r="E11" s="10">
        <v>695.60000000000002</v>
      </c>
      <c r="F11">
        <v>384.39999999999998</v>
      </c>
    </row>
    <row r="12" ht="14.25">
      <c r="B12" t="s">
        <v>136</v>
      </c>
      <c r="D12" s="10">
        <v>450.10000000000002</v>
      </c>
      <c r="E12" s="10">
        <v>441.30000000000001</v>
      </c>
      <c r="F12">
        <v>446.69999999999999</v>
      </c>
    </row>
    <row r="13" ht="14.25">
      <c r="B13" t="s">
        <v>137</v>
      </c>
      <c r="D13" s="10">
        <v>1376.4000000000001</v>
      </c>
      <c r="E13" s="10">
        <v>1590.0999999999999</v>
      </c>
      <c r="F13">
        <v>1758.3</v>
      </c>
    </row>
    <row r="14" ht="14.25">
      <c r="B14" t="s">
        <v>138</v>
      </c>
      <c r="D14" s="10">
        <v>992.5</v>
      </c>
      <c r="E14" s="10">
        <v>1363.5999999999999</v>
      </c>
      <c r="F14">
        <v>1483.4000000000001</v>
      </c>
    </row>
    <row r="15" ht="14.25">
      <c r="B15" t="s">
        <v>139</v>
      </c>
      <c r="D15" s="10">
        <v>4171.1999999999998</v>
      </c>
      <c r="E15" s="10">
        <v>5096.6000000000004</v>
      </c>
      <c r="F15">
        <v>4750.6000000000004</v>
      </c>
    </row>
    <row r="16" ht="14.25">
      <c r="B16" t="s">
        <v>140</v>
      </c>
      <c r="D16" s="10">
        <v>69</v>
      </c>
      <c r="E16" s="10">
        <v>0</v>
      </c>
      <c r="F16">
        <v>0</v>
      </c>
    </row>
    <row r="17" ht="14.25">
      <c r="B17" t="s">
        <v>141</v>
      </c>
      <c r="D17" s="10">
        <v>1051.2</v>
      </c>
      <c r="E17" s="10">
        <v>0</v>
      </c>
      <c r="F17">
        <v>0</v>
      </c>
    </row>
    <row r="18" s="1" customFormat="1" ht="15">
      <c r="B18" s="1" t="s">
        <v>142</v>
      </c>
      <c r="D18" s="1">
        <f>SUM(D11:D17)</f>
        <v>8142.8000000000002</v>
      </c>
      <c r="E18" s="1">
        <f>SUM(E11:E17)</f>
        <v>9187.2000000000007</v>
      </c>
      <c r="F18" s="1">
        <f>SUM(F11:F17)</f>
        <v>8823.3999999999996</v>
      </c>
      <c r="G18" s="1"/>
      <c r="H18" s="1"/>
      <c r="I18" s="1"/>
    </row>
    <row r="19" ht="15">
      <c r="B19" s="12" t="s">
        <v>143</v>
      </c>
      <c r="D19" s="10">
        <f>D12+D11</f>
        <v>482.5</v>
      </c>
      <c r="E19" s="10">
        <f>E12+E11</f>
        <v>1136.9000000000001</v>
      </c>
      <c r="F19" s="10">
        <f>F12+F11</f>
        <v>831.09999999999991</v>
      </c>
    </row>
    <row r="20" s="1" customFormat="1" ht="15">
      <c r="B20" s="1" t="s">
        <v>144</v>
      </c>
      <c r="D20" s="1">
        <f>D9-D18</f>
        <v>-1223.3000000000011</v>
      </c>
      <c r="E20" s="1">
        <f>E9-E18</f>
        <v>-256.29999999999927</v>
      </c>
      <c r="F20" s="1">
        <f>F9-F18</f>
        <v>829.70000000000073</v>
      </c>
    </row>
    <row r="21" ht="14.25">
      <c r="B21" t="s">
        <v>145</v>
      </c>
      <c r="D21" s="10">
        <v>0</v>
      </c>
      <c r="E21" s="10">
        <v>9.3000000000000007</v>
      </c>
      <c r="F21">
        <v>-15.5</v>
      </c>
    </row>
    <row r="22" ht="14.25">
      <c r="B22" t="s">
        <v>146</v>
      </c>
      <c r="D22" s="10">
        <f>D20+D21</f>
        <v>-1223.3000000000011</v>
      </c>
      <c r="E22" s="10">
        <f>E20+E21</f>
        <v>-246.99999999999926</v>
      </c>
      <c r="F22">
        <f>F20+F21</f>
        <v>814.20000000000073</v>
      </c>
    </row>
    <row r="23" ht="14.25">
      <c r="B23" t="s">
        <v>147</v>
      </c>
      <c r="D23" s="10">
        <f>109.8+279.7</f>
        <v>389.5</v>
      </c>
      <c r="E23" s="10">
        <f>96.6+159.3</f>
        <v>255.90000000000001</v>
      </c>
      <c r="F23">
        <f>98.1+301.4</f>
        <v>399.5</v>
      </c>
    </row>
    <row r="24" s="1" customFormat="1" ht="14.25">
      <c r="B24" s="1" t="s">
        <v>148</v>
      </c>
      <c r="D24" s="1">
        <f>D22-D23</f>
        <v>-1612.8000000000011</v>
      </c>
      <c r="E24" s="1">
        <f>E22-E23</f>
        <v>-502.8999999999993</v>
      </c>
      <c r="F24" s="1">
        <f>F22-F23</f>
        <v>414.70000000000073</v>
      </c>
    </row>
    <row r="25" ht="14.25">
      <c r="D25" s="10"/>
      <c r="E25" s="10"/>
    </row>
    <row r="26" ht="14.25">
      <c r="B26" t="s">
        <v>8</v>
      </c>
      <c r="D26" s="10"/>
      <c r="E26" s="10"/>
    </row>
    <row r="27" ht="14.25">
      <c r="B27" t="s">
        <v>149</v>
      </c>
      <c r="D27" s="10"/>
      <c r="E27" s="10"/>
    </row>
    <row r="28" ht="14.25">
      <c r="D28" s="10"/>
      <c r="E28" s="10"/>
    </row>
    <row r="29" ht="14.25">
      <c r="B29" t="s">
        <v>150</v>
      </c>
      <c r="D29" s="10">
        <f>D3-D11</f>
        <v>5902.5</v>
      </c>
      <c r="E29" s="10">
        <f>E3-E11</f>
        <v>7126.6999999999998</v>
      </c>
      <c r="F29">
        <f>F3-F11</f>
        <v>7747.5</v>
      </c>
    </row>
    <row r="30" ht="14.25">
      <c r="B30" t="s">
        <v>151</v>
      </c>
      <c r="D30" s="13">
        <f>D29/D3</f>
        <v>0.99454076732548158</v>
      </c>
      <c r="E30" s="13">
        <f>E29/E3</f>
        <v>0.91107474783631404</v>
      </c>
      <c r="F30" s="14">
        <f>F29/F3</f>
        <v>0.95272937443893801</v>
      </c>
    </row>
    <row r="31" ht="14.25"/>
    <row r="32" ht="14.25"/>
    <row r="33" ht="14.25">
      <c r="A33" s="1" t="s">
        <v>152</v>
      </c>
    </row>
    <row r="34" ht="14.25">
      <c r="A34" t="s">
        <v>153</v>
      </c>
    </row>
    <row r="35" ht="14.25">
      <c r="B35" t="s">
        <v>154</v>
      </c>
      <c r="D35">
        <f>D22</f>
        <v>-1223.3000000000011</v>
      </c>
    </row>
    <row r="36" ht="14.25">
      <c r="A36" t="s">
        <v>155</v>
      </c>
      <c r="B36" t="s">
        <v>156</v>
      </c>
      <c r="D36">
        <v>4108.8000000000002</v>
      </c>
    </row>
    <row r="37" ht="14.25">
      <c r="A37" t="s">
        <v>157</v>
      </c>
      <c r="B37" t="s">
        <v>137</v>
      </c>
      <c r="D37">
        <v>1376.4000000000001</v>
      </c>
    </row>
    <row r="38" ht="14.25">
      <c r="B38" t="s">
        <v>158</v>
      </c>
      <c r="D38">
        <v>69</v>
      </c>
    </row>
    <row r="39" ht="14.25">
      <c r="B39" t="s">
        <v>159</v>
      </c>
      <c r="D39">
        <v>-21.399999999999999</v>
      </c>
    </row>
    <row r="40" ht="14.25">
      <c r="B40" t="s">
        <v>160</v>
      </c>
      <c r="D40">
        <v>241</v>
      </c>
    </row>
    <row r="41" ht="14.25">
      <c r="B41" t="s">
        <v>141</v>
      </c>
      <c r="D41">
        <v>761.70000000000005</v>
      </c>
    </row>
    <row r="42" ht="14.25">
      <c r="B42" t="s">
        <v>161</v>
      </c>
      <c r="D42">
        <v>-201.30000000000001</v>
      </c>
    </row>
    <row r="43" ht="14.25">
      <c r="B43" t="s">
        <v>162</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163</v>
      </c>
    </row>
    <row r="4" ht="14.25">
      <c r="B4" t="s">
        <v>164</v>
      </c>
      <c r="E4" t="s">
        <v>165</v>
      </c>
      <c r="G4" t="s">
        <v>166</v>
      </c>
      <c r="H4" s="11" t="s">
        <v>167</v>
      </c>
    </row>
    <row r="5" ht="14.25">
      <c r="B5" t="s">
        <v>168</v>
      </c>
    </row>
    <row r="6" ht="14.25">
      <c r="B6" t="s">
        <v>169</v>
      </c>
      <c r="E6" t="s">
        <v>170</v>
      </c>
      <c r="F6">
        <f>365*24</f>
        <v>8760</v>
      </c>
    </row>
    <row r="7" ht="14.25">
      <c r="B7" t="s">
        <v>171</v>
      </c>
    </row>
    <row r="8" ht="14.25">
      <c r="B8" s="12">
        <v>2023</v>
      </c>
      <c r="C8" t="s">
        <v>172</v>
      </c>
    </row>
    <row r="9" ht="14.25">
      <c r="B9"/>
      <c r="C9" s="5"/>
    </row>
    <row r="10" ht="14.25">
      <c r="B10"/>
      <c r="C10" s="5"/>
    </row>
    <row r="11" ht="14.25">
      <c r="B11" s="7" t="s">
        <v>173</v>
      </c>
    </row>
    <row r="12" ht="14.25">
      <c r="B12" s="12" t="s">
        <v>174</v>
      </c>
    </row>
    <row r="13" ht="14.25">
      <c r="B13" s="12" t="s">
        <v>175</v>
      </c>
    </row>
    <row r="14" ht="14.25">
      <c r="B14" s="12" t="s">
        <v>176</v>
      </c>
    </row>
    <row r="15" ht="14.25">
      <c r="A15" t="s">
        <v>177</v>
      </c>
      <c r="B15" s="1" t="s">
        <v>178</v>
      </c>
      <c r="C15" t="s">
        <v>179</v>
      </c>
    </row>
    <row r="16" ht="14.25">
      <c r="A16" t="s">
        <v>180</v>
      </c>
      <c r="B16" s="1" t="s">
        <v>181</v>
      </c>
      <c r="C16" t="s">
        <v>182</v>
      </c>
    </row>
    <row r="17" ht="14.25">
      <c r="B17" s="12" t="s">
        <v>183</v>
      </c>
      <c r="C17" t="s">
        <v>184</v>
      </c>
    </row>
    <row r="18" ht="14.25">
      <c r="B18" s="12" t="s">
        <v>185</v>
      </c>
    </row>
    <row r="19" ht="14.25">
      <c r="B19" s="12" t="s">
        <v>186</v>
      </c>
    </row>
    <row r="20" ht="14.25">
      <c r="B20" s="12" t="s">
        <v>187</v>
      </c>
      <c r="C20" t="s">
        <v>188</v>
      </c>
    </row>
    <row r="21" ht="14.25">
      <c r="B21" s="12" t="s">
        <v>189</v>
      </c>
    </row>
    <row r="22" ht="14.25"/>
    <row r="23" ht="14.25"/>
    <row r="24" s="15" customFormat="1" ht="14.25">
      <c r="B24" s="15"/>
    </row>
    <row r="25" ht="14.25">
      <c r="F25" t="s">
        <v>190</v>
      </c>
    </row>
    <row r="26" ht="14.25">
      <c r="A26" s="1" t="s">
        <v>191</v>
      </c>
      <c r="C26" s="1"/>
      <c r="D26" s="1">
        <v>2025</v>
      </c>
      <c r="E26" s="16">
        <v>2025</v>
      </c>
      <c r="F26" s="1">
        <v>2024</v>
      </c>
      <c r="G26" s="16">
        <v>2024</v>
      </c>
      <c r="H26" s="1">
        <v>2023</v>
      </c>
      <c r="I26" s="16">
        <v>2023</v>
      </c>
      <c r="J26" s="1">
        <v>2022</v>
      </c>
      <c r="K26" s="16">
        <v>2022</v>
      </c>
      <c r="L26" s="1">
        <v>2021</v>
      </c>
      <c r="M26" s="1">
        <v>2021</v>
      </c>
      <c r="N26" s="1">
        <v>2020</v>
      </c>
      <c r="O26" s="1">
        <v>2020</v>
      </c>
    </row>
    <row r="27" ht="14.25">
      <c r="C27" t="s">
        <v>192</v>
      </c>
      <c r="D27" t="s">
        <v>193</v>
      </c>
      <c r="E27" s="17" t="s">
        <v>194</v>
      </c>
      <c r="F27" s="10" t="s">
        <v>193</v>
      </c>
      <c r="G27" s="17" t="s">
        <v>194</v>
      </c>
      <c r="H27" s="10" t="s">
        <v>193</v>
      </c>
      <c r="I27" s="17" t="s">
        <v>194</v>
      </c>
      <c r="J27" s="10"/>
      <c r="K27" s="18"/>
      <c r="L27" s="10"/>
      <c r="M27" s="10"/>
      <c r="N27" s="10"/>
      <c r="O27" s="10"/>
    </row>
    <row r="28" ht="14.25">
      <c r="B28" t="s">
        <v>195</v>
      </c>
      <c r="C28" s="19">
        <v>0.59999999999999998</v>
      </c>
      <c r="D28" s="10">
        <v>8860</v>
      </c>
      <c r="E28" s="17">
        <f>D28*$C$28*$F$6/1000</f>
        <v>46568.160000000003</v>
      </c>
      <c r="F28" s="10">
        <v>8860</v>
      </c>
      <c r="G28" s="17">
        <f>F28*$C$28*$F$6/1000</f>
        <v>46568.160000000003</v>
      </c>
      <c r="H28" s="10">
        <v>8860</v>
      </c>
      <c r="I28" s="17">
        <f>H28*$C$28*$F$6/1000</f>
        <v>46568.160000000003</v>
      </c>
      <c r="J28" s="10">
        <v>8860</v>
      </c>
      <c r="K28" s="17">
        <f>J28*$C$28*$F$6/1000</f>
        <v>46568.160000000003</v>
      </c>
      <c r="L28" s="10">
        <v>8859</v>
      </c>
      <c r="M28" s="17">
        <f>L28*$C$28*$F$6/1000</f>
        <v>46562.904000000002</v>
      </c>
      <c r="N28" s="10">
        <v>8805</v>
      </c>
      <c r="O28" s="17">
        <f>N28*$C$28*$F$6/1000</f>
        <v>46279.080000000002</v>
      </c>
    </row>
    <row r="29" ht="14.25">
      <c r="B29" t="s">
        <v>196</v>
      </c>
      <c r="C29" s="19">
        <v>0.20000000000000001</v>
      </c>
      <c r="D29" s="10">
        <v>1034</v>
      </c>
      <c r="E29" s="17">
        <f>D29*$C$29*$F$6/1000</f>
        <v>1811.568</v>
      </c>
      <c r="F29" s="10">
        <v>1034</v>
      </c>
      <c r="G29" s="17">
        <f>F29*$C$29*$F$6/1000</f>
        <v>1811.568</v>
      </c>
      <c r="H29" s="10">
        <v>932</v>
      </c>
      <c r="I29" s="17">
        <f>H29*$C$29*$F$6/1000</f>
        <v>1632.864</v>
      </c>
      <c r="J29" s="10">
        <v>932</v>
      </c>
      <c r="K29" s="17">
        <f>J29*$C$29*$F$6/1000</f>
        <v>1632.864</v>
      </c>
      <c r="L29" s="10">
        <v>932</v>
      </c>
      <c r="M29" s="17">
        <f>L29*$C$29*$F$6/1000</f>
        <v>1632.864</v>
      </c>
      <c r="N29" s="10">
        <v>932</v>
      </c>
      <c r="O29" s="17">
        <f>N29*$C$29*$F$6/1000</f>
        <v>1632.864</v>
      </c>
    </row>
    <row r="30" ht="14.25">
      <c r="B30" t="s">
        <v>197</v>
      </c>
      <c r="C30" s="19">
        <v>0.45000000000000001</v>
      </c>
      <c r="D30" s="10">
        <v>880</v>
      </c>
      <c r="E30" s="17">
        <f>D30*$C$30*$F$6/1000</f>
        <v>3468.96</v>
      </c>
      <c r="F30" s="10">
        <v>880</v>
      </c>
      <c r="G30" s="17">
        <f>F30*$C$30*$F$6/1000</f>
        <v>3468.96</v>
      </c>
      <c r="H30" s="10">
        <v>880</v>
      </c>
      <c r="I30" s="17">
        <f>H30*$C$30*$F$6/1000</f>
        <v>3468.96</v>
      </c>
      <c r="J30" s="10">
        <v>880</v>
      </c>
      <c r="K30" s="17">
        <f>J30*$C$30*$F$6/1000</f>
        <v>3468.96</v>
      </c>
      <c r="L30" s="10">
        <v>880</v>
      </c>
      <c r="M30" s="17">
        <f>L30*$C$30*$F$6/1000</f>
        <v>3468.96</v>
      </c>
      <c r="N30" s="10">
        <v>447</v>
      </c>
      <c r="O30" s="17">
        <f>N30*$C$30*$F$6/1000</f>
        <v>1762.0740000000001</v>
      </c>
    </row>
    <row r="31" ht="14.25">
      <c r="B31" t="s">
        <v>198</v>
      </c>
      <c r="C31" s="19">
        <v>0.5</v>
      </c>
      <c r="D31" s="10">
        <v>443</v>
      </c>
      <c r="E31" s="17">
        <f>D31*$C$31*$F$6/1000</f>
        <v>1940.3399999999999</v>
      </c>
      <c r="F31" s="10">
        <v>443</v>
      </c>
      <c r="G31" s="17">
        <f>F31*$C$31*$F$6/1000</f>
        <v>1940.3399999999999</v>
      </c>
      <c r="H31" s="10">
        <v>443</v>
      </c>
      <c r="I31" s="17">
        <f>H31*$C$31*$F$6/1000</f>
        <v>1940.3399999999999</v>
      </c>
      <c r="J31" s="10">
        <v>375</v>
      </c>
      <c r="K31" s="17">
        <f>J31*$C$31*$F$6/1000</f>
        <v>1642.5</v>
      </c>
      <c r="L31" s="10">
        <v>375</v>
      </c>
      <c r="M31" s="17">
        <f>L31*$C$31*$F$6/1000</f>
        <v>1642.5</v>
      </c>
      <c r="N31" s="10">
        <v>375</v>
      </c>
      <c r="O31" s="17">
        <f>N31*$C$31*$F$6/1000</f>
        <v>1642.5</v>
      </c>
    </row>
    <row r="32" ht="14.25">
      <c r="B32" t="s">
        <v>199</v>
      </c>
      <c r="C32" s="19">
        <v>0.20000000000000001</v>
      </c>
      <c r="D32" s="10">
        <f>5550-D29</f>
        <v>4516</v>
      </c>
      <c r="E32" s="17">
        <f>D32*$C$32*$F$6/1000</f>
        <v>7912.0320000000002</v>
      </c>
      <c r="F32" s="10">
        <v>3490</v>
      </c>
      <c r="G32" s="17">
        <f>F32*$C$32*$F$6/1000</f>
        <v>6114.4799999999996</v>
      </c>
      <c r="H32" s="10">
        <v>2995</v>
      </c>
      <c r="I32" s="17">
        <f>H32*$C$32*$F$6/1000</f>
        <v>5247.2399999999998</v>
      </c>
      <c r="J32" s="10">
        <v>2468</v>
      </c>
      <c r="K32" s="17">
        <f>J32*$C$32*$F$6/1000</f>
        <v>4323.9359999999997</v>
      </c>
      <c r="L32" s="10">
        <v>1762</v>
      </c>
      <c r="M32" s="17">
        <f>L32*$C$32*$F$6/1000</f>
        <v>3087.0240000000003</v>
      </c>
      <c r="N32" s="10">
        <v>1705</v>
      </c>
      <c r="O32" s="17">
        <f>N32*$C$32*$F$6/1000</f>
        <v>2987.1599999999999</v>
      </c>
    </row>
    <row r="33" s="1" customFormat="1" ht="14.25">
      <c r="B33" s="1" t="s">
        <v>200</v>
      </c>
      <c r="C33" s="1"/>
      <c r="D33" s="20">
        <f>SUM(D28:D32)</f>
        <v>15733</v>
      </c>
      <c r="E33" s="21">
        <f>SUM(E28:E32)</f>
        <v>61701.059999999998</v>
      </c>
      <c r="F33" s="20">
        <f>SUM(F28:F32)</f>
        <v>14707</v>
      </c>
      <c r="G33" s="21">
        <f>SUM(G28:G32)</f>
        <v>59903.508000000002</v>
      </c>
      <c r="H33" s="20">
        <f>SUM(H28:H32)</f>
        <v>14110</v>
      </c>
      <c r="I33" s="21">
        <f>SUM(I28:I32)</f>
        <v>58857.563999999998</v>
      </c>
      <c r="J33" s="20">
        <f>SUM(J28:J32)</f>
        <v>13515</v>
      </c>
      <c r="K33" s="21">
        <f>SUM(K28:K32)</f>
        <v>57636.420000000006</v>
      </c>
      <c r="L33" s="20">
        <f>SUM(L28:L32)</f>
        <v>12808</v>
      </c>
      <c r="M33" s="21">
        <f>SUM(M28:M32)</f>
        <v>56394.252</v>
      </c>
      <c r="N33" s="20">
        <f>SUM(N28:N32)</f>
        <v>12264</v>
      </c>
      <c r="O33" s="21">
        <f>SUM(O28:O32)</f>
        <v>54303.678</v>
      </c>
    </row>
    <row r="34" ht="14.25">
      <c r="D34" s="10">
        <f>D33/1000</f>
        <v>15.733000000000001</v>
      </c>
      <c r="E34" s="17">
        <f>E33/1000</f>
        <v>61.701059999999998</v>
      </c>
      <c r="F34" s="10">
        <f>F33/1000</f>
        <v>14.707000000000001</v>
      </c>
      <c r="G34" s="17">
        <f>G33/1000</f>
        <v>59.903508000000002</v>
      </c>
      <c r="H34" s="10">
        <f>H33/1000</f>
        <v>14.109999999999999</v>
      </c>
      <c r="I34" s="17">
        <f>I33/1000</f>
        <v>58.857563999999996</v>
      </c>
      <c r="J34" s="10">
        <f>J33/1000</f>
        <v>13.515000000000001</v>
      </c>
      <c r="K34" s="17">
        <f>K33/1000</f>
        <v>57.636420000000008</v>
      </c>
      <c r="L34" s="10">
        <f>L33/1000</f>
        <v>12.808</v>
      </c>
      <c r="M34" s="17">
        <f>M33/1000</f>
        <v>56.394252000000002</v>
      </c>
      <c r="N34" s="10">
        <f>N33/1000</f>
        <v>12.263999999999999</v>
      </c>
      <c r="O34" s="17">
        <f>O33/1000</f>
        <v>54.303677999999998</v>
      </c>
    </row>
    <row r="35" ht="14.25">
      <c r="E35" s="18"/>
      <c r="F35" s="10"/>
      <c r="G35" s="18"/>
      <c r="H35" s="10"/>
      <c r="I35" s="18"/>
      <c r="J35" s="10"/>
      <c r="K35" s="18"/>
      <c r="L35" s="10"/>
      <c r="M35" s="18"/>
      <c r="N35" s="10"/>
      <c r="O35" s="18"/>
    </row>
    <row r="36" s="1" customFormat="1" ht="14.25">
      <c r="B36" s="1" t="s">
        <v>164</v>
      </c>
      <c r="D36" s="1">
        <f>SUM(D29:D32)</f>
        <v>6873</v>
      </c>
      <c r="E36" s="20">
        <f>SUM(E29:E32)</f>
        <v>15132.900000000001</v>
      </c>
      <c r="F36" s="1">
        <f>SUM(F29:F32)</f>
        <v>5847</v>
      </c>
      <c r="G36" s="20">
        <f>SUM(G29:G32)</f>
        <v>13335.348</v>
      </c>
      <c r="H36" s="20">
        <f>SUM(H29:H32)</f>
        <v>5250</v>
      </c>
      <c r="I36" s="20">
        <f>SUM(I29:I32)</f>
        <v>12289.404</v>
      </c>
      <c r="J36" s="20">
        <f>SUM(J29:J32)</f>
        <v>4655</v>
      </c>
      <c r="K36" s="20">
        <f>SUM(K29:K32)</f>
        <v>11068.26</v>
      </c>
      <c r="L36" s="20">
        <f>SUM(L29:L32)</f>
        <v>3949</v>
      </c>
      <c r="M36" s="20">
        <f>SUM(M29:M32)</f>
        <v>9831.3480000000018</v>
      </c>
      <c r="N36" s="20">
        <f>SUM(N29:N32)</f>
        <v>3459</v>
      </c>
      <c r="O36" s="20">
        <f>SUM(O29:O32)</f>
        <v>8024.598</v>
      </c>
    </row>
    <row r="37" ht="14.25">
      <c r="D37">
        <f>D36/1000</f>
        <v>6.8730000000000002</v>
      </c>
      <c r="E37" s="10">
        <f>E36/1000</f>
        <v>15.132900000000001</v>
      </c>
      <c r="F37" s="10">
        <f>F36/1000</f>
        <v>5.8470000000000004</v>
      </c>
      <c r="G37" s="10">
        <f>G36/1000</f>
        <v>13.335348</v>
      </c>
      <c r="H37" s="10">
        <f>H36/1000</f>
        <v>5.25</v>
      </c>
      <c r="I37" s="10">
        <f>I36/1000</f>
        <v>12.289404000000001</v>
      </c>
      <c r="J37" s="10">
        <f>J36/1000</f>
        <v>4.6550000000000002</v>
      </c>
      <c r="K37" s="10">
        <f>K36/1000</f>
        <v>11.06826</v>
      </c>
      <c r="L37" s="10">
        <f>L36/1000</f>
        <v>3.9489999999999998</v>
      </c>
      <c r="M37" s="10">
        <f>M36/1000</f>
        <v>9.831348000000002</v>
      </c>
      <c r="N37" s="10">
        <f>N36/1000</f>
        <v>3.4590000000000001</v>
      </c>
      <c r="O37" s="10">
        <f>O36/1000</f>
        <v>8.0245979999999992</v>
      </c>
    </row>
    <row r="38" ht="14.25">
      <c r="D38" s="12"/>
      <c r="E38" s="10"/>
      <c r="F38" s="10"/>
      <c r="G38" s="10"/>
      <c r="H38" s="10"/>
      <c r="I38" s="10"/>
      <c r="J38" s="10"/>
      <c r="K38" s="10"/>
      <c r="L38" s="10"/>
      <c r="M38" s="10"/>
      <c r="N38" s="10"/>
      <c r="O38" s="10"/>
    </row>
    <row r="39" ht="14.25">
      <c r="B39" s="1" t="s">
        <v>201</v>
      </c>
      <c r="D39" s="12"/>
      <c r="E39" s="10"/>
      <c r="F39" s="10">
        <v>10.9</v>
      </c>
      <c r="G39" s="10"/>
      <c r="H39" s="10"/>
      <c r="I39" s="10"/>
      <c r="J39" s="10"/>
      <c r="K39" s="10"/>
      <c r="L39" s="10"/>
      <c r="M39" s="10"/>
      <c r="N39" s="10"/>
      <c r="O39" s="10"/>
    </row>
    <row r="40" ht="14.25">
      <c r="D40" s="12"/>
      <c r="E40" s="10"/>
      <c r="F40" s="10"/>
      <c r="G40" s="10"/>
      <c r="H40" s="10"/>
      <c r="I40" s="10"/>
      <c r="J40" s="10"/>
      <c r="K40" s="10"/>
      <c r="L40" s="10"/>
      <c r="M40" s="10"/>
      <c r="N40" s="10"/>
      <c r="O40" s="10"/>
    </row>
    <row r="41" ht="14.25">
      <c r="E41" s="12"/>
      <c r="F41" s="10"/>
      <c r="G41" s="12"/>
      <c r="H41" s="10"/>
      <c r="I41" s="12"/>
      <c r="J41" s="10"/>
      <c r="L41" s="10"/>
      <c r="M41" s="10"/>
      <c r="N41" s="10"/>
      <c r="O41" s="10"/>
    </row>
    <row r="42" s="1" customFormat="1" ht="14.25">
      <c r="B42" s="1" t="s">
        <v>202</v>
      </c>
      <c r="D42" s="1">
        <v>140000</v>
      </c>
      <c r="E42" s="1"/>
      <c r="F42" s="20"/>
      <c r="G42" s="1"/>
      <c r="H42" s="20"/>
      <c r="I42" s="1"/>
      <c r="J42" s="20"/>
      <c r="K42" s="1"/>
      <c r="L42" s="20"/>
      <c r="M42" s="20"/>
      <c r="N42" s="20"/>
      <c r="O42" s="20"/>
    </row>
    <row r="43" ht="14.25">
      <c r="E43" s="12"/>
      <c r="F43" s="10"/>
      <c r="G43" s="12"/>
      <c r="H43" s="10"/>
      <c r="I43" s="12"/>
      <c r="J43" s="10"/>
      <c r="K43" s="12"/>
      <c r="L43" s="10"/>
      <c r="M43" s="10"/>
      <c r="N43" s="10"/>
      <c r="O43" s="10"/>
    </row>
    <row r="44" ht="14.25">
      <c r="B44" t="s">
        <v>203</v>
      </c>
      <c r="E44" t="s">
        <v>204</v>
      </c>
    </row>
    <row r="45" ht="14.25">
      <c r="B45" t="s">
        <v>205</v>
      </c>
      <c r="E45" t="s">
        <v>206</v>
      </c>
    </row>
    <row r="46" ht="14.25">
      <c r="B46" t="s">
        <v>207</v>
      </c>
      <c r="E46" s="22">
        <f>E33/1543000</f>
        <v>0.039987725210628641</v>
      </c>
    </row>
    <row r="47" ht="14.25">
      <c r="E47" s="22">
        <f>D34/277</f>
        <v>0.056797833935018055</v>
      </c>
    </row>
    <row r="49" ht="14.25">
      <c r="A49" t="s">
        <v>208</v>
      </c>
    </row>
    <row r="50" ht="14.25"/>
    <row r="51" ht="14.25">
      <c r="A51" s="1" t="s">
        <v>209</v>
      </c>
      <c r="E51" s="1">
        <v>2021</v>
      </c>
      <c r="F51" s="1">
        <v>2022</v>
      </c>
    </row>
    <row r="52" ht="14.25">
      <c r="A52" t="s">
        <v>210</v>
      </c>
      <c r="D52" t="s">
        <v>211</v>
      </c>
      <c r="E52">
        <v>6068.7799999999997</v>
      </c>
    </row>
    <row r="53" ht="14.25">
      <c r="A53" t="s">
        <v>212</v>
      </c>
      <c r="D53" t="s">
        <v>213</v>
      </c>
    </row>
    <row r="54" ht="14.25">
      <c r="A54" s="12" t="s">
        <v>214</v>
      </c>
      <c r="D54" t="s">
        <v>215</v>
      </c>
    </row>
    <row r="55" ht="14.25">
      <c r="A55" s="12"/>
    </row>
    <row r="56" ht="14.25">
      <c r="A56" s="12"/>
    </row>
    <row r="58" ht="14.25">
      <c r="A58" s="1" t="s">
        <v>164</v>
      </c>
    </row>
    <row r="59" ht="14.25">
      <c r="A59" t="s">
        <v>216</v>
      </c>
    </row>
    <row r="60" ht="14.25">
      <c r="A60" t="s">
        <v>217</v>
      </c>
    </row>
    <row r="61" ht="14.25">
      <c r="A61" t="s">
        <v>218</v>
      </c>
    </row>
    <row r="62" ht="14.25"/>
    <row r="63" ht="14.25">
      <c r="A63" t="s">
        <v>219</v>
      </c>
    </row>
    <row r="64" ht="14.25">
      <c r="A64" s="1" t="s">
        <v>169</v>
      </c>
    </row>
    <row r="65" ht="14.25">
      <c r="A65" t="s">
        <v>220</v>
      </c>
    </row>
    <row r="66" ht="14.25">
      <c r="A66" t="s">
        <v>221</v>
      </c>
      <c r="F66">
        <v>11211</v>
      </c>
    </row>
    <row r="67" ht="14.25">
      <c r="A67" s="12" t="s">
        <v>222</v>
      </c>
      <c r="F67">
        <v>-8290</v>
      </c>
    </row>
    <row r="68" ht="14.25">
      <c r="A68" s="12"/>
    </row>
    <row r="69" ht="14.25">
      <c r="A69" s="12"/>
    </row>
    <row r="71" ht="14.25">
      <c r="A71" s="1" t="s">
        <v>162</v>
      </c>
    </row>
    <row r="72" ht="14.25">
      <c r="A72" s="12" t="s">
        <v>223</v>
      </c>
    </row>
    <row r="73" ht="14.25">
      <c r="A73" s="1"/>
    </row>
    <row r="74" ht="14.25">
      <c r="A74" s="1"/>
    </row>
    <row r="77" ht="14.25">
      <c r="A77" s="1" t="s">
        <v>224</v>
      </c>
    </row>
    <row r="78" ht="14.25">
      <c r="A78" t="s">
        <v>225</v>
      </c>
    </row>
    <row r="79" ht="14.25">
      <c r="A79" t="s">
        <v>226</v>
      </c>
    </row>
    <row r="80" ht="14.25">
      <c r="A80" t="s">
        <v>227</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5.7109375"/>
  </cols>
  <sheetData>
    <row r="1" ht="14.25">
      <c r="A1" t="s">
        <v>126</v>
      </c>
      <c r="B1" t="s">
        <v>228</v>
      </c>
      <c r="C1" s="12"/>
      <c r="D1" s="12"/>
      <c r="E1" s="12"/>
      <c r="F1" s="12"/>
      <c r="G1" s="12"/>
      <c r="H1" s="12"/>
      <c r="I1" s="12"/>
      <c r="J1" s="12"/>
      <c r="K1" s="12"/>
      <c r="L1" s="12"/>
      <c r="M1" s="12"/>
      <c r="N1" s="12"/>
      <c r="O1" s="12"/>
      <c r="P1" s="12"/>
      <c r="Q1" s="12"/>
      <c r="R1" s="12"/>
      <c r="S1" s="12"/>
      <c r="V1" s="11" t="s">
        <v>229</v>
      </c>
      <c r="W1" s="11" t="s">
        <v>230</v>
      </c>
      <c r="X1" s="11" t="s">
        <v>231</v>
      </c>
      <c r="Z1" s="11" t="s">
        <v>232</v>
      </c>
    </row>
    <row r="2" s="1" customFormat="1" ht="14.25">
      <c r="C2" s="1" t="s">
        <v>233</v>
      </c>
      <c r="D2" s="1" t="s">
        <v>234</v>
      </c>
      <c r="E2" s="1" t="s">
        <v>235</v>
      </c>
      <c r="F2" s="1" t="s">
        <v>236</v>
      </c>
      <c r="G2" s="1" t="s">
        <v>237</v>
      </c>
      <c r="H2" s="1" t="s">
        <v>238</v>
      </c>
      <c r="I2" s="1" t="s">
        <v>239</v>
      </c>
      <c r="J2" s="1" t="s">
        <v>240</v>
      </c>
      <c r="K2" s="1" t="s">
        <v>241</v>
      </c>
      <c r="L2" s="1" t="s">
        <v>242</v>
      </c>
      <c r="M2" s="1" t="s">
        <v>243</v>
      </c>
      <c r="N2" s="1" t="s">
        <v>244</v>
      </c>
      <c r="O2" s="1" t="s">
        <v>245</v>
      </c>
      <c r="P2" s="1"/>
      <c r="Q2" s="1"/>
      <c r="R2" s="1">
        <f>S2-1</f>
        <v>2017</v>
      </c>
      <c r="S2" s="1">
        <f>T2-1</f>
        <v>2018</v>
      </c>
      <c r="T2" s="1">
        <v>2019</v>
      </c>
      <c r="U2" s="1">
        <f>T2+1</f>
        <v>2020</v>
      </c>
      <c r="V2" s="1">
        <f>U2+1</f>
        <v>2021</v>
      </c>
      <c r="W2" s="1">
        <f>V2+1</f>
        <v>2022</v>
      </c>
      <c r="X2" s="1">
        <f>W2+1</f>
        <v>2023</v>
      </c>
      <c r="Y2" s="1">
        <f>X2+1</f>
        <v>2024</v>
      </c>
      <c r="Z2" s="1">
        <f>Y2+1</f>
        <v>2025</v>
      </c>
      <c r="AA2" s="1"/>
      <c r="AB2" s="1"/>
      <c r="AC2" s="1"/>
      <c r="AD2" s="1">
        <v>2025</v>
      </c>
      <c r="AE2" s="1">
        <f>AD2+1</f>
        <v>2026</v>
      </c>
      <c r="AF2" s="1">
        <f>AE2+1</f>
        <v>2027</v>
      </c>
      <c r="AG2" s="1">
        <f>AF2+1</f>
        <v>2028</v>
      </c>
      <c r="AH2" s="1">
        <f>AG2+1</f>
        <v>2029</v>
      </c>
      <c r="AI2" s="1">
        <f>AH2+1</f>
        <v>2030</v>
      </c>
      <c r="AJ2" s="1">
        <f>AI2+1</f>
        <v>2031</v>
      </c>
      <c r="AK2" s="1">
        <f>AJ2+1</f>
        <v>2032</v>
      </c>
      <c r="AL2" s="1">
        <f>AK2+1</f>
        <v>2033</v>
      </c>
      <c r="AM2" s="1">
        <f>AL2+1</f>
        <v>2034</v>
      </c>
      <c r="AN2" s="1">
        <f>AM2+1</f>
        <v>2035</v>
      </c>
      <c r="AO2" s="1"/>
    </row>
    <row r="3" ht="14.25">
      <c r="B3" t="s">
        <v>246</v>
      </c>
      <c r="C3" s="12"/>
      <c r="D3" s="12"/>
      <c r="E3" s="12"/>
      <c r="F3" s="12"/>
      <c r="G3" s="12"/>
      <c r="H3" s="12"/>
      <c r="I3" s="12"/>
      <c r="J3" s="12"/>
      <c r="K3" s="12"/>
      <c r="L3" s="12"/>
      <c r="M3" s="12"/>
      <c r="N3" s="12"/>
      <c r="O3" s="12"/>
      <c r="P3" s="12"/>
      <c r="Q3" s="12"/>
      <c r="R3" s="12">
        <v>27587.59</v>
      </c>
      <c r="S3" s="12">
        <v>29331.220000000001</v>
      </c>
      <c r="T3" s="23">
        <v>29881.060000000001</v>
      </c>
      <c r="U3" s="23">
        <v>29136.369999999999</v>
      </c>
      <c r="V3" s="23">
        <v>32703.310000000001</v>
      </c>
      <c r="W3" s="23">
        <v>42815.669999999998</v>
      </c>
      <c r="X3" s="23">
        <v>55109.080000000002</v>
      </c>
      <c r="Y3" s="24">
        <v>61448.900000000001</v>
      </c>
      <c r="Z3" s="24">
        <v>65478.239999999998</v>
      </c>
      <c r="AD3" s="24">
        <v>65478.239999999998</v>
      </c>
    </row>
    <row r="4" ht="14.25">
      <c r="B4" t="s">
        <v>247</v>
      </c>
      <c r="C4" s="12"/>
      <c r="D4" s="12"/>
      <c r="E4" s="12"/>
      <c r="F4" s="12"/>
      <c r="G4" s="12"/>
      <c r="H4" s="12"/>
      <c r="I4" s="12"/>
      <c r="J4" s="12"/>
      <c r="K4" s="12"/>
      <c r="L4" s="12"/>
      <c r="M4" s="12"/>
      <c r="N4" s="12"/>
      <c r="O4" s="12"/>
      <c r="P4" s="12"/>
      <c r="Q4" s="12"/>
      <c r="R4" s="12">
        <v>585.89999999999998</v>
      </c>
      <c r="S4" s="12">
        <v>432.69</v>
      </c>
      <c r="T4" s="23">
        <v>386.14999999999998</v>
      </c>
      <c r="U4" s="23">
        <v>562.61000000000001</v>
      </c>
      <c r="V4" s="23">
        <v>439.24000000000001</v>
      </c>
      <c r="W4" s="23">
        <v>919.96000000000004</v>
      </c>
      <c r="X4" s="23">
        <v>1438.02</v>
      </c>
      <c r="Y4" s="24">
        <v>1823.4200000000001</v>
      </c>
      <c r="Z4" s="24">
        <v>1513.9300000000001</v>
      </c>
      <c r="AD4" s="24">
        <v>1513.9300000000001</v>
      </c>
    </row>
    <row r="5" s="1" customFormat="1" ht="14.25">
      <c r="B5" s="1" t="s">
        <v>134</v>
      </c>
      <c r="C5" s="1"/>
      <c r="D5" s="1"/>
      <c r="E5" s="1"/>
      <c r="F5" s="1"/>
      <c r="G5" s="1"/>
      <c r="H5" s="1"/>
      <c r="I5" s="1"/>
      <c r="J5" s="1"/>
      <c r="K5" s="1"/>
      <c r="L5" s="1"/>
      <c r="M5" s="1"/>
      <c r="N5" s="1"/>
      <c r="O5" s="1"/>
      <c r="P5" s="1"/>
      <c r="Q5" s="1"/>
      <c r="R5" s="25">
        <f>SUM(R3:R4)</f>
        <v>28173.490000000002</v>
      </c>
      <c r="S5" s="25">
        <f>SUM(S3:S4)</f>
        <v>29763.91</v>
      </c>
      <c r="T5" s="25">
        <f>SUM(T3:T4)</f>
        <v>30267.210000000003</v>
      </c>
      <c r="U5" s="25">
        <f>SUM(U3:U4)</f>
        <v>29698.98</v>
      </c>
      <c r="V5" s="25">
        <f>SUM(V3:V4)</f>
        <v>33142.550000000003</v>
      </c>
      <c r="W5" s="25">
        <f>SUM(W3:W4)</f>
        <v>43735.629999999997</v>
      </c>
      <c r="X5" s="25">
        <f>SUM(X3:X4)</f>
        <v>56547.099999999999</v>
      </c>
      <c r="Y5" s="25">
        <f>SUM(Y3:Y4)</f>
        <v>63272.32</v>
      </c>
      <c r="Z5" s="25">
        <f>SUM(Z3:Z4)</f>
        <v>66992.169999999998</v>
      </c>
      <c r="AA5" s="1"/>
      <c r="AB5" s="1"/>
      <c r="AC5" s="1"/>
      <c r="AD5" s="25">
        <f>SUM(AD3:AD4)</f>
        <v>66992.169999999998</v>
      </c>
      <c r="AE5" s="26">
        <f>AD5*(1+$AC$30)</f>
        <v>73155.449640000006</v>
      </c>
      <c r="AF5" s="26">
        <f>AE5*(1+$AC$30)</f>
        <v>79885.751006880018</v>
      </c>
      <c r="AG5" s="26">
        <f>AF5*(1+$AC$30)</f>
        <v>87235.240099512986</v>
      </c>
      <c r="AH5" s="26">
        <f>AG5*(1+$AC$30)</f>
        <v>95260.882188668184</v>
      </c>
      <c r="AI5" s="26">
        <f>AH5*(1+$AC$30)</f>
        <v>104024.88335002566</v>
      </c>
      <c r="AJ5" s="26">
        <f>AI5*(1+$AC$30)</f>
        <v>113595.17261822803</v>
      </c>
      <c r="AK5" s="26">
        <f>AJ5*(1+$AC$30)</f>
        <v>124045.92849910501</v>
      </c>
      <c r="AL5" s="26">
        <f>AK5*(1+$AC$30)</f>
        <v>135458.15392102269</v>
      </c>
      <c r="AM5" s="26">
        <f>AL5*(1+$AC$30)</f>
        <v>147920.3040817568</v>
      </c>
      <c r="AN5" s="26">
        <f>AM5*(1+$AC$30)</f>
        <v>161528.97205727844</v>
      </c>
    </row>
    <row r="6" ht="14.25">
      <c r="R6" s="23"/>
      <c r="S6" s="23"/>
      <c r="T6" s="23"/>
      <c r="U6" s="23"/>
      <c r="V6" s="23"/>
      <c r="W6" s="23"/>
      <c r="X6" s="23"/>
      <c r="Y6" s="24"/>
      <c r="Z6" s="24"/>
      <c r="AD6" s="24"/>
      <c r="AF6" s="10"/>
      <c r="AG6" s="10"/>
      <c r="AH6" s="10"/>
      <c r="AI6" s="10"/>
      <c r="AJ6" s="10"/>
      <c r="AK6" s="10"/>
      <c r="AL6" s="10"/>
      <c r="AM6" s="10"/>
      <c r="AN6" s="10"/>
    </row>
    <row r="7" ht="14.25">
      <c r="B7" t="s">
        <v>248</v>
      </c>
      <c r="C7" s="12"/>
      <c r="D7" s="12"/>
      <c r="E7" s="12"/>
      <c r="F7" s="12"/>
      <c r="G7" s="12"/>
      <c r="H7" s="12"/>
      <c r="I7" s="12"/>
      <c r="J7" s="12"/>
      <c r="K7" s="12"/>
      <c r="L7" s="12"/>
      <c r="M7" s="12"/>
      <c r="N7" s="12"/>
      <c r="O7" s="12"/>
      <c r="P7" s="12"/>
      <c r="Q7" s="12"/>
      <c r="R7" s="23">
        <v>8218.9899999999998</v>
      </c>
      <c r="S7" s="23">
        <v>8004.2299999999996</v>
      </c>
      <c r="T7" s="23">
        <v>6359.5299999999997</v>
      </c>
      <c r="U7" s="23">
        <v>6220.46</v>
      </c>
      <c r="V7" s="23">
        <v>8334.4099999999999</v>
      </c>
      <c r="W7" s="23">
        <v>14640.620000000001</v>
      </c>
      <c r="X7" s="23">
        <v>19062.669999999998</v>
      </c>
      <c r="Y7" s="24">
        <v>20014.459999999999</v>
      </c>
      <c r="Z7" s="24">
        <v>20523.610000000001</v>
      </c>
      <c r="AD7" s="24">
        <v>20523.610000000001</v>
      </c>
      <c r="AF7" s="10"/>
      <c r="AG7" s="10"/>
      <c r="AH7" s="10"/>
      <c r="AI7" s="10"/>
      <c r="AJ7" s="10"/>
      <c r="AK7" s="10"/>
      <c r="AL7" s="10"/>
      <c r="AM7" s="10"/>
      <c r="AN7" s="10"/>
    </row>
    <row r="8" ht="14.25">
      <c r="B8" t="s">
        <v>249</v>
      </c>
      <c r="C8" s="12"/>
      <c r="D8" s="12"/>
      <c r="E8" s="12"/>
      <c r="F8" s="12"/>
      <c r="G8" s="12"/>
      <c r="H8" s="12"/>
      <c r="I8" s="12"/>
      <c r="J8" s="12"/>
      <c r="K8" s="12"/>
      <c r="L8" s="12"/>
      <c r="M8" s="12"/>
      <c r="N8" s="12"/>
      <c r="O8" s="12"/>
      <c r="P8" s="12"/>
      <c r="Q8" s="12"/>
      <c r="R8" s="23">
        <v>8692.3899999999994</v>
      </c>
      <c r="S8" s="23">
        <v>10009.860000000001</v>
      </c>
      <c r="T8" s="23">
        <v>11640.02</v>
      </c>
      <c r="U8" s="23">
        <v>9922.3899999999994</v>
      </c>
      <c r="V8" s="23">
        <v>9074.9599999999991</v>
      </c>
      <c r="W8" s="23">
        <v>8290.9200000000001</v>
      </c>
      <c r="X8" s="23">
        <v>13763.59</v>
      </c>
      <c r="Y8" s="24">
        <v>14130.469999999999</v>
      </c>
      <c r="Z8" s="24">
        <v>13918.469999999999</v>
      </c>
      <c r="AD8" s="24">
        <v>13918.469999999999</v>
      </c>
      <c r="AF8" s="10"/>
      <c r="AG8" s="10"/>
      <c r="AH8" s="10"/>
      <c r="AI8" s="10"/>
      <c r="AJ8" s="10"/>
      <c r="AK8" s="10"/>
      <c r="AL8" s="10"/>
      <c r="AM8" s="10"/>
      <c r="AN8" s="10"/>
    </row>
    <row r="9" ht="14.25">
      <c r="B9" t="s">
        <v>250</v>
      </c>
      <c r="C9" s="12"/>
      <c r="D9" s="12"/>
      <c r="E9" s="12"/>
      <c r="F9" s="12"/>
      <c r="G9" s="12"/>
      <c r="H9" s="12"/>
      <c r="I9" s="12"/>
      <c r="J9" s="12"/>
      <c r="K9" s="12"/>
      <c r="L9" s="12"/>
      <c r="M9" s="12"/>
      <c r="N9" s="12"/>
      <c r="O9" s="12"/>
      <c r="P9" s="12"/>
      <c r="Q9" s="12"/>
      <c r="R9" s="23">
        <v>224.13</v>
      </c>
      <c r="S9" s="23">
        <v>281.99000000000001</v>
      </c>
      <c r="T9" s="23">
        <v>248.22999999999999</v>
      </c>
      <c r="U9" s="23">
        <v>214</v>
      </c>
      <c r="V9" s="23">
        <v>504.60000000000002</v>
      </c>
      <c r="W9" s="23">
        <v>1018.1900000000001</v>
      </c>
      <c r="X9" s="23">
        <v>1194.95</v>
      </c>
      <c r="Y9" s="24">
        <v>1168.6900000000001</v>
      </c>
      <c r="Z9" s="24">
        <v>1277.8099999999999</v>
      </c>
      <c r="AD9" s="24">
        <v>1277.8099999999999</v>
      </c>
      <c r="AF9" s="10"/>
      <c r="AG9" s="10"/>
      <c r="AH9" s="10"/>
      <c r="AI9" s="10"/>
      <c r="AJ9" s="10"/>
      <c r="AK9" s="10"/>
      <c r="AL9" s="10"/>
      <c r="AM9" s="10"/>
      <c r="AN9" s="10"/>
    </row>
    <row r="10" ht="14.25">
      <c r="B10" t="s">
        <v>251</v>
      </c>
      <c r="C10" s="12"/>
      <c r="D10" s="12"/>
      <c r="E10" s="12"/>
      <c r="F10" s="12"/>
      <c r="G10" s="12"/>
      <c r="H10" s="12"/>
      <c r="I10" s="12"/>
      <c r="J10" s="12"/>
      <c r="K10" s="12"/>
      <c r="L10" s="12"/>
      <c r="M10" s="12"/>
      <c r="N10" s="12"/>
      <c r="O10" s="12"/>
      <c r="P10" s="12"/>
      <c r="Q10" s="12"/>
      <c r="R10" s="23">
        <v>1009.67</v>
      </c>
      <c r="S10" s="23">
        <v>748.97000000000003</v>
      </c>
      <c r="T10" s="23">
        <v>919.35000000000002</v>
      </c>
      <c r="U10" s="23">
        <v>957.17999999999995</v>
      </c>
      <c r="V10" s="23">
        <v>2628.1900000000001</v>
      </c>
      <c r="W10" s="23">
        <v>3832.8299999999999</v>
      </c>
      <c r="X10" s="23">
        <v>3882.3000000000002</v>
      </c>
      <c r="Y10" s="24">
        <v>5439.8599999999997</v>
      </c>
      <c r="Z10" s="24">
        <v>4921.46</v>
      </c>
      <c r="AD10" s="24">
        <v>4921.46</v>
      </c>
      <c r="AF10" s="10"/>
      <c r="AG10" s="10"/>
      <c r="AH10" s="10"/>
      <c r="AI10" s="10"/>
      <c r="AJ10" s="10"/>
      <c r="AK10" s="10"/>
      <c r="AL10" s="10"/>
      <c r="AM10" s="10"/>
      <c r="AN10" s="10"/>
    </row>
    <row r="11" ht="14.25">
      <c r="B11" t="s">
        <v>252</v>
      </c>
      <c r="C11" s="12"/>
      <c r="D11" s="12"/>
      <c r="E11" s="12"/>
      <c r="F11" s="12"/>
      <c r="G11" s="12"/>
      <c r="H11" s="12"/>
      <c r="I11" s="12"/>
      <c r="J11" s="12"/>
      <c r="K11" s="12"/>
      <c r="L11" s="12"/>
      <c r="M11" s="12"/>
      <c r="N11" s="12"/>
      <c r="O11" s="12"/>
      <c r="P11" s="12"/>
      <c r="Q11" s="12"/>
      <c r="R11" s="23">
        <v>26.399999999999999</v>
      </c>
      <c r="S11" s="23">
        <v>181.68000000000001</v>
      </c>
      <c r="T11" s="23">
        <v>345.22000000000003</v>
      </c>
      <c r="U11" s="23">
        <v>111.73999999999999</v>
      </c>
      <c r="V11" s="23">
        <v>28.890000000000001</v>
      </c>
      <c r="W11" s="23">
        <v>49.109999999999999</v>
      </c>
      <c r="X11" s="23">
        <v>56.149999999999999</v>
      </c>
      <c r="Y11" s="24">
        <v>39.890000000000001</v>
      </c>
      <c r="Z11" s="24">
        <v>31.84</v>
      </c>
      <c r="AD11" s="24">
        <v>31.84</v>
      </c>
      <c r="AF11" s="10"/>
      <c r="AG11" s="10"/>
      <c r="AH11" s="10"/>
      <c r="AI11" s="10"/>
      <c r="AJ11" s="10"/>
      <c r="AK11" s="10"/>
      <c r="AL11" s="10"/>
      <c r="AM11" s="10"/>
      <c r="AN11" s="10"/>
    </row>
    <row r="12" s="1" customFormat="1" ht="14.25">
      <c r="B12" s="1" t="s">
        <v>253</v>
      </c>
      <c r="C12" s="1"/>
      <c r="D12" s="1"/>
      <c r="E12" s="1"/>
      <c r="F12" s="1"/>
      <c r="G12" s="1"/>
      <c r="H12" s="1"/>
      <c r="I12" s="1"/>
      <c r="J12" s="1"/>
      <c r="K12" s="1"/>
      <c r="L12" s="1"/>
      <c r="M12" s="1"/>
      <c r="N12" s="1"/>
      <c r="O12" s="1"/>
      <c r="P12" s="1"/>
      <c r="Q12" s="1"/>
      <c r="R12" s="27">
        <f>SUM(R7:R11)</f>
        <v>18171.579999999998</v>
      </c>
      <c r="S12" s="27">
        <f>SUM(S7:S11)</f>
        <v>19226.730000000003</v>
      </c>
      <c r="T12" s="27">
        <f>SUM(T7:T11)</f>
        <v>19512.349999999999</v>
      </c>
      <c r="U12" s="27">
        <f>SUM(U7:U11)</f>
        <v>17425.77</v>
      </c>
      <c r="V12" s="27">
        <f>SUM(V7:V11)</f>
        <v>20571.049999999996</v>
      </c>
      <c r="W12" s="27">
        <f>SUM(W7:W11)</f>
        <v>27831.669999999998</v>
      </c>
      <c r="X12" s="27">
        <f>SUM(X7:X11)</f>
        <v>37959.659999999996</v>
      </c>
      <c r="Y12" s="27">
        <f>SUM(Y7:Y11)</f>
        <v>40793.370000000003</v>
      </c>
      <c r="Z12" s="27">
        <f>SUM(Z7:Z11)</f>
        <v>40673.189999999995</v>
      </c>
      <c r="AA12" s="1"/>
      <c r="AB12" s="1"/>
      <c r="AC12" s="1"/>
      <c r="AD12" s="27">
        <f>SUM(AD7:AD11)</f>
        <v>40673.189999999995</v>
      </c>
      <c r="AE12" s="26">
        <f>AE5*(1-$AC$32)</f>
        <v>46819.487769600004</v>
      </c>
      <c r="AF12" s="26">
        <f>AF5*(1-$AC$32)</f>
        <v>51126.880644403216</v>
      </c>
      <c r="AG12" s="26">
        <f>AG5*(1-$AC$32)</f>
        <v>55830.553663688312</v>
      </c>
      <c r="AH12" s="26">
        <f>AH5*(1-$AC$32)</f>
        <v>60966.96460074764</v>
      </c>
      <c r="AI12" s="26">
        <f>AI5*(1-$AC$32)</f>
        <v>66575.925344016418</v>
      </c>
      <c r="AJ12" s="26">
        <f>AJ5*(1-$AC$32)</f>
        <v>72700.910475665936</v>
      </c>
      <c r="AK12" s="26">
        <f>AK5*(1-$AC$32)</f>
        <v>79389.394239427202</v>
      </c>
      <c r="AL12" s="26">
        <f>AL5*(1-$AC$32)</f>
        <v>86693.218509454528</v>
      </c>
      <c r="AM12" s="26">
        <f>AM5*(1-$AC$32)</f>
        <v>94668.994612324357</v>
      </c>
      <c r="AN12" s="26">
        <f>AN5*(1-$AC$32)</f>
        <v>103378.54211665821</v>
      </c>
    </row>
    <row r="13" ht="14.25">
      <c r="B13" t="s">
        <v>254</v>
      </c>
      <c r="C13" s="12"/>
      <c r="D13" s="12"/>
      <c r="E13" s="12"/>
      <c r="F13" s="12"/>
      <c r="G13" s="12"/>
      <c r="H13" s="12"/>
      <c r="I13" s="12"/>
      <c r="J13" s="12"/>
      <c r="K13" s="12"/>
      <c r="L13" s="12"/>
      <c r="M13" s="12"/>
      <c r="N13" s="12"/>
      <c r="O13" s="12"/>
      <c r="P13" s="12"/>
      <c r="Q13" s="12"/>
      <c r="R13" s="23">
        <v>28.34</v>
      </c>
      <c r="S13" s="23">
        <v>-8.5099999999999998</v>
      </c>
      <c r="T13" s="23">
        <v>24.370000000000001</v>
      </c>
      <c r="U13" s="23">
        <v>-15.640000000000001</v>
      </c>
      <c r="V13" s="23">
        <v>0.40999999999999998</v>
      </c>
      <c r="W13" s="23">
        <v>-199.22</v>
      </c>
      <c r="X13" s="23">
        <v>43.530000000000001</v>
      </c>
      <c r="Y13" s="24">
        <v>-51.780000000000001</v>
      </c>
      <c r="Z13" s="24">
        <v>-440.75999999999999</v>
      </c>
      <c r="AD13" s="24">
        <v>-440.75999999999999</v>
      </c>
      <c r="AE13">
        <v>0</v>
      </c>
      <c r="AF13" s="10">
        <v>0</v>
      </c>
      <c r="AG13" s="10">
        <v>0</v>
      </c>
      <c r="AH13" s="10">
        <v>0</v>
      </c>
      <c r="AI13" s="10">
        <v>0</v>
      </c>
      <c r="AJ13" s="10">
        <v>0</v>
      </c>
      <c r="AK13" s="10">
        <v>0</v>
      </c>
      <c r="AL13" s="10">
        <v>0</v>
      </c>
      <c r="AM13" s="10">
        <v>0</v>
      </c>
      <c r="AN13" s="10">
        <v>0</v>
      </c>
    </row>
    <row r="14" ht="14.25">
      <c r="B14" t="s">
        <v>136</v>
      </c>
      <c r="C14" s="12"/>
      <c r="D14" s="12"/>
      <c r="E14" s="12"/>
      <c r="F14" s="12"/>
      <c r="G14" s="12"/>
      <c r="H14" s="12"/>
      <c r="I14" s="12"/>
      <c r="J14" s="12"/>
      <c r="K14" s="12"/>
      <c r="L14" s="12"/>
      <c r="M14" s="12"/>
      <c r="N14" s="12"/>
      <c r="O14" s="12"/>
      <c r="P14" s="12"/>
      <c r="Q14" s="12"/>
      <c r="R14" s="23">
        <v>1261.1099999999999</v>
      </c>
      <c r="S14" s="23">
        <v>1381.9200000000001</v>
      </c>
      <c r="T14" s="23">
        <v>1339.05</v>
      </c>
      <c r="U14" s="23">
        <v>1440.6400000000001</v>
      </c>
      <c r="V14" s="23">
        <v>2316.6700000000001</v>
      </c>
      <c r="W14" s="23">
        <v>3611.6300000000001</v>
      </c>
      <c r="X14" s="23">
        <v>3624.2600000000002</v>
      </c>
      <c r="Y14" s="24">
        <v>4036.0599999999999</v>
      </c>
      <c r="Z14" s="24">
        <v>4372.9200000000001</v>
      </c>
      <c r="AD14" s="24">
        <v>4372.9200000000001</v>
      </c>
      <c r="AE14">
        <f>AD14*(1+$AC$33)</f>
        <v>4897.6704000000009</v>
      </c>
      <c r="AF14" s="10">
        <f>AE14*(1+$AC$33)</f>
        <v>5485.3908480000018</v>
      </c>
      <c r="AG14" s="10">
        <f>AF14*(1+$AC$33)</f>
        <v>6143.6377497600024</v>
      </c>
      <c r="AH14" s="10">
        <f>AG14*(1+$AC$33)</f>
        <v>6880.8742797312034</v>
      </c>
      <c r="AI14" s="10">
        <f>AH14*(1+$AC$33)</f>
        <v>7706.5791932989487</v>
      </c>
      <c r="AJ14" s="10">
        <f>AI14*(1+$AC$33)</f>
        <v>8631.3686964948229</v>
      </c>
      <c r="AK14" s="10">
        <f>AJ14*(1+$AC$33)</f>
        <v>9667.1329400742034</v>
      </c>
      <c r="AL14" s="10">
        <f>AK14*(1+$AC$33)</f>
        <v>10827.188892883109</v>
      </c>
      <c r="AM14" s="10">
        <f>AL14*(1+$AC$33)</f>
        <v>12126.451560029083</v>
      </c>
      <c r="AN14" s="10">
        <f>AM14*(1+$AC$33)</f>
        <v>13581.625747232574</v>
      </c>
    </row>
    <row r="15" ht="14.25">
      <c r="B15" t="s">
        <v>255</v>
      </c>
      <c r="C15" s="12"/>
      <c r="D15" s="12"/>
      <c r="E15" s="12"/>
      <c r="F15" s="12"/>
      <c r="G15" s="12"/>
      <c r="H15" s="12"/>
      <c r="I15" s="12"/>
      <c r="J15" s="12"/>
      <c r="K15" s="12"/>
      <c r="L15" s="12"/>
      <c r="M15" s="12"/>
      <c r="N15" s="12"/>
      <c r="O15" s="12"/>
      <c r="P15" s="12"/>
      <c r="Q15" s="12"/>
      <c r="R15" s="23">
        <v>3364.96</v>
      </c>
      <c r="S15" s="23">
        <v>3722.9899999999998</v>
      </c>
      <c r="T15" s="23">
        <v>4170</v>
      </c>
      <c r="U15" s="23">
        <v>4493.7299999999996</v>
      </c>
      <c r="V15" s="23">
        <v>4010.3899999999999</v>
      </c>
      <c r="W15" s="23">
        <v>3859.02</v>
      </c>
      <c r="X15" s="23">
        <v>4371.6499999999996</v>
      </c>
      <c r="Y15" s="24">
        <v>4633.2200000000003</v>
      </c>
      <c r="Z15" s="24">
        <v>4702.4399999999996</v>
      </c>
      <c r="AD15" s="24">
        <v>4702.4399999999996</v>
      </c>
      <c r="AE15">
        <f>AD15*($AC$35+1)</f>
        <v>4820.0009999999993</v>
      </c>
      <c r="AF15" s="10">
        <f>AE15*($AC$35+1)</f>
        <v>4940.5010249999987</v>
      </c>
      <c r="AG15" s="10">
        <f>AF15*($AC$35+1)</f>
        <v>5064.0135506249981</v>
      </c>
      <c r="AH15" s="10">
        <f>AG15*($AC$35+1)</f>
        <v>5190.6138893906227</v>
      </c>
      <c r="AI15" s="10">
        <f>AH15*($AC$35+1)</f>
        <v>5320.3792366253874</v>
      </c>
      <c r="AJ15" s="10">
        <f>AI15*($AC$35+1)</f>
        <v>5453.3887175410218</v>
      </c>
      <c r="AK15" s="10">
        <f>AJ15*($AC$35+1)</f>
        <v>5589.7234354795473</v>
      </c>
      <c r="AL15" s="10">
        <f>AK15*($AC$35+1)</f>
        <v>5729.4665213665357</v>
      </c>
      <c r="AM15" s="10">
        <f>AL15*($AC$35+1)</f>
        <v>5872.7031844006988</v>
      </c>
      <c r="AN15" s="10">
        <f>AM15*($AC$35+1)</f>
        <v>6019.5207640107155</v>
      </c>
    </row>
    <row r="16" ht="14.25">
      <c r="B16" s="12" t="s">
        <v>137</v>
      </c>
      <c r="R16" s="23">
        <v>1955.5899999999999</v>
      </c>
      <c r="S16" s="23">
        <v>2398.0999999999999</v>
      </c>
      <c r="T16" s="23">
        <v>2393.1300000000001</v>
      </c>
      <c r="U16" s="23">
        <v>2633.5599999999999</v>
      </c>
      <c r="V16" s="23">
        <v>2744.9400000000001</v>
      </c>
      <c r="W16" s="23">
        <v>3122.1999999999998</v>
      </c>
      <c r="X16" s="23">
        <v>3439.1999999999998</v>
      </c>
      <c r="Y16" s="24">
        <v>3786.3699999999999</v>
      </c>
      <c r="Z16" s="24">
        <v>4116.8599999999997</v>
      </c>
      <c r="AD16" s="24">
        <v>4116.8599999999997</v>
      </c>
      <c r="AE16">
        <f>AD16*(1+AC34)</f>
        <v>4528.5460000000003</v>
      </c>
      <c r="AF16" s="10">
        <f>AE16*(1+AD34)</f>
        <v>4528.5460000000003</v>
      </c>
      <c r="AG16" s="10">
        <f>AF16*(1+AE34)</f>
        <v>4528.5460000000003</v>
      </c>
      <c r="AH16" s="10">
        <f>AG16*(1+AF34)</f>
        <v>4528.5460000000003</v>
      </c>
      <c r="AI16" s="10">
        <f>AH16*(1+AG34)</f>
        <v>4528.5460000000003</v>
      </c>
      <c r="AJ16" s="10">
        <f>AI16*(1+AH34)</f>
        <v>4528.5460000000003</v>
      </c>
      <c r="AK16" s="10">
        <f>AJ16*(1+AI34)</f>
        <v>4528.5460000000003</v>
      </c>
      <c r="AL16" s="10">
        <f>AK16*(1+AJ34)</f>
        <v>4528.5460000000003</v>
      </c>
      <c r="AM16" s="10">
        <f>AL16*(1+AK34)</f>
        <v>4528.5460000000003</v>
      </c>
      <c r="AN16" s="10">
        <f>AM16*(1+AL34)</f>
        <v>4528.5460000000003</v>
      </c>
    </row>
    <row r="17" ht="14.25">
      <c r="B17" t="s">
        <v>256</v>
      </c>
      <c r="C17" s="12"/>
      <c r="D17" s="12"/>
      <c r="E17" s="12"/>
      <c r="F17" s="12"/>
      <c r="G17" s="12"/>
      <c r="H17" s="12"/>
      <c r="I17" s="12"/>
      <c r="J17" s="12"/>
      <c r="K17" s="12"/>
      <c r="L17" s="12"/>
      <c r="M17" s="12"/>
      <c r="N17" s="12"/>
      <c r="O17" s="12"/>
      <c r="P17" s="12"/>
      <c r="Q17" s="12"/>
      <c r="R17" s="23">
        <v>2217.7600000000002</v>
      </c>
      <c r="S17" s="23">
        <v>2374.1100000000001</v>
      </c>
      <c r="T17" s="23">
        <v>2260.1500000000001</v>
      </c>
      <c r="U17" s="23">
        <v>2342.7800000000002</v>
      </c>
      <c r="V17" s="23">
        <v>2812.48</v>
      </c>
      <c r="W17" s="23">
        <v>4060.4200000000001</v>
      </c>
      <c r="X17" s="23">
        <v>5775.3100000000004</v>
      </c>
      <c r="Y17" s="24">
        <v>5887.3900000000003</v>
      </c>
      <c r="Z17" s="24">
        <v>6943.0200000000004</v>
      </c>
      <c r="AD17" s="24">
        <v>6943.0200000000004</v>
      </c>
      <c r="AE17">
        <v>8000</v>
      </c>
      <c r="AF17" s="10">
        <v>8000</v>
      </c>
      <c r="AG17" s="10">
        <v>8000</v>
      </c>
      <c r="AH17" s="10">
        <v>8000</v>
      </c>
      <c r="AI17" s="10">
        <v>8000</v>
      </c>
      <c r="AJ17" s="10">
        <v>8000</v>
      </c>
      <c r="AK17" s="10">
        <v>8000</v>
      </c>
      <c r="AL17" s="10">
        <v>8000</v>
      </c>
      <c r="AM17" s="10">
        <v>8000</v>
      </c>
      <c r="AN17" s="10">
        <v>8000</v>
      </c>
    </row>
    <row r="18" s="1" customFormat="1" ht="14.25">
      <c r="B18" s="1" t="s">
        <v>257</v>
      </c>
      <c r="C18" s="1"/>
      <c r="D18" s="1"/>
      <c r="E18" s="1"/>
      <c r="F18" s="1"/>
      <c r="G18" s="1"/>
      <c r="H18" s="1"/>
      <c r="I18" s="1"/>
      <c r="J18" s="1"/>
      <c r="K18" s="1"/>
      <c r="L18" s="1"/>
      <c r="M18" s="1"/>
      <c r="N18" s="1"/>
      <c r="O18" s="1"/>
      <c r="P18" s="1"/>
      <c r="Q18" s="1"/>
      <c r="R18" s="25">
        <f>SUM(R12:R17)</f>
        <v>26999.339999999997</v>
      </c>
      <c r="S18" s="25">
        <f>SUM(S12:S17)</f>
        <v>29095.340000000004</v>
      </c>
      <c r="T18" s="25">
        <f>SUM(T12:T17)</f>
        <v>29699.049999999999</v>
      </c>
      <c r="U18" s="25">
        <f>SUM(U12:U17)</f>
        <v>28320.84</v>
      </c>
      <c r="V18" s="25">
        <f>SUM(V12:V17)</f>
        <v>32455.939999999995</v>
      </c>
      <c r="W18" s="25">
        <f>SUM(W12:W17)</f>
        <v>42285.719999999994</v>
      </c>
      <c r="X18" s="25">
        <f>SUM(X12:X17)</f>
        <v>55213.609999999993</v>
      </c>
      <c r="Y18" s="25">
        <f>SUM(Y12:Y17)</f>
        <v>59084.630000000005</v>
      </c>
      <c r="Z18" s="25">
        <f>SUM(Z12:Z17)</f>
        <v>60367.669999999998</v>
      </c>
      <c r="AA18" s="1"/>
      <c r="AB18" s="1"/>
      <c r="AC18" s="1"/>
      <c r="AD18" s="25">
        <f>SUM(AD12:AD17)</f>
        <v>60367.669999999998</v>
      </c>
      <c r="AE18" s="25">
        <f>SUM(AE12:AE17)</f>
        <v>69065.705169599998</v>
      </c>
      <c r="AF18" s="25">
        <f>SUM(AF12:AF17)</f>
        <v>74081.318517403211</v>
      </c>
      <c r="AG18" s="25">
        <f>SUM(AG12:AG17)</f>
        <v>79566.750964073319</v>
      </c>
      <c r="AH18" s="25">
        <f>SUM(AH12:AH17)</f>
        <v>85566.99876986946</v>
      </c>
      <c r="AI18" s="25">
        <f>SUM(AI12:AI17)</f>
        <v>92131.429773940763</v>
      </c>
      <c r="AJ18" s="25">
        <f>SUM(AJ12:AJ17)</f>
        <v>99314.213889701787</v>
      </c>
      <c r="AK18" s="25">
        <f>SUM(AK12:AK17)</f>
        <v>107174.79661498095</v>
      </c>
      <c r="AL18" s="25">
        <f>SUM(AL12:AL17)</f>
        <v>115778.41992370418</v>
      </c>
      <c r="AM18" s="25">
        <f>SUM(AM12:AM17)</f>
        <v>125196.69535675413</v>
      </c>
      <c r="AN18" s="25">
        <f>SUM(AN12:AN17)</f>
        <v>135508.23462790152</v>
      </c>
    </row>
    <row r="19" s="1" customFormat="1" ht="14.25">
      <c r="B19" s="1" t="s">
        <v>258</v>
      </c>
      <c r="C19" s="1"/>
      <c r="D19" s="1"/>
      <c r="E19" s="1"/>
      <c r="F19" s="1"/>
      <c r="G19" s="1"/>
      <c r="H19" s="1"/>
      <c r="I19" s="1"/>
      <c r="J19" s="1"/>
      <c r="K19" s="1"/>
      <c r="L19" s="1"/>
      <c r="M19" s="1"/>
      <c r="N19" s="1"/>
      <c r="O19" s="1"/>
      <c r="P19" s="1"/>
      <c r="Q19" s="1"/>
      <c r="R19" s="25">
        <f>R5-R18</f>
        <v>1174.1500000000051</v>
      </c>
      <c r="S19" s="25">
        <f>S5-S18</f>
        <v>668.56999999999607</v>
      </c>
      <c r="T19" s="25">
        <f>T5-T18</f>
        <v>568.16000000000349</v>
      </c>
      <c r="U19" s="25">
        <f>U5-U18</f>
        <v>1378.1399999999994</v>
      </c>
      <c r="V19" s="25">
        <f>V5-V18</f>
        <v>686.61000000000786</v>
      </c>
      <c r="W19" s="25">
        <f>W5-W18</f>
        <v>1449.9100000000035</v>
      </c>
      <c r="X19" s="25">
        <f>X5-X18</f>
        <v>1333.4900000000052</v>
      </c>
      <c r="Y19" s="25">
        <f>Y5-Y18</f>
        <v>4187.6899999999951</v>
      </c>
      <c r="Z19" s="25">
        <f>Z5-Z18</f>
        <v>6624.5</v>
      </c>
      <c r="AA19" s="1"/>
      <c r="AB19" s="1"/>
      <c r="AC19" s="1"/>
      <c r="AD19" s="25">
        <f>AD5-AD18</f>
        <v>6624.5</v>
      </c>
      <c r="AE19" s="25">
        <f>AE5-AE18</f>
        <v>4089.7444704000081</v>
      </c>
      <c r="AF19" s="25">
        <f>AF5-AF18</f>
        <v>5804.4324894768069</v>
      </c>
      <c r="AG19" s="25">
        <f>AG5-AG18</f>
        <v>7668.4891354396677</v>
      </c>
      <c r="AH19" s="25">
        <f>AH5-AH18</f>
        <v>9693.8834187987231</v>
      </c>
      <c r="AI19" s="25">
        <f>AI5-AI18</f>
        <v>11893.453576084896</v>
      </c>
      <c r="AJ19" s="25">
        <f>AJ5-AJ18</f>
        <v>14280.958728526239</v>
      </c>
      <c r="AK19" s="25">
        <f>AK5-AK18</f>
        <v>16871.131884124057</v>
      </c>
      <c r="AL19" s="25">
        <f>AL5-AL18</f>
        <v>19679.733997318515</v>
      </c>
      <c r="AM19" s="25">
        <f>AM5-AM18</f>
        <v>22723.608725002661</v>
      </c>
      <c r="AN19" s="25">
        <f>AN5-AN18</f>
        <v>26020.737429376924</v>
      </c>
    </row>
    <row r="20" s="0" customFormat="1" ht="14.25">
      <c r="B20" s="12" t="s">
        <v>259</v>
      </c>
      <c r="R20" s="24">
        <v>-301.44</v>
      </c>
      <c r="S20" s="24">
        <v>-409.85000000000002</v>
      </c>
      <c r="T20" s="24">
        <v>103.27</v>
      </c>
      <c r="U20" s="24">
        <v>-188.69</v>
      </c>
      <c r="V20" s="24">
        <v>536.01999999999998</v>
      </c>
      <c r="W20" s="24">
        <v>-239.47</v>
      </c>
      <c r="X20" s="24">
        <v>924.04999999999995</v>
      </c>
      <c r="Y20" s="24">
        <v>93.430000000000007</v>
      </c>
      <c r="Z20" s="24">
        <v>-976.15999999999997</v>
      </c>
      <c r="AD20" s="24">
        <v>-976.15999999999997</v>
      </c>
      <c r="AL20" s="10"/>
      <c r="AM20" s="10"/>
      <c r="AN20" s="10"/>
    </row>
    <row r="21" ht="14.25">
      <c r="B21" t="s">
        <v>260</v>
      </c>
      <c r="C21" s="12"/>
      <c r="D21" s="12"/>
      <c r="E21" s="12"/>
      <c r="F21" s="12"/>
      <c r="G21" s="12"/>
      <c r="H21" s="12"/>
      <c r="I21" s="12"/>
      <c r="J21" s="12"/>
      <c r="K21" s="12"/>
      <c r="L21" s="12"/>
      <c r="M21" s="12"/>
      <c r="N21" s="12"/>
      <c r="O21" s="12"/>
      <c r="P21" s="12"/>
      <c r="Q21" s="12"/>
      <c r="R21" s="23">
        <v>-651.45000000000005</v>
      </c>
      <c r="S21" s="23">
        <v>1102.53</v>
      </c>
      <c r="T21" s="23">
        <v>1745.8299999999999</v>
      </c>
      <c r="U21" s="23">
        <v>226.16</v>
      </c>
      <c r="V21" s="23">
        <v>-109.29000000000001</v>
      </c>
      <c r="W21" s="23">
        <v>-150.27000000000001</v>
      </c>
      <c r="X21" s="23">
        <v>0</v>
      </c>
      <c r="Y21" s="24">
        <v>273.36000000000001</v>
      </c>
      <c r="Z21" s="24">
        <v>-122.05</v>
      </c>
      <c r="AD21" s="24">
        <v>-122.05</v>
      </c>
      <c r="AF21" s="10"/>
      <c r="AG21" s="10"/>
      <c r="AH21" s="10"/>
      <c r="AI21" s="10"/>
      <c r="AJ21" s="10"/>
      <c r="AK21" s="10"/>
      <c r="AL21" s="10"/>
      <c r="AM21" s="10"/>
      <c r="AN21" s="10"/>
    </row>
    <row r="22" ht="14.25">
      <c r="B22" t="s">
        <v>261</v>
      </c>
      <c r="C22" s="12"/>
      <c r="D22" s="12"/>
      <c r="E22" s="12"/>
      <c r="F22" s="12"/>
      <c r="G22" s="12"/>
      <c r="H22" s="12"/>
      <c r="I22" s="12"/>
      <c r="J22" s="12"/>
      <c r="K22" s="12"/>
      <c r="L22" s="12"/>
      <c r="M22" s="12"/>
      <c r="N22" s="12"/>
      <c r="O22" s="12"/>
      <c r="P22" s="12"/>
      <c r="Q22" s="12"/>
      <c r="R22" s="23">
        <v>1225.79</v>
      </c>
      <c r="S22" s="23">
        <v>1553.9100000000001</v>
      </c>
      <c r="T22" s="23">
        <v>1401.8299999999999</v>
      </c>
      <c r="U22" s="23">
        <v>952.54999999999995</v>
      </c>
      <c r="V22" s="23">
        <v>873.38999999999999</v>
      </c>
      <c r="W22" s="23">
        <v>1942.8299999999999</v>
      </c>
      <c r="X22" s="23">
        <f>3199.46</f>
        <v>3199.46</v>
      </c>
      <c r="Y22" s="24">
        <f>1177.57</f>
        <v>1177.5699999999999</v>
      </c>
      <c r="Z22" s="24">
        <v>793.33000000000004</v>
      </c>
      <c r="AD22" s="24">
        <v>793.33000000000004</v>
      </c>
      <c r="AE22">
        <v>400</v>
      </c>
      <c r="AF22" s="10">
        <v>400</v>
      </c>
      <c r="AG22" s="10">
        <v>400</v>
      </c>
      <c r="AH22" s="10">
        <v>400</v>
      </c>
      <c r="AI22" s="10">
        <v>400</v>
      </c>
      <c r="AJ22" s="10">
        <v>400</v>
      </c>
      <c r="AK22" s="10">
        <v>400</v>
      </c>
      <c r="AL22" s="10">
        <v>400</v>
      </c>
      <c r="AM22" s="10">
        <v>400</v>
      </c>
      <c r="AN22" s="10">
        <v>400</v>
      </c>
    </row>
    <row r="23" s="1" customFormat="1" ht="14.25">
      <c r="B23" s="1" t="s">
        <v>146</v>
      </c>
      <c r="C23" s="1"/>
      <c r="D23" s="1"/>
      <c r="E23" s="1"/>
      <c r="F23" s="1"/>
      <c r="G23" s="1"/>
      <c r="H23" s="1"/>
      <c r="I23" s="1"/>
      <c r="J23" s="1"/>
      <c r="K23" s="1"/>
      <c r="L23" s="1"/>
      <c r="M23" s="1"/>
      <c r="N23" s="1"/>
      <c r="O23" s="1"/>
      <c r="P23" s="1"/>
      <c r="Q23" s="1"/>
      <c r="R23" s="27">
        <f>R5-R18+R22+R21+R20</f>
        <v>1447.050000000005</v>
      </c>
      <c r="S23" s="27">
        <f>S5-S18+S22+S21+S20</f>
        <v>2915.1599999999958</v>
      </c>
      <c r="T23" s="27">
        <f>T5-T18+T22+T21+T20</f>
        <v>3819.0900000000033</v>
      </c>
      <c r="U23" s="27">
        <f>U5-U18+U22+U21+U20</f>
        <v>2368.1599999999994</v>
      </c>
      <c r="V23" s="27">
        <f>V5-V18+V22+V21+V20</f>
        <v>1986.7300000000077</v>
      </c>
      <c r="W23" s="27">
        <f>W5-W18+W22+W21+W20</f>
        <v>3003.0000000000036</v>
      </c>
      <c r="X23" s="27">
        <f>X5-X18+X22+X21+X20</f>
        <v>5457.0000000000055</v>
      </c>
      <c r="Y23" s="27">
        <f>Y5-Y18+Y22+Y21+Y20</f>
        <v>5732.0499999999947</v>
      </c>
      <c r="Z23" s="27">
        <f>Z5-Z18+Z22+Z21+Z20</f>
        <v>6319.6199999999999</v>
      </c>
      <c r="AA23" s="1"/>
      <c r="AB23" s="1"/>
      <c r="AC23" s="1"/>
      <c r="AD23" s="27">
        <f>AD5-AD18+AD22+AD21+AD20</f>
        <v>6319.6199999999999</v>
      </c>
      <c r="AE23" s="27">
        <f>AE5-AE18+AE22+AE21+AE20</f>
        <v>4489.7444704000081</v>
      </c>
      <c r="AF23" s="27">
        <f>AF5-AF18+AF22+AF21+AF20</f>
        <v>6204.4324894768069</v>
      </c>
      <c r="AG23" s="27">
        <f>AG5-AG18+AG22+AG21+AG20</f>
        <v>8068.4891354396677</v>
      </c>
      <c r="AH23" s="27">
        <f>AH5-AH18+AH22+AH21+AH20</f>
        <v>10093.883418798723</v>
      </c>
      <c r="AI23" s="27">
        <f>AI5-AI18+AI22+AI21+AI20</f>
        <v>12293.453576084896</v>
      </c>
      <c r="AJ23" s="27">
        <f>AJ5-AJ18+AJ22+AJ21+AJ20</f>
        <v>14680.958728526239</v>
      </c>
      <c r="AK23" s="27">
        <f>AK5-AK18+AK22+AK21+AK20</f>
        <v>17271.131884124057</v>
      </c>
      <c r="AL23" s="27">
        <f>AL5-AL18+AL22+AL21+AL20</f>
        <v>20079.733997318515</v>
      </c>
      <c r="AM23" s="27">
        <f>AM5-AM18+AM22+AM21+AM20</f>
        <v>23123.608725002661</v>
      </c>
      <c r="AN23" s="27">
        <f>AN5-AN18+AN22+AN21+AN20</f>
        <v>26420.737429376924</v>
      </c>
    </row>
    <row r="24" ht="14.25">
      <c r="B24" t="s">
        <v>147</v>
      </c>
      <c r="C24" s="12"/>
      <c r="D24" s="12"/>
      <c r="E24" s="12"/>
      <c r="F24" s="12"/>
      <c r="G24" s="12"/>
      <c r="H24" s="12"/>
      <c r="I24" s="12"/>
      <c r="J24" s="12"/>
      <c r="K24" s="12"/>
      <c r="L24" s="12"/>
      <c r="M24" s="12"/>
      <c r="N24" s="12"/>
      <c r="O24" s="12"/>
      <c r="P24" s="12"/>
      <c r="Q24" s="12"/>
      <c r="R24" s="23">
        <v>350.45999999999998</v>
      </c>
      <c r="S24" s="23">
        <v>164.31</v>
      </c>
      <c r="T24" s="23">
        <v>1087.5899999999999</v>
      </c>
      <c r="U24" s="23">
        <v>641.49000000000001</v>
      </c>
      <c r="V24" s="23">
        <v>501.88</v>
      </c>
      <c r="W24" s="23">
        <v>379.56</v>
      </c>
      <c r="X24" s="23">
        <v>1647.3299999999999</v>
      </c>
      <c r="Y24" s="24">
        <v>1451.9200000000001</v>
      </c>
      <c r="Z24" s="24">
        <v>1544.25</v>
      </c>
      <c r="AD24" s="24">
        <v>1544.25</v>
      </c>
      <c r="AE24" s="28">
        <f>AE23*$AC$36</f>
        <v>1077.538672896002</v>
      </c>
      <c r="AF24" s="28">
        <f>AF23*$AC$36</f>
        <v>1489.0637974744336</v>
      </c>
      <c r="AG24" s="28">
        <f>AG23*$AC$36</f>
        <v>1936.4373925055202</v>
      </c>
      <c r="AH24" s="28">
        <f>AH23*$AC$36</f>
        <v>2422.5320205116936</v>
      </c>
      <c r="AI24" s="28">
        <f>AI23*$AC$36</f>
        <v>2950.4288582603749</v>
      </c>
      <c r="AJ24" s="28">
        <f>AJ23*$AC$36</f>
        <v>3523.4300948462974</v>
      </c>
      <c r="AK24" s="28">
        <f>AK23*$AC$36</f>
        <v>4145.0716521897739</v>
      </c>
      <c r="AL24" s="28">
        <f>AL23*$AC$36</f>
        <v>4819.1361593564434</v>
      </c>
      <c r="AM24" s="28">
        <f>AM23*$AC$36</f>
        <v>5549.6660940006386</v>
      </c>
      <c r="AN24" s="28">
        <f>AN23*$AC$36</f>
        <v>6340.976983050462</v>
      </c>
    </row>
    <row r="25" s="1" customFormat="1" ht="14.25">
      <c r="B25" s="1" t="s">
        <v>148</v>
      </c>
      <c r="C25" s="1"/>
      <c r="D25" s="1"/>
      <c r="E25" s="1"/>
      <c r="F25" s="1"/>
      <c r="G25" s="1"/>
      <c r="H25" s="1"/>
      <c r="I25" s="1"/>
      <c r="J25" s="1"/>
      <c r="K25" s="1"/>
      <c r="L25" s="1"/>
      <c r="M25" s="1"/>
      <c r="N25" s="1"/>
      <c r="O25" s="1"/>
      <c r="P25" s="1"/>
      <c r="Q25" s="1"/>
      <c r="R25" s="27">
        <f>R23-R24</f>
        <v>1096.5900000000049</v>
      </c>
      <c r="S25" s="27">
        <f>S23-S24</f>
        <v>2750.8499999999958</v>
      </c>
      <c r="T25" s="27">
        <f>T23-T24</f>
        <v>2731.5000000000036</v>
      </c>
      <c r="U25" s="27">
        <f>U23-U24</f>
        <v>1726.6699999999994</v>
      </c>
      <c r="V25" s="27">
        <f>V23-V24</f>
        <v>1484.8500000000076</v>
      </c>
      <c r="W25" s="27">
        <f>W23-W24</f>
        <v>2623.4400000000037</v>
      </c>
      <c r="X25" s="27">
        <f>X23-X24</f>
        <v>3809.6700000000055</v>
      </c>
      <c r="Y25" s="25">
        <f>Y23-Y24</f>
        <v>4280.1299999999947</v>
      </c>
      <c r="Z25" s="25">
        <f>Z23-Z24</f>
        <v>4775.3699999999999</v>
      </c>
      <c r="AA25" s="1"/>
      <c r="AB25" s="1"/>
      <c r="AC25" s="1"/>
      <c r="AD25" s="25">
        <f>AD23-AD24</f>
        <v>4775.3699999999999</v>
      </c>
      <c r="AE25" s="25">
        <f>AE23-AE24</f>
        <v>3412.2057975040061</v>
      </c>
      <c r="AF25" s="25">
        <f>AF23-AF24</f>
        <v>4715.3686920023738</v>
      </c>
      <c r="AG25" s="25">
        <f>AG23-AG24</f>
        <v>6132.0517429341471</v>
      </c>
      <c r="AH25" s="25">
        <f>AH23-AH24</f>
        <v>7671.35139828703</v>
      </c>
      <c r="AI25" s="25">
        <f>AI23-AI24</f>
        <v>9343.0247178245208</v>
      </c>
      <c r="AJ25" s="25">
        <f>AJ23-AJ24</f>
        <v>11157.528633679942</v>
      </c>
      <c r="AK25" s="25">
        <f>AK23-AK24</f>
        <v>13126.060231934283</v>
      </c>
      <c r="AL25" s="25">
        <f>AL23-AL24</f>
        <v>15260.597837962072</v>
      </c>
      <c r="AM25" s="25">
        <f>AM23-AM24</f>
        <v>17573.942631002021</v>
      </c>
      <c r="AN25" s="25">
        <f>AN23-AN24</f>
        <v>20079.760446326462</v>
      </c>
      <c r="AO25" s="25">
        <f>AN25*(1+$AP$28)</f>
        <v>20280.558050789725</v>
      </c>
      <c r="AP25" s="25">
        <f>AO25*(1+$AP$28)</f>
        <v>20483.363631297623</v>
      </c>
      <c r="AQ25" s="25">
        <f>AP25*(1+$AP$28)</f>
        <v>20688.197267610598</v>
      </c>
      <c r="AR25" s="25">
        <f>AQ25*(1+$AP$28)</f>
        <v>20895.079240286705</v>
      </c>
      <c r="AS25" s="25">
        <f>AR25*(1+$AP$28)</f>
        <v>21104.03003268957</v>
      </c>
      <c r="AT25" s="25">
        <f>AS25*(1+$AP$28)</f>
        <v>21315.070333016465</v>
      </c>
      <c r="AU25" s="25">
        <f>AT25*(1+$AP$28)</f>
        <v>21528.221036346629</v>
      </c>
      <c r="AV25" s="25">
        <f>AU25*(1+$AP$28)</f>
        <v>21743.503246710097</v>
      </c>
      <c r="AW25" s="25">
        <f>AV25*(1+$AP$28)</f>
        <v>21960.938279177197</v>
      </c>
      <c r="AX25" s="25">
        <f>AW25*(1+$AP$28)</f>
        <v>22180.547661968969</v>
      </c>
      <c r="AY25" s="25">
        <f>AX25*(1+$AP$28)</f>
        <v>22402.35313858866</v>
      </c>
      <c r="AZ25" s="25">
        <f>AY25*(1+$AP$28)</f>
        <v>22626.376669974547</v>
      </c>
      <c r="BA25" s="25">
        <f>AZ25*(1+$AP$28)</f>
        <v>22852.640436674294</v>
      </c>
      <c r="BB25" s="25">
        <f>BA25*(1+$AP$28)</f>
        <v>23081.166841041038</v>
      </c>
      <c r="BC25" s="25">
        <f>BB25*(1+$AP$28)</f>
        <v>23311.978509451448</v>
      </c>
      <c r="BD25" s="25">
        <f>BC25*(1+$AP$28)</f>
        <v>23545.098294545962</v>
      </c>
      <c r="BE25" s="25">
        <f>BD25*(1+$AP$28)</f>
        <v>23780.54927749142</v>
      </c>
      <c r="BF25" s="25">
        <f>BE25*(1+$AP$28)</f>
        <v>24018.354770266335</v>
      </c>
      <c r="BG25" s="25">
        <f>BF25*(1+$AP$28)</f>
        <v>24258.538317969</v>
      </c>
      <c r="BH25" s="25">
        <f>BG25*(1+$AP$28)</f>
        <v>24501.123701148688</v>
      </c>
      <c r="BI25" s="25">
        <f>BH25*(1+$AP$28)</f>
        <v>24746.134938160176</v>
      </c>
      <c r="BJ25" s="25">
        <f>BI25*(1+$AP$28)</f>
        <v>24993.596287541779</v>
      </c>
      <c r="BK25" s="25">
        <f>BJ25*(1+$AP$28)</f>
        <v>25243.532250417196</v>
      </c>
      <c r="BL25" s="25">
        <f>BK25*(1+$AP$28)</f>
        <v>25495.967572921367</v>
      </c>
      <c r="BM25" s="25">
        <f>BL25*(1+$AP$28)</f>
        <v>25750.92724865058</v>
      </c>
      <c r="BN25" s="25">
        <f>BM25*(1+$AP$28)</f>
        <v>26008.436521137086</v>
      </c>
      <c r="BO25" s="25">
        <f>BN25*(1+$AP$28)</f>
        <v>26268.520886348459</v>
      </c>
      <c r="BP25" s="25">
        <f>BO25*(1+$AP$28)</f>
        <v>26531.206095211943</v>
      </c>
      <c r="BQ25" s="25">
        <f>BP25*(1+$AP$28)</f>
        <v>26796.518156164064</v>
      </c>
      <c r="BR25" s="25">
        <f>BQ25*(1+$AP$28)</f>
        <v>27064.483337725705</v>
      </c>
      <c r="BS25" s="25">
        <f>BR25*(1+$AP$28)</f>
        <v>27335.128171102962</v>
      </c>
      <c r="BT25" s="25">
        <f>BS25*(1+$AP$28)</f>
        <v>27608.479452813994</v>
      </c>
      <c r="BU25" s="25">
        <f>BT25*(1+$AP$28)</f>
        <v>27884.564247342132</v>
      </c>
      <c r="BV25" s="25">
        <f>BU25*(1+$AP$28)</f>
        <v>28163.409889815553</v>
      </c>
    </row>
    <row r="26" ht="14.25">
      <c r="R26" s="23"/>
      <c r="S26" s="23"/>
      <c r="T26" s="23"/>
      <c r="U26" s="23"/>
      <c r="V26" s="23"/>
      <c r="W26" s="23"/>
      <c r="X26" s="23"/>
      <c r="Y26" s="24"/>
      <c r="Z26" s="24"/>
    </row>
    <row r="27" ht="14.25">
      <c r="B27" t="s">
        <v>8</v>
      </c>
      <c r="C27" s="12"/>
      <c r="D27" s="12"/>
      <c r="E27" s="12"/>
      <c r="F27" s="12"/>
      <c r="G27" s="12"/>
      <c r="H27" s="12"/>
      <c r="I27" s="12"/>
      <c r="J27" s="12"/>
      <c r="K27" s="12"/>
      <c r="L27" s="12"/>
      <c r="M27" s="12"/>
      <c r="N27" s="12"/>
      <c r="O27" s="12"/>
      <c r="P27" s="12"/>
      <c r="Q27" s="12"/>
      <c r="R27" s="23">
        <v>8.0899999999999999</v>
      </c>
      <c r="S27" s="23">
        <v>8.0899999999999999</v>
      </c>
      <c r="T27" s="23">
        <v>8.0899999999999999</v>
      </c>
      <c r="U27" s="23">
        <v>8.0899999999999999</v>
      </c>
      <c r="V27" s="23">
        <v>8.0899999999999999</v>
      </c>
      <c r="W27" s="23">
        <v>8.0899999999999999</v>
      </c>
      <c r="X27" s="23">
        <v>8.0899999999999999</v>
      </c>
      <c r="Y27" s="24">
        <v>11.08</v>
      </c>
      <c r="Z27" s="24">
        <v>11.08</v>
      </c>
    </row>
    <row r="28" ht="14.25">
      <c r="R28" s="10"/>
      <c r="S28" s="10"/>
      <c r="Z28" s="10"/>
      <c r="AA28" s="1" t="s">
        <v>262</v>
      </c>
      <c r="AB28" s="1" t="s">
        <v>263</v>
      </c>
      <c r="AC28" s="1" t="s">
        <v>264</v>
      </c>
      <c r="AO28" s="1" t="s">
        <v>265</v>
      </c>
      <c r="AP28" s="9">
        <v>0.01</v>
      </c>
    </row>
    <row r="29" ht="14.25">
      <c r="B29" t="s">
        <v>150</v>
      </c>
      <c r="C29" s="12"/>
      <c r="D29" s="12"/>
      <c r="E29" s="12"/>
      <c r="F29" s="12"/>
      <c r="G29" s="12"/>
      <c r="H29" s="12"/>
      <c r="I29" s="12"/>
      <c r="J29" s="12"/>
      <c r="K29" s="12"/>
      <c r="L29" s="12"/>
      <c r="M29" s="12"/>
      <c r="N29" s="12"/>
      <c r="O29" s="12"/>
      <c r="P29" s="12"/>
      <c r="Q29" s="12"/>
      <c r="R29" s="29"/>
      <c r="S29" s="29"/>
      <c r="T29" s="29"/>
      <c r="Z29" s="10"/>
      <c r="AO29" s="1" t="s">
        <v>266</v>
      </c>
      <c r="AP29" s="9">
        <v>0.11</v>
      </c>
    </row>
    <row r="30" ht="14.25">
      <c r="B30" s="12" t="s">
        <v>267</v>
      </c>
      <c r="C30" s="12"/>
      <c r="D30" s="12"/>
      <c r="E30" s="12"/>
      <c r="F30" s="12"/>
      <c r="G30" s="12"/>
      <c r="H30" s="12"/>
      <c r="I30" s="12"/>
      <c r="J30" s="12"/>
      <c r="K30" s="12"/>
      <c r="L30" s="12"/>
      <c r="M30" s="12"/>
      <c r="N30" s="12"/>
      <c r="O30" s="12"/>
      <c r="P30" s="12"/>
      <c r="Q30" s="12"/>
      <c r="R30" s="29"/>
      <c r="S30" s="22">
        <f>S5/R5-1</f>
        <v>0.056450940227852353</v>
      </c>
      <c r="T30" s="22">
        <f>T5/S5-1</f>
        <v>0.016909740689311503</v>
      </c>
      <c r="U30" s="22">
        <f>U5/T5-1</f>
        <v>-0.018773781924399491</v>
      </c>
      <c r="V30" s="22">
        <f>V5/U5-1</f>
        <v>0.11594909993541869</v>
      </c>
      <c r="W30" s="22">
        <f>W5/V5-1</f>
        <v>0.31962175511540281</v>
      </c>
      <c r="X30" s="22">
        <f>X5/W5-1</f>
        <v>0.29292981489005654</v>
      </c>
      <c r="Y30" s="22">
        <f>Y5/X5-1</f>
        <v>0.1189312979799142</v>
      </c>
      <c r="Z30" s="22">
        <f>Z5/Y5-1</f>
        <v>0.058791111184163913</v>
      </c>
      <c r="AA30" s="30">
        <f>AVERAGE(S30:Z30)</f>
        <v>0.12010124726221506</v>
      </c>
      <c r="AB30" s="30">
        <f>MEDIAN(S30:Z30)</f>
        <v>0.0873701055597913</v>
      </c>
      <c r="AC30" s="31">
        <v>0.091999999999999998</v>
      </c>
      <c r="AO30" s="1" t="s">
        <v>268</v>
      </c>
      <c r="AP30">
        <v>3195300000</v>
      </c>
    </row>
    <row r="31" ht="14.25">
      <c r="B31" t="s">
        <v>269</v>
      </c>
      <c r="C31" s="12"/>
      <c r="D31" s="12"/>
      <c r="E31" s="12"/>
      <c r="F31" s="12"/>
      <c r="G31" s="12"/>
      <c r="H31" s="12"/>
      <c r="I31" s="12"/>
      <c r="J31" s="12"/>
      <c r="K31" s="12"/>
      <c r="L31" s="12"/>
      <c r="M31" s="12"/>
      <c r="N31" s="12"/>
      <c r="O31" s="12"/>
      <c r="P31" s="12"/>
      <c r="Q31" s="12"/>
      <c r="R31" s="29">
        <f>R5-R12</f>
        <v>10001.910000000003</v>
      </c>
      <c r="S31" s="29">
        <f>S5-S12</f>
        <v>10537.179999999997</v>
      </c>
      <c r="T31" s="29">
        <f>T5-T12</f>
        <v>10754.860000000004</v>
      </c>
      <c r="U31" s="29">
        <f>U5-U12</f>
        <v>12273.209999999999</v>
      </c>
      <c r="V31" s="29">
        <f>V5-V12</f>
        <v>12571.500000000007</v>
      </c>
      <c r="W31" s="29">
        <f>W5-W12</f>
        <v>15903.959999999999</v>
      </c>
      <c r="X31" s="29">
        <f>X5-X12</f>
        <v>18587.440000000002</v>
      </c>
      <c r="Y31" s="29">
        <f>Y5-Y12</f>
        <v>22478.949999999997</v>
      </c>
      <c r="Z31" s="29">
        <f>Z5-Z12</f>
        <v>26318.980000000003</v>
      </c>
      <c r="AA31" s="30"/>
      <c r="AB31" s="30"/>
      <c r="AO31" s="1" t="s">
        <v>270</v>
      </c>
      <c r="AP31" s="28">
        <f>NPV(AP29,AE25:BV25)</f>
        <v>123376.54743698383</v>
      </c>
    </row>
    <row r="32" ht="14.25">
      <c r="B32" s="12" t="s">
        <v>271</v>
      </c>
      <c r="C32" s="12"/>
      <c r="D32" s="12"/>
      <c r="E32" s="12"/>
      <c r="F32" s="12"/>
      <c r="G32" s="12"/>
      <c r="H32" s="12"/>
      <c r="I32" s="12"/>
      <c r="J32" s="12"/>
      <c r="K32" s="12"/>
      <c r="L32" s="12"/>
      <c r="M32" s="12"/>
      <c r="N32" s="12"/>
      <c r="O32" s="12"/>
      <c r="P32" s="12"/>
      <c r="Q32" s="12"/>
      <c r="R32" s="14">
        <f>R31/R5</f>
        <v>0.35501139546431781</v>
      </c>
      <c r="S32" s="14">
        <f>S31/S5</f>
        <v>0.35402539518497389</v>
      </c>
      <c r="T32" s="14">
        <f>T31/T5</f>
        <v>0.35533040541232586</v>
      </c>
      <c r="U32" s="13">
        <f>U31/U5</f>
        <v>0.4132535864868086</v>
      </c>
      <c r="V32" s="13">
        <f>V31/V5</f>
        <v>0.37931601521307218</v>
      </c>
      <c r="W32" s="13">
        <f>W31/W5</f>
        <v>0.36363852538536656</v>
      </c>
      <c r="X32" s="13">
        <f>X31/X5</f>
        <v>0.32870721929152869</v>
      </c>
      <c r="Y32" s="13">
        <f>Y31/Y5</f>
        <v>0.35527304830927642</v>
      </c>
      <c r="Z32" s="13">
        <f>Z31/Z5</f>
        <v>0.39286650962343816</v>
      </c>
      <c r="AA32" s="30">
        <f t="shared" ref="AA32:AA36" si="0">AVERAGE(S32:Z32)</f>
        <v>0.36780133811334881</v>
      </c>
      <c r="AB32" s="30">
        <f t="shared" ref="AB32:AB36" si="1">MEDIAN(S32:Z32)</f>
        <v>0.35948446539884621</v>
      </c>
      <c r="AC32" s="9">
        <v>0.35999999999999999</v>
      </c>
      <c r="AO32" s="1" t="s">
        <v>272</v>
      </c>
      <c r="AP32" s="32">
        <v>390.10000000000002</v>
      </c>
    </row>
    <row r="33" ht="14.25">
      <c r="B33" t="s">
        <v>273</v>
      </c>
      <c r="C33" s="12"/>
      <c r="D33" s="12"/>
      <c r="E33" s="12"/>
      <c r="F33" s="12"/>
      <c r="G33" s="12"/>
      <c r="H33" s="12"/>
      <c r="I33" s="12"/>
      <c r="J33" s="12"/>
      <c r="K33" s="12"/>
      <c r="L33" s="12"/>
      <c r="M33" s="12"/>
      <c r="N33" s="12"/>
      <c r="O33" s="12"/>
      <c r="P33" s="12"/>
      <c r="Q33" s="12"/>
      <c r="R33" s="10"/>
      <c r="S33" s="29">
        <f>S14/R14-1</f>
        <v>0.095796560173180945</v>
      </c>
      <c r="T33" s="29">
        <f>T14/S14-1</f>
        <v>-0.031022056269538134</v>
      </c>
      <c r="U33" s="29">
        <f>U14/T14-1</f>
        <v>0.075867219297263144</v>
      </c>
      <c r="V33" s="14">
        <f>V14/U14-1</f>
        <v>0.6080839071523767</v>
      </c>
      <c r="W33" s="14">
        <f>W14/V14-1</f>
        <v>0.55897473528815067</v>
      </c>
      <c r="X33" s="14">
        <f>X14/W14-1</f>
        <v>0.0034970359643706761</v>
      </c>
      <c r="Y33" s="14">
        <f>Y14/X14-1</f>
        <v>0.11362319480390481</v>
      </c>
      <c r="Z33" s="14">
        <f>Z14/Y14-1</f>
        <v>0.083462584798045691</v>
      </c>
      <c r="AA33" s="30">
        <f t="shared" si="0"/>
        <v>0.1885353976509693</v>
      </c>
      <c r="AB33" s="30">
        <f t="shared" si="1"/>
        <v>0.089629572485613318</v>
      </c>
      <c r="AC33" s="9">
        <v>0.12</v>
      </c>
      <c r="AO33" s="1" t="s">
        <v>274</v>
      </c>
      <c r="AP33" s="28">
        <f>AP31*10000000/AP30</f>
        <v>386.11882276150544</v>
      </c>
    </row>
    <row r="34" ht="14.25">
      <c r="B34" s="12" t="s">
        <v>275</v>
      </c>
      <c r="C34" s="12"/>
      <c r="D34" s="12"/>
      <c r="E34" s="12"/>
      <c r="F34" s="12"/>
      <c r="G34" s="12"/>
      <c r="H34" s="12"/>
      <c r="I34" s="12"/>
      <c r="J34" s="12"/>
      <c r="K34" s="12"/>
      <c r="L34" s="12"/>
      <c r="M34" s="12"/>
      <c r="N34" s="12"/>
      <c r="O34" s="12"/>
      <c r="P34" s="12"/>
      <c r="Q34" s="12"/>
      <c r="R34" s="10"/>
      <c r="S34" s="13">
        <f>S16/R16-1</f>
        <v>0.22627953712178939</v>
      </c>
      <c r="T34" s="13">
        <f>T16/S16-1</f>
        <v>-0.0020724740419497678</v>
      </c>
      <c r="U34" s="13">
        <f>U16/T16-1</f>
        <v>0.10046675274640315</v>
      </c>
      <c r="V34" s="13">
        <f>V16/U16-1</f>
        <v>0.042292562159206515</v>
      </c>
      <c r="W34" s="13">
        <f>W16/V16-1</f>
        <v>0.13743834109306574</v>
      </c>
      <c r="X34" s="13">
        <f>X16/W16-1</f>
        <v>0.1015309717506887</v>
      </c>
      <c r="Y34" s="13">
        <f>Y16/X16-1</f>
        <v>0.10094498720632705</v>
      </c>
      <c r="Z34" s="13">
        <f>Z16/Y16-1</f>
        <v>0.087284127013471879</v>
      </c>
      <c r="AA34" s="30">
        <f t="shared" si="0"/>
        <v>0.099270600631125333</v>
      </c>
      <c r="AB34" s="30">
        <f t="shared" si="1"/>
        <v>0.1007058699763651</v>
      </c>
      <c r="AC34" s="9">
        <v>0.10000000000000001</v>
      </c>
    </row>
    <row r="35" ht="14.25">
      <c r="B35" t="s">
        <v>276</v>
      </c>
      <c r="C35" s="12"/>
      <c r="D35" s="12"/>
      <c r="E35" s="12"/>
      <c r="F35" s="12"/>
      <c r="G35" s="12"/>
      <c r="H35" s="12"/>
      <c r="I35" s="12"/>
      <c r="J35" s="12"/>
      <c r="K35" s="12"/>
      <c r="L35" s="12"/>
      <c r="M35" s="12"/>
      <c r="N35" s="12"/>
      <c r="O35" s="12"/>
      <c r="P35" s="12"/>
      <c r="Q35" s="12"/>
      <c r="R35" s="14"/>
      <c r="S35" s="14"/>
      <c r="T35" s="14"/>
      <c r="U35" s="14">
        <f>U15/T15-1</f>
        <v>0.077633093525179664</v>
      </c>
      <c r="V35" s="14">
        <f>V15/U15-1</f>
        <v>-0.10755875408624904</v>
      </c>
      <c r="W35" s="14">
        <f>W15/V15-1</f>
        <v>-0.037744458768349198</v>
      </c>
      <c r="X35" s="14">
        <f>X15/W15-1</f>
        <v>0.13283942555363781</v>
      </c>
      <c r="Y35" s="14">
        <f>Y15/X15-1</f>
        <v>0.059833243740921693</v>
      </c>
      <c r="Z35" s="14">
        <f>Z15/Y15-1</f>
        <v>0.014939933782552872</v>
      </c>
      <c r="AA35" s="30">
        <f t="shared" si="0"/>
        <v>0.023323747291282299</v>
      </c>
      <c r="AB35" s="30">
        <f t="shared" si="1"/>
        <v>0.037386588761737283</v>
      </c>
      <c r="AC35" s="9">
        <v>0.025000000000000001</v>
      </c>
    </row>
    <row r="36" ht="14.25">
      <c r="B36" t="s">
        <v>277</v>
      </c>
      <c r="C36" s="12"/>
      <c r="D36" s="12"/>
      <c r="E36" s="12"/>
      <c r="F36" s="12"/>
      <c r="G36" s="12"/>
      <c r="H36" s="12"/>
      <c r="I36" s="12"/>
      <c r="J36" s="12"/>
      <c r="K36" s="12"/>
      <c r="L36" s="12"/>
      <c r="M36" s="12"/>
      <c r="N36" s="12"/>
      <c r="O36" s="12"/>
      <c r="P36" s="12"/>
      <c r="Q36" s="12"/>
      <c r="R36" s="14">
        <f>R24/R23</f>
        <v>0.24218928164196038</v>
      </c>
      <c r="S36" s="14">
        <f>S24/S23</f>
        <v>0.05636397316099296</v>
      </c>
      <c r="T36" s="14">
        <f>T24/T23</f>
        <v>0.28477726369370687</v>
      </c>
      <c r="U36" s="13">
        <f>U24/U23</f>
        <v>0.27088119046010412</v>
      </c>
      <c r="V36" s="13">
        <f>V24/V23</f>
        <v>0.25261610787575467</v>
      </c>
      <c r="W36" s="13">
        <f>W24/W23</f>
        <v>0.12639360639360625</v>
      </c>
      <c r="X36" s="13">
        <f>X24/X23</f>
        <v>0.30187465640461758</v>
      </c>
      <c r="Y36" s="13">
        <f>Y24/Y23</f>
        <v>0.25329855810748358</v>
      </c>
      <c r="Z36" s="13">
        <f>Z24/Z23</f>
        <v>0.24435804684458876</v>
      </c>
      <c r="AA36" s="30">
        <f t="shared" si="0"/>
        <v>0.22382042536760682</v>
      </c>
      <c r="AB36" s="30">
        <f t="shared" si="1"/>
        <v>0.25295733299161915</v>
      </c>
      <c r="AC36" s="9">
        <v>0.23999999999999999</v>
      </c>
    </row>
  </sheetData>
  <hyperlinks>
    <hyperlink r:id="rId1" ref="V1"/>
    <hyperlink r:id="rId2" ref="W1"/>
    <hyperlink r:id="rId3" ref="X1"/>
    <hyperlink r:id="rId4" ref="Z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7" zoomScale="100" workbookViewId="0">
      <selection activeCell="A1" activeCellId="0" sqref="A1"/>
    </sheetView>
  </sheetViews>
  <sheetFormatPr defaultRowHeight="14.25"/>
  <sheetData>
    <row r="1" ht="14.25">
      <c r="A1" s="1" t="s">
        <v>278</v>
      </c>
    </row>
    <row r="2" ht="14.25">
      <c r="B2" t="s">
        <v>279</v>
      </c>
    </row>
    <row r="3" ht="14.25">
      <c r="B3" t="s">
        <v>280</v>
      </c>
    </row>
    <row r="6" ht="14.25">
      <c r="B6" t="s">
        <v>281</v>
      </c>
    </row>
    <row r="8" ht="14.25">
      <c r="B8" t="s">
        <v>282</v>
      </c>
    </row>
    <row r="9" ht="14.25">
      <c r="B9" s="1">
        <v>2022</v>
      </c>
      <c r="C9" s="1">
        <v>2023</v>
      </c>
      <c r="D9" s="1"/>
    </row>
    <row r="10" ht="14.25">
      <c r="C10" t="s">
        <v>283</v>
      </c>
    </row>
    <row r="11" ht="14.25"/>
    <row r="12" ht="14.25">
      <c r="B12" s="1" t="s">
        <v>59</v>
      </c>
      <c r="C12" t="s">
        <v>60</v>
      </c>
    </row>
    <row r="13" ht="14.25">
      <c r="B13" s="1" t="s">
        <v>61</v>
      </c>
      <c r="C13" t="s">
        <v>62</v>
      </c>
    </row>
    <row r="14" ht="14.25">
      <c r="B14" s="1" t="s">
        <v>63</v>
      </c>
      <c r="C14" t="s">
        <v>64</v>
      </c>
    </row>
    <row r="15" ht="14.25">
      <c r="B15" s="1" t="s">
        <v>66</v>
      </c>
      <c r="C15" t="s">
        <v>67</v>
      </c>
    </row>
    <row r="16" ht="14.25">
      <c r="B16" s="1" t="s">
        <v>68</v>
      </c>
      <c r="C16" t="s">
        <v>69</v>
      </c>
    </row>
    <row r="17" ht="14.25">
      <c r="B17" s="1" t="s">
        <v>47</v>
      </c>
      <c r="C17" t="s">
        <v>284</v>
      </c>
    </row>
    <row r="18" ht="14.25">
      <c r="B18" s="1" t="s">
        <v>51</v>
      </c>
      <c r="C18" t="s">
        <v>285</v>
      </c>
    </row>
    <row r="19" ht="14.25">
      <c r="B19" s="1" t="s">
        <v>70</v>
      </c>
      <c r="C19" t="s">
        <v>71</v>
      </c>
      <c r="G19" t="s">
        <v>286</v>
      </c>
    </row>
    <row r="20" ht="14.25">
      <c r="B20" s="1"/>
      <c r="C20" s="12" t="s">
        <v>72</v>
      </c>
      <c r="D20" s="11" t="s">
        <v>73</v>
      </c>
      <c r="G20" s="12"/>
    </row>
    <row r="21" ht="14.25">
      <c r="B21" s="1" t="s">
        <v>74</v>
      </c>
      <c r="C21" s="12" t="s">
        <v>75</v>
      </c>
      <c r="G21" s="12"/>
    </row>
    <row r="22" ht="14.25">
      <c r="B22" s="1" t="s">
        <v>63</v>
      </c>
      <c r="C22" s="12" t="s">
        <v>287</v>
      </c>
      <c r="G22" s="12"/>
    </row>
    <row r="23" ht="14.25">
      <c r="B23" s="1" t="s">
        <v>76</v>
      </c>
      <c r="C23" s="12"/>
      <c r="G23" s="12"/>
    </row>
    <row r="24" ht="14.25">
      <c r="B24" s="1" t="s">
        <v>57</v>
      </c>
      <c r="C24" s="12" t="s">
        <v>77</v>
      </c>
      <c r="G24" s="12"/>
    </row>
    <row r="25" ht="14.25">
      <c r="B25" s="1"/>
      <c r="C25" s="12"/>
      <c r="G25" s="12"/>
    </row>
    <row r="27" ht="14.25">
      <c r="B27" s="11" t="s">
        <v>288</v>
      </c>
    </row>
    <row r="28" ht="14.25">
      <c r="B28" s="1" t="s">
        <v>289</v>
      </c>
      <c r="C28" s="11" t="s">
        <v>290</v>
      </c>
    </row>
    <row r="29" ht="14.25">
      <c r="B29" s="1" t="s">
        <v>291</v>
      </c>
      <c r="C29" s="11" t="s">
        <v>290</v>
      </c>
    </row>
    <row r="30" ht="14.25">
      <c r="B30" s="1"/>
      <c r="C30" s="11"/>
    </row>
    <row r="31" ht="14.25">
      <c r="B31" s="1"/>
      <c r="C31" s="11"/>
    </row>
    <row r="32" ht="14.25">
      <c r="A32" t="s">
        <v>292</v>
      </c>
      <c r="B32" s="1" t="s">
        <v>293</v>
      </c>
      <c r="C32" s="11"/>
    </row>
    <row r="33" ht="14.25">
      <c r="A33" t="s">
        <v>294</v>
      </c>
      <c r="B33" s="1" t="s">
        <v>295</v>
      </c>
      <c r="C33" t="s">
        <v>296</v>
      </c>
    </row>
    <row r="34" ht="14.25">
      <c r="C34" t="s">
        <v>297</v>
      </c>
    </row>
    <row r="35" ht="14.25">
      <c r="B35" t="s">
        <v>298</v>
      </c>
      <c r="C35" s="9">
        <v>0.23000000000000001</v>
      </c>
    </row>
    <row r="36" ht="14.25">
      <c r="B36" t="s">
        <v>299</v>
      </c>
    </row>
    <row r="38" ht="14.25">
      <c r="B38" t="s">
        <v>300</v>
      </c>
    </row>
    <row r="39" ht="14.25">
      <c r="B39" t="s">
        <v>301</v>
      </c>
    </row>
    <row r="40" ht="14.25"/>
    <row r="41" ht="14.25">
      <c r="B41" s="1" t="s">
        <v>302</v>
      </c>
      <c r="C41" t="s">
        <v>303</v>
      </c>
    </row>
    <row r="42" ht="14.25">
      <c r="B42" s="1" t="s">
        <v>61</v>
      </c>
      <c r="C42" t="s">
        <v>304</v>
      </c>
    </row>
    <row r="44" ht="14.25">
      <c r="B44" t="s">
        <v>305</v>
      </c>
    </row>
  </sheetData>
  <hyperlinks>
    <hyperlink r:id="rId1" ref="D20"/>
    <hyperlink r:id="rId2" ref="B27"/>
    <hyperlink r:id="rId3" ref="C28"/>
    <hyperlink r:id="rId3" ref="C29"/>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15" width="21.8515625"/>
    <col customWidth="1" min="16" max="33" width="14.7109375"/>
    <col customWidth="1" min="34" max="34" width="19.8515625"/>
    <col customWidth="1" min="35" max="16384" width="14.7109375"/>
  </cols>
  <sheetData>
    <row r="1">
      <c r="A1" s="1" t="s">
        <v>126</v>
      </c>
      <c r="B1" t="s">
        <v>228</v>
      </c>
      <c r="C1" s="12"/>
      <c r="D1" s="12"/>
      <c r="E1" s="12"/>
      <c r="F1" s="12"/>
      <c r="G1" s="12"/>
      <c r="H1" s="12"/>
      <c r="I1" s="12"/>
      <c r="J1" s="12"/>
      <c r="K1" s="11" t="s">
        <v>306</v>
      </c>
      <c r="L1" s="12"/>
      <c r="M1" s="11" t="s">
        <v>307</v>
      </c>
      <c r="N1" s="12"/>
      <c r="O1" s="11" t="s">
        <v>308</v>
      </c>
      <c r="Q1" s="11" t="s">
        <v>309</v>
      </c>
    </row>
    <row r="2" s="1" customFormat="1">
      <c r="A2" s="1"/>
      <c r="C2" s="1" t="s">
        <v>241</v>
      </c>
      <c r="D2" s="1" t="s">
        <v>242</v>
      </c>
      <c r="E2" s="1" t="s">
        <v>243</v>
      </c>
      <c r="F2" s="16" t="s">
        <v>244</v>
      </c>
      <c r="G2" s="1" t="s">
        <v>245</v>
      </c>
      <c r="H2" s="1" t="s">
        <v>310</v>
      </c>
      <c r="J2" s="1">
        <v>2017</v>
      </c>
      <c r="K2" s="1">
        <v>2018</v>
      </c>
      <c r="L2" s="1">
        <v>2019</v>
      </c>
      <c r="M2" s="1">
        <v>2020</v>
      </c>
      <c r="N2" s="1">
        <v>2021</v>
      </c>
      <c r="O2" s="1">
        <v>2022</v>
      </c>
      <c r="P2" s="1">
        <v>2023</v>
      </c>
      <c r="Q2" s="1">
        <v>2024</v>
      </c>
      <c r="R2" s="1">
        <v>2025</v>
      </c>
      <c r="S2" s="1"/>
      <c r="T2" s="1"/>
      <c r="U2" s="1"/>
      <c r="V2" s="1">
        <v>2025</v>
      </c>
      <c r="W2" s="1">
        <f>V2+1</f>
        <v>2026</v>
      </c>
      <c r="X2" s="1">
        <f>W2+1</f>
        <v>2027</v>
      </c>
      <c r="Y2" s="1">
        <f>X2+1</f>
        <v>2028</v>
      </c>
      <c r="Z2" s="1">
        <f>Y2+1</f>
        <v>2029</v>
      </c>
      <c r="AA2" s="1">
        <f>Z2+1</f>
        <v>2030</v>
      </c>
      <c r="AB2" s="1">
        <f>AA2+1</f>
        <v>2031</v>
      </c>
      <c r="AC2" s="1">
        <f>AB2+1</f>
        <v>2032</v>
      </c>
      <c r="AD2" s="1">
        <f>AC2+1</f>
        <v>2033</v>
      </c>
      <c r="AE2" s="1">
        <f>AD2+1</f>
        <v>2034</v>
      </c>
      <c r="AF2" s="1">
        <f>AE2+1</f>
        <v>2035</v>
      </c>
      <c r="AG2" s="1"/>
      <c r="AH2" s="1"/>
    </row>
    <row r="3">
      <c r="B3" t="s">
        <v>246</v>
      </c>
      <c r="C3" s="24">
        <v>2015.98</v>
      </c>
      <c r="D3" s="24">
        <v>2092.9899999999998</v>
      </c>
      <c r="E3" s="24">
        <v>2968.8099999999999</v>
      </c>
      <c r="F3" s="33">
        <v>3773.54</v>
      </c>
      <c r="G3" s="12"/>
      <c r="H3" s="12"/>
      <c r="I3" s="12"/>
      <c r="J3" s="24">
        <v>12692.530000000001</v>
      </c>
      <c r="K3" s="24">
        <v>8292.25</v>
      </c>
      <c r="L3" s="24">
        <v>4978.46</v>
      </c>
      <c r="M3" s="24">
        <v>2933.1999999999998</v>
      </c>
      <c r="N3" s="24">
        <v>3294.6500000000001</v>
      </c>
      <c r="O3" s="24">
        <v>6519.9499999999998</v>
      </c>
      <c r="P3" s="23">
        <v>5946.8400000000001</v>
      </c>
      <c r="Q3" s="24">
        <v>6496.8400000000001</v>
      </c>
      <c r="R3" s="24">
        <v>10851.32</v>
      </c>
      <c r="V3" s="10">
        <v>10851.32</v>
      </c>
      <c r="W3" s="10"/>
    </row>
    <row r="4">
      <c r="B4" t="s">
        <v>311</v>
      </c>
      <c r="C4" s="24">
        <v>5.6100000000000003</v>
      </c>
      <c r="D4" s="24">
        <v>10.390000000000001</v>
      </c>
      <c r="E4" s="24">
        <v>6.0199999999999996</v>
      </c>
      <c r="F4" s="33">
        <v>16.399999999999999</v>
      </c>
      <c r="G4" s="12"/>
      <c r="H4" s="12"/>
      <c r="I4" s="12"/>
      <c r="J4" s="24">
        <v>21.84</v>
      </c>
      <c r="K4" s="24">
        <v>41.590000000000003</v>
      </c>
      <c r="L4" s="24">
        <v>46.229999999999997</v>
      </c>
      <c r="M4" s="24">
        <v>39.649999999999999</v>
      </c>
      <c r="N4" s="24">
        <v>51.07</v>
      </c>
      <c r="O4" s="24">
        <v>61.829999999999998</v>
      </c>
      <c r="P4" s="23">
        <v>23.690000000000001</v>
      </c>
      <c r="Q4" s="24">
        <v>32.25</v>
      </c>
      <c r="R4" s="24">
        <v>38.420000000000002</v>
      </c>
      <c r="V4" s="10">
        <v>38.420000000000002</v>
      </c>
      <c r="W4" s="10"/>
    </row>
    <row r="5">
      <c r="B5" t="s">
        <v>312</v>
      </c>
      <c r="C5" s="24">
        <v>22.760000000000002</v>
      </c>
      <c r="D5" s="24">
        <v>17.850000000000001</v>
      </c>
      <c r="E5" s="24">
        <v>27.530000000000001</v>
      </c>
      <c r="F5" s="33">
        <v>35.25</v>
      </c>
      <c r="G5" s="12"/>
      <c r="H5" s="12"/>
      <c r="I5" s="12"/>
      <c r="J5" s="24">
        <v>88.819999999999993</v>
      </c>
      <c r="K5" s="24">
        <v>79.170000000000002</v>
      </c>
      <c r="L5" s="24">
        <v>49.950000000000003</v>
      </c>
      <c r="M5" s="24">
        <v>27.57</v>
      </c>
      <c r="N5" s="24">
        <v>19.870000000000001</v>
      </c>
      <c r="O5" s="24">
        <v>22.190000000000001</v>
      </c>
      <c r="P5" s="23">
        <v>19.629999999999999</v>
      </c>
      <c r="Q5" s="24">
        <v>38.420000000000002</v>
      </c>
      <c r="R5" s="24">
        <v>103.39</v>
      </c>
      <c r="V5" s="10">
        <v>103.39</v>
      </c>
      <c r="W5" s="10"/>
    </row>
    <row r="6" s="1" customFormat="1">
      <c r="B6" s="1" t="s">
        <v>313</v>
      </c>
      <c r="C6" s="25">
        <f>SUM(C3:C5)</f>
        <v>2044.3499999999999</v>
      </c>
      <c r="D6" s="25">
        <f>SUM(D3:D5)</f>
        <v>2121.2299999999996</v>
      </c>
      <c r="E6" s="25">
        <f>SUM(E3:E5)</f>
        <v>3002.3600000000001</v>
      </c>
      <c r="F6" s="34">
        <f>SUM(F3:F5)</f>
        <v>3825.1900000000001</v>
      </c>
      <c r="G6" s="1"/>
      <c r="H6" s="1"/>
      <c r="I6" s="1"/>
      <c r="J6" s="25">
        <f>SUM(J3:J5)</f>
        <v>12803.190000000001</v>
      </c>
      <c r="K6" s="25">
        <f>SUM(K3:K5)</f>
        <v>8413.0100000000002</v>
      </c>
      <c r="L6" s="25">
        <f>SUM(L3:L5)</f>
        <v>5074.6399999999994</v>
      </c>
      <c r="M6" s="25">
        <f>SUM(M3:M5)</f>
        <v>3000.4200000000001</v>
      </c>
      <c r="N6" s="25">
        <f>SUM(N3:N5)</f>
        <v>3365.5900000000001</v>
      </c>
      <c r="O6" s="25">
        <f>SUM(O3:O5)</f>
        <v>6603.9699999999993</v>
      </c>
      <c r="P6" s="25">
        <f>SUM(P3:P5)</f>
        <v>5990.1599999999999</v>
      </c>
      <c r="Q6" s="25">
        <f>SUM(Q3:Q5)</f>
        <v>6567.5100000000002</v>
      </c>
      <c r="R6" s="25">
        <f>SUM(R3:R5)</f>
        <v>10993.129999999999</v>
      </c>
      <c r="S6" s="1"/>
      <c r="T6" s="1"/>
      <c r="U6" s="1"/>
      <c r="V6" s="1">
        <f>SUM(V3:V5)</f>
        <v>10993.129999999999</v>
      </c>
      <c r="W6" s="26">
        <f>V6*($U$28+1)</f>
        <v>12532.1682</v>
      </c>
      <c r="X6" s="26">
        <f>W6*($U$28+1)</f>
        <v>14286.671748000002</v>
      </c>
      <c r="Y6" s="26">
        <f>X6*($U$28+1)</f>
        <v>16286.805792720004</v>
      </c>
      <c r="Z6" s="26">
        <f>Y6*($U$28+1)</f>
        <v>18566.958603700808</v>
      </c>
      <c r="AA6" s="26">
        <f>Z6*($U$28+1)</f>
        <v>21166.332808218925</v>
      </c>
      <c r="AB6" s="26">
        <f>AA6*($U$28+1)</f>
        <v>24129.619401369579</v>
      </c>
      <c r="AC6" s="26">
        <f>AB6*($U$28+1)</f>
        <v>27507.766117561321</v>
      </c>
      <c r="AD6" s="26">
        <f>AC6*($U$28+1)</f>
        <v>31358.853374019909</v>
      </c>
      <c r="AE6" s="26">
        <f>AD6*($U$28+1)</f>
        <v>35749.0928463827</v>
      </c>
      <c r="AF6" s="26">
        <f>AE6*($U$28+1)</f>
        <v>40753.965844876286</v>
      </c>
    </row>
    <row r="7" s="1" customFormat="1">
      <c r="B7" s="1" t="s">
        <v>314</v>
      </c>
      <c r="C7" s="25"/>
      <c r="D7" s="25"/>
      <c r="E7" s="25"/>
      <c r="F7" s="34"/>
      <c r="G7" s="1"/>
      <c r="H7" s="1"/>
      <c r="I7" s="1"/>
      <c r="J7" s="25"/>
      <c r="K7" s="25"/>
      <c r="L7" s="25"/>
      <c r="M7" s="25"/>
      <c r="N7" s="25"/>
      <c r="O7" s="25"/>
      <c r="P7" s="25"/>
      <c r="Q7" s="25"/>
      <c r="R7" s="25"/>
      <c r="S7" s="1"/>
      <c r="T7" s="1"/>
      <c r="U7" s="1"/>
      <c r="V7" s="1"/>
      <c r="W7" s="26"/>
      <c r="X7" s="26"/>
      <c r="Y7" s="26"/>
      <c r="Z7" s="26"/>
      <c r="AA7" s="26"/>
      <c r="AB7" s="26"/>
      <c r="AC7" s="26"/>
      <c r="AD7" s="26"/>
      <c r="AE7" s="26"/>
      <c r="AF7" s="26"/>
    </row>
    <row r="8" s="1" customFormat="1">
      <c r="B8" s="1" t="s">
        <v>315</v>
      </c>
      <c r="C8" s="25"/>
      <c r="D8" s="25"/>
      <c r="E8" s="25"/>
      <c r="F8" s="34"/>
      <c r="G8" s="1"/>
      <c r="H8" s="1"/>
      <c r="I8" s="1"/>
      <c r="J8" s="25"/>
      <c r="K8" s="25"/>
      <c r="L8" s="25"/>
      <c r="M8" s="25"/>
      <c r="N8" s="25"/>
      <c r="O8" s="25"/>
      <c r="P8" s="25"/>
      <c r="Q8" s="25"/>
      <c r="R8" s="25"/>
      <c r="S8" s="1"/>
      <c r="T8" s="1"/>
      <c r="U8" s="1"/>
      <c r="V8" s="1"/>
      <c r="W8" s="26"/>
      <c r="X8" s="26"/>
      <c r="Y8" s="26"/>
      <c r="Z8" s="26"/>
      <c r="AA8" s="26"/>
      <c r="AB8" s="26"/>
      <c r="AC8" s="26"/>
      <c r="AD8" s="26"/>
      <c r="AE8" s="26"/>
      <c r="AF8" s="26"/>
    </row>
    <row r="9">
      <c r="C9" s="23"/>
      <c r="D9" s="23"/>
      <c r="E9" s="23"/>
      <c r="F9" s="35"/>
      <c r="J9" s="23"/>
      <c r="K9" s="23"/>
      <c r="L9" s="23"/>
      <c r="M9" s="23"/>
      <c r="N9" s="23"/>
      <c r="O9" s="23"/>
      <c r="P9" s="23"/>
      <c r="Q9" s="24"/>
      <c r="R9" s="23"/>
      <c r="V9" s="10"/>
      <c r="W9" s="32"/>
      <c r="X9" s="32"/>
      <c r="Y9" s="32"/>
      <c r="Z9" s="32"/>
      <c r="AA9" s="32"/>
      <c r="AB9" s="32"/>
      <c r="AC9" s="32"/>
      <c r="AD9" s="32"/>
      <c r="AE9" s="32"/>
      <c r="AF9" s="32"/>
    </row>
    <row r="10">
      <c r="A10" t="s">
        <v>316</v>
      </c>
      <c r="B10" t="s">
        <v>135</v>
      </c>
      <c r="C10" s="23">
        <v>1329.9300000000001</v>
      </c>
      <c r="D10" s="23">
        <v>1607.1900000000001</v>
      </c>
      <c r="E10" s="23">
        <v>1731.5999999999999</v>
      </c>
      <c r="F10" s="35">
        <v>2470.4499999999998</v>
      </c>
      <c r="G10" s="12"/>
      <c r="H10" s="12"/>
      <c r="I10" s="12"/>
      <c r="J10" s="23">
        <v>8291.4400000000005</v>
      </c>
      <c r="K10" s="23">
        <v>4031.9989999999998</v>
      </c>
      <c r="L10" s="23">
        <v>2956.5</v>
      </c>
      <c r="M10" s="23">
        <v>1404.4100000000001</v>
      </c>
      <c r="N10" s="23">
        <v>1610.75</v>
      </c>
      <c r="O10" s="23">
        <v>4091.9499999999998</v>
      </c>
      <c r="P10" s="23">
        <v>3626.7600000000002</v>
      </c>
      <c r="Q10" s="24">
        <v>4018.6500000000001</v>
      </c>
      <c r="R10" s="23">
        <v>7139.1700000000001</v>
      </c>
      <c r="V10" s="10">
        <v>7139.1700000000001</v>
      </c>
      <c r="W10" s="32">
        <f>W6*$U$26</f>
        <v>7268.6575559999992</v>
      </c>
      <c r="X10" s="32">
        <f>X6*$U$26</f>
        <v>8286.2696138400006</v>
      </c>
      <c r="Y10" s="32">
        <f>Y6*$U$26</f>
        <v>9446.347359777601</v>
      </c>
      <c r="Z10" s="32">
        <f>Z6*$U$26</f>
        <v>10768.835990146468</v>
      </c>
      <c r="AA10" s="32">
        <f>AA6*$U$26</f>
        <v>12276.473028766975</v>
      </c>
      <c r="AB10" s="32">
        <f>AB6*$U$26</f>
        <v>13995.179252794354</v>
      </c>
      <c r="AC10" s="32">
        <f>AC6*$U$26</f>
        <v>15954.504348185565</v>
      </c>
      <c r="AD10" s="32">
        <f>AD6*$U$26</f>
        <v>18188.134956931546</v>
      </c>
      <c r="AE10" s="32">
        <f>AE6*$U$26</f>
        <v>20734.473850901966</v>
      </c>
      <c r="AF10" s="32">
        <f>AF6*$U$26</f>
        <v>23637.300190028243</v>
      </c>
    </row>
    <row r="11">
      <c r="B11" t="s">
        <v>317</v>
      </c>
      <c r="C11" s="23">
        <v>0</v>
      </c>
      <c r="D11" s="23">
        <v>0</v>
      </c>
      <c r="E11" s="23">
        <v>0</v>
      </c>
      <c r="F11" s="35">
        <v>0</v>
      </c>
      <c r="G11" s="12"/>
      <c r="H11" s="12"/>
      <c r="I11" s="12"/>
      <c r="J11" s="23">
        <v>0</v>
      </c>
      <c r="K11" s="23">
        <v>987.95000000000005</v>
      </c>
      <c r="L11" s="23">
        <v>0</v>
      </c>
      <c r="M11" s="23">
        <v>0</v>
      </c>
      <c r="N11" s="23">
        <v>0</v>
      </c>
      <c r="O11" s="23">
        <v>0</v>
      </c>
      <c r="P11" s="23">
        <v>0</v>
      </c>
      <c r="Q11" s="24">
        <v>0</v>
      </c>
      <c r="R11" s="23">
        <v>0</v>
      </c>
      <c r="V11" s="10">
        <v>0</v>
      </c>
      <c r="W11" s="32">
        <v>0</v>
      </c>
      <c r="X11" s="32">
        <v>0</v>
      </c>
      <c r="Y11" s="32">
        <v>0</v>
      </c>
      <c r="Z11" s="32">
        <v>0</v>
      </c>
      <c r="AA11" s="32">
        <v>0</v>
      </c>
      <c r="AB11" s="32">
        <v>0</v>
      </c>
      <c r="AC11" s="32">
        <v>0</v>
      </c>
      <c r="AD11" s="32">
        <v>0</v>
      </c>
      <c r="AE11" s="32">
        <v>0</v>
      </c>
      <c r="AF11" s="32">
        <v>0</v>
      </c>
    </row>
    <row r="12">
      <c r="B12" t="s">
        <v>318</v>
      </c>
      <c r="C12" s="23">
        <v>-77.650000000000006</v>
      </c>
      <c r="D12" s="23">
        <v>-303.20999999999998</v>
      </c>
      <c r="E12" s="23">
        <v>153.97</v>
      </c>
      <c r="F12" s="35">
        <v>-25.68</v>
      </c>
      <c r="G12" s="12"/>
      <c r="H12" s="12"/>
      <c r="I12" s="12"/>
      <c r="J12" s="23">
        <v>-748.54999999999995</v>
      </c>
      <c r="K12" s="23">
        <v>95.769999999999996</v>
      </c>
      <c r="L12" s="23">
        <v>41.850000000000001</v>
      </c>
      <c r="M12" s="23">
        <v>469.10000000000002</v>
      </c>
      <c r="N12" s="23">
        <v>-33.479999999999997</v>
      </c>
      <c r="O12" s="23">
        <v>239.61000000000001</v>
      </c>
      <c r="P12" s="23">
        <v>155.90000000000001</v>
      </c>
      <c r="Q12" s="24">
        <v>-36.520000000000003</v>
      </c>
      <c r="R12" s="23">
        <v>-252.56999999999999</v>
      </c>
      <c r="V12" s="10">
        <v>-252.56999999999999</v>
      </c>
      <c r="W12" s="32">
        <v>0</v>
      </c>
      <c r="X12" s="32">
        <v>0</v>
      </c>
      <c r="Y12" s="32">
        <v>0</v>
      </c>
      <c r="Z12" s="32">
        <v>0</v>
      </c>
      <c r="AA12" s="32">
        <v>0</v>
      </c>
      <c r="AB12" s="32">
        <v>0</v>
      </c>
      <c r="AC12" s="32">
        <v>0</v>
      </c>
      <c r="AD12" s="32">
        <v>0</v>
      </c>
      <c r="AE12" s="32">
        <v>0</v>
      </c>
      <c r="AF12" s="32">
        <v>0</v>
      </c>
    </row>
    <row r="13">
      <c r="B13" t="s">
        <v>136</v>
      </c>
      <c r="C13" s="23">
        <v>195.87</v>
      </c>
      <c r="D13" s="23">
        <v>241.94</v>
      </c>
      <c r="E13" s="23">
        <v>265.44</v>
      </c>
      <c r="F13" s="35">
        <v>238.28</v>
      </c>
      <c r="G13" s="12"/>
      <c r="H13" s="12"/>
      <c r="I13" s="12"/>
      <c r="J13" s="23">
        <v>1046.48</v>
      </c>
      <c r="K13" s="23">
        <v>804.67999999999995</v>
      </c>
      <c r="L13" s="23">
        <v>874.15999999999997</v>
      </c>
      <c r="M13" s="23">
        <v>796.25</v>
      </c>
      <c r="N13" s="23">
        <v>553.21000000000004</v>
      </c>
      <c r="O13" s="23">
        <v>545.36000000000001</v>
      </c>
      <c r="P13" s="23">
        <v>609.22000000000003</v>
      </c>
      <c r="Q13" s="24">
        <v>702.89999999999998</v>
      </c>
      <c r="R13" s="23">
        <v>941.52999999999997</v>
      </c>
      <c r="V13" s="10">
        <v>941.52999999999997</v>
      </c>
      <c r="W13" s="32">
        <f>V13*($U$31+1)</f>
        <v>998.02179999999998</v>
      </c>
      <c r="X13" s="32">
        <f>W13*($U$31+1)</f>
        <v>1057.903108</v>
      </c>
      <c r="Y13" s="32">
        <f>X13*($U$31+1)</f>
        <v>1121.37729448</v>
      </c>
      <c r="Z13" s="32">
        <f>Y13*($U$31+1)</f>
        <v>1188.6599321488002</v>
      </c>
      <c r="AA13" s="32">
        <f>Z13*($U$31+1)</f>
        <v>1259.9795280777282</v>
      </c>
      <c r="AB13" s="32">
        <f>AA13*($U$31+1)</f>
        <v>1335.5782997623919</v>
      </c>
      <c r="AC13" s="32">
        <f>AB13*($U$31+1)</f>
        <v>1415.7129977481354</v>
      </c>
      <c r="AD13" s="32">
        <f>AC13*($U$31+1)</f>
        <v>1500.6557776130237</v>
      </c>
      <c r="AE13" s="32">
        <f>AD13*($U$31+1)</f>
        <v>1590.6951242698051</v>
      </c>
      <c r="AF13" s="32">
        <f>AE13*($U$31+1)</f>
        <v>1686.1368317259935</v>
      </c>
    </row>
    <row r="14">
      <c r="B14" t="s">
        <v>255</v>
      </c>
      <c r="C14" s="23">
        <v>44.520000000000003</v>
      </c>
      <c r="D14" s="23">
        <v>56.030000000000001</v>
      </c>
      <c r="E14" s="23">
        <v>69.530000000000001</v>
      </c>
      <c r="F14" s="35">
        <v>84.719999999999999</v>
      </c>
      <c r="G14" s="12"/>
      <c r="H14" s="12"/>
      <c r="I14" s="12"/>
      <c r="J14" s="23">
        <v>1287.5899999999999</v>
      </c>
      <c r="K14" s="23">
        <v>1580.98</v>
      </c>
      <c r="L14" s="23">
        <v>1269.9100000000001</v>
      </c>
      <c r="M14" s="23">
        <v>1367.29</v>
      </c>
      <c r="N14" s="23">
        <v>996.25999999999999</v>
      </c>
      <c r="O14" s="23">
        <v>734.51999999999998</v>
      </c>
      <c r="P14" s="23">
        <v>420.75999999999999</v>
      </c>
      <c r="Q14" s="24">
        <v>164.31999999999999</v>
      </c>
      <c r="R14" s="23">
        <v>254.80000000000001</v>
      </c>
      <c r="V14" s="10">
        <v>254.80000000000001</v>
      </c>
      <c r="W14" s="32">
        <v>400</v>
      </c>
      <c r="X14" s="32">
        <v>400</v>
      </c>
      <c r="Y14" s="32">
        <v>400</v>
      </c>
      <c r="Z14" s="32">
        <v>400</v>
      </c>
      <c r="AA14" s="32">
        <v>400</v>
      </c>
      <c r="AB14" s="32">
        <v>400</v>
      </c>
      <c r="AC14" s="32">
        <v>400</v>
      </c>
      <c r="AD14" s="32">
        <v>400</v>
      </c>
      <c r="AE14" s="32">
        <v>400</v>
      </c>
      <c r="AF14" s="32">
        <v>400</v>
      </c>
    </row>
    <row r="15">
      <c r="B15" t="s">
        <v>137</v>
      </c>
      <c r="C15" s="23">
        <v>45.840000000000003</v>
      </c>
      <c r="D15" s="23">
        <v>54.420000000000002</v>
      </c>
      <c r="E15" s="23">
        <v>66.180000000000007</v>
      </c>
      <c r="F15" s="35">
        <v>92.75</v>
      </c>
      <c r="G15" s="12"/>
      <c r="H15" s="12"/>
      <c r="I15" s="12"/>
      <c r="J15" s="23">
        <v>389.02999999999997</v>
      </c>
      <c r="K15" s="23">
        <v>341.61000000000001</v>
      </c>
      <c r="L15" s="23">
        <v>341.85000000000002</v>
      </c>
      <c r="M15" s="23">
        <v>418.61000000000001</v>
      </c>
      <c r="N15" s="23">
        <v>258.38</v>
      </c>
      <c r="O15" s="23">
        <v>259.83999999999997</v>
      </c>
      <c r="P15" s="23">
        <v>259.68000000000001</v>
      </c>
      <c r="Q15" s="24">
        <v>189.59999999999999</v>
      </c>
      <c r="R15" s="23">
        <v>259.19</v>
      </c>
      <c r="V15" s="10">
        <v>259.19</v>
      </c>
      <c r="W15" s="32">
        <f>V15*(1+$U$32)</f>
        <v>274.7414</v>
      </c>
      <c r="X15" s="32">
        <f>W15*(1+$U$32)</f>
        <v>291.22588400000001</v>
      </c>
      <c r="Y15" s="32">
        <f>X15*(1+$U$32)</f>
        <v>308.69943704000002</v>
      </c>
      <c r="Z15" s="32">
        <f>Y15*(1+$U$32)</f>
        <v>327.22140326240003</v>
      </c>
      <c r="AA15" s="32">
        <f>Z15*(1+$U$32)</f>
        <v>346.85468745814404</v>
      </c>
      <c r="AB15" s="32">
        <f>AA15*(1+$U$32)</f>
        <v>367.66596870563268</v>
      </c>
      <c r="AC15" s="32">
        <f>AB15*(1+$U$32)</f>
        <v>389.72592682797068</v>
      </c>
      <c r="AD15" s="32">
        <f>AC15*(1+$U$32)</f>
        <v>413.10948243764892</v>
      </c>
      <c r="AE15" s="32">
        <f>AD15*(1+$U$32)</f>
        <v>437.89605138390789</v>
      </c>
      <c r="AF15" s="32">
        <f>AE15*(1+$U$32)</f>
        <v>464.1698144669424</v>
      </c>
    </row>
    <row r="16">
      <c r="B16" t="s">
        <v>319</v>
      </c>
      <c r="C16" s="23">
        <f>206.09-2.73</f>
        <v>203.36000000000001</v>
      </c>
      <c r="D16" s="23">
        <f>+265.08-1.8</f>
        <v>263.27999999999997</v>
      </c>
      <c r="E16" s="23">
        <f>5.09+319.22</f>
        <v>324.31</v>
      </c>
      <c r="F16" s="35">
        <f>444.37-30.94</f>
        <v>413.43000000000001</v>
      </c>
      <c r="G16" s="12"/>
      <c r="H16" s="12"/>
      <c r="I16" s="12"/>
      <c r="J16" s="23">
        <v>1625.6099999999999</v>
      </c>
      <c r="K16" s="23">
        <v>1410.3900000000001</v>
      </c>
      <c r="L16" s="23">
        <v>1160.9300000000001</v>
      </c>
      <c r="M16" s="23">
        <v>1162.8199999999999</v>
      </c>
      <c r="N16" s="23">
        <v>680.96000000000004</v>
      </c>
      <c r="O16" s="23">
        <v>815.40999999999997</v>
      </c>
      <c r="P16" s="23">
        <v>746.73000000000002</v>
      </c>
      <c r="Q16" s="24">
        <v>815.17999999999995</v>
      </c>
      <c r="R16" s="23">
        <f>1234.76-30.38</f>
        <v>1204.3799999999999</v>
      </c>
      <c r="V16" s="10">
        <f>1234.76-30.38</f>
        <v>1204.3799999999999</v>
      </c>
      <c r="W16" s="32">
        <v>1300</v>
      </c>
      <c r="X16" s="32">
        <v>1300</v>
      </c>
      <c r="Y16" s="32">
        <v>1300</v>
      </c>
      <c r="Z16" s="32">
        <v>1300</v>
      </c>
      <c r="AA16" s="32">
        <v>1300</v>
      </c>
      <c r="AB16" s="32">
        <v>1300</v>
      </c>
      <c r="AC16" s="32">
        <v>1300</v>
      </c>
      <c r="AD16" s="32">
        <v>1300</v>
      </c>
      <c r="AE16" s="32">
        <v>1300</v>
      </c>
      <c r="AF16" s="32">
        <v>1300</v>
      </c>
    </row>
    <row r="17" s="1" customFormat="1">
      <c r="B17" s="1" t="s">
        <v>142</v>
      </c>
      <c r="C17" s="25">
        <f>SUM(C10:C16)</f>
        <v>1741.8699999999999</v>
      </c>
      <c r="D17" s="25">
        <f>SUM(D10:D16)</f>
        <v>1919.6500000000001</v>
      </c>
      <c r="E17" s="25">
        <f>SUM(E10:E16)</f>
        <v>2611.0299999999997</v>
      </c>
      <c r="F17" s="34">
        <f>SUM(F10:F16)</f>
        <v>3273.9499999999998</v>
      </c>
      <c r="G17" s="1"/>
      <c r="H17" s="1"/>
      <c r="I17" s="1"/>
      <c r="J17" s="25">
        <f>SUM(J10:J16)</f>
        <v>11891.600000000002</v>
      </c>
      <c r="K17" s="25">
        <f>SUM(K10:K16)</f>
        <v>9253.3790000000008</v>
      </c>
      <c r="L17" s="25">
        <f>SUM(L10:L16)</f>
        <v>6645.2000000000007</v>
      </c>
      <c r="M17" s="25">
        <f>SUM(M10:M16)</f>
        <v>5618.4799999999996</v>
      </c>
      <c r="N17" s="25">
        <f>SUM(N10:N16)</f>
        <v>4066.0799999999999</v>
      </c>
      <c r="O17" s="25">
        <f>SUM(O10:O16)</f>
        <v>6686.6899999999987</v>
      </c>
      <c r="P17" s="25">
        <f>SUM(P10:P16)</f>
        <v>5819.0500000000011</v>
      </c>
      <c r="Q17" s="25">
        <f>SUM(Q10:Q16)</f>
        <v>5854.1300000000001</v>
      </c>
      <c r="R17" s="25">
        <f>SUM(R10:R16)</f>
        <v>9546.5</v>
      </c>
      <c r="S17" s="1"/>
      <c r="T17" s="1"/>
      <c r="U17" s="1"/>
      <c r="V17" s="1">
        <f>SUM(V10:V16)</f>
        <v>9546.5</v>
      </c>
      <c r="W17" s="26">
        <f>SUM(W10:W16)</f>
        <v>10241.420756</v>
      </c>
      <c r="X17" s="26">
        <f>SUM(X10:X16)</f>
        <v>11335.398605840001</v>
      </c>
      <c r="Y17" s="26">
        <f>SUM(Y10:Y16)</f>
        <v>12576.424091297602</v>
      </c>
      <c r="Z17" s="26">
        <f>SUM(Z10:Z16)</f>
        <v>13984.717325557667</v>
      </c>
      <c r="AA17" s="26">
        <f>SUM(AA10:AA16)</f>
        <v>15583.307244302849</v>
      </c>
      <c r="AB17" s="26">
        <f>SUM(AB10:AB16)</f>
        <v>17398.423521262379</v>
      </c>
      <c r="AC17" s="26">
        <f>SUM(AC10:AC16)</f>
        <v>19459.94327276167</v>
      </c>
      <c r="AD17" s="26">
        <f>SUM(AD10:AD16)</f>
        <v>21801.90021698222</v>
      </c>
      <c r="AE17" s="26">
        <f>SUM(AE10:AE16)</f>
        <v>24463.06502655568</v>
      </c>
      <c r="AF17" s="26">
        <f>SUM(AF10:AF16)</f>
        <v>27487.606836221181</v>
      </c>
    </row>
    <row r="18" s="1" customFormat="1">
      <c r="A18" s="1"/>
      <c r="B18" s="1" t="s">
        <v>320</v>
      </c>
      <c r="C18" s="25">
        <f>C6-C17</f>
        <v>302.48000000000002</v>
      </c>
      <c r="D18" s="25">
        <f>D6-D17</f>
        <v>201.57999999999947</v>
      </c>
      <c r="E18" s="25">
        <f>E6-E17</f>
        <v>391.33000000000038</v>
      </c>
      <c r="F18" s="34">
        <f>F6-F17</f>
        <v>551.24000000000024</v>
      </c>
      <c r="G18" s="1"/>
      <c r="H18" s="1"/>
      <c r="I18" s="1"/>
      <c r="J18" s="25">
        <f>J6-J17</f>
        <v>911.58999999999833</v>
      </c>
      <c r="K18" s="25">
        <f>K6-K17</f>
        <v>-840.3690000000006</v>
      </c>
      <c r="L18" s="25">
        <f>L6-L17</f>
        <v>-1570.5600000000013</v>
      </c>
      <c r="M18" s="25">
        <f>M6-M17</f>
        <v>-2618.0599999999995</v>
      </c>
      <c r="N18" s="25">
        <f>N6-N17</f>
        <v>-700.48999999999978</v>
      </c>
      <c r="O18" s="25">
        <f>O6-O17</f>
        <v>-82.719999999999345</v>
      </c>
      <c r="P18" s="25">
        <f>P6-P17</f>
        <v>171.10999999999876</v>
      </c>
      <c r="Q18" s="25">
        <f>Q6-Q17</f>
        <v>713.38000000000011</v>
      </c>
      <c r="R18" s="25">
        <f>R6-R17</f>
        <v>1446.6299999999992</v>
      </c>
      <c r="S18" s="1"/>
      <c r="T18" s="1"/>
      <c r="U18" s="1"/>
      <c r="V18" s="1">
        <f>V6-V17</f>
        <v>1446.6299999999992</v>
      </c>
      <c r="W18" s="26">
        <f>W6-W17</f>
        <v>2290.7474440000005</v>
      </c>
      <c r="X18" s="26">
        <f>X6-X17</f>
        <v>2951.273142160002</v>
      </c>
      <c r="Y18" s="26">
        <f>Y6-Y17</f>
        <v>3710.3817014224023</v>
      </c>
      <c r="Z18" s="26">
        <f>Z6-Z17</f>
        <v>4582.2412781431412</v>
      </c>
      <c r="AA18" s="26">
        <f>AA6-AA17</f>
        <v>5583.0255639160769</v>
      </c>
      <c r="AB18" s="26">
        <f>AB6-AB17</f>
        <v>6731.1958801071996</v>
      </c>
      <c r="AC18" s="26">
        <f>AC6-AC17</f>
        <v>8047.8228447996516</v>
      </c>
      <c r="AD18" s="26">
        <f>AD6-AD17</f>
        <v>9556.9531570376894</v>
      </c>
      <c r="AE18" s="26">
        <f>AE6-AE17</f>
        <v>11286.027819827021</v>
      </c>
      <c r="AF18" s="26">
        <f>AF6-AF17</f>
        <v>13266.359008655105</v>
      </c>
    </row>
    <row r="19">
      <c r="A19" t="s">
        <v>321</v>
      </c>
      <c r="B19" t="s">
        <v>322</v>
      </c>
      <c r="C19" s="23">
        <v>0</v>
      </c>
      <c r="D19" s="23">
        <v>0</v>
      </c>
      <c r="E19" s="23">
        <v>0</v>
      </c>
      <c r="F19" s="35">
        <v>0</v>
      </c>
      <c r="G19" s="12"/>
      <c r="H19" s="12"/>
      <c r="I19" s="12"/>
      <c r="J19" s="23">
        <v>0</v>
      </c>
      <c r="K19" s="23">
        <v>-449.62</v>
      </c>
      <c r="L19" s="23">
        <v>-27.57</v>
      </c>
      <c r="M19" s="23">
        <v>65.890000000000001</v>
      </c>
      <c r="N19" s="23">
        <v>-805.46000000000004</v>
      </c>
      <c r="O19" s="23">
        <v>-83.120000000000005</v>
      </c>
      <c r="P19" s="23">
        <v>-2720.5999999999999</v>
      </c>
      <c r="Q19" s="24">
        <v>53.890000000000001</v>
      </c>
      <c r="R19" s="23">
        <v>0</v>
      </c>
      <c r="V19" s="10">
        <v>0</v>
      </c>
      <c r="W19" s="32">
        <v>0</v>
      </c>
      <c r="X19" s="32">
        <v>0</v>
      </c>
      <c r="Y19" s="32">
        <v>0</v>
      </c>
      <c r="Z19" s="32">
        <v>0</v>
      </c>
      <c r="AA19" s="32">
        <v>0</v>
      </c>
      <c r="AB19" s="32">
        <v>0</v>
      </c>
      <c r="AC19" s="32">
        <v>0</v>
      </c>
      <c r="AD19" s="32">
        <v>0</v>
      </c>
      <c r="AE19" s="32">
        <v>0</v>
      </c>
      <c r="AF19" s="32">
        <v>0</v>
      </c>
    </row>
    <row r="20" s="1" customFormat="1">
      <c r="B20" s="1" t="s">
        <v>146</v>
      </c>
      <c r="C20" s="25">
        <f>C6-C17-C19</f>
        <v>302.48000000000002</v>
      </c>
      <c r="D20" s="25">
        <f>D6-D17-D19</f>
        <v>201.57999999999947</v>
      </c>
      <c r="E20" s="25">
        <f>E6-E17-E19</f>
        <v>391.33000000000038</v>
      </c>
      <c r="F20" s="34">
        <f>F6-F17-F19</f>
        <v>551.24000000000024</v>
      </c>
      <c r="G20" s="1"/>
      <c r="H20" s="1"/>
      <c r="I20" s="1"/>
      <c r="J20" s="25">
        <f>J6-J17-J19</f>
        <v>911.58999999999833</v>
      </c>
      <c r="K20" s="25">
        <f>K6-K17-K19</f>
        <v>-390.74900000000059</v>
      </c>
      <c r="L20" s="25">
        <f>L6-L17-L19</f>
        <v>-1542.9900000000014</v>
      </c>
      <c r="M20" s="25">
        <f>M6-M17-M19</f>
        <v>-2683.9499999999994</v>
      </c>
      <c r="N20" s="25">
        <f>N6-N17-N19</f>
        <v>104.97000000000025</v>
      </c>
      <c r="O20" s="25">
        <f>O6-O17-O19</f>
        <v>0.40000000000065938</v>
      </c>
      <c r="P20" s="25">
        <f>P6-P17-P19</f>
        <v>2891.7099999999987</v>
      </c>
      <c r="Q20" s="25">
        <f>Q6-Q17-Q19</f>
        <v>659.49000000000012</v>
      </c>
      <c r="R20" s="25">
        <f>R6-R17-R19</f>
        <v>1446.6299999999992</v>
      </c>
      <c r="S20" s="1"/>
      <c r="T20" s="1"/>
      <c r="U20" s="1"/>
      <c r="V20" s="1">
        <f>V6-V17-V19</f>
        <v>1446.6299999999992</v>
      </c>
      <c r="W20" s="26">
        <f>W6-W17-W19</f>
        <v>2290.7474440000005</v>
      </c>
      <c r="X20" s="26">
        <f>X6-X17-X19</f>
        <v>2951.273142160002</v>
      </c>
      <c r="Y20" s="26">
        <f>Y6-Y17-Y19</f>
        <v>3710.3817014224023</v>
      </c>
      <c r="Z20" s="26">
        <f>Z6-Z17-Z19</f>
        <v>4582.2412781431412</v>
      </c>
      <c r="AA20" s="26">
        <f>AA6-AA17-AA19</f>
        <v>5583.0255639160769</v>
      </c>
      <c r="AB20" s="26">
        <f>AB6-AB17-AB19</f>
        <v>6731.1958801071996</v>
      </c>
      <c r="AC20" s="26">
        <f>AC6-AC17-AC19</f>
        <v>8047.8228447996516</v>
      </c>
      <c r="AD20" s="26">
        <f>AD6-AD17-AD19</f>
        <v>9556.9531570376894</v>
      </c>
      <c r="AE20" s="26">
        <f>AE6-AE17-AE19</f>
        <v>11286.027819827021</v>
      </c>
      <c r="AF20" s="26">
        <f>AF6-AF17-AF19</f>
        <v>13266.359008655105</v>
      </c>
    </row>
    <row r="21">
      <c r="B21" t="s">
        <v>147</v>
      </c>
      <c r="C21" s="23">
        <v>0.19</v>
      </c>
      <c r="D21" s="23">
        <f>1.36-0.38</f>
        <v>0.98000000000000009</v>
      </c>
      <c r="E21" s="23">
        <f>41.86-38.29</f>
        <v>3.5700000000000003</v>
      </c>
      <c r="F21" s="35">
        <f>-28.99-600.75</f>
        <v>-629.74000000000001</v>
      </c>
      <c r="G21" s="12"/>
      <c r="H21" s="12"/>
      <c r="I21" s="12"/>
      <c r="J21" s="23">
        <v>11.699999999999999</v>
      </c>
      <c r="K21" s="23">
        <v>-1.5600000000000001</v>
      </c>
      <c r="L21" s="23">
        <f>3.09-14.99</f>
        <v>-11.9</v>
      </c>
      <c r="M21" s="23">
        <v>7.4400000000000004</v>
      </c>
      <c r="N21" s="23">
        <f>184.07-17.48</f>
        <v>166.59</v>
      </c>
      <c r="O21" s="23">
        <f>184.07-17.48</f>
        <v>166.59</v>
      </c>
      <c r="P21" s="23">
        <f>4.61-0.19</f>
        <v>4.4199999999999999</v>
      </c>
      <c r="Q21" s="24">
        <f>2.9-3.76</f>
        <v>-0.85999999999999988</v>
      </c>
      <c r="R21" s="24">
        <f>14.42-639.42</f>
        <v>-625</v>
      </c>
      <c r="V21" s="10">
        <f>14.42-639.42</f>
        <v>-625</v>
      </c>
      <c r="W21" s="32">
        <f>W20*U36</f>
        <v>412.33453992000005</v>
      </c>
      <c r="X21" s="32">
        <f>X20*V36</f>
        <v>0</v>
      </c>
      <c r="Y21" s="32">
        <f>Y20*W36</f>
        <v>0</v>
      </c>
      <c r="Z21" s="32">
        <f>Z20*X36</f>
        <v>0</v>
      </c>
      <c r="AA21" s="32">
        <f>AA20*Y36</f>
        <v>0</v>
      </c>
      <c r="AB21" s="32">
        <f>AB20*Z36</f>
        <v>0</v>
      </c>
      <c r="AC21" s="32">
        <f>AC20*AA36</f>
        <v>0</v>
      </c>
      <c r="AD21" s="32">
        <f>AD20*AB36</f>
        <v>0</v>
      </c>
      <c r="AE21" s="32">
        <f>AE20*AC36</f>
        <v>0</v>
      </c>
      <c r="AF21" s="32">
        <f>AF20*AD36</f>
        <v>0</v>
      </c>
    </row>
    <row r="22" s="1" customFormat="1">
      <c r="B22" s="1" t="s">
        <v>148</v>
      </c>
      <c r="C22" s="27">
        <f>C20-C21</f>
        <v>302.29000000000002</v>
      </c>
      <c r="D22" s="27">
        <f>D20-D21</f>
        <v>200.59999999999948</v>
      </c>
      <c r="E22" s="27">
        <f>E20-E21</f>
        <v>387.76000000000039</v>
      </c>
      <c r="F22" s="36">
        <f>F20-F21</f>
        <v>1180.9800000000002</v>
      </c>
      <c r="G22" s="1"/>
      <c r="H22" s="1"/>
      <c r="I22" s="1"/>
      <c r="J22" s="27">
        <f>J20-J21</f>
        <v>899.88999999999828</v>
      </c>
      <c r="K22" s="27">
        <f>K20-K21</f>
        <v>-389.18900000000059</v>
      </c>
      <c r="L22" s="27">
        <f>L20-L21</f>
        <v>-1531.0900000000013</v>
      </c>
      <c r="M22" s="27">
        <f>M20-M21</f>
        <v>-2691.3899999999994</v>
      </c>
      <c r="N22" s="27">
        <f>N20-N21</f>
        <v>-61.619999999999749</v>
      </c>
      <c r="O22" s="27">
        <f>O20-O21</f>
        <v>-166.18999999999934</v>
      </c>
      <c r="P22" s="27">
        <f>P20-P21</f>
        <v>2887.2899999999986</v>
      </c>
      <c r="Q22" s="25">
        <f>Q20-Q21</f>
        <v>660.35000000000014</v>
      </c>
      <c r="R22" s="27">
        <f>R20-R21</f>
        <v>2071.6299999999992</v>
      </c>
      <c r="S22" s="1"/>
      <c r="T22" s="1"/>
      <c r="U22" s="1"/>
      <c r="V22" s="20">
        <f>V20-V21</f>
        <v>2071.6299999999992</v>
      </c>
      <c r="W22" s="37">
        <f>W20-W21</f>
        <v>1878.4129040800005</v>
      </c>
      <c r="X22" s="37">
        <f>X20-X21</f>
        <v>2951.273142160002</v>
      </c>
      <c r="Y22" s="37">
        <f>Y20-Y21</f>
        <v>3710.3817014224023</v>
      </c>
      <c r="Z22" s="37">
        <f>Z20-Z21</f>
        <v>4582.2412781431412</v>
      </c>
      <c r="AA22" s="37">
        <f>AA20-AA21</f>
        <v>5583.0255639160769</v>
      </c>
      <c r="AB22" s="37">
        <f>AB20-AB21</f>
        <v>6731.1958801071996</v>
      </c>
      <c r="AC22" s="37">
        <f>AC20-AC21</f>
        <v>8047.8228447996516</v>
      </c>
      <c r="AD22" s="37">
        <f>AD20-AD21</f>
        <v>9556.9531570376894</v>
      </c>
      <c r="AE22" s="37">
        <f>AE20-AE21</f>
        <v>11286.027819827021</v>
      </c>
      <c r="AF22" s="37">
        <f>AF20-AF21</f>
        <v>13266.359008655105</v>
      </c>
      <c r="AG22" s="26">
        <f>AF22*($AH$25+1)</f>
        <v>13399.022598741656</v>
      </c>
      <c r="AH22" s="26">
        <f>AG22*($AH$25+1)</f>
        <v>13533.012824729072</v>
      </c>
      <c r="AI22" s="26">
        <f>AH22*($AH$25+1)</f>
        <v>13668.342952976363</v>
      </c>
      <c r="AJ22" s="26">
        <f>AI22*($AH$25+1)</f>
        <v>13805.026382506127</v>
      </c>
      <c r="AK22" s="26">
        <f>AJ22*($AH$25+1)</f>
        <v>13943.076646331188</v>
      </c>
      <c r="AL22" s="26">
        <f>AK22*($AH$25+1)</f>
        <v>14082.507412794501</v>
      </c>
      <c r="AM22" s="26">
        <f>AL22*($AH$25+1)</f>
        <v>14223.332486922445</v>
      </c>
      <c r="AN22" s="26">
        <f>AM22*($AH$25+1)</f>
        <v>14365.56581179167</v>
      </c>
      <c r="AO22" s="26">
        <f>AN22*($AH$25+1)</f>
        <v>14509.221469909588</v>
      </c>
      <c r="AP22" s="26">
        <f>AO22*($AH$25+1)</f>
        <v>14654.313684608684</v>
      </c>
      <c r="AQ22" s="26">
        <f>AP22*($AH$25+1)</f>
        <v>14800.85682145477</v>
      </c>
      <c r="AR22" s="26">
        <f>AQ22*($AH$25+1)</f>
        <v>14948.865389669318</v>
      </c>
      <c r="AS22" s="26">
        <f>AR22*($AH$25+1)</f>
        <v>15098.354043566011</v>
      </c>
      <c r="AT22" s="26">
        <f>AS22*($AH$25+1)</f>
        <v>15249.337584001671</v>
      </c>
      <c r="AU22" s="26">
        <f>AT22*($AH$25+1)</f>
        <v>15401.830959841687</v>
      </c>
      <c r="AV22" s="26">
        <f>AU22*($AH$25+1)</f>
        <v>15555.849269440105</v>
      </c>
      <c r="AW22" s="26">
        <f>AV22*($AH$25+1)</f>
        <v>15711.407762134506</v>
      </c>
      <c r="AX22" s="26">
        <f>AW22*($AH$25+1)</f>
        <v>15868.521839755851</v>
      </c>
      <c r="AY22" s="26">
        <f>AX22*($AH$25+1)</f>
        <v>16027.20705815341</v>
      </c>
      <c r="AZ22" s="26">
        <f>AY22*($AH$25+1)</f>
        <v>16187.479128734944</v>
      </c>
      <c r="BA22" s="26">
        <f>AZ22*($AH$25+1)</f>
        <v>16349.353920022293</v>
      </c>
      <c r="BB22" s="26">
        <f>BA22*($AH$25+1)</f>
        <v>16512.847459222518</v>
      </c>
      <c r="BC22" s="26">
        <f>BB22*($AH$25+1)</f>
        <v>16677.975933814741</v>
      </c>
      <c r="BD22" s="26">
        <f>BC22*($AH$25+1)</f>
        <v>16844.755693152889</v>
      </c>
      <c r="BE22" s="26">
        <f>BD22*($AH$25+1)</f>
        <v>17013.203250084418</v>
      </c>
      <c r="BF22" s="26">
        <f>BE22*($AH$25+1)</f>
        <v>17183.335282585263</v>
      </c>
      <c r="BG22" s="26">
        <f>BF22*($AH$25+1)</f>
        <v>17355.168635411115</v>
      </c>
      <c r="BH22" s="26">
        <f>BG22*($AH$25+1)</f>
        <v>17528.720321765228</v>
      </c>
      <c r="BI22" s="26">
        <f>BH22*($AH$25+1)</f>
        <v>17704.007524982881</v>
      </c>
      <c r="BJ22" s="26">
        <f>BI22*($AH$25+1)</f>
        <v>17881.047600232709</v>
      </c>
      <c r="BK22" s="26">
        <f>BJ22*($AH$25+1)</f>
        <v>18059.858076235036</v>
      </c>
      <c r="BL22" s="26">
        <f>BK22*($AH$25+1)</f>
        <v>18240.456656997387</v>
      </c>
      <c r="BM22" s="26">
        <f>BL22*($AH$25+1)</f>
        <v>18422.861223567361</v>
      </c>
      <c r="BN22" s="26">
        <f>BM22*($AH$25+1)</f>
        <v>18607.089835803035</v>
      </c>
      <c r="BO22" s="26">
        <f>BN22*($AH$25+1)</f>
        <v>18793.160734161065</v>
      </c>
      <c r="BP22" s="26">
        <f>BO22*($AH$25+1)</f>
        <v>18981.092341502677</v>
      </c>
      <c r="BQ22" s="26">
        <f>BP22*($AH$25+1)</f>
        <v>19170.903264917702</v>
      </c>
      <c r="BR22" s="26">
        <f>BQ22*($AH$25+1)</f>
        <v>19362.61229756688</v>
      </c>
      <c r="BS22" s="26">
        <f>BR22*($AH$25+1)</f>
        <v>19556.238420542548</v>
      </c>
      <c r="BT22" s="26">
        <f>BS22*($AH$25+1)</f>
        <v>19751.800804747974</v>
      </c>
      <c r="BU22" s="26">
        <f>BT22*($AH$25+1)</f>
        <v>19949.318812795453</v>
      </c>
      <c r="BV22" s="26">
        <f>BU22*($AH$25+1)</f>
        <v>20148.812000923408</v>
      </c>
      <c r="BW22" s="26">
        <f>BV22*($AH$25+1)</f>
        <v>20350.300120932643</v>
      </c>
      <c r="BX22" s="26">
        <f>BW22*($AH$25+1)</f>
        <v>20553.80312214197</v>
      </c>
      <c r="BY22" s="26">
        <f>BX22*($AH$25+1)</f>
        <v>20759.341153363388</v>
      </c>
      <c r="BZ22" s="26">
        <f>BY22*($AH$25+1)</f>
        <v>20966.934564897023</v>
      </c>
      <c r="CA22" s="26">
        <f>BZ22*($AH$25+1)</f>
        <v>21176.603910545993</v>
      </c>
      <c r="CB22" s="26">
        <f>CA22*($AH$25+1)</f>
        <v>21388.369949651453</v>
      </c>
      <c r="CC22" s="26">
        <f>CB22*($AH$25+1)</f>
        <v>21602.253649147966</v>
      </c>
      <c r="CD22" s="26">
        <f>CC22*($AH$25+1)</f>
        <v>21818.276185639446</v>
      </c>
      <c r="CE22" s="26">
        <f>CD22*($AH$25+1)</f>
        <v>22036.458947495841</v>
      </c>
      <c r="CF22" s="26">
        <f>CE22*($AH$25+1)</f>
        <v>22256.823536970798</v>
      </c>
      <c r="CG22" s="26">
        <f>CF22*($AH$25+1)</f>
        <v>22479.391772340507</v>
      </c>
      <c r="CH22" s="26">
        <f>CG22*($AH$25+1)</f>
        <v>22704.18569006391</v>
      </c>
      <c r="CI22" s="26">
        <f>CH22*($AH$25+1)</f>
        <v>22931.22754696455</v>
      </c>
      <c r="CJ22" s="26">
        <f>CI22*($AH$25+1)</f>
        <v>23160.539822434195</v>
      </c>
      <c r="CK22" s="26">
        <f>CJ22*($AH$25+1)</f>
        <v>23392.145220658538</v>
      </c>
    </row>
    <row r="23">
      <c r="B23" t="s">
        <v>323</v>
      </c>
      <c r="C23" s="38">
        <v>857.71000000000004</v>
      </c>
      <c r="D23" s="38">
        <v>857.71000000000004</v>
      </c>
      <c r="E23" s="38">
        <v>857.71000000000004</v>
      </c>
      <c r="F23" s="39">
        <v>857.71000000000004</v>
      </c>
      <c r="G23" s="12"/>
      <c r="H23" s="12"/>
      <c r="I23" s="12"/>
      <c r="J23" s="23">
        <v>857.71000000000004</v>
      </c>
      <c r="K23" s="23">
        <v>-376.98000000000002</v>
      </c>
      <c r="L23" s="23">
        <v>-1527.1800000000001</v>
      </c>
      <c r="M23" s="23">
        <v>-2642.23</v>
      </c>
      <c r="N23" s="23">
        <v>-199.59</v>
      </c>
      <c r="O23" s="23">
        <v>-199.59</v>
      </c>
      <c r="P23" s="23">
        <v>2849.0100000000002</v>
      </c>
      <c r="Q23" s="24">
        <v>660.35000000000002</v>
      </c>
      <c r="R23" s="23">
        <f>R22</f>
        <v>2071.6299999999992</v>
      </c>
      <c r="V23" s="10">
        <f>V22</f>
        <v>2071.6299999999992</v>
      </c>
      <c r="W23" s="10"/>
    </row>
    <row r="24">
      <c r="B24" t="s">
        <v>8</v>
      </c>
      <c r="C24" s="38" t="s">
        <v>297</v>
      </c>
      <c r="D24" s="38">
        <v>1.71</v>
      </c>
      <c r="E24" s="38">
        <v>1.71</v>
      </c>
      <c r="F24" s="39">
        <v>1.71</v>
      </c>
      <c r="G24" s="12"/>
      <c r="H24" s="12"/>
      <c r="I24" s="12"/>
      <c r="J24" s="23">
        <v>1.71</v>
      </c>
      <c r="K24" s="23">
        <v>-0.71999999999999997</v>
      </c>
      <c r="L24" s="23">
        <v>-2.8700000000000001</v>
      </c>
      <c r="M24" s="23">
        <v>-4.9699999999999998</v>
      </c>
      <c r="N24" s="23">
        <v>-0.22</v>
      </c>
      <c r="O24" s="23">
        <v>-0.22</v>
      </c>
      <c r="P24" s="23">
        <v>2.6400000000000001</v>
      </c>
      <c r="Q24" s="24">
        <v>0.5</v>
      </c>
      <c r="R24" s="23">
        <v>1.52</v>
      </c>
      <c r="V24" s="10">
        <v>1.52</v>
      </c>
      <c r="W24" s="10"/>
    </row>
    <row r="25">
      <c r="F25" s="18"/>
      <c r="J25" s="10"/>
      <c r="K25" s="10"/>
      <c r="L25" s="10"/>
      <c r="M25" s="10"/>
      <c r="N25" s="10"/>
      <c r="O25" s="10"/>
      <c r="P25" s="10"/>
      <c r="R25" s="10"/>
      <c r="S25" s="1" t="s">
        <v>324</v>
      </c>
      <c r="T25" s="1" t="s">
        <v>325</v>
      </c>
      <c r="U25" s="1" t="s">
        <v>326</v>
      </c>
      <c r="AG25" s="1" t="s">
        <v>327</v>
      </c>
      <c r="AH25" s="9">
        <v>0.01</v>
      </c>
    </row>
    <row r="26">
      <c r="B26" t="s">
        <v>328</v>
      </c>
      <c r="C26" s="13">
        <f>C10/C6</f>
        <v>0.6505392912172574</v>
      </c>
      <c r="D26" s="13">
        <f>D10/D6</f>
        <v>0.75766889964784601</v>
      </c>
      <c r="E26" s="13">
        <f>E10/E6</f>
        <v>0.57674629291623913</v>
      </c>
      <c r="F26" s="13">
        <f>F10/F6</f>
        <v>0.64583720024364799</v>
      </c>
      <c r="G26" s="12"/>
      <c r="H26" s="12"/>
      <c r="I26" s="12"/>
      <c r="J26" s="13">
        <f>J10/J6</f>
        <v>0.64760735410471926</v>
      </c>
      <c r="K26" s="13">
        <f>K10/K6</f>
        <v>0.47925760221371422</v>
      </c>
      <c r="L26" s="13">
        <f>L10/L6</f>
        <v>0.58260290385130775</v>
      </c>
      <c r="M26" s="13">
        <f>M10/M6</f>
        <v>0.46807113670752765</v>
      </c>
      <c r="N26" s="13">
        <f>N10/N6</f>
        <v>0.47859364925614822</v>
      </c>
      <c r="O26" s="13">
        <f>O10/O6</f>
        <v>0.61961971359651846</v>
      </c>
      <c r="P26" s="13">
        <f>P10/P6</f>
        <v>0.60545294282623507</v>
      </c>
      <c r="Q26" s="13">
        <f>Q10/Q6</f>
        <v>0.61189857343193998</v>
      </c>
      <c r="R26" s="13">
        <f>R10/R6</f>
        <v>0.64942104750876239</v>
      </c>
      <c r="S26" s="31">
        <f>AVERAGE(J26:R26)</f>
        <v>0.57139165816631932</v>
      </c>
      <c r="T26" s="31">
        <f>MEDIAN(J26:R26)</f>
        <v>0.60545294282623507</v>
      </c>
      <c r="U26" s="9">
        <v>0.57999999999999996</v>
      </c>
      <c r="AG26" s="1" t="s">
        <v>329</v>
      </c>
      <c r="AH26" s="9">
        <v>0.11</v>
      </c>
    </row>
    <row r="27">
      <c r="B27" t="s">
        <v>330</v>
      </c>
      <c r="C27" s="10">
        <f>C6-C10</f>
        <v>714.41999999999985</v>
      </c>
      <c r="D27" s="10">
        <f>D6-D10</f>
        <v>514.03999999999951</v>
      </c>
      <c r="E27" s="10">
        <f>E6-E10</f>
        <v>1270.7600000000002</v>
      </c>
      <c r="F27" s="10">
        <f>F6-F10</f>
        <v>1354.7400000000002</v>
      </c>
      <c r="G27" s="12"/>
      <c r="H27" s="12"/>
      <c r="I27" s="12"/>
      <c r="J27" s="10">
        <f>J6-J10</f>
        <v>4511.75</v>
      </c>
      <c r="K27" s="10">
        <f>K6-K10</f>
        <v>4381.0110000000004</v>
      </c>
      <c r="L27" s="10">
        <f>L6-L10</f>
        <v>2118.1399999999994</v>
      </c>
      <c r="M27" s="10">
        <f>M6-M10</f>
        <v>1596.01</v>
      </c>
      <c r="N27" s="10">
        <f>N6-N10</f>
        <v>1754.8400000000001</v>
      </c>
      <c r="O27" s="10">
        <f>O6-O10</f>
        <v>2512.0199999999995</v>
      </c>
      <c r="P27" s="10">
        <f>P6-P10</f>
        <v>2363.3999999999996</v>
      </c>
      <c r="Q27">
        <f>Q6-Q10</f>
        <v>2548.8600000000001</v>
      </c>
      <c r="R27" s="10">
        <f>R6-R10</f>
        <v>3853.9599999999991</v>
      </c>
      <c r="AG27" s="1" t="s">
        <v>270</v>
      </c>
      <c r="AH27" s="28">
        <f>NPV(AH26,W22:CK22)</f>
        <v>80810.715111164231</v>
      </c>
    </row>
    <row r="28" ht="15">
      <c r="B28" s="12" t="s">
        <v>331</v>
      </c>
      <c r="C28" s="13" t="e">
        <f>C6/B6-1</f>
        <v>#VALUE!</v>
      </c>
      <c r="D28" s="13">
        <f>D6/C6-1</f>
        <v>0.037606085063712102</v>
      </c>
      <c r="E28" s="13">
        <f>E6/D6-1</f>
        <v>0.4153863560292852</v>
      </c>
      <c r="F28" s="13">
        <f>F6/E6-1</f>
        <v>0.27406107195672735</v>
      </c>
      <c r="G28" s="12"/>
      <c r="H28" s="12"/>
      <c r="I28" s="12"/>
      <c r="J28" s="10"/>
      <c r="K28" s="13">
        <f>K6/J6-1</f>
        <v>-0.34289735604954708</v>
      </c>
      <c r="L28" s="13">
        <f>L6/K6-1</f>
        <v>-0.39681041624816815</v>
      </c>
      <c r="M28" s="13">
        <f>M6/L6-1</f>
        <v>-0.40874229501994219</v>
      </c>
      <c r="N28" s="13">
        <f>N6/M6-1</f>
        <v>0.12170629445211012</v>
      </c>
      <c r="O28" s="13">
        <f>O6/N6-1</f>
        <v>0.9622027638541828</v>
      </c>
      <c r="P28" s="13">
        <f>P6/O6-1</f>
        <v>-0.092945606960661453</v>
      </c>
      <c r="Q28" s="13">
        <f>Q6/P6-1</f>
        <v>0.096383068231900459</v>
      </c>
      <c r="R28" s="13">
        <f>R6/Q6-1</f>
        <v>0.67386574211535244</v>
      </c>
      <c r="S28" s="31">
        <f t="shared" ref="S28:S32" si="2">AVERAGE(J28:R28)</f>
        <v>0.076595274296903368</v>
      </c>
      <c r="T28" s="31">
        <f t="shared" ref="T28:T32" si="3">MEDIAN(J28:R28)</f>
        <v>0.0017187306356195031</v>
      </c>
      <c r="U28" s="9">
        <v>0.14000000000000001</v>
      </c>
      <c r="AG28" s="1" t="s">
        <v>268</v>
      </c>
      <c r="AH28" s="40">
        <v>13648900000</v>
      </c>
      <c r="AI28" s="40"/>
    </row>
    <row r="29">
      <c r="B29" t="s">
        <v>151</v>
      </c>
      <c r="C29" s="14">
        <f>C27/C6</f>
        <v>0.3494607087827426</v>
      </c>
      <c r="D29" s="14">
        <f>D27/D6</f>
        <v>0.24233110035215399</v>
      </c>
      <c r="E29" s="14">
        <f>E27/E6</f>
        <v>0.42325370708376081</v>
      </c>
      <c r="F29" s="14">
        <f>F27/F6</f>
        <v>0.35416279975635201</v>
      </c>
      <c r="G29" s="12"/>
      <c r="H29" s="12"/>
      <c r="I29" s="12"/>
      <c r="J29" s="14">
        <f>J27/J6</f>
        <v>0.3523926458952808</v>
      </c>
      <c r="K29" s="14">
        <f>K27/K6</f>
        <v>0.52074239778628584</v>
      </c>
      <c r="L29" s="14">
        <f>L27/L6</f>
        <v>0.41739709614869225</v>
      </c>
      <c r="M29" s="14">
        <f>M27/M6</f>
        <v>0.53192886329247235</v>
      </c>
      <c r="N29" s="14">
        <f>N27/N6</f>
        <v>0.52140635074385178</v>
      </c>
      <c r="O29" s="14">
        <f>O27/O6</f>
        <v>0.38038028640348148</v>
      </c>
      <c r="P29" s="14">
        <f>P27/P6</f>
        <v>0.39454705717376493</v>
      </c>
      <c r="Q29" s="14">
        <f>Q27/Q6</f>
        <v>0.38810142656806007</v>
      </c>
      <c r="R29" s="14">
        <f>R27/R6</f>
        <v>0.35057895249123766</v>
      </c>
      <c r="S29" s="31">
        <f t="shared" si="2"/>
        <v>0.42860834183368079</v>
      </c>
      <c r="T29" s="31">
        <f t="shared" si="3"/>
        <v>0.39454705717376493</v>
      </c>
      <c r="U29" s="9">
        <v>0.40000000000000002</v>
      </c>
      <c r="AG29" s="1" t="s">
        <v>332</v>
      </c>
      <c r="AH29">
        <v>63.229999999999997</v>
      </c>
    </row>
    <row r="30">
      <c r="B30" s="12" t="s">
        <v>333</v>
      </c>
      <c r="C30" s="14">
        <f>C18/C6</f>
        <v>0.14795900897595815</v>
      </c>
      <c r="D30" s="14">
        <f>D18/D6</f>
        <v>0.095029770463363014</v>
      </c>
      <c r="E30" s="14">
        <f>E18/E6</f>
        <v>0.13034079857179032</v>
      </c>
      <c r="F30" s="14">
        <f>F18/F6</f>
        <v>0.1441078743800962</v>
      </c>
      <c r="J30" s="14">
        <f>J18/J6</f>
        <v>0.07120022431909534</v>
      </c>
      <c r="K30" s="14">
        <f>K18/K6</f>
        <v>-0.099889219197409798</v>
      </c>
      <c r="L30" s="14">
        <f>L18/L6</f>
        <v>-0.30949190484448186</v>
      </c>
      <c r="M30" s="14">
        <f>M18/M6</f>
        <v>-0.87256450763559745</v>
      </c>
      <c r="N30" s="14">
        <f>N18/N6</f>
        <v>-0.20813289794657097</v>
      </c>
      <c r="O30" s="14">
        <f>O18/O6</f>
        <v>-0.012525798875524775</v>
      </c>
      <c r="P30" s="14">
        <f>P18/P6</f>
        <v>0.028565180228908537</v>
      </c>
      <c r="Q30" s="14">
        <f>Q18/Q6</f>
        <v>0.10862259821454404</v>
      </c>
      <c r="R30" s="14">
        <f>R18/R6</f>
        <v>0.1315940046192485</v>
      </c>
      <c r="S30" s="31">
        <f t="shared" si="2"/>
        <v>-0.12918025790197646</v>
      </c>
      <c r="T30" s="31">
        <f t="shared" si="3"/>
        <v>-0.012525798875524775</v>
      </c>
      <c r="AG30" s="1" t="s">
        <v>334</v>
      </c>
      <c r="AH30">
        <f>AH27*10000000/AH28</f>
        <v>59.206760333187461</v>
      </c>
    </row>
    <row r="31">
      <c r="B31" s="12" t="s">
        <v>273</v>
      </c>
      <c r="C31" s="14" t="e">
        <f>C13/B13-1</f>
        <v>#VALUE!</v>
      </c>
      <c r="D31" s="14">
        <f>D13/C13-1</f>
        <v>0.23520702506764679</v>
      </c>
      <c r="E31" s="14">
        <f>E13/D13-1</f>
        <v>0.097131520211622746</v>
      </c>
      <c r="F31" s="14">
        <f>F13/E13-1</f>
        <v>-0.10232067510548526</v>
      </c>
      <c r="G31" s="12"/>
      <c r="H31" s="12"/>
      <c r="I31" s="12"/>
      <c r="J31" s="14"/>
      <c r="K31" s="14">
        <f>K13/J13-1</f>
        <v>-0.23106031648956504</v>
      </c>
      <c r="L31" s="14">
        <f>L13/K13-1</f>
        <v>0.086344882437739301</v>
      </c>
      <c r="M31" s="14">
        <f>M13/L13-1</f>
        <v>-0.089125560538116599</v>
      </c>
      <c r="N31" s="14">
        <f>N13/M13-1</f>
        <v>-0.30523076923076919</v>
      </c>
      <c r="O31" s="14">
        <f>O13/N13-1</f>
        <v>-0.014189909799172118</v>
      </c>
      <c r="P31" s="14">
        <f>P13/O13-1</f>
        <v>0.11709696347366871</v>
      </c>
      <c r="Q31" s="14">
        <f>Q13/P13-1</f>
        <v>0.15377039493122346</v>
      </c>
      <c r="R31" s="14">
        <f>R13/Q13-1</f>
        <v>0.33949352681747058</v>
      </c>
      <c r="S31" s="31">
        <f t="shared" si="2"/>
        <v>0.0071374014503098882</v>
      </c>
      <c r="T31" s="31">
        <f t="shared" si="3"/>
        <v>0.036077486319283592</v>
      </c>
      <c r="U31" s="9">
        <v>0.059999999999999998</v>
      </c>
    </row>
    <row r="32">
      <c r="B32" s="12" t="s">
        <v>275</v>
      </c>
      <c r="C32" s="14" t="e">
        <f>C15/B15-1</f>
        <v>#VALUE!</v>
      </c>
      <c r="D32" s="14">
        <f>D15/C15-1</f>
        <v>0.18717277486910988</v>
      </c>
      <c r="E32" s="14">
        <f>E15/D15-1</f>
        <v>0.21609702315325263</v>
      </c>
      <c r="F32" s="14">
        <f>F15/E15-1</f>
        <v>0.40148080991236013</v>
      </c>
      <c r="G32" s="12"/>
      <c r="H32" s="12"/>
      <c r="I32" s="12"/>
      <c r="J32" s="14"/>
      <c r="K32" s="14">
        <f>K15/J15-1</f>
        <v>-0.12189291314294515</v>
      </c>
      <c r="L32" s="14">
        <f>L15/K15-1</f>
        <v>0.00070255554579778945</v>
      </c>
      <c r="M32" s="14">
        <f>M15/L15-1</f>
        <v>0.22454292818487631</v>
      </c>
      <c r="N32" s="14">
        <f>N15/M15-1</f>
        <v>-0.38276677575786533</v>
      </c>
      <c r="O32" s="14">
        <f>O15/N15-1</f>
        <v>0.0056505921510952017</v>
      </c>
      <c r="P32" s="14">
        <f>P15/O15-1</f>
        <v>-0.00061576354679793166</v>
      </c>
      <c r="Q32" s="14">
        <f>Q15/P15-1</f>
        <v>-0.2698706099815158</v>
      </c>
      <c r="R32" s="14">
        <f>R15/Q15-1</f>
        <v>0.36703586497890295</v>
      </c>
      <c r="S32" s="31">
        <f t="shared" si="2"/>
        <v>-0.022151765196056494</v>
      </c>
      <c r="T32" s="31">
        <f t="shared" si="3"/>
        <v>4.3395999499928894e-05</v>
      </c>
      <c r="U32" s="9">
        <v>0.059999999999999998</v>
      </c>
    </row>
    <row r="33" ht="14.25">
      <c r="B33" t="s">
        <v>335</v>
      </c>
      <c r="C33" s="14" t="e">
        <f>C10/B10-1</f>
        <v>#VALUE!</v>
      </c>
      <c r="D33" s="14">
        <f>D10/C10-1</f>
        <v>0.20847713789447564</v>
      </c>
      <c r="E33" s="14">
        <f>E10/D10-1</f>
        <v>0.077408396020383297</v>
      </c>
      <c r="F33" s="14">
        <f>F10/E10-1</f>
        <v>0.42668630168630162</v>
      </c>
      <c r="G33" s="12"/>
      <c r="H33" s="12"/>
      <c r="I33" s="12"/>
      <c r="K33" s="14">
        <f>K10/J10-1</f>
        <v>-0.51371547041285959</v>
      </c>
      <c r="L33" s="14">
        <f>L10/K10-1</f>
        <v>-0.26674088956867292</v>
      </c>
      <c r="M33" s="14">
        <f>M10/L10-1</f>
        <v>-0.52497547776086584</v>
      </c>
      <c r="N33" s="14">
        <f>N10/M10-1</f>
        <v>0.14692290712826028</v>
      </c>
      <c r="O33" s="14">
        <f>O10/N10-1</f>
        <v>1.5404004345801643</v>
      </c>
      <c r="P33" s="14">
        <f>P10/O10-1</f>
        <v>-0.11368418480186704</v>
      </c>
      <c r="Q33" s="14">
        <f>Q10/P10-1</f>
        <v>0.10805512358137848</v>
      </c>
      <c r="R33" s="14">
        <f>R10/Q10-1</f>
        <v>0.776509524342752</v>
      </c>
      <c r="S33" s="31">
        <f t="shared" ref="S33:S34" si="4">AVERAGE(K33:R33)</f>
        <v>0.14409649588603621</v>
      </c>
      <c r="T33" s="31">
        <f t="shared" ref="T33:T34" si="5">MEDIAN(K33:R33)</f>
        <v>-0.0028145306102442813</v>
      </c>
      <c r="U33" s="9">
        <v>0.10000000000000001</v>
      </c>
    </row>
    <row r="34" ht="14.25">
      <c r="B34" t="s">
        <v>336</v>
      </c>
      <c r="C34" s="22" t="e">
        <f>C18/B18-1</f>
        <v>#VALUE!</v>
      </c>
      <c r="D34" s="22">
        <f>D18/C18-1</f>
        <v>-0.33357577360486823</v>
      </c>
      <c r="E34" s="22">
        <f>E18/D18-1</f>
        <v>0.94131362238317995</v>
      </c>
      <c r="F34" s="22">
        <f>F18/E18-1</f>
        <v>0.40863210078450329</v>
      </c>
      <c r="G34" s="12"/>
      <c r="H34" s="12"/>
      <c r="I34" s="12"/>
      <c r="K34" s="22">
        <f>K18/J18-1</f>
        <v>-1.9218716747660705</v>
      </c>
      <c r="L34" s="41">
        <f>L18/K18-1</f>
        <v>0.86889330758274075</v>
      </c>
      <c r="M34" s="41">
        <f>M18/L18-1</f>
        <v>0.66695955582721922</v>
      </c>
      <c r="N34" s="41">
        <f>N18/M18-1</f>
        <v>-0.73243928710571948</v>
      </c>
      <c r="O34" s="41">
        <f>O18/N18-1</f>
        <v>-0.88191123356507672</v>
      </c>
      <c r="P34" s="41">
        <f>P18/O18-1</f>
        <v>-3.0685444874274674</v>
      </c>
      <c r="Q34" s="41">
        <f>Q18/P18-1</f>
        <v>3.1691309683829427</v>
      </c>
      <c r="R34" s="41">
        <f>R18/Q18-1</f>
        <v>1.0278533180072316</v>
      </c>
      <c r="S34" s="31">
        <f t="shared" si="4"/>
        <v>-0.10899119163302495</v>
      </c>
      <c r="T34" s="31">
        <f t="shared" si="5"/>
        <v>-0.032739865639250132</v>
      </c>
    </row>
    <row r="35" ht="14.25">
      <c r="B35" s="12" t="s">
        <v>337</v>
      </c>
      <c r="C35" s="10"/>
      <c r="D35" s="10"/>
      <c r="E35" s="10"/>
      <c r="F35" s="10"/>
      <c r="G35" s="12"/>
      <c r="H35" s="12"/>
      <c r="I35" s="12"/>
      <c r="U35" s="9">
        <v>0.050000000000000003</v>
      </c>
    </row>
    <row r="36" ht="14.25">
      <c r="B36" s="12" t="s">
        <v>338</v>
      </c>
      <c r="C36" s="41">
        <f>C21/C20</f>
        <v>0.00062814070351758795</v>
      </c>
      <c r="D36" s="41">
        <f>D21/D20</f>
        <v>0.0048615934120448592</v>
      </c>
      <c r="E36" s="41">
        <f>E21/E20</f>
        <v>0.0091227352873533771</v>
      </c>
      <c r="F36" s="41">
        <f>F21/F20</f>
        <v>-1.1424062114505473</v>
      </c>
      <c r="J36" s="22">
        <f>J21/J20</f>
        <v>0.012834717361971962</v>
      </c>
      <c r="K36" s="41">
        <f>K21/K20</f>
        <v>0.0039923326739159859</v>
      </c>
      <c r="L36" s="41">
        <f>L21/L20</f>
        <v>0.0077122988483399046</v>
      </c>
      <c r="M36" s="41">
        <f>M21/M20</f>
        <v>-0.0027720337562175158</v>
      </c>
      <c r="N36" s="41">
        <f>N21/N20</f>
        <v>1.5870248642469238</v>
      </c>
      <c r="O36" s="41">
        <f>O21/O20</f>
        <v>416.47499999931347</v>
      </c>
      <c r="P36" s="41">
        <f>P21/P20</f>
        <v>0.0015285073537802899</v>
      </c>
      <c r="Q36" s="41">
        <f>Q21/Q20</f>
        <v>-0.0013040379687334147</v>
      </c>
      <c r="R36" s="41">
        <f>R21/R20</f>
        <v>-0.43203860005668371</v>
      </c>
      <c r="S36" s="31"/>
      <c r="T36" s="31"/>
      <c r="U36" s="9">
        <v>0.17999999999999999</v>
      </c>
    </row>
    <row r="37" ht="14.25">
      <c r="B37" s="12" t="s">
        <v>339</v>
      </c>
      <c r="C37" s="12"/>
      <c r="D37" s="14">
        <f>D6/C6-1</f>
        <v>0.037606085063712102</v>
      </c>
      <c r="E37" s="14">
        <f>E6/D6-1</f>
        <v>0.4153863560292852</v>
      </c>
      <c r="F37" s="14">
        <f>F6/E6-1</f>
        <v>0.27406107195672735</v>
      </c>
      <c r="G37" s="12"/>
      <c r="H37" s="12"/>
      <c r="I37" s="12"/>
      <c r="K37" s="29">
        <f>K6/J6-1</f>
        <v>-0.34289735604954708</v>
      </c>
      <c r="L37" s="29">
        <f>L6/K6-1</f>
        <v>-0.39681041624816815</v>
      </c>
      <c r="M37" s="14">
        <f>M6/L6-1</f>
        <v>-0.40874229501994219</v>
      </c>
      <c r="N37" s="14">
        <f>N6/M6-1</f>
        <v>0.12170629445211012</v>
      </c>
      <c r="O37" s="14">
        <f>O6/N6-1</f>
        <v>0.9622027638541828</v>
      </c>
      <c r="P37" s="14">
        <f>P6/O6-1</f>
        <v>-0.092945606960661453</v>
      </c>
      <c r="Q37" s="14">
        <f>Q6/P6-1</f>
        <v>0.096383068231900459</v>
      </c>
      <c r="R37" s="14">
        <f>R6/Q6-1</f>
        <v>0.67386574211535244</v>
      </c>
    </row>
    <row r="39">
      <c r="A39" t="s">
        <v>340</v>
      </c>
    </row>
    <row r="40">
      <c r="B40" t="s">
        <v>341</v>
      </c>
      <c r="C40" s="12"/>
      <c r="D40" s="12"/>
      <c r="E40" s="12"/>
      <c r="F40" s="12"/>
      <c r="G40" s="12"/>
      <c r="H40" s="12"/>
      <c r="I40" s="12"/>
      <c r="P40">
        <v>2721.7199999999998</v>
      </c>
    </row>
    <row r="41">
      <c r="B41" t="s">
        <v>342</v>
      </c>
      <c r="C41" s="12"/>
      <c r="D41" s="12"/>
      <c r="E41" s="12"/>
      <c r="F41" s="12"/>
      <c r="G41" s="12"/>
      <c r="H41" s="12"/>
      <c r="I41" s="12"/>
    </row>
  </sheetData>
  <hyperlinks>
    <hyperlink r:id="rId1" ref="K1"/>
    <hyperlink r:id="rId2" ref="M1"/>
    <hyperlink r:id="rId3" ref="O1"/>
    <hyperlink r:id="rId4" ref="Q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7"/>
  <legacyDrawing r:id="rId8"/>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15</cp:revision>
  <dcterms:modified xsi:type="dcterms:W3CDTF">2025-07-04T14:35:03Z</dcterms:modified>
</cp:coreProperties>
</file>