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Business" sheetId="1" state="visible" r:id="rId1"/>
    <sheet name="ANGELONE-main" sheetId="2" state="visible" r:id="rId2"/>
    <sheet name="ANGELONE" sheetId="3" state="visible" r:id="rId3"/>
    <sheet name="NWML-main" sheetId="4" state="visible" r:id="rId4"/>
    <sheet name="NWML" sheetId="5" state="visible" r:id="rId5"/>
    <sheet name="ADITYA-BIRLA-main" sheetId="6" state="visible" r:id="rId6"/>
    <sheet name="ADITYA-BIRLA" sheetId="7" state="visible" r:id="rId7"/>
    <sheet name="MOTILALOFS-main" sheetId="8" state="visible" r:id="rId8"/>
    <sheet name="MOTILALOFS" sheetId="9" state="visible" r:id="rId9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<sst xmlns="http://schemas.openxmlformats.org/spreadsheetml/2006/main" count="224" uniqueCount="224">
  <si>
    <t xml:space="preserve">Banking, Financial Services, and Insurance.</t>
  </si>
  <si>
    <t xml:space="preserve">As of 15th june</t>
  </si>
  <si>
    <t>Name</t>
  </si>
  <si>
    <t>Ticker</t>
  </si>
  <si>
    <t>Price</t>
  </si>
  <si>
    <t xml:space="preserve">Shares </t>
  </si>
  <si>
    <t>MC</t>
  </si>
  <si>
    <t xml:space="preserve">Net Cash </t>
  </si>
  <si>
    <t>EV</t>
  </si>
  <si>
    <t>PAT</t>
  </si>
  <si>
    <t>EPS</t>
  </si>
  <si>
    <t>PE</t>
  </si>
  <si>
    <t>MOTILALOFS</t>
  </si>
  <si>
    <t>IIFLSECURITIES</t>
  </si>
  <si>
    <t xml:space="preserve">ADITYA BIRLA MONEY</t>
  </si>
  <si>
    <t xml:space="preserve">DHANI SERVICES</t>
  </si>
  <si>
    <t xml:space="preserve">Nuvama wealth</t>
  </si>
  <si>
    <t>NWML</t>
  </si>
  <si>
    <t xml:space="preserve">Angel One</t>
  </si>
  <si>
    <t>ANGELONE</t>
  </si>
  <si>
    <t xml:space="preserve">Angel one broking </t>
  </si>
  <si>
    <t>Brokerage</t>
  </si>
  <si>
    <t xml:space="preserve">Client base</t>
  </si>
  <si>
    <t xml:space="preserve">Trading platform </t>
  </si>
  <si>
    <t xml:space="preserve">Smart API </t>
  </si>
  <si>
    <t>NXT</t>
  </si>
  <si>
    <t xml:space="preserve">Smart Beta </t>
  </si>
  <si>
    <t xml:space="preserve">ARQ prime</t>
  </si>
  <si>
    <t xml:space="preserve">Income Statement</t>
  </si>
  <si>
    <t xml:space="preserve">in crore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</si>
  <si>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</si>
  <si>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</si>
  <si>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</si>
  <si>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</si>
  <si>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</si>
  <si>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</si>
  <si>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</si>
  <si>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</si>
  <si>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</si>
  <si>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</si>
  <si>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</si>
  <si>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</si>
  <si>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</si>
  <si>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</si>
  <si>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</si>
  <si>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</si>
  <si>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 xml:space="preserve">Interest income</t>
  </si>
  <si>
    <t xml:space="preserve">Fees and interest income</t>
  </si>
  <si>
    <t xml:space="preserve">Net gain on FV changes</t>
  </si>
  <si>
    <t xml:space="preserve">Revenue from opr. </t>
  </si>
  <si>
    <t xml:space="preserve">Other income</t>
  </si>
  <si>
    <t xml:space="preserve">Total income</t>
  </si>
  <si>
    <t xml:space="preserve">Finance cost </t>
  </si>
  <si>
    <t xml:space="preserve">Fees and commision expense</t>
  </si>
  <si>
    <t xml:space="preserve">Impairment on financial instrument </t>
  </si>
  <si>
    <t>EBE</t>
  </si>
  <si>
    <t>D&amp;A</t>
  </si>
  <si>
    <t xml:space="preserve">Other expense</t>
  </si>
  <si>
    <t xml:space="preserve">Total expense</t>
  </si>
  <si>
    <t>PBT</t>
  </si>
  <si>
    <t>Tax</t>
  </si>
  <si>
    <t>RATIOS</t>
  </si>
  <si>
    <t>AVERAGE</t>
  </si>
  <si>
    <t>MEDIAN</t>
  </si>
  <si>
    <t xml:space="preserve">CONSIDERED 5 yrs</t>
  </si>
  <si>
    <t xml:space="preserve">LATER </t>
  </si>
  <si>
    <t xml:space="preserve">Terminal value </t>
  </si>
  <si>
    <t xml:space="preserve">Interest income y/y</t>
  </si>
  <si>
    <t xml:space="preserve">Discount rate</t>
  </si>
  <si>
    <t xml:space="preserve">fees and interest income y/y</t>
  </si>
  <si>
    <t xml:space="preserve">Total no. of shares </t>
  </si>
  <si>
    <t xml:space="preserve">operational revenue y/y</t>
  </si>
  <si>
    <t xml:space="preserve">NPV </t>
  </si>
  <si>
    <t xml:space="preserve">FC margin </t>
  </si>
  <si>
    <t xml:space="preserve">FII margin</t>
  </si>
  <si>
    <t xml:space="preserve">Share price</t>
  </si>
  <si>
    <t xml:space="preserve">Impairment y/y</t>
  </si>
  <si>
    <t xml:space="preserve">Model Share price</t>
  </si>
  <si>
    <t xml:space="preserve">EBE y/y</t>
  </si>
  <si>
    <t xml:space="preserve">D&amp;A y/y</t>
  </si>
  <si>
    <t xml:space="preserve">tax rate</t>
  </si>
  <si>
    <t xml:space="preserve">other expense y/y</t>
  </si>
  <si>
    <t xml:space="preserve">Nuvama Wealth Management Ltd  formely Edelweiss Securities limited</t>
  </si>
  <si>
    <t xml:space="preserve">Asset Management Company</t>
  </si>
  <si>
    <t xml:space="preserve">Investment banking </t>
  </si>
  <si>
    <t xml:space="preserve">Stock broking</t>
  </si>
  <si>
    <t xml:space="preserve">Trading platform</t>
  </si>
  <si>
    <t xml:space="preserve">Demerged in 2023 , after infusion of PAF from EFSL </t>
  </si>
  <si>
    <t xml:space="preserve">PAG </t>
  </si>
  <si>
    <t xml:space="preserve">Pacific Alliance group </t>
  </si>
  <si>
    <t xml:space="preserve">EFSL </t>
  </si>
  <si>
    <t xml:space="preserve">Edelweiss Financial Services Ltd </t>
  </si>
  <si>
    <t xml:space="preserve">PAG acquired majority stake of 61.5% and demerged and listed it as NWML </t>
  </si>
  <si>
    <t xml:space="preserve">Income statement</t>
  </si>
  <si>
    <t xml:space="preserve">in Cr</t>
  </si>
  <si>
    <t xml:space="preserve">Interest Income</t>
  </si>
  <si>
    <t xml:space="preserve">Fee and Commission income</t>
  </si>
  <si>
    <t xml:space="preserve">Dividend Income</t>
  </si>
  <si>
    <t xml:space="preserve">Operating income</t>
  </si>
  <si>
    <t xml:space="preserve">Finance Cost</t>
  </si>
  <si>
    <t xml:space="preserve">Fee and Commission expense</t>
  </si>
  <si>
    <t xml:space="preserve">Impairment of financial instruments</t>
  </si>
  <si>
    <t xml:space="preserve">Other Expenses</t>
  </si>
  <si>
    <t xml:space="preserve">Operational Expense</t>
  </si>
  <si>
    <t xml:space="preserve">profit from Associate + JV</t>
  </si>
  <si>
    <t xml:space="preserve">Weighted avg. no. of shares</t>
  </si>
  <si>
    <t xml:space="preserve">Share price </t>
  </si>
  <si>
    <t xml:space="preserve">EPS </t>
  </si>
  <si>
    <t xml:space="preserve">MEDIAN </t>
  </si>
  <si>
    <t xml:space="preserve">CONSIDERED 5 years</t>
  </si>
  <si>
    <t xml:space="preserve">Next 5 years</t>
  </si>
  <si>
    <t xml:space="preserve">Operating income y/y</t>
  </si>
  <si>
    <t xml:space="preserve">Terminal  value </t>
  </si>
  <si>
    <t xml:space="preserve">MC </t>
  </si>
  <si>
    <t xml:space="preserve">fee and commision margin y/y</t>
  </si>
  <si>
    <t xml:space="preserve">Model estimated price </t>
  </si>
  <si>
    <t xml:space="preserve">Operating expense  y/y</t>
  </si>
  <si>
    <t xml:space="preserve">tax rate y/y</t>
  </si>
  <si>
    <t xml:space="preserve">Other expense y/y</t>
  </si>
  <si>
    <t xml:space="preserve">Aditya birla Money limited</t>
  </si>
  <si>
    <t xml:space="preserve">Portfolio management services</t>
  </si>
  <si>
    <t xml:space="preserve">Distribution of financial products</t>
  </si>
  <si>
    <t xml:space="preserve">Depository and e-insurance repository solutions</t>
  </si>
  <si>
    <t xml:space="preserve">Technology driven services</t>
  </si>
  <si>
    <t xml:space="preserve">Network </t>
  </si>
  <si>
    <t xml:space="preserve">Fees and Commision Income</t>
  </si>
  <si>
    <t xml:space="preserve">Net gain on FV Changes</t>
  </si>
  <si>
    <t xml:space="preserve">Net gain on de-recognition of financial assets at Amortized cost</t>
  </si>
  <si>
    <t xml:space="preserve">Gain on sale of investments</t>
  </si>
  <si>
    <t xml:space="preserve">Policyholders income from life insurance opr</t>
  </si>
  <si>
    <t xml:space="preserve">Policyholders income from health insurance opr</t>
  </si>
  <si>
    <t xml:space="preserve">Sale of services</t>
  </si>
  <si>
    <t xml:space="preserve">motilal oswal financial services</t>
  </si>
  <si>
    <t xml:space="preserve">Equity and commodities trading , brokerage</t>
  </si>
  <si>
    <t xml:space="preserve">Investment advices </t>
  </si>
  <si>
    <t xml:space="preserve">wealth management </t>
  </si>
  <si>
    <t xml:space="preserve">institutional broking</t>
  </si>
  <si>
    <t xml:space="preserve">Asset management </t>
  </si>
  <si>
    <t xml:space="preserve">private equity invesment management</t>
  </si>
  <si>
    <t xml:space="preserve">Home finance and loan against securities</t>
  </si>
  <si>
    <t xml:space="preserve">Retail broking</t>
  </si>
  <si>
    <t xml:space="preserve">Mutual funds  (fees from commissions) + FII + corporates </t>
  </si>
  <si>
    <t xml:space="preserve">Brokerage assets</t>
  </si>
  <si>
    <t xml:space="preserve">Commission / fee income</t>
  </si>
  <si>
    <t xml:space="preserve">Margin funding</t>
  </si>
  <si>
    <t xml:space="preserve">Depository participant funding</t>
  </si>
  <si>
    <t xml:space="preserve">Maintaining client demat account</t>
  </si>
  <si>
    <t xml:space="preserve">Interest income </t>
  </si>
  <si>
    <t xml:space="preserve">delayed client paymentor unused margin </t>
  </si>
  <si>
    <t xml:space="preserve">Stock inventory</t>
  </si>
  <si>
    <t xml:space="preserve">Short selling stocks for trade settlements</t>
  </si>
  <si>
    <t xml:space="preserve">Brokerage liability</t>
  </si>
  <si>
    <t xml:space="preserve">Demat account </t>
  </si>
  <si>
    <t xml:space="preserve">Holds shares, not cash </t>
  </si>
  <si>
    <t xml:space="preserve">Trading account</t>
  </si>
  <si>
    <t xml:space="preserve">Holds cash balances</t>
  </si>
  <si>
    <t xml:space="preserve">Broking &amp; Related activities</t>
  </si>
  <si>
    <t xml:space="preserve">clients funds in trading account , margin borrowing, exchange dues, unsettled transaction </t>
  </si>
  <si>
    <t xml:space="preserve">Fund-based activities</t>
  </si>
  <si>
    <t xml:space="preserve">Home finance</t>
  </si>
  <si>
    <t xml:space="preserve">Asset management</t>
  </si>
  <si>
    <t xml:space="preserve">Investment Banking</t>
  </si>
  <si>
    <t xml:space="preserve">(in Crore)</t>
  </si>
  <si>
    <t xml:space="preserve">brokerage platform started </t>
  </si>
  <si>
    <t>https://www.motilaloswalgroup.com/Downirvirdir/1506451662MOFSL_Annual-Report_2022.pdf</t>
  </si>
  <si>
    <t xml:space="preserve">-ve FV changes and less divident income</t>
  </si>
  <si>
    <t>https://www.motilaloswalgroup.com/Downirvirdir/257189515MOFSL-Annual-Report-FY-2023-24.pdf</t>
  </si>
  <si>
    <t xml:space="preserve">Dividend income</t>
  </si>
  <si>
    <t xml:space="preserve">rental income</t>
  </si>
  <si>
    <t xml:space="preserve">Brokerage income. R&amp;Adv. fees, distribution income , depository income</t>
  </si>
  <si>
    <t xml:space="preserve">fees and commission income</t>
  </si>
  <si>
    <t xml:space="preserve">net gain on fv changes</t>
  </si>
  <si>
    <t xml:space="preserve">Other operating income</t>
  </si>
  <si>
    <t xml:space="preserve">Real op. incoe</t>
  </si>
  <si>
    <t xml:space="preserve">Operational Rev</t>
  </si>
  <si>
    <t xml:space="preserve">Total debt raised</t>
  </si>
  <si>
    <t xml:space="preserve">Total Equity raised</t>
  </si>
  <si>
    <t xml:space="preserve">Finance cost</t>
  </si>
  <si>
    <t xml:space="preserve">fees and commision expense </t>
  </si>
  <si>
    <t>NFV-changes</t>
  </si>
  <si>
    <t xml:space="preserve">impairmnet of financial instruments</t>
  </si>
  <si>
    <t xml:space="preserve">IFI </t>
  </si>
  <si>
    <t xml:space="preserve">Other exp</t>
  </si>
  <si>
    <t xml:space="preserve">Total operating expense</t>
  </si>
  <si>
    <t xml:space="preserve">Exceptional income</t>
  </si>
  <si>
    <t xml:space="preserve">Share of profit from JVA</t>
  </si>
  <si>
    <t>NCI</t>
  </si>
  <si>
    <t xml:space="preserve">Operation income attr. to Owners of parent </t>
  </si>
  <si>
    <t xml:space="preserve">weighted no. of shares</t>
  </si>
  <si>
    <t xml:space="preserve">Terminal value</t>
  </si>
  <si>
    <t xml:space="preserve">Reported EPS</t>
  </si>
  <si>
    <t xml:space="preserve">Calculated EPS</t>
  </si>
  <si>
    <t>NPV</t>
  </si>
  <si>
    <t xml:space="preserve">Current market price</t>
  </si>
  <si>
    <t xml:space="preserve">Total no of shares </t>
  </si>
  <si>
    <t xml:space="preserve">Current share price</t>
  </si>
  <si>
    <t>ESTIMATIONS</t>
  </si>
  <si>
    <t>CONSIDERING</t>
  </si>
  <si>
    <t xml:space="preserve">Predicted share price</t>
  </si>
  <si>
    <t xml:space="preserve">COGS margin</t>
  </si>
  <si>
    <t xml:space="preserve">FCE margin</t>
  </si>
  <si>
    <t xml:space="preserve">Gross margin </t>
  </si>
  <si>
    <t xml:space="preserve">Op. rev YoY</t>
  </si>
  <si>
    <t xml:space="preserve">Op. expense </t>
  </si>
  <si>
    <t>rev/exp</t>
  </si>
  <si>
    <t xml:space="preserve">Interest Incoem y/y</t>
  </si>
  <si>
    <t xml:space="preserve">FCE y/y</t>
  </si>
  <si>
    <t xml:space="preserve">Finance cost Margin</t>
  </si>
  <si>
    <t xml:space="preserve">EBE YoY</t>
  </si>
  <si>
    <t xml:space="preserve">D&amp;A YoY</t>
  </si>
  <si>
    <t xml:space="preserve">Tax Rate</t>
  </si>
  <si>
    <t>SEGMENT-WISE</t>
  </si>
  <si>
    <t>Revenue</t>
  </si>
  <si>
    <t xml:space="preserve">Broking and other related activities</t>
  </si>
  <si>
    <t xml:space="preserve">Fund based act.</t>
  </si>
  <si>
    <t xml:space="preserve">wealth management</t>
  </si>
  <si>
    <t xml:space="preserve">Asset management and advisory</t>
  </si>
  <si>
    <t xml:space="preserve">Investment banking</t>
  </si>
  <si>
    <t>Unallocated</t>
  </si>
  <si>
    <t xml:space="preserve">Total Revenue</t>
  </si>
  <si>
    <t xml:space="preserve">Segment Result</t>
  </si>
  <si>
    <t xml:space="preserve">Broking exceptional item </t>
  </si>
  <si>
    <t xml:space="preserve">Fund based activities</t>
  </si>
  <si>
    <t xml:space="preserve">Total result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</si>
</sst>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_(* #,##0_);_(* &quot;(&quot;#,##0&quot;)&quot;;_(* &quot;-&quot;??_);_(@_)"/>
    <numFmt numFmtId="165" formatCode="0.0%"/>
    <numFmt numFmtId="166" formatCode="0.0"/>
  </numFmts>
  <fonts count="6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trike/>
      <sz val="11.000000"/>
      <color theme="1"/>
      <name val="Calibri"/>
      <scheme val="minor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 style="none"/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9" applyNumberFormat="1" applyFont="0" applyFill="0" applyBorder="0"/>
    <xf fontId="0" fillId="2" borderId="0" numFmtId="43" applyNumberFormat="1" applyFont="0" applyFill="0" applyBorder="0"/>
  </cellStyleXfs>
  <cellXfs count="55">
    <xf fontId="0" fillId="0" borderId="0" numFmtId="0" xfId="0"/>
    <xf fontId="1" fillId="0" borderId="0" numFmtId="0" xfId="0" applyFont="1"/>
    <xf fontId="0" fillId="0" borderId="0" numFmtId="164" xfId="2" applyNumberFormat="1"/>
    <xf fontId="0" fillId="0" borderId="0" numFmtId="2" xfId="0" applyNumberFormat="1"/>
    <xf fontId="1" fillId="0" borderId="1" numFmtId="0" xfId="0" applyFont="1" applyBorder="1"/>
    <xf fontId="0" fillId="0" borderId="1" numFmtId="0" xfId="0" applyBorder="1"/>
    <xf fontId="0" fillId="0" borderId="0" numFmtId="0" xfId="0">
      <protection hidden="0" locked="1"/>
    </xf>
    <xf fontId="0" fillId="0" borderId="1" numFmtId="0" xfId="0" applyBorder="1">
      <protection hidden="0" locked="1"/>
    </xf>
    <xf fontId="0" fillId="0" borderId="0" numFmtId="2" xfId="0" applyNumberFormat="1">
      <protection hidden="0" locked="1"/>
    </xf>
    <xf fontId="1" fillId="0" borderId="0" numFmtId="2" xfId="0" applyNumberFormat="1" applyFont="1"/>
    <xf fontId="1" fillId="0" borderId="0" numFmtId="0" xfId="0" applyFont="1">
      <protection hidden="0" locked="1"/>
    </xf>
    <xf fontId="1" fillId="0" borderId="1" numFmtId="0" xfId="0" applyFont="1" applyBorder="1">
      <protection hidden="0" locked="1"/>
    </xf>
    <xf fontId="1" fillId="0" borderId="0" numFmtId="2" xfId="0" applyNumberFormat="1" applyFont="1">
      <protection hidden="0" locked="1"/>
    </xf>
    <xf fontId="0" fillId="0" borderId="0" numFmtId="9" xfId="0" applyNumberFormat="1"/>
    <xf fontId="0" fillId="0" borderId="0" numFmtId="165" xfId="1" applyNumberFormat="1"/>
    <xf fontId="0" fillId="0" borderId="1" numFmtId="165" xfId="1" applyNumberFormat="1" applyBorder="1"/>
    <xf fontId="0" fillId="0" borderId="0" numFmtId="165" xfId="0" applyNumberFormat="1"/>
    <xf fontId="0" fillId="0" borderId="0" numFmtId="164" xfId="0" applyNumberFormat="1"/>
    <xf fontId="2" fillId="0" borderId="0" numFmtId="0" xfId="0" applyFont="1" applyAlignment="1">
      <alignment vertical="top"/>
    </xf>
    <xf fontId="2" fillId="0" borderId="1" numFmtId="0" xfId="0" applyFont="1" applyBorder="1" applyAlignment="1">
      <alignment vertical="top"/>
    </xf>
    <xf fontId="2" fillId="0" borderId="0" numFmtId="165" xfId="1" applyNumberFormat="1" applyFont="1" applyAlignment="1">
      <alignment vertical="top"/>
    </xf>
    <xf fontId="2" fillId="0" borderId="1" numFmtId="165" xfId="1" applyNumberFormat="1" applyFont="1" applyBorder="1" applyAlignment="1">
      <alignment vertical="top"/>
    </xf>
    <xf fontId="2" fillId="0" borderId="0" numFmtId="165" xfId="0" applyNumberFormat="1" applyFont="1" applyAlignment="1">
      <alignment vertical="top"/>
    </xf>
    <xf fontId="1" fillId="0" borderId="0" numFmtId="0" xfId="0" applyFont="1" applyAlignment="1">
      <alignment vertical="top"/>
    </xf>
    <xf fontId="0" fillId="0" borderId="0" numFmtId="2" xfId="0" applyNumberFormat="1" applyAlignment="1">
      <alignment vertical="top"/>
    </xf>
    <xf fontId="0" fillId="0" borderId="0" numFmtId="0" xfId="0" applyAlignment="1">
      <alignment vertical="top"/>
    </xf>
    <xf fontId="0" fillId="0" borderId="0" numFmtId="166" xfId="0" applyNumberFormat="1" applyAlignment="1">
      <alignment vertical="top"/>
    </xf>
    <xf fontId="0" fillId="0" borderId="0" numFmtId="9" xfId="1" applyNumberFormat="1"/>
    <xf fontId="0" fillId="0" borderId="1" numFmtId="9" xfId="1" applyNumberFormat="1" applyBorder="1"/>
    <xf fontId="0" fillId="0" borderId="0" numFmtId="0" xfId="0"/>
    <xf fontId="0" fillId="0" borderId="0" numFmtId="166" xfId="0" applyNumberFormat="1"/>
    <xf fontId="0" fillId="0" borderId="0" numFmtId="164" xfId="2" applyNumberFormat="1">
      <protection hidden="0" locked="1"/>
    </xf>
    <xf fontId="0" fillId="0" borderId="0" numFmtId="165" xfId="1" applyNumberFormat="1">
      <protection hidden="0" locked="1"/>
    </xf>
    <xf fontId="0" fillId="0" borderId="1" numFmtId="165" xfId="1" applyNumberFormat="1" applyBorder="1">
      <protection hidden="0" locked="1"/>
    </xf>
    <xf fontId="3" fillId="0" borderId="0" numFmtId="0" xfId="0" applyFont="1"/>
    <xf fontId="4" fillId="0" borderId="0" numFmtId="0" xfId="0" applyFont="1"/>
    <xf fontId="5" fillId="0" borderId="0" numFmtId="0" xfId="0" applyFont="1"/>
    <xf fontId="2" fillId="0" borderId="0" numFmtId="0" xfId="0" applyFont="1"/>
    <xf fontId="2" fillId="0" borderId="0" numFmtId="0" xfId="0" applyFont="1">
      <protection hidden="0" locked="1"/>
    </xf>
    <xf fontId="2" fillId="0" borderId="1" numFmtId="0" xfId="0" applyFont="1" applyBorder="1">
      <protection hidden="0" locked="1"/>
    </xf>
    <xf fontId="2" fillId="0" borderId="1" numFmtId="0" xfId="0" applyFont="1" applyBorder="1"/>
    <xf fontId="0" fillId="0" borderId="2" numFmtId="165" xfId="1" applyNumberFormat="1" applyBorder="1"/>
    <xf fontId="0" fillId="0" borderId="1" numFmtId="165" xfId="0" applyNumberFormat="1" applyBorder="1"/>
    <xf fontId="0" fillId="0" borderId="3" numFmtId="165" xfId="1" applyNumberFormat="1" applyBorder="1"/>
    <xf fontId="0" fillId="0" borderId="4" numFmtId="165" xfId="1" applyNumberFormat="1" applyBorder="1"/>
    <xf fontId="1" fillId="0" borderId="0" numFmtId="165" xfId="1" applyNumberFormat="1" applyFont="1"/>
    <xf fontId="0" fillId="0" borderId="1" numFmtId="2" xfId="0" applyNumberFormat="1" applyBorder="1">
      <protection hidden="0" locked="1"/>
    </xf>
    <xf fontId="0" fillId="0" borderId="3" numFmtId="2" xfId="1" applyNumberFormat="1" applyBorder="1"/>
    <xf fontId="0" fillId="0" borderId="0" numFmtId="2" xfId="1" applyNumberFormat="1"/>
    <xf fontId="0" fillId="0" borderId="3" numFmtId="0" xfId="0" applyBorder="1"/>
    <xf fontId="2" fillId="0" borderId="0" numFmtId="165" xfId="1" applyNumberFormat="1" applyFont="1"/>
    <xf fontId="2" fillId="0" borderId="1" numFmtId="165" xfId="1" applyNumberFormat="1" applyFont="1" applyBorder="1"/>
    <xf fontId="0" fillId="0" borderId="4" numFmtId="165" xfId="1" applyNumberFormat="1" applyBorder="1">
      <protection hidden="0" locked="1"/>
    </xf>
    <xf fontId="0" fillId="0" borderId="5" numFmtId="165" xfId="1" applyNumberFormat="1" applyBorder="1"/>
    <xf fontId="1" fillId="0" borderId="5" numFmtId="165" xfId="1" applyNumberFormat="1" applyFont="1" applyBorder="1"/>
  </cellXfs>
  <cellStyles count="3">
    <cellStyle name="Normal" xfId="0" builtinId="0"/>
    <cellStyle name="Percent" xfId="1" builtinId="5"/>
    <cellStyle name="Comm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theme" Target="theme/theme1.xml"/><Relationship  Id="rId11" Type="http://schemas.openxmlformats.org/officeDocument/2006/relationships/sharedStrings" Target="sharedStrings.xml"/><Relationship  Id="rId12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/Relationships>
</file>

<file path=xl/drawings/_rels/drawing2.xml.rels><?xml version="1.0" encoding="UTF-8" standalone="yes"?><Relationships xmlns="http://schemas.openxmlformats.org/package/2006/relationships"></Relationships>
</file>

<file path=xl/drawings/_rels/drawing3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26</xdr:col>
      <xdr:colOff>40480</xdr:colOff>
      <xdr:row>0</xdr:row>
      <xdr:rowOff>59531</xdr:rowOff>
    </xdr:from>
    <xdr:to>
      <xdr:col>26</xdr:col>
      <xdr:colOff>40480</xdr:colOff>
      <xdr:row>38</xdr:row>
      <xdr:rowOff>78580</xdr:rowOff>
    </xdr:to>
    <xdr:cxnSp>
      <xdr:nvCxnSpPr>
        <xdr:cNvPr id="0" name=""/>
        <xdr:cNvCxnSpPr>
          <a:cxnSpLocks/>
        </xdr:cNvCxnSpPr>
        <xdr:nvPr/>
      </xdr:nvCxnSpPr>
      <xdr:spPr bwMode="auto">
        <a:xfrm flipH="1" flipV="0">
          <a:off x="25053130" y="59531"/>
          <a:ext cx="0" cy="6896099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30</xdr:col>
      <xdr:colOff>38099</xdr:colOff>
      <xdr:row>0</xdr:row>
      <xdr:rowOff>142874</xdr:rowOff>
    </xdr:from>
    <xdr:to>
      <xdr:col>30</xdr:col>
      <xdr:colOff>38099</xdr:colOff>
      <xdr:row>32</xdr:row>
      <xdr:rowOff>57149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28994099" y="142874"/>
          <a:ext cx="0" cy="5705474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40</xdr:col>
      <xdr:colOff>938892</xdr:colOff>
      <xdr:row>0</xdr:row>
      <xdr:rowOff>0</xdr:rowOff>
    </xdr:from>
    <xdr:to>
      <xdr:col>40</xdr:col>
      <xdr:colOff>938892</xdr:colOff>
      <xdr:row>27</xdr:row>
      <xdr:rowOff>10884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39474321" y="0"/>
          <a:ext cx="0" cy="5007428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21</xdr:col>
      <xdr:colOff>38099</xdr:colOff>
      <xdr:row>0</xdr:row>
      <xdr:rowOff>59531</xdr:rowOff>
    </xdr:from>
    <xdr:to>
      <xdr:col>21</xdr:col>
      <xdr:colOff>38099</xdr:colOff>
      <xdr:row>35</xdr:row>
      <xdr:rowOff>76199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20088224" y="59531"/>
          <a:ext cx="0" cy="6350793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31</xdr:col>
      <xdr:colOff>45357</xdr:colOff>
      <xdr:row>1</xdr:row>
      <xdr:rowOff>9071</xdr:rowOff>
    </xdr:from>
    <xdr:to>
      <xdr:col>31</xdr:col>
      <xdr:colOff>45357</xdr:colOff>
      <xdr:row>31</xdr:row>
      <xdr:rowOff>145142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29382356" y="190499"/>
          <a:ext cx="0" cy="5578928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37</xdr:col>
      <xdr:colOff>63498</xdr:colOff>
      <xdr:row>1</xdr:row>
      <xdr:rowOff>42332</xdr:rowOff>
    </xdr:from>
    <xdr:to>
      <xdr:col>37</xdr:col>
      <xdr:colOff>63498</xdr:colOff>
      <xdr:row>52</xdr:row>
      <xdr:rowOff>58207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43687998" y="222249"/>
          <a:ext cx="0" cy="9191624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twoCell">
    <xdr:from>
      <xdr:col>47</xdr:col>
      <xdr:colOff>47623</xdr:colOff>
      <xdr:row>0</xdr:row>
      <xdr:rowOff>158747</xdr:rowOff>
    </xdr:from>
    <xdr:to>
      <xdr:col>47</xdr:col>
      <xdr:colOff>47623</xdr:colOff>
      <xdr:row>51</xdr:row>
      <xdr:rowOff>174621</xdr:rowOff>
    </xdr:to>
    <xdr:cxnSp>
      <xdr:nvCxnSpPr>
        <xdr:cNvPr id="1869679167" name=""/>
        <xdr:cNvCxnSpPr>
          <a:cxnSpLocks/>
        </xdr:cNvCxnSpPr>
        <xdr:nvPr/>
      </xdr:nvCxnSpPr>
      <xdr:spPr bwMode="auto">
        <a:xfrm flipH="0" flipV="0">
          <a:off x="55631290" y="158748"/>
          <a:ext cx="0" cy="9191623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motilaloswalgroup.com/Downirvirdir/1506451662MOFSL_Annual-Report_2022.pdf" TargetMode="External"/><Relationship  Id="rId2" Type="http://schemas.openxmlformats.org/officeDocument/2006/relationships/hyperlink" Target="https://www.motilaloswalgroup.com/Downirvirdir/257189515MOFSL-Annual-Report-FY-2023-24.pdf" TargetMode="External"/><Relationship 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6384" width="14.7109375"/>
  </cols>
  <sheetData>
    <row r="1" ht="14.25">
      <c r="A1" t="s">
        <v>0</v>
      </c>
    </row>
    <row r="2" ht="14.25">
      <c r="D2" t="s">
        <v>1</v>
      </c>
    </row>
    <row r="3" s="1" customFormat="1" ht="14.25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="1" customFormat="1" ht="14.25">
      <c r="A4" s="1"/>
      <c r="B4" s="1"/>
      <c r="C4" s="1"/>
      <c r="D4" s="1"/>
      <c r="E4" s="1"/>
      <c r="F4" s="1"/>
      <c r="G4" s="1"/>
      <c r="H4" s="1"/>
      <c r="I4" s="1"/>
    </row>
    <row r="5" ht="14.25">
      <c r="B5" t="s">
        <v>12</v>
      </c>
    </row>
    <row r="6" ht="14.25">
      <c r="B6" t="s">
        <v>13</v>
      </c>
    </row>
    <row r="7" ht="14.25">
      <c r="B7" t="s">
        <v>14</v>
      </c>
    </row>
    <row r="8" ht="14.25">
      <c r="B8" t="s">
        <v>15</v>
      </c>
    </row>
    <row r="9" ht="14.25">
      <c r="B9" t="s">
        <v>16</v>
      </c>
      <c r="C9" t="s">
        <v>17</v>
      </c>
      <c r="D9">
        <v>7071.6499999999996</v>
      </c>
      <c r="E9" s="2">
        <v>35991533</v>
      </c>
      <c r="F9" s="3">
        <f>D9*E9/10000000</f>
        <v>25451.952433945</v>
      </c>
      <c r="J9" s="3">
        <f>NWML!U25</f>
        <v>313.03751357298393</v>
      </c>
      <c r="K9" s="3">
        <f>D9/J9</f>
        <v>22.590423490414231</v>
      </c>
    </row>
    <row r="10" ht="14.25">
      <c r="B10" t="s">
        <v>18</v>
      </c>
      <c r="C10" t="s">
        <v>19</v>
      </c>
      <c r="D10">
        <v>2924.9000000000001</v>
      </c>
      <c r="E10" s="2">
        <v>90127608</v>
      </c>
      <c r="F10" s="3">
        <f>D10*E10/10000000</f>
        <v>26361.42406392</v>
      </c>
      <c r="I10">
        <f>ANGELONE!AE19</f>
        <v>1129.2910000000008</v>
      </c>
      <c r="J10" s="3">
        <f>I10*10000000/E10</f>
        <v>125.2991203316969</v>
      </c>
      <c r="K10" s="3">
        <f>D10/J10</f>
        <v>23.343340258551589</v>
      </c>
    </row>
    <row r="12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10.421875"/>
  </cols>
  <sheetData>
    <row r="2">
      <c r="B2" t="s">
        <v>20</v>
      </c>
    </row>
    <row r="4">
      <c r="B4" t="s">
        <v>21</v>
      </c>
    </row>
    <row r="5">
      <c r="B5" t="s">
        <v>22</v>
      </c>
    </row>
    <row r="6">
      <c r="B6" t="s">
        <v>23</v>
      </c>
    </row>
    <row r="8">
      <c r="B8" t="s">
        <v>24</v>
      </c>
    </row>
    <row r="9">
      <c r="B9" t="s">
        <v>25</v>
      </c>
    </row>
    <row r="10">
      <c r="A10" t="s">
        <v>26</v>
      </c>
      <c r="B10" t="s">
        <v>27</v>
      </c>
    </row>
    <row r="11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8.421875"/>
    <col customWidth="1" min="2" max="2" width="27.28125"/>
    <col customWidth="1" min="3" max="28" width="14.140625"/>
    <col customWidth="1" min="29" max="29" width="16.7109375"/>
    <col customWidth="1" min="30" max="41" width="14.140625"/>
    <col customWidth="1" min="42" max="42" width="16.8515625"/>
    <col customWidth="1" min="43" max="16384" width="14.140625"/>
  </cols>
  <sheetData>
    <row r="1">
      <c r="A1" t="s">
        <v>28</v>
      </c>
      <c r="B1" t="s">
        <v>29</v>
      </c>
    </row>
    <row r="2" s="1" customFormat="1">
      <c r="C2" s="1" t="s">
        <v>30</v>
      </c>
      <c r="D2" s="1" t="s">
        <v>31</v>
      </c>
      <c r="E2" s="1" t="s">
        <v>32</v>
      </c>
      <c r="F2" s="4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1" t="s">
        <v>38</v>
      </c>
      <c r="L2" s="1" t="s">
        <v>39</v>
      </c>
      <c r="M2" s="1" t="s">
        <v>40</v>
      </c>
      <c r="N2" s="4" t="s">
        <v>41</v>
      </c>
      <c r="O2" s="1" t="s">
        <v>42</v>
      </c>
      <c r="P2" s="1" t="s">
        <v>43</v>
      </c>
      <c r="Q2" s="1" t="s">
        <v>44</v>
      </c>
      <c r="R2" s="4" t="s">
        <v>45</v>
      </c>
      <c r="T2" s="1"/>
      <c r="U2" s="1">
        <v>2020</v>
      </c>
      <c r="V2" s="1">
        <f>W2-1</f>
        <v>2021</v>
      </c>
      <c r="W2" s="1">
        <v>2022</v>
      </c>
      <c r="X2" s="1">
        <v>2023</v>
      </c>
      <c r="Y2" s="1">
        <v>2024</v>
      </c>
      <c r="Z2" s="1">
        <v>2025</v>
      </c>
      <c r="AE2" s="1">
        <v>2025</v>
      </c>
      <c r="AF2" s="1">
        <f>AE2+1</f>
        <v>2026</v>
      </c>
      <c r="AG2" s="1">
        <f>AF2+1</f>
        <v>2027</v>
      </c>
      <c r="AH2" s="1">
        <f>AG2+1</f>
        <v>2028</v>
      </c>
      <c r="AI2" s="1">
        <f>AH2+1</f>
        <v>2029</v>
      </c>
      <c r="AJ2" s="1">
        <f>AI2+1</f>
        <v>2030</v>
      </c>
      <c r="AK2" s="1">
        <f>AJ2+1</f>
        <v>2031</v>
      </c>
      <c r="AL2" s="1">
        <f>AK2+1</f>
        <v>2032</v>
      </c>
      <c r="AM2" s="1">
        <f>AL2+1</f>
        <v>2033</v>
      </c>
      <c r="AN2" s="1">
        <f>AM2+1</f>
        <v>2034</v>
      </c>
      <c r="AO2" s="1">
        <f>AN2+1</f>
        <v>2035</v>
      </c>
    </row>
    <row r="3">
      <c r="B3" t="s">
        <v>46</v>
      </c>
      <c r="C3">
        <v>60.588000000000001</v>
      </c>
      <c r="D3">
        <v>81.471999999999994</v>
      </c>
      <c r="E3">
        <v>106.94199999999999</v>
      </c>
      <c r="F3" s="5">
        <v>93.463999999999999</v>
      </c>
      <c r="G3">
        <v>105.803</v>
      </c>
      <c r="H3">
        <v>95.866</v>
      </c>
      <c r="I3">
        <v>91.277000000000001</v>
      </c>
      <c r="J3" s="5">
        <v>137.005</v>
      </c>
      <c r="K3" s="6">
        <v>144.78999999999999</v>
      </c>
      <c r="L3" s="6">
        <v>181.178</v>
      </c>
      <c r="M3" s="6">
        <v>212.346</v>
      </c>
      <c r="N3" s="7">
        <v>247.56</v>
      </c>
      <c r="O3">
        <v>294.41000000000003</v>
      </c>
      <c r="P3">
        <v>359.39999999999998</v>
      </c>
      <c r="Q3">
        <v>349.38600000000002</v>
      </c>
      <c r="R3" s="5">
        <v>337.75599999999997</v>
      </c>
      <c r="U3" s="6">
        <v>157.738</v>
      </c>
      <c r="V3" s="6">
        <v>176.94399999999999</v>
      </c>
      <c r="W3" s="6">
        <f t="shared" ref="W3:W5" si="0">SUM(C3:F3)</f>
        <v>342.46600000000001</v>
      </c>
      <c r="X3">
        <f t="shared" ref="X3:X5" si="1">SUM(G3:J3)</f>
        <v>429.95099999999996</v>
      </c>
      <c r="Y3" s="6">
        <f t="shared" ref="Y3:Y5" si="2">SUM(K3:N3)</f>
        <v>785.87400000000002</v>
      </c>
      <c r="Z3" s="6">
        <f t="shared" ref="Z3:Z5" si="3">SUM(O3:R3)</f>
        <v>1340.9519999999998</v>
      </c>
      <c r="AE3" s="8">
        <v>1340.9519999999998</v>
      </c>
      <c r="AF3" s="3">
        <f>AE3*(1+$AC$23)</f>
        <v>1542.0947999999996</v>
      </c>
      <c r="AG3" s="3">
        <f>AF3*(1+$AC$23)</f>
        <v>1773.4090199999994</v>
      </c>
      <c r="AH3" s="3">
        <f>AG3*(1+$AC$23)</f>
        <v>2039.420372999999</v>
      </c>
      <c r="AI3" s="3">
        <f>AH3*(1+$AC$23)</f>
        <v>2345.3334289499985</v>
      </c>
      <c r="AJ3" s="3">
        <f>AI3*(1+$AC$23)</f>
        <v>2697.1334432924982</v>
      </c>
      <c r="AK3" s="3">
        <f>AJ3*(1+$AD$23)</f>
        <v>2885.9327843229735</v>
      </c>
      <c r="AL3" s="3">
        <f>AK3*(1+$AD$23)</f>
        <v>3087.9480792255818</v>
      </c>
      <c r="AM3" s="3">
        <f>AL3*(1+$AD$23)</f>
        <v>3304.1044447713725</v>
      </c>
      <c r="AN3" s="3">
        <f>AM3*(1+$AD$23)</f>
        <v>3535.3917559053689</v>
      </c>
      <c r="AO3" s="3">
        <f>AN3*(1+$AD$23)</f>
        <v>3782.8691788187448</v>
      </c>
    </row>
    <row r="4">
      <c r="B4" t="s">
        <v>47</v>
      </c>
      <c r="C4">
        <v>387.75599999999997</v>
      </c>
      <c r="D4">
        <v>436.39600000000002</v>
      </c>
      <c r="E4">
        <v>609.245</v>
      </c>
      <c r="F4" s="5">
        <v>570.71400000000006</v>
      </c>
      <c r="G4">
        <v>559.19500000000005</v>
      </c>
      <c r="H4">
        <v>619.69100000000003</v>
      </c>
      <c r="I4">
        <v>496.892</v>
      </c>
      <c r="J4" s="5">
        <v>686.37199999999996</v>
      </c>
      <c r="K4" s="6">
        <v>660.71000000000004</v>
      </c>
      <c r="L4" s="6">
        <v>864.89099999999996</v>
      </c>
      <c r="M4" s="6">
        <v>844.65200000000004</v>
      </c>
      <c r="N4" s="7">
        <v>1108.9300000000001</v>
      </c>
      <c r="O4">
        <v>1108.03</v>
      </c>
      <c r="P4">
        <v>1149.5999999999999</v>
      </c>
      <c r="Q4">
        <v>905.26400000000001</v>
      </c>
      <c r="R4" s="5">
        <v>711.04100000000005</v>
      </c>
      <c r="U4" s="6">
        <v>564.39999999999998</v>
      </c>
      <c r="V4" s="6">
        <v>1077.8219999999999</v>
      </c>
      <c r="W4" s="6">
        <f t="shared" si="0"/>
        <v>2004.1109999999999</v>
      </c>
      <c r="X4" s="6">
        <f t="shared" si="1"/>
        <v>2362.1500000000001</v>
      </c>
      <c r="Y4" s="6">
        <f t="shared" si="2"/>
        <v>3479.183</v>
      </c>
      <c r="Z4" s="6">
        <f t="shared" si="3"/>
        <v>3873.9350000000004</v>
      </c>
      <c r="AE4" s="8">
        <v>3873.9350000000004</v>
      </c>
      <c r="AF4" s="3">
        <f>AE4*($AC$24+1)</f>
        <v>4455.0252499999997</v>
      </c>
      <c r="AG4" s="3">
        <f>AF4*($AC$24+1)</f>
        <v>5123.2790374999995</v>
      </c>
      <c r="AH4" s="3">
        <f>AG4*($AC$24+1)</f>
        <v>5891.770893124999</v>
      </c>
      <c r="AI4" s="3">
        <f>AH4*($AC$24+1)</f>
        <v>6775.5365270937482</v>
      </c>
      <c r="AJ4" s="3">
        <f>AI4*($AC$24+1)</f>
        <v>7791.8670061578096</v>
      </c>
      <c r="AK4" s="3">
        <f>AJ4*($AD$24+1)</f>
        <v>8337.2976965888574</v>
      </c>
      <c r="AL4" s="3">
        <f>AK4*($AD$24+1)</f>
        <v>8920.9085353500777</v>
      </c>
      <c r="AM4" s="3">
        <f>AL4*($AD$24+1)</f>
        <v>9545.3721328245829</v>
      </c>
      <c r="AN4" s="3">
        <f>AM4*($AD$24+1)</f>
        <v>10213.548182122304</v>
      </c>
      <c r="AO4" s="3">
        <f>AN4*($AD$24+1)</f>
        <v>10928.496554870866</v>
      </c>
    </row>
    <row r="5">
      <c r="B5" t="s">
        <v>48</v>
      </c>
      <c r="C5">
        <v>10.385999999999999</v>
      </c>
      <c r="D5">
        <v>9.4719999999999995</v>
      </c>
      <c r="E5">
        <v>2.2919999999999998</v>
      </c>
      <c r="F5" s="5">
        <v>0</v>
      </c>
      <c r="G5">
        <v>0</v>
      </c>
      <c r="H5">
        <v>1.1739999999999999</v>
      </c>
      <c r="I5">
        <v>9.1500000000000004</v>
      </c>
      <c r="J5" s="5">
        <v>2.3610000000000002</v>
      </c>
      <c r="K5" s="6">
        <v>1.98</v>
      </c>
      <c r="L5" s="6">
        <v>1.798</v>
      </c>
      <c r="M5" s="6">
        <v>2.048</v>
      </c>
      <c r="N5" s="7">
        <v>0.77000000000000002</v>
      </c>
      <c r="O5">
        <v>3.0099999999999998</v>
      </c>
      <c r="P5" s="6">
        <v>5.7060000000000004</v>
      </c>
      <c r="Q5">
        <v>7.556</v>
      </c>
      <c r="R5" s="5">
        <v>7.2160000000000002</v>
      </c>
      <c r="U5" s="6">
        <v>2.4860000000000002</v>
      </c>
      <c r="V5" s="6">
        <v>8.9179999999999993</v>
      </c>
      <c r="W5" s="6">
        <f t="shared" si="0"/>
        <v>22.149999999999999</v>
      </c>
      <c r="X5" s="6">
        <f t="shared" si="1"/>
        <v>12.685</v>
      </c>
      <c r="Y5" s="6">
        <f t="shared" si="2"/>
        <v>6.5960000000000001</v>
      </c>
      <c r="Z5" s="6">
        <f t="shared" si="3"/>
        <v>23.488000000000003</v>
      </c>
      <c r="AE5" s="8">
        <v>23.488000000000003</v>
      </c>
      <c r="AF5" s="3">
        <v>20</v>
      </c>
      <c r="AG5" s="8">
        <v>20</v>
      </c>
      <c r="AH5" s="8">
        <v>20</v>
      </c>
      <c r="AI5" s="8">
        <v>20</v>
      </c>
      <c r="AJ5" s="8">
        <v>20</v>
      </c>
      <c r="AK5" s="8">
        <v>20</v>
      </c>
      <c r="AL5" s="8">
        <v>20</v>
      </c>
      <c r="AM5" s="8">
        <v>20</v>
      </c>
      <c r="AN5" s="8">
        <v>20</v>
      </c>
      <c r="AO5" s="8">
        <v>20</v>
      </c>
    </row>
    <row r="6" s="1" customFormat="1">
      <c r="B6" s="1" t="s">
        <v>49</v>
      </c>
      <c r="C6" s="1">
        <f>SUM(C3:C5)</f>
        <v>458.73000000000002</v>
      </c>
      <c r="D6" s="1">
        <f>SUM(D3:D5)</f>
        <v>527.34000000000003</v>
      </c>
      <c r="E6" s="1">
        <f>SUM(E3:E5)</f>
        <v>718.47900000000004</v>
      </c>
      <c r="F6" s="4">
        <f>SUM(F3:F5)</f>
        <v>664.17800000000011</v>
      </c>
      <c r="G6" s="1">
        <f>SUM(G3:G5)</f>
        <v>664.99800000000005</v>
      </c>
      <c r="H6" s="1">
        <f>SUM(H3:H5)</f>
        <v>716.73099999999999</v>
      </c>
      <c r="I6" s="1">
        <f>SUM(I3:I5)</f>
        <v>597.31899999999996</v>
      </c>
      <c r="J6" s="4">
        <f>SUM(J3:J5)</f>
        <v>825.73799999999994</v>
      </c>
      <c r="K6" s="1">
        <f>SUM(K3:K5)</f>
        <v>807.48000000000002</v>
      </c>
      <c r="L6" s="1">
        <f>SUM(L3:L5)</f>
        <v>1047.867</v>
      </c>
      <c r="M6" s="1">
        <f>SUM(M3:M5)</f>
        <v>1059.046</v>
      </c>
      <c r="N6" s="4">
        <f>SUM(N3:N5)</f>
        <v>1357.26</v>
      </c>
      <c r="O6" s="1">
        <f>SUM(O3:O5)</f>
        <v>1405.45</v>
      </c>
      <c r="P6" s="1">
        <f>SUM(P3:P5)</f>
        <v>1514.7059999999999</v>
      </c>
      <c r="Q6" s="1">
        <f>SUM(Q3:Q5)</f>
        <v>1262.2060000000001</v>
      </c>
      <c r="R6" s="4">
        <f>SUM(R3:R5)</f>
        <v>1056.0129999999999</v>
      </c>
      <c r="U6" s="1">
        <f>SUM(U3:U5)</f>
        <v>724.62399999999991</v>
      </c>
      <c r="V6" s="1">
        <f>SUM(V3:V5)</f>
        <v>1263.6839999999997</v>
      </c>
      <c r="W6" s="1">
        <f>SUM(W3:W5)</f>
        <v>2368.7269999999999</v>
      </c>
      <c r="X6" s="1">
        <f>SUM(X3:X5)</f>
        <v>2804.7860000000001</v>
      </c>
      <c r="Y6" s="1">
        <f>SUM(Y3:Y5)</f>
        <v>4271.6529999999993</v>
      </c>
      <c r="Z6" s="1">
        <f>SUM(Z3:Z5)</f>
        <v>5238.3750000000009</v>
      </c>
      <c r="AA6" s="1"/>
      <c r="AB6" s="1"/>
      <c r="AE6" s="9">
        <v>5238.3750000000009</v>
      </c>
      <c r="AF6" s="9">
        <f>SUM(AF3:AF5)</f>
        <v>6017.1200499999995</v>
      </c>
      <c r="AG6" s="9">
        <f>SUM(AG3:AG5)</f>
        <v>6916.6880574999986</v>
      </c>
      <c r="AH6" s="9">
        <f>SUM(AH3:AH5)</f>
        <v>7951.191266124998</v>
      </c>
      <c r="AI6" s="9">
        <f>SUM(AI3:AI5)</f>
        <v>9140.8699560437472</v>
      </c>
      <c r="AJ6" s="9">
        <f>SUM(AJ3:AJ5)</f>
        <v>10509.000449450308</v>
      </c>
      <c r="AK6" s="9">
        <f>SUM(AK3:AK5)</f>
        <v>11243.23048091183</v>
      </c>
      <c r="AL6" s="9">
        <f>SUM(AL3:AL5)</f>
        <v>12028.856614575659</v>
      </c>
      <c r="AM6" s="9">
        <f>SUM(AM3:AM5)</f>
        <v>12869.476577595955</v>
      </c>
      <c r="AN6" s="9">
        <f>SUM(AN3:AN5)</f>
        <v>13768.939938027674</v>
      </c>
      <c r="AO6" s="9">
        <f>SUM(AO3:AO5)</f>
        <v>14731.36573368961</v>
      </c>
    </row>
    <row r="7">
      <c r="B7" t="s">
        <v>50</v>
      </c>
      <c r="C7" s="6">
        <v>10.055999999999999</v>
      </c>
      <c r="D7" s="6">
        <v>8.7880000000000003</v>
      </c>
      <c r="E7" s="6">
        <v>41.180999999999997</v>
      </c>
      <c r="F7" s="7">
        <v>12.532999999999999</v>
      </c>
      <c r="G7" s="6">
        <v>15.318</v>
      </c>
      <c r="H7" s="6">
        <v>29.184999999999999</v>
      </c>
      <c r="I7" s="6">
        <v>7.931</v>
      </c>
      <c r="J7" s="7">
        <v>5.3470000000000004</v>
      </c>
      <c r="K7" s="6">
        <v>3.5800000000000001</v>
      </c>
      <c r="L7" s="6">
        <v>1.4490000000000001</v>
      </c>
      <c r="M7" s="6">
        <v>1.796</v>
      </c>
      <c r="N7" s="7">
        <v>1.26</v>
      </c>
      <c r="O7">
        <v>4.6100000000000003</v>
      </c>
      <c r="P7" s="6">
        <v>1.258</v>
      </c>
      <c r="Q7" s="6">
        <v>1.5900000000000001</v>
      </c>
      <c r="R7" s="5">
        <v>1.8280000000000001</v>
      </c>
      <c r="U7" s="6">
        <v>30.09</v>
      </c>
      <c r="V7" s="6">
        <v>35.298000000000002</v>
      </c>
      <c r="W7" s="6">
        <f>SUM(C7:F7)</f>
        <v>72.557999999999993</v>
      </c>
      <c r="X7" s="6">
        <f>SUM(G7:J7)</f>
        <v>57.780999999999999</v>
      </c>
      <c r="Y7" s="6">
        <f>SUM(K7:N7)</f>
        <v>8.0850000000000009</v>
      </c>
      <c r="Z7" s="6">
        <f>SUM(O7:R7)</f>
        <v>9.2859999999999996</v>
      </c>
      <c r="AE7" s="8">
        <v>9.2859999999999996</v>
      </c>
      <c r="AF7" s="8">
        <v>20</v>
      </c>
      <c r="AG7" s="8">
        <v>20</v>
      </c>
      <c r="AH7" s="8">
        <v>20</v>
      </c>
      <c r="AI7" s="8">
        <v>20</v>
      </c>
      <c r="AJ7" s="8">
        <v>20</v>
      </c>
      <c r="AK7" s="8">
        <v>20</v>
      </c>
      <c r="AL7" s="8">
        <v>20</v>
      </c>
      <c r="AM7" s="8">
        <v>20</v>
      </c>
      <c r="AN7" s="8">
        <v>20</v>
      </c>
      <c r="AO7" s="8">
        <v>20</v>
      </c>
    </row>
    <row r="8" s="1" customFormat="1">
      <c r="B8" s="1" t="s">
        <v>51</v>
      </c>
      <c r="C8" s="1">
        <f>C6+C7</f>
        <v>468.786</v>
      </c>
      <c r="D8" s="1">
        <f>D6+D7</f>
        <v>536.12800000000004</v>
      </c>
      <c r="E8" s="1">
        <f>E6+E7</f>
        <v>759.66000000000008</v>
      </c>
      <c r="F8" s="4">
        <f>F6+F7</f>
        <v>676.71100000000013</v>
      </c>
      <c r="G8" s="1">
        <f>G6+G7</f>
        <v>680.31600000000003</v>
      </c>
      <c r="H8" s="1">
        <f>H6+H7</f>
        <v>745.91599999999994</v>
      </c>
      <c r="I8" s="1">
        <f>I6+I7</f>
        <v>605.25</v>
      </c>
      <c r="J8" s="4">
        <f>J6+J7</f>
        <v>831.08499999999992</v>
      </c>
      <c r="K8" s="1">
        <f>K6+K7</f>
        <v>811.06000000000006</v>
      </c>
      <c r="L8" s="1">
        <f>L6+L7</f>
        <v>1049.316</v>
      </c>
      <c r="M8" s="1">
        <f>M6+M7</f>
        <v>1060.8420000000001</v>
      </c>
      <c r="N8" s="4">
        <f>N6+N7</f>
        <v>1358.52</v>
      </c>
      <c r="O8" s="1">
        <f>O6+O7</f>
        <v>1410.0599999999999</v>
      </c>
      <c r="P8" s="1">
        <f>P6+P7</f>
        <v>1515.9639999999999</v>
      </c>
      <c r="Q8" s="1">
        <f>Q6+Q7</f>
        <v>1263.796</v>
      </c>
      <c r="R8" s="4">
        <f>R6+R7</f>
        <v>1057.8409999999999</v>
      </c>
      <c r="U8" s="1">
        <f>U6+U7</f>
        <v>754.71399999999994</v>
      </c>
      <c r="V8" s="1">
        <f>V6+V7</f>
        <v>1298.9819999999997</v>
      </c>
      <c r="W8" s="1">
        <f>W6+W7</f>
        <v>2441.2849999999999</v>
      </c>
      <c r="X8" s="1">
        <f>X6+X7</f>
        <v>2862.567</v>
      </c>
      <c r="Y8" s="1">
        <f>Y6+Y7</f>
        <v>4279.7379999999994</v>
      </c>
      <c r="Z8" s="1">
        <f>Z6+Z7</f>
        <v>5247.661000000001</v>
      </c>
      <c r="AA8" s="1"/>
      <c r="AB8" s="1"/>
      <c r="AE8" s="9">
        <v>5247.661000000001</v>
      </c>
      <c r="AF8" s="9">
        <f>AF6+AF7</f>
        <v>6037.1200499999995</v>
      </c>
      <c r="AG8" s="9">
        <f>AG6+AG7</f>
        <v>6936.6880574999986</v>
      </c>
      <c r="AH8" s="9">
        <f>AH6+AH7</f>
        <v>7971.191266124998</v>
      </c>
      <c r="AI8" s="9">
        <f>AI6+AI7</f>
        <v>9160.8699560437472</v>
      </c>
      <c r="AJ8" s="9">
        <f>AJ6+AJ7</f>
        <v>10529.000449450308</v>
      </c>
      <c r="AK8" s="9">
        <f>AK6+AK7</f>
        <v>11263.23048091183</v>
      </c>
      <c r="AL8" s="9">
        <f>AL6+AL7</f>
        <v>12048.856614575659</v>
      </c>
      <c r="AM8" s="9">
        <f>AM6+AM7</f>
        <v>12889.476577595955</v>
      </c>
      <c r="AN8" s="9">
        <f>AN6+AN7</f>
        <v>13788.939938027674</v>
      </c>
      <c r="AO8" s="9">
        <f>AO6+AO7</f>
        <v>14751.36573368961</v>
      </c>
    </row>
    <row r="9">
      <c r="C9" s="6"/>
      <c r="D9" s="6"/>
      <c r="E9" s="6"/>
      <c r="F9" s="7"/>
      <c r="G9" s="6"/>
      <c r="H9" s="6"/>
      <c r="I9" s="6"/>
      <c r="J9" s="7"/>
      <c r="K9" s="6"/>
      <c r="L9" s="6"/>
      <c r="M9" s="6"/>
      <c r="N9" s="7"/>
      <c r="P9" s="6"/>
      <c r="Q9" s="6"/>
      <c r="R9" s="5"/>
      <c r="U9" s="6"/>
      <c r="V9" s="6"/>
      <c r="W9" s="6"/>
      <c r="X9" s="6"/>
      <c r="Y9" s="6"/>
      <c r="Z9" s="6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>
      <c r="B10" t="s">
        <v>52</v>
      </c>
      <c r="C10" s="6">
        <v>16.423999999999999</v>
      </c>
      <c r="D10" s="6">
        <v>17.946000000000002</v>
      </c>
      <c r="E10" s="6">
        <v>25.442</v>
      </c>
      <c r="F10" s="7">
        <v>18.010999999999999</v>
      </c>
      <c r="G10" s="6">
        <v>19.837</v>
      </c>
      <c r="H10" s="6">
        <v>24.457999999999998</v>
      </c>
      <c r="I10" s="6">
        <v>18.257999999999999</v>
      </c>
      <c r="J10" s="7">
        <v>19.776</v>
      </c>
      <c r="K10" s="6">
        <v>18.32</v>
      </c>
      <c r="L10" s="6">
        <v>26.390000000000001</v>
      </c>
      <c r="M10" s="6">
        <v>35.603999999999999</v>
      </c>
      <c r="N10" s="7">
        <v>55.630000000000003</v>
      </c>
      <c r="O10">
        <v>55.560000000000002</v>
      </c>
      <c r="P10" s="6">
        <v>75.412999999999997</v>
      </c>
      <c r="Q10" s="6">
        <v>83.524000000000001</v>
      </c>
      <c r="R10" s="5">
        <v>80.298000000000002</v>
      </c>
      <c r="U10" s="6">
        <v>48.859000000000002</v>
      </c>
      <c r="V10" s="6">
        <v>38.933999999999997</v>
      </c>
      <c r="W10" s="6">
        <f t="shared" ref="W10:W15" si="4">SUM(C10:F10)</f>
        <v>77.823000000000008</v>
      </c>
      <c r="X10" s="6">
        <f t="shared" ref="X10:X15" si="5">SUM(G10:J10)</f>
        <v>82.328999999999994</v>
      </c>
      <c r="Y10" s="6">
        <f t="shared" ref="Y10:Y15" si="6">SUM(K10:N10)</f>
        <v>135.94399999999999</v>
      </c>
      <c r="Z10" s="6">
        <f t="shared" ref="Z10:Z15" si="7">SUM(O10:R10)</f>
        <v>294.79500000000002</v>
      </c>
      <c r="AE10" s="8">
        <v>294.79500000000002</v>
      </c>
      <c r="AF10" s="8">
        <f>AF3*$AC$26</f>
        <v>316.02052925973896</v>
      </c>
      <c r="AG10" s="8">
        <f>AG3*$AC$26</f>
        <v>363.42360864869977</v>
      </c>
      <c r="AH10" s="8">
        <f>AH3*$AC$26</f>
        <v>417.93714994600469</v>
      </c>
      <c r="AI10" s="8">
        <f>AI3*$AC$26</f>
        <v>480.62772243790533</v>
      </c>
      <c r="AJ10" s="8">
        <f>AJ3*$AC$26</f>
        <v>552.72188080359115</v>
      </c>
      <c r="AK10" s="8">
        <f>AK3*$AD$26</f>
        <v>591.41241245984259</v>
      </c>
      <c r="AL10" s="8">
        <f>AL3*$AD$26</f>
        <v>632.81128133203163</v>
      </c>
      <c r="AM10" s="8">
        <f>AM3*$AD$26</f>
        <v>677.10807102527383</v>
      </c>
      <c r="AN10" s="8">
        <f>AN3*$AD$26</f>
        <v>724.50563599704299</v>
      </c>
      <c r="AO10" s="8">
        <f>AO3*$AD$26</f>
        <v>775.22103051683609</v>
      </c>
    </row>
    <row r="11">
      <c r="B11" t="s">
        <v>53</v>
      </c>
      <c r="C11" s="6">
        <v>117.41200000000001</v>
      </c>
      <c r="D11" s="6">
        <v>132.274</v>
      </c>
      <c r="E11" s="6">
        <v>159.24199999999999</v>
      </c>
      <c r="F11" s="7">
        <v>156.42699999999999</v>
      </c>
      <c r="G11" s="6">
        <v>151.578</v>
      </c>
      <c r="H11" s="6">
        <v>162.696</v>
      </c>
      <c r="I11" s="6">
        <v>144.13</v>
      </c>
      <c r="J11" s="7">
        <v>167.154</v>
      </c>
      <c r="K11" s="6">
        <v>164.15000000000001</v>
      </c>
      <c r="L11" s="6">
        <v>207.09299999999999</v>
      </c>
      <c r="M11" s="6">
        <v>197.649</v>
      </c>
      <c r="N11" s="7">
        <v>241.78</v>
      </c>
      <c r="O11">
        <v>241.09999999999999</v>
      </c>
      <c r="P11" s="6">
        <v>242.18899999999999</v>
      </c>
      <c r="Q11" s="6">
        <v>194.57599999999999</v>
      </c>
      <c r="R11" s="5">
        <v>146.773</v>
      </c>
      <c r="U11" s="6">
        <v>230.44</v>
      </c>
      <c r="V11" s="6">
        <v>362.97800000000001</v>
      </c>
      <c r="W11" s="6">
        <f t="shared" si="4"/>
        <v>565.35500000000002</v>
      </c>
      <c r="X11" s="6">
        <f t="shared" si="5"/>
        <v>625.55799999999999</v>
      </c>
      <c r="Y11" s="6">
        <f t="shared" si="6"/>
        <v>810.67200000000003</v>
      </c>
      <c r="Z11" s="6">
        <f t="shared" si="7"/>
        <v>824.63800000000003</v>
      </c>
      <c r="AE11" s="8">
        <v>824.63800000000003</v>
      </c>
      <c r="AF11" s="8">
        <f>AF4*($AC$24)</f>
        <v>668.25378749999993</v>
      </c>
      <c r="AG11" s="8">
        <f>AG4*($AC$24)</f>
        <v>768.49185562499986</v>
      </c>
      <c r="AH11" s="8">
        <f>AH4*($AC$24)</f>
        <v>883.76563396874985</v>
      </c>
      <c r="AI11" s="8">
        <f>AI4*($AC$24)</f>
        <v>1016.3304790640622</v>
      </c>
      <c r="AJ11" s="8">
        <f>AJ4*($AC$24)</f>
        <v>1168.7800509236713</v>
      </c>
      <c r="AK11" s="8">
        <f>AK4*($AD$24)</f>
        <v>583.61083876122007</v>
      </c>
      <c r="AL11" s="8">
        <f>AL4*($AD$24)</f>
        <v>624.46359747450549</v>
      </c>
      <c r="AM11" s="8">
        <f>AM4*($AD$24)</f>
        <v>668.17604929772085</v>
      </c>
      <c r="AN11" s="8">
        <f>AN4*($AD$24)</f>
        <v>714.94837274856138</v>
      </c>
      <c r="AO11" s="8">
        <f>AO4*($AD$24)</f>
        <v>764.99475884096069</v>
      </c>
    </row>
    <row r="12">
      <c r="B12" t="s">
        <v>54</v>
      </c>
      <c r="C12" s="6">
        <v>2.9140000000000001</v>
      </c>
      <c r="D12" s="6">
        <v>1.4099999999999999</v>
      </c>
      <c r="E12" s="6">
        <v>0.32300000000000001</v>
      </c>
      <c r="F12" s="7">
        <v>2.3050000000000002</v>
      </c>
      <c r="G12" s="6">
        <v>3.2440000000000002</v>
      </c>
      <c r="H12" s="6">
        <v>0.372</v>
      </c>
      <c r="I12" s="6">
        <v>0.95599999999999996</v>
      </c>
      <c r="J12" s="7">
        <v>1.423</v>
      </c>
      <c r="K12" s="6">
        <v>1.77</v>
      </c>
      <c r="L12" s="6">
        <v>1.9370000000000001</v>
      </c>
      <c r="M12" s="6">
        <v>2.0699999999999998</v>
      </c>
      <c r="N12" s="7">
        <v>3.0800000000000001</v>
      </c>
      <c r="O12">
        <v>3.27</v>
      </c>
      <c r="P12" s="6">
        <v>-0.89300000000000002</v>
      </c>
      <c r="Q12" s="6">
        <v>-0.019</v>
      </c>
      <c r="R12" s="5">
        <v>0.099000000000000005</v>
      </c>
      <c r="U12" s="6">
        <v>37.710000000000001</v>
      </c>
      <c r="V12" s="6">
        <v>34.603999999999999</v>
      </c>
      <c r="W12" s="6">
        <f t="shared" si="4"/>
        <v>6.952</v>
      </c>
      <c r="X12" s="6">
        <f t="shared" si="5"/>
        <v>5.9950000000000001</v>
      </c>
      <c r="Y12" s="6">
        <f t="shared" si="6"/>
        <v>8.8569999999999993</v>
      </c>
      <c r="Z12" s="6">
        <f t="shared" si="7"/>
        <v>2.4569999999999999</v>
      </c>
      <c r="AE12" s="8">
        <v>2.4569999999999999</v>
      </c>
      <c r="AF12" s="8">
        <v>10</v>
      </c>
      <c r="AG12" s="8">
        <v>10</v>
      </c>
      <c r="AH12" s="8">
        <v>10</v>
      </c>
      <c r="AI12" s="8">
        <v>10</v>
      </c>
      <c r="AJ12" s="8">
        <v>10</v>
      </c>
      <c r="AK12" s="8">
        <v>10</v>
      </c>
      <c r="AL12" s="8">
        <v>10</v>
      </c>
      <c r="AM12" s="8">
        <v>10</v>
      </c>
      <c r="AN12" s="8">
        <v>10</v>
      </c>
      <c r="AO12" s="8">
        <v>10</v>
      </c>
    </row>
    <row r="13">
      <c r="B13" t="s">
        <v>55</v>
      </c>
      <c r="C13" s="6">
        <v>58.061</v>
      </c>
      <c r="D13" s="6">
        <v>68.819999999999993</v>
      </c>
      <c r="E13" s="6">
        <v>111.377</v>
      </c>
      <c r="F13" s="7">
        <v>73.287000000000006</v>
      </c>
      <c r="G13" s="6">
        <v>99.777000000000001</v>
      </c>
      <c r="H13" s="6">
        <v>109.498</v>
      </c>
      <c r="I13" s="6">
        <v>77.965999999999994</v>
      </c>
      <c r="J13" s="7">
        <v>75.456000000000003</v>
      </c>
      <c r="K13" s="6">
        <v>123.19</v>
      </c>
      <c r="L13" s="6">
        <v>132.92599999999999</v>
      </c>
      <c r="M13" s="6">
        <v>141.59200000000001</v>
      </c>
      <c r="N13" s="7">
        <v>158.745</v>
      </c>
      <c r="O13">
        <v>200.96000000000001</v>
      </c>
      <c r="P13" s="6">
        <v>230.24299999999999</v>
      </c>
      <c r="Q13" s="6">
        <v>237.322</v>
      </c>
      <c r="R13" s="5">
        <v>186.66800000000001</v>
      </c>
      <c r="U13" s="6">
        <v>159.803</v>
      </c>
      <c r="V13" s="6">
        <v>171.845</v>
      </c>
      <c r="W13" s="6">
        <f t="shared" si="4"/>
        <v>311.54499999999996</v>
      </c>
      <c r="X13" s="6">
        <f t="shared" si="5"/>
        <v>362.697</v>
      </c>
      <c r="Y13" s="6">
        <f t="shared" si="6"/>
        <v>556.45299999999997</v>
      </c>
      <c r="Z13" s="6">
        <f t="shared" si="7"/>
        <v>855.19299999999998</v>
      </c>
      <c r="AE13" s="8">
        <v>855.19299999999998</v>
      </c>
      <c r="AF13" s="8">
        <f>AE13*($AC$29+1)</f>
        <v>966.36808999999994</v>
      </c>
      <c r="AG13" s="8">
        <f>AF13*($AC$29+1)</f>
        <v>1091.9959416999998</v>
      </c>
      <c r="AH13" s="8">
        <f>AG13*($AC$29+1)</f>
        <v>1233.9554141209996</v>
      </c>
      <c r="AI13" s="8">
        <f>AH13*($AC$29+1)</f>
        <v>1394.3696179567294</v>
      </c>
      <c r="AJ13" s="8">
        <f>AI13*($AC$29+1)</f>
        <v>1575.6376682911041</v>
      </c>
      <c r="AK13" s="8">
        <f>AJ13*($AD$29+1)</f>
        <v>1685.9323050714816</v>
      </c>
      <c r="AL13" s="8">
        <f>AK13*($AD$29+1)</f>
        <v>1803.9475664264853</v>
      </c>
      <c r="AM13" s="8">
        <f>AL13*($AD$29+1)</f>
        <v>1930.2238960763393</v>
      </c>
      <c r="AN13" s="8">
        <f>AM13*($AD$29+1)</f>
        <v>2065.3395688016831</v>
      </c>
      <c r="AO13" s="8">
        <f>AN13*($AD$29+1)</f>
        <v>2209.9133386178009</v>
      </c>
    </row>
    <row r="14">
      <c r="B14" t="s">
        <v>56</v>
      </c>
      <c r="C14" s="6">
        <v>3.8119999999999998</v>
      </c>
      <c r="D14" s="6">
        <v>4.5279999999999996</v>
      </c>
      <c r="E14" s="6">
        <v>7.984</v>
      </c>
      <c r="F14" s="7">
        <v>5.0039999999999996</v>
      </c>
      <c r="G14" s="6">
        <v>6.2300000000000004</v>
      </c>
      <c r="H14" s="6">
        <v>6.8940000000000001</v>
      </c>
      <c r="I14" s="6">
        <v>4.8250000000000002</v>
      </c>
      <c r="J14" s="7">
        <v>8.9339999999999993</v>
      </c>
      <c r="K14" s="6">
        <v>8.9299999999999997</v>
      </c>
      <c r="L14" s="6">
        <v>11.215999999999999</v>
      </c>
      <c r="M14" s="6">
        <v>13.090999999999999</v>
      </c>
      <c r="N14" s="7">
        <v>16.690000000000001</v>
      </c>
      <c r="O14">
        <v>22.609999999999999</v>
      </c>
      <c r="P14" s="6">
        <v>25.593</v>
      </c>
      <c r="Q14" s="6">
        <v>26.663</v>
      </c>
      <c r="R14" s="5">
        <v>28.524999999999999</v>
      </c>
      <c r="U14" s="6">
        <v>20.917000000000002</v>
      </c>
      <c r="V14" s="6">
        <v>18.359999999999999</v>
      </c>
      <c r="W14" s="6">
        <f t="shared" si="4"/>
        <v>21.327999999999996</v>
      </c>
      <c r="X14" s="6">
        <f t="shared" si="5"/>
        <v>26.883000000000003</v>
      </c>
      <c r="Y14" s="6">
        <f t="shared" si="6"/>
        <v>49.927000000000007</v>
      </c>
      <c r="Z14" s="6">
        <f t="shared" si="7"/>
        <v>103.39099999999999</v>
      </c>
      <c r="AE14" s="8">
        <v>103.39099999999999</v>
      </c>
      <c r="AF14" s="8">
        <f>AE14*(1+$AC$30)</f>
        <v>116.83182999999998</v>
      </c>
      <c r="AG14" s="8">
        <f>AF14*(1+$AC$30)</f>
        <v>132.01996789999995</v>
      </c>
      <c r="AH14" s="8">
        <f>AG14*(1+$AC$30)</f>
        <v>149.18256372699994</v>
      </c>
      <c r="AI14" s="8">
        <f>AH14*(1+$AC$30)</f>
        <v>168.57629701150992</v>
      </c>
      <c r="AJ14" s="8">
        <f>AI14*(1+$AC$30)</f>
        <v>190.49121562300618</v>
      </c>
      <c r="AK14" s="8">
        <f>AJ14*(1+$AD$30)</f>
        <v>203.82560071661663</v>
      </c>
      <c r="AL14" s="8">
        <f>AK14*(1+$AD$30)</f>
        <v>218.0933927667798</v>
      </c>
      <c r="AM14" s="8">
        <f>AL14*(1+$AD$30)</f>
        <v>233.35993026045441</v>
      </c>
      <c r="AN14" s="8">
        <f>AM14*(1+$AD$30)</f>
        <v>249.69512537868621</v>
      </c>
      <c r="AO14" s="8">
        <f>AN14*(1+$AD$30)</f>
        <v>267.17378415519426</v>
      </c>
    </row>
    <row r="15">
      <c r="B15" t="s">
        <v>57</v>
      </c>
      <c r="C15" s="6">
        <v>112.291</v>
      </c>
      <c r="D15" s="6">
        <v>131.77699999999999</v>
      </c>
      <c r="E15" s="6">
        <v>153.40000000000001</v>
      </c>
      <c r="F15" s="7">
        <v>151.191</v>
      </c>
      <c r="G15" s="6">
        <v>160.86799999999999</v>
      </c>
      <c r="H15" s="6">
        <v>156.31299999999999</v>
      </c>
      <c r="I15" s="6">
        <v>138.316</v>
      </c>
      <c r="J15" s="7">
        <v>196.738</v>
      </c>
      <c r="K15" s="6">
        <v>197.97999999999999</v>
      </c>
      <c r="L15" s="6">
        <v>262.57100000000003</v>
      </c>
      <c r="M15" s="6">
        <v>319.79599999999999</v>
      </c>
      <c r="N15" s="7">
        <v>423.80000000000001</v>
      </c>
      <c r="O15">
        <v>489.69999999999999</v>
      </c>
      <c r="P15" s="6">
        <v>371.33100000000002</v>
      </c>
      <c r="Q15" s="6">
        <v>334.40199999999999</v>
      </c>
      <c r="R15" s="5">
        <v>379.75200000000001</v>
      </c>
      <c r="U15" s="6">
        <v>138.21799999999999</v>
      </c>
      <c r="V15" s="6">
        <v>261.09399999999999</v>
      </c>
      <c r="W15" s="6">
        <f t="shared" si="4"/>
        <v>548.65899999999999</v>
      </c>
      <c r="X15" s="6">
        <f t="shared" si="5"/>
        <v>652.2349999999999</v>
      </c>
      <c r="Y15" s="6">
        <f t="shared" si="6"/>
        <v>1204.1469999999999</v>
      </c>
      <c r="Z15" s="6">
        <f t="shared" si="7"/>
        <v>1575.1849999999999</v>
      </c>
      <c r="AE15" s="8">
        <v>1575.1849999999999</v>
      </c>
      <c r="AF15" s="8">
        <f>AE15*(1+$AC$32)</f>
        <v>1890.2219999999998</v>
      </c>
      <c r="AG15" s="8">
        <f>AF15*(1+$AC$32)</f>
        <v>2268.2663999999995</v>
      </c>
      <c r="AH15" s="8">
        <f>AG15*(1+$AC$32)</f>
        <v>2721.9196799999995</v>
      </c>
      <c r="AI15" s="8">
        <f>AH15*(1+$AC$32)</f>
        <v>3266.3036159999992</v>
      </c>
      <c r="AJ15" s="8">
        <f>AI15*(1+$AC$32)</f>
        <v>3919.5643391999988</v>
      </c>
      <c r="AK15" s="8">
        <f>AJ15*(1+$AD$32)</f>
        <v>4311.5207731199989</v>
      </c>
      <c r="AL15" s="8">
        <f>AK15*(1+$AD$32)</f>
        <v>4742.672850431999</v>
      </c>
      <c r="AM15" s="8">
        <f>AL15*(1+$AD$32)</f>
        <v>5216.940135475199</v>
      </c>
      <c r="AN15" s="8">
        <f>AM15*(1+$AD$32)</f>
        <v>5738.6341490227196</v>
      </c>
      <c r="AO15" s="8">
        <f>AN15*(1+$AD$32)</f>
        <v>6312.4975639249924</v>
      </c>
    </row>
    <row r="16" s="1" customFormat="1">
      <c r="B16" s="1" t="s">
        <v>58</v>
      </c>
      <c r="C16" s="10">
        <f>SUM(C10:C15)</f>
        <v>310.91399999999999</v>
      </c>
      <c r="D16" s="10">
        <f>SUM(D10:D15)</f>
        <v>356.755</v>
      </c>
      <c r="E16" s="10">
        <f>SUM(E10:E15)</f>
        <v>457.76800000000003</v>
      </c>
      <c r="F16" s="11">
        <f>SUM(F10:F15)</f>
        <v>406.22500000000002</v>
      </c>
      <c r="G16" s="10">
        <f>SUM(G10:G15)</f>
        <v>441.53399999999999</v>
      </c>
      <c r="H16" s="10">
        <f>SUM(H10:H15)</f>
        <v>460.23099999999999</v>
      </c>
      <c r="I16" s="10">
        <f>SUM(I10:I15)</f>
        <v>384.45100000000002</v>
      </c>
      <c r="J16" s="11">
        <f>SUM(J10:J15)</f>
        <v>469.48100000000005</v>
      </c>
      <c r="K16" s="10">
        <f>SUM(K10:K15)</f>
        <v>514.34000000000003</v>
      </c>
      <c r="L16" s="10">
        <f>SUM(L10:L15)</f>
        <v>642.13300000000004</v>
      </c>
      <c r="M16" s="10">
        <f>SUM(M10:M15)</f>
        <v>709.80199999999991</v>
      </c>
      <c r="N16" s="11">
        <f>SUM(N10:N15)</f>
        <v>899.72500000000002</v>
      </c>
      <c r="O16" s="10">
        <f>SUM(O10:O15)</f>
        <v>1013.2</v>
      </c>
      <c r="P16" s="10">
        <f>SUM(P10:P15)</f>
        <v>943.87599999999998</v>
      </c>
      <c r="Q16" s="10">
        <f>SUM(Q10:Q15)</f>
        <v>876.46800000000007</v>
      </c>
      <c r="R16" s="11">
        <f>SUM(R10:R15)</f>
        <v>822.11500000000001</v>
      </c>
      <c r="U16" s="10">
        <f>SUM(U10:U15)</f>
        <v>635.94699999999989</v>
      </c>
      <c r="V16" s="10">
        <f>SUM(V10:V15)</f>
        <v>887.81500000000005</v>
      </c>
      <c r="W16" s="10">
        <f>SUM(W10:W15)</f>
        <v>1531.6619999999998</v>
      </c>
      <c r="X16" s="10">
        <f>SUM(X10:X15)</f>
        <v>1755.6969999999999</v>
      </c>
      <c r="Y16" s="10">
        <f>SUM(Y10:Y15)</f>
        <v>2766</v>
      </c>
      <c r="Z16" s="10">
        <f>SUM(Z10:Z15)</f>
        <v>3655.6590000000001</v>
      </c>
      <c r="AA16" s="1"/>
      <c r="AB16" s="1"/>
      <c r="AE16" s="12">
        <v>3655.6590000000001</v>
      </c>
      <c r="AF16" s="12">
        <f>SUM(AF10:AF15)</f>
        <v>3967.6962367597384</v>
      </c>
      <c r="AG16" s="12">
        <f>SUM(AG10:AG15)</f>
        <v>4634.1977738736987</v>
      </c>
      <c r="AH16" s="12">
        <f>SUM(AH10:AH15)</f>
        <v>5416.7604417627535</v>
      </c>
      <c r="AI16" s="12">
        <f>SUM(AI10:AI15)</f>
        <v>6336.2077324702059</v>
      </c>
      <c r="AJ16" s="12">
        <f>SUM(AJ10:AJ15)</f>
        <v>7417.1951548413717</v>
      </c>
      <c r="AK16" s="12">
        <f>SUM(AK10:AK15)</f>
        <v>7386.3019301291597</v>
      </c>
      <c r="AL16" s="12">
        <f>SUM(AL10:AL15)</f>
        <v>8031.9886884318012</v>
      </c>
      <c r="AM16" s="12">
        <f>SUM(AM10:AM15)</f>
        <v>8735.8080821349868</v>
      </c>
      <c r="AN16" s="12">
        <f>SUM(AN10:AN15)</f>
        <v>9503.122851948694</v>
      </c>
      <c r="AO16" s="12">
        <f>SUM(AO10:AO15)</f>
        <v>10339.800476055785</v>
      </c>
    </row>
    <row r="17" s="1" customFormat="1">
      <c r="B17" s="1" t="s">
        <v>59</v>
      </c>
      <c r="C17" s="1">
        <f>C8-C16</f>
        <v>157.87200000000001</v>
      </c>
      <c r="D17" s="1">
        <f>D8-D16</f>
        <v>179.37300000000005</v>
      </c>
      <c r="E17" s="1">
        <f>E8-E16</f>
        <v>301.89200000000005</v>
      </c>
      <c r="F17" s="4">
        <f>F8-F16</f>
        <v>270.4860000000001</v>
      </c>
      <c r="G17" s="1">
        <f>G8-G16</f>
        <v>238.78200000000004</v>
      </c>
      <c r="H17" s="1">
        <f>H8-H16</f>
        <v>285.68499999999995</v>
      </c>
      <c r="I17" s="1">
        <f>I8-I16</f>
        <v>220.79899999999998</v>
      </c>
      <c r="J17" s="4">
        <f>J8-J16</f>
        <v>361.60399999999987</v>
      </c>
      <c r="K17" s="1">
        <f>K8-K16</f>
        <v>296.72000000000003</v>
      </c>
      <c r="L17" s="1">
        <f>L8-L16</f>
        <v>407.18299999999999</v>
      </c>
      <c r="M17" s="1">
        <f>M8-M16</f>
        <v>351.04000000000019</v>
      </c>
      <c r="N17" s="4">
        <f>N8-N16</f>
        <v>458.79499999999996</v>
      </c>
      <c r="O17" s="1">
        <f>O8-O16</f>
        <v>396.8599999999999</v>
      </c>
      <c r="P17" s="1">
        <f>P8-P16</f>
        <v>572.08799999999997</v>
      </c>
      <c r="Q17" s="1">
        <f>Q8-Q16</f>
        <v>387.32799999999997</v>
      </c>
      <c r="R17" s="4">
        <f>R8-R16</f>
        <v>235.72599999999989</v>
      </c>
      <c r="U17" s="1">
        <f>U8-U16</f>
        <v>118.76700000000005</v>
      </c>
      <c r="V17" s="1">
        <f>V8-V16</f>
        <v>411.16699999999969</v>
      </c>
      <c r="W17" s="1">
        <f>W8-W16</f>
        <v>909.62300000000005</v>
      </c>
      <c r="X17" s="1">
        <f>X8-X16</f>
        <v>1106.8700000000001</v>
      </c>
      <c r="Y17" s="1">
        <f>Y8-Y16</f>
        <v>1513.7379999999994</v>
      </c>
      <c r="Z17" s="1">
        <f>Z8-Z16</f>
        <v>1592.0020000000009</v>
      </c>
      <c r="AA17" s="1"/>
      <c r="AB17" s="1"/>
      <c r="AE17" s="9">
        <v>1592.0020000000009</v>
      </c>
      <c r="AF17" s="9">
        <f>AF8-AF16</f>
        <v>2069.4238132402611</v>
      </c>
      <c r="AG17" s="9">
        <f>AG8-AG16</f>
        <v>2302.4902836263</v>
      </c>
      <c r="AH17" s="9">
        <f>AH8-AH16</f>
        <v>2554.4308243622445</v>
      </c>
      <c r="AI17" s="9">
        <f>AI8-AI16</f>
        <v>2824.6622235735413</v>
      </c>
      <c r="AJ17" s="9">
        <f>AJ8-AJ16</f>
        <v>3111.8052946089365</v>
      </c>
      <c r="AK17" s="9">
        <f>AK8-AK16</f>
        <v>3876.9285507826708</v>
      </c>
      <c r="AL17" s="9">
        <f>AL8-AL16</f>
        <v>4016.8679261438583</v>
      </c>
      <c r="AM17" s="9">
        <f>AM8-AM16</f>
        <v>4153.6684954609682</v>
      </c>
      <c r="AN17" s="9">
        <f>AN8-AN16</f>
        <v>4285.8170860789796</v>
      </c>
      <c r="AO17" s="9">
        <f>AO8-AO16</f>
        <v>4411.5652576338252</v>
      </c>
    </row>
    <row r="18">
      <c r="B18" t="s">
        <v>60</v>
      </c>
      <c r="C18" s="6">
        <v>-40.012</v>
      </c>
      <c r="D18" s="6">
        <v>-45.113999999999997</v>
      </c>
      <c r="E18" s="6">
        <v>-73.849999999999994</v>
      </c>
      <c r="F18" s="7">
        <v>-68.222999999999999</v>
      </c>
      <c r="G18" s="6">
        <v>-60.456000000000003</v>
      </c>
      <c r="H18" s="6">
        <v>-72.067999999999998</v>
      </c>
      <c r="I18" s="6">
        <v>-56.189</v>
      </c>
      <c r="J18" s="7">
        <v>-94.635999999999996</v>
      </c>
      <c r="K18" s="6">
        <v>-75.870000000000005</v>
      </c>
      <c r="L18" s="6">
        <v>-102.718</v>
      </c>
      <c r="M18" s="6">
        <v>-90.713999999999999</v>
      </c>
      <c r="N18" s="7">
        <f>-118.83</f>
        <v>-118.83</v>
      </c>
      <c r="O18">
        <f>-104.09</f>
        <v>-104.09</v>
      </c>
      <c r="P18" s="6">
        <v>-148.708</v>
      </c>
      <c r="Q18" s="6">
        <v>-148.708</v>
      </c>
      <c r="R18" s="7">
        <v>-61.204999999999998</v>
      </c>
      <c r="U18" s="6">
        <v>-31.978000000000002</v>
      </c>
      <c r="V18" s="6">
        <v>-113.10899999999999</v>
      </c>
      <c r="W18" s="6">
        <f>SUM(C18:F18)</f>
        <v>-227.19900000000001</v>
      </c>
      <c r="X18" s="6">
        <f>SUM(G18:J18)</f>
        <v>-283.34899999999999</v>
      </c>
      <c r="Y18" s="6">
        <f>SUM(N18:Q18)</f>
        <v>-520.33600000000001</v>
      </c>
      <c r="Z18" s="6">
        <f>SUM(O18:R18)</f>
        <v>-462.71099999999996</v>
      </c>
      <c r="AE18" s="8">
        <v>-462.71099999999996</v>
      </c>
      <c r="AF18" s="8">
        <f>AF17*$AC$31*-1</f>
        <v>-536.65254244963205</v>
      </c>
      <c r="AG18" s="8">
        <f>AG17*$AC$31*-1</f>
        <v>-597.09241614403425</v>
      </c>
      <c r="AH18" s="8">
        <f>AH17*$AC$31*-1</f>
        <v>-662.42680094575314</v>
      </c>
      <c r="AI18" s="8">
        <f>AI17*$AC$31*-1</f>
        <v>-732.50445565747418</v>
      </c>
      <c r="AJ18" s="8">
        <f>AJ17*$AC$31*-1</f>
        <v>-806.96772322597656</v>
      </c>
      <c r="AK18" s="8">
        <f>AK17*$AC$31*-1</f>
        <v>-1005.3830203178072</v>
      </c>
      <c r="AL18" s="8">
        <f>AL17*$AC$31*-1</f>
        <v>-1041.6727455523915</v>
      </c>
      <c r="AM18" s="8">
        <f>AM17*$AC$31*-1</f>
        <v>-1077.1485011046741</v>
      </c>
      <c r="AN18" s="8">
        <f>AN17*$AC$31*-1</f>
        <v>-1111.4178840520221</v>
      </c>
      <c r="AO18" s="8">
        <f>AO17*$AC$31*-1</f>
        <v>-1144.02748076273</v>
      </c>
    </row>
    <row r="19" s="1" customFormat="1">
      <c r="B19" s="1" t="s">
        <v>9</v>
      </c>
      <c r="C19" s="1">
        <f>C17+C18</f>
        <v>117.86000000000001</v>
      </c>
      <c r="D19" s="1">
        <f>D17+D18</f>
        <v>134.25900000000004</v>
      </c>
      <c r="E19" s="1">
        <f>E17+E18</f>
        <v>228.04200000000006</v>
      </c>
      <c r="F19" s="4">
        <f>F17+F18</f>
        <v>202.26300000000009</v>
      </c>
      <c r="G19" s="1">
        <f>G17+G18</f>
        <v>178.32600000000002</v>
      </c>
      <c r="H19" s="1">
        <f>H17+H18</f>
        <v>213.61699999999996</v>
      </c>
      <c r="I19" s="1">
        <f>I17+I18</f>
        <v>164.60999999999999</v>
      </c>
      <c r="J19" s="4">
        <f>J17+J18</f>
        <v>266.96799999999985</v>
      </c>
      <c r="K19" s="1">
        <f>K17+K18</f>
        <v>220.85000000000002</v>
      </c>
      <c r="L19" s="1">
        <f>L17+L18</f>
        <v>304.46499999999997</v>
      </c>
      <c r="M19" s="1">
        <f>M17+M18</f>
        <v>260.32600000000019</v>
      </c>
      <c r="N19" s="4">
        <f>N17+N18</f>
        <v>339.96499999999997</v>
      </c>
      <c r="O19" s="1">
        <f>O17+O18</f>
        <v>292.76999999999987</v>
      </c>
      <c r="P19" s="1">
        <f>P17+P18</f>
        <v>423.38</v>
      </c>
      <c r="Q19" s="1">
        <f>Q17+Q18</f>
        <v>238.61999999999998</v>
      </c>
      <c r="R19" s="4">
        <f>R17+R18</f>
        <v>174.5209999999999</v>
      </c>
      <c r="U19" s="1">
        <f>U17+U18</f>
        <v>86.789000000000044</v>
      </c>
      <c r="V19" s="1">
        <f>V17+V18</f>
        <v>298.05799999999971</v>
      </c>
      <c r="W19" s="1">
        <f>W17+W18</f>
        <v>682.42399999999998</v>
      </c>
      <c r="X19" s="1">
        <f>X17+X18</f>
        <v>823.52100000000019</v>
      </c>
      <c r="Y19" s="1">
        <f>Y17+Y18</f>
        <v>993.40199999999936</v>
      </c>
      <c r="Z19" s="1">
        <f>Z17+Z18</f>
        <v>1129.2910000000008</v>
      </c>
      <c r="AA19" s="1"/>
      <c r="AB19" s="1"/>
      <c r="AE19" s="9">
        <v>1129.2910000000008</v>
      </c>
      <c r="AF19" s="9">
        <f>AF17+AF18</f>
        <v>1532.7712707906289</v>
      </c>
      <c r="AG19" s="9">
        <f>AG17+AG18</f>
        <v>1705.3978674822656</v>
      </c>
      <c r="AH19" s="9">
        <f>AH17+AH18</f>
        <v>1892.0040234164912</v>
      </c>
      <c r="AI19" s="9">
        <f>AI17+AI18</f>
        <v>2092.1577679160673</v>
      </c>
      <c r="AJ19" s="9">
        <f>AJ17+AJ18</f>
        <v>2304.83757138296</v>
      </c>
      <c r="AK19" s="9">
        <f>AK17+AK18</f>
        <v>2871.5455304648635</v>
      </c>
      <c r="AL19" s="9">
        <f>AL17+AL18</f>
        <v>2975.1951805914669</v>
      </c>
      <c r="AM19" s="9">
        <f>AM17+AM18</f>
        <v>3076.5199943562939</v>
      </c>
      <c r="AN19" s="9">
        <f>AN17+AN18</f>
        <v>3174.3992020269575</v>
      </c>
      <c r="AO19" s="9">
        <f>AO17+AO18</f>
        <v>3267.537776871095</v>
      </c>
      <c r="AP19" s="9">
        <f>AO19*(1+$AQ$22)</f>
        <v>3300.2131546398059</v>
      </c>
      <c r="AQ19" s="9">
        <f>AP19*(1+$AQ$22)</f>
        <v>3333.2152861862041</v>
      </c>
      <c r="AR19" s="9">
        <f>AQ19*(1+$AQ$22)</f>
        <v>3366.5474390480663</v>
      </c>
      <c r="AS19" s="9">
        <f>AR19*(1+$AQ$22)</f>
        <v>3400.2129134385468</v>
      </c>
      <c r="AT19" s="9">
        <f>AS19*(1+$AQ$22)</f>
        <v>3434.2150425729324</v>
      </c>
      <c r="AU19" s="9">
        <f>AT19*(1+$AQ$22)</f>
        <v>3468.5571929986618</v>
      </c>
      <c r="AV19" s="9">
        <f>AU19*(1+$AQ$22)</f>
        <v>3503.2427649286483</v>
      </c>
      <c r="AW19" s="9">
        <f>AV19*(1+$AQ$22)</f>
        <v>3538.2751925779348</v>
      </c>
      <c r="AX19" s="9">
        <f>AW19*(1+$AQ$22)</f>
        <v>3573.6579445037141</v>
      </c>
      <c r="AY19" s="9">
        <f>AX19*(1+$AQ$22)</f>
        <v>3609.3945239487512</v>
      </c>
      <c r="AZ19" s="9">
        <f>AY19*(1+$AQ$22)</f>
        <v>3645.4884691882389</v>
      </c>
      <c r="BA19" s="9">
        <f>AZ19*(1+$AQ$22)</f>
        <v>3681.9433538801213</v>
      </c>
      <c r="BB19" s="9">
        <f>BA19*(1+$AQ$22)</f>
        <v>3718.7627874189225</v>
      </c>
      <c r="BC19" s="9">
        <f>BB19*(1+$AQ$22)</f>
        <v>3755.9504152931117</v>
      </c>
      <c r="BD19" s="9">
        <f>BC19*(1+$AQ$22)</f>
        <v>3793.5099194460431</v>
      </c>
      <c r="BE19" s="9">
        <f>BD19*(1+$AQ$22)</f>
        <v>3831.4450186405038</v>
      </c>
      <c r="BF19" s="9">
        <f>BE19*(1+$AQ$22)</f>
        <v>3869.7594688269087</v>
      </c>
      <c r="BG19" s="9">
        <f>BF19*(1+$AQ$22)</f>
        <v>3908.4570635151777</v>
      </c>
      <c r="BH19" s="9">
        <f>BG19*(1+$AQ$22)</f>
        <v>3947.5416341503296</v>
      </c>
      <c r="BI19" s="9">
        <f>BH19*(1+$AQ$22)</f>
        <v>3987.0170504918328</v>
      </c>
      <c r="BJ19" s="9">
        <f>BI19*(1+$AQ$22)</f>
        <v>4026.8872209967512</v>
      </c>
      <c r="BK19" s="9">
        <f>BJ19*(1+$AQ$22)</f>
        <v>4067.1560932067187</v>
      </c>
      <c r="BL19" s="9">
        <f>BK19*(1+$AQ$22)</f>
        <v>4107.8276541387859</v>
      </c>
      <c r="BM19" s="9">
        <f>BL19*(1+$AQ$22)</f>
        <v>4148.9059306801737</v>
      </c>
      <c r="BN19" s="9">
        <f>BM19*(1+$AQ$22)</f>
        <v>4190.3949899869758</v>
      </c>
      <c r="BO19" s="9">
        <f>BN19*(1+$AQ$22)</f>
        <v>4232.2989398868458</v>
      </c>
      <c r="BP19" s="9">
        <f>BO19*(1+$AQ$22)</f>
        <v>4274.621929285714</v>
      </c>
      <c r="BQ19" s="9">
        <f>BP19*(1+$AQ$22)</f>
        <v>4317.368148578571</v>
      </c>
      <c r="BR19" s="9">
        <f>BQ19*(1+$AQ$22)</f>
        <v>4360.5418300643569</v>
      </c>
      <c r="BS19" s="9">
        <f>BR19*(1+$AQ$22)</f>
        <v>4404.1472483650005</v>
      </c>
      <c r="BT19" s="9">
        <f>BS19*(1+$AQ$22)</f>
        <v>4448.1887208486505</v>
      </c>
      <c r="BU19" s="9">
        <f>BT19*(1+$AQ$22)</f>
        <v>4492.6706080571366</v>
      </c>
      <c r="BV19" s="9">
        <f>BU19*(1+$AQ$22)</f>
        <v>4537.5973141377081</v>
      </c>
      <c r="BW19" s="9">
        <f>BV19*(1+$AQ$22)</f>
        <v>4582.9732872790855</v>
      </c>
      <c r="BX19" s="9">
        <f>BW19*(1+$AQ$22)</f>
        <v>4628.8030201518768</v>
      </c>
      <c r="BY19" s="9">
        <f>BX19*(1+$AQ$22)</f>
        <v>4675.091050353396</v>
      </c>
      <c r="BZ19" s="9">
        <f>BY19*(1+$AQ$22)</f>
        <v>4721.8419608569302</v>
      </c>
      <c r="CA19" s="9">
        <f>BZ19*(1+$AQ$22)</f>
        <v>4769.0603804654993</v>
      </c>
      <c r="CB19" s="9">
        <f>CA19*(1+$AQ$22)</f>
        <v>4816.7509842701547</v>
      </c>
      <c r="CC19" s="9">
        <f>CB19*(1+$AQ$22)</f>
        <v>4864.918494112856</v>
      </c>
      <c r="CD19" s="9">
        <f>CC19*(1+$AQ$22)</f>
        <v>4913.5676790539846</v>
      </c>
      <c r="CE19" s="9">
        <f>CD19*(1+$AQ$22)</f>
        <v>4962.7033558445246</v>
      </c>
      <c r="CF19" s="9">
        <f>CE19*(1+$AQ$22)</f>
        <v>5012.3303894029696</v>
      </c>
      <c r="CG19" s="9">
        <f>CF19*(1+$AQ$22)</f>
        <v>5062.4536932969995</v>
      </c>
      <c r="CH19" s="9">
        <f>CG19*(1+$AQ$22)</f>
        <v>5113.0782302299694</v>
      </c>
      <c r="CI19" s="9">
        <f>CH19*(1+$AQ$22)</f>
        <v>5164.2090125322693</v>
      </c>
      <c r="CJ19" s="9">
        <f>CI19*(1+$AQ$22)</f>
        <v>5215.8511026575925</v>
      </c>
      <c r="CK19" s="9">
        <f>CJ19*(1+$AQ$22)</f>
        <v>5268.0096136841685</v>
      </c>
      <c r="CL19" s="9">
        <f>CK19*(1+$AQ$22)</f>
        <v>5320.6897098210102</v>
      </c>
      <c r="CM19" s="9">
        <f>CL19*(1+$AQ$22)</f>
        <v>5373.8966069192202</v>
      </c>
      <c r="CN19" s="9">
        <f>CM19*(1+$AQ$22)</f>
        <v>5427.6355729884126</v>
      </c>
      <c r="CO19" s="9">
        <f>CN19*(1+$AQ$22)</f>
        <v>5481.9119287182966</v>
      </c>
      <c r="CP19" s="9">
        <f>CO19*(1+$AQ$22)</f>
        <v>5536.7310480054794</v>
      </c>
      <c r="CQ19" s="9">
        <f>CP19*(1+$AQ$22)</f>
        <v>5592.0983584855339</v>
      </c>
      <c r="CR19" s="9">
        <f>CQ19*(1+$AQ$22)</f>
        <v>5648.019342070389</v>
      </c>
      <c r="CS19" s="9">
        <f>CR19*(1+$AQ$22)</f>
        <v>5704.4995354910934</v>
      </c>
      <c r="CT19" s="9">
        <f>CS19*(1+$AQ$22)</f>
        <v>5761.5445308460048</v>
      </c>
      <c r="CU19" s="9">
        <f>CT19*(1+$AQ$22)</f>
        <v>5819.1599761544649</v>
      </c>
      <c r="CV19" s="9">
        <f>CU19*(1+$AQ$22)</f>
        <v>5877.35157591601</v>
      </c>
      <c r="CW19" s="9">
        <f>CV19*(1+$AQ$22)</f>
        <v>5936.1250916751706</v>
      </c>
      <c r="CX19" s="9">
        <f>CW19*(1+$AQ$22)</f>
        <v>5995.486342591922</v>
      </c>
      <c r="CY19" s="9">
        <f>CX19*(1+$AQ$22)</f>
        <v>6055.4412060178411</v>
      </c>
    </row>
    <row r="20" s="1" customFormat="1">
      <c r="B20" s="1"/>
      <c r="C20" s="1"/>
      <c r="D20" s="1"/>
      <c r="E20" s="1"/>
      <c r="F20" s="4"/>
      <c r="G20" s="1"/>
      <c r="H20" s="1"/>
      <c r="I20" s="1"/>
      <c r="J20" s="4"/>
      <c r="K20" s="1"/>
      <c r="L20" s="1"/>
      <c r="M20" s="1"/>
      <c r="N20" s="4"/>
      <c r="O20" s="1"/>
      <c r="P20" s="1"/>
      <c r="Q20" s="1"/>
      <c r="R20" s="4"/>
      <c r="U20" s="1"/>
      <c r="V20" s="1"/>
      <c r="W20" s="1"/>
      <c r="X20" s="1"/>
      <c r="Y20" s="1"/>
      <c r="Z20" s="1"/>
    </row>
    <row r="21">
      <c r="F21" s="5"/>
      <c r="J21" s="5"/>
      <c r="N21" s="5"/>
      <c r="R21" s="5"/>
    </row>
    <row r="22">
      <c r="A22" s="1" t="s">
        <v>61</v>
      </c>
      <c r="F22" s="5"/>
      <c r="J22" s="5"/>
      <c r="N22" s="5"/>
      <c r="R22" s="5"/>
      <c r="AA22" s="1" t="s">
        <v>62</v>
      </c>
      <c r="AB22" s="1" t="s">
        <v>63</v>
      </c>
      <c r="AC22" s="1" t="s">
        <v>64</v>
      </c>
      <c r="AD22" s="1" t="s">
        <v>65</v>
      </c>
      <c r="AP22" s="1" t="s">
        <v>66</v>
      </c>
      <c r="AQ22" s="13">
        <v>0.01</v>
      </c>
    </row>
    <row r="23">
      <c r="B23" t="s">
        <v>67</v>
      </c>
      <c r="F23" s="5"/>
      <c r="G23" s="14">
        <f t="shared" ref="G23:G24" si="8">G3/C3-1</f>
        <v>0.74626988842675113</v>
      </c>
      <c r="H23" s="14">
        <f t="shared" ref="H23:H24" si="9">H3/D3-1</f>
        <v>0.1766741948153967</v>
      </c>
      <c r="I23" s="14">
        <f t="shared" ref="I23:I24" si="10">I3/E3-1</f>
        <v>-0.14648127022124136</v>
      </c>
      <c r="J23" s="15">
        <f t="shared" ref="J23:J24" si="11">J3/F3-1</f>
        <v>0.46585851236839848</v>
      </c>
      <c r="K23" s="14">
        <f t="shared" ref="K23:K24" si="12">K3/G3-1</f>
        <v>0.3684867158776215</v>
      </c>
      <c r="L23" s="14">
        <f t="shared" ref="L23:L24" si="13">L3/H3-1</f>
        <v>0.88990883107671115</v>
      </c>
      <c r="M23" s="14">
        <f t="shared" ref="M23:M24" si="14">M3/I3-1</f>
        <v>1.3263910952375735</v>
      </c>
      <c r="N23" s="15">
        <f t="shared" ref="N23:N24" si="15">N3/J3-1</f>
        <v>0.80694135250538301</v>
      </c>
      <c r="O23" s="14">
        <f t="shared" ref="O23:O24" si="16">O3/K3-1</f>
        <v>1.0333586573658406</v>
      </c>
      <c r="P23" s="14">
        <f t="shared" ref="P23:P24" si="17">P3/L3-1</f>
        <v>0.98368455331221227</v>
      </c>
      <c r="Q23" s="14">
        <f t="shared" ref="Q23:Q24" si="18">Q3/M3-1</f>
        <v>0.64536181515074453</v>
      </c>
      <c r="R23" s="15">
        <f t="shared" ref="R23:R24" si="19">R3/N3-1</f>
        <v>0.3643399579899822</v>
      </c>
      <c r="V23" s="14">
        <f t="shared" ref="V23:V24" si="20">V3/U3-1</f>
        <v>0.1217588659676172</v>
      </c>
      <c r="W23" s="14">
        <f t="shared" ref="W23:W24" si="21">W3/V3-1</f>
        <v>0.93544850348132758</v>
      </c>
      <c r="X23" s="14">
        <f t="shared" ref="X23:X24" si="22">X3/W3-1</f>
        <v>0.25545601607166835</v>
      </c>
      <c r="Y23" s="14">
        <f t="shared" ref="Y23:Y24" si="23">Y3/X3-1</f>
        <v>0.82782224020876827</v>
      </c>
      <c r="Z23" s="14">
        <f t="shared" ref="Z23:Z24" si="24">Z3/Y3-1</f>
        <v>0.70631933363363553</v>
      </c>
      <c r="AA23" s="16">
        <f t="shared" ref="AA23:AA32" si="25">AVERAGE(G23:Z23)</f>
        <v>0.61809407430990526</v>
      </c>
      <c r="AB23" s="16">
        <f t="shared" ref="AB23:AB32" si="26">MEDIAN(G23:Z23)</f>
        <v>0.70631933363363553</v>
      </c>
      <c r="AC23" s="13">
        <v>0.14999999999999999</v>
      </c>
      <c r="AD23" s="13">
        <v>0.070000000000000007</v>
      </c>
      <c r="AP23" s="1" t="s">
        <v>68</v>
      </c>
      <c r="AQ23" s="13">
        <v>0.12</v>
      </c>
    </row>
    <row r="24">
      <c r="B24" t="s">
        <v>69</v>
      </c>
      <c r="F24" s="5"/>
      <c r="G24" s="14">
        <f t="shared" si="8"/>
        <v>0.44213113401211102</v>
      </c>
      <c r="H24" s="14">
        <f t="shared" si="9"/>
        <v>0.42001989019147756</v>
      </c>
      <c r="I24" s="14">
        <f t="shared" si="10"/>
        <v>-0.18441349539183749</v>
      </c>
      <c r="J24" s="15">
        <f t="shared" si="11"/>
        <v>0.20265491997743168</v>
      </c>
      <c r="K24" s="14">
        <f t="shared" si="12"/>
        <v>0.18153774622448338</v>
      </c>
      <c r="L24" s="14">
        <f t="shared" si="13"/>
        <v>0.39568107330911673</v>
      </c>
      <c r="M24" s="14">
        <f t="shared" si="14"/>
        <v>0.69987039437141285</v>
      </c>
      <c r="N24" s="15">
        <f t="shared" si="15"/>
        <v>0.6156399153811638</v>
      </c>
      <c r="O24" s="14">
        <f t="shared" si="16"/>
        <v>0.67702925640598743</v>
      </c>
      <c r="P24" s="14">
        <f t="shared" si="17"/>
        <v>0.32918483369580676</v>
      </c>
      <c r="Q24" s="14">
        <f t="shared" si="18"/>
        <v>0.07175973063462826</v>
      </c>
      <c r="R24" s="15">
        <f t="shared" si="19"/>
        <v>-0.35880443310217958</v>
      </c>
      <c r="V24" s="14">
        <f t="shared" si="20"/>
        <v>0.90967753366406789</v>
      </c>
      <c r="W24" s="14">
        <f t="shared" si="21"/>
        <v>0.85940813974849295</v>
      </c>
      <c r="X24" s="14">
        <f t="shared" si="22"/>
        <v>0.17865228023797086</v>
      </c>
      <c r="Y24" s="14">
        <f t="shared" si="23"/>
        <v>0.47288825857799033</v>
      </c>
      <c r="Z24" s="14">
        <f t="shared" si="24"/>
        <v>0.11346112003881381</v>
      </c>
      <c r="AA24" s="16">
        <f t="shared" si="25"/>
        <v>0.35449284105746692</v>
      </c>
      <c r="AB24" s="16">
        <f t="shared" si="26"/>
        <v>0.39568107330911673</v>
      </c>
      <c r="AC24" s="13">
        <v>0.14999999999999999</v>
      </c>
      <c r="AD24" s="13">
        <v>0.070000000000000007</v>
      </c>
      <c r="AP24" s="1" t="s">
        <v>70</v>
      </c>
      <c r="AQ24" s="17">
        <f>Business!E10</f>
        <v>90127608</v>
      </c>
    </row>
    <row r="25" s="18" customFormat="1">
      <c r="B25" s="18" t="s">
        <v>71</v>
      </c>
      <c r="C25" s="18"/>
      <c r="D25" s="18"/>
      <c r="E25" s="18"/>
      <c r="F25" s="19"/>
      <c r="G25" s="20">
        <f>G6/C6-1</f>
        <v>0.44965012098620116</v>
      </c>
      <c r="H25" s="20">
        <f>H6/D6-1</f>
        <v>0.35914400576478167</v>
      </c>
      <c r="I25" s="20">
        <f>I6/E6-1</f>
        <v>-0.16863401713898396</v>
      </c>
      <c r="J25" s="21">
        <f>J6/F6-1</f>
        <v>0.24324804495180485</v>
      </c>
      <c r="K25" s="20">
        <f>K6/G6-1</f>
        <v>0.21425929100538643</v>
      </c>
      <c r="L25" s="20">
        <f>L6/H6-1</f>
        <v>0.46200875921370765</v>
      </c>
      <c r="M25" s="20">
        <f>M6/I6-1</f>
        <v>0.77299901727552633</v>
      </c>
      <c r="N25" s="21">
        <f>N6/J6-1</f>
        <v>0.64369327801312282</v>
      </c>
      <c r="O25" s="20">
        <f>O6/K6-1</f>
        <v>0.74053846534898704</v>
      </c>
      <c r="P25" s="20">
        <f>P6/L6-1</f>
        <v>0.44551360048555777</v>
      </c>
      <c r="Q25" s="20">
        <f>Q6/M6-1</f>
        <v>0.1918330270828652</v>
      </c>
      <c r="R25" s="21">
        <f>R6/N6-1</f>
        <v>-0.22195231569485585</v>
      </c>
      <c r="U25" s="18"/>
      <c r="V25" s="20">
        <f>V6/U6-1</f>
        <v>0.7439168451500362</v>
      </c>
      <c r="W25" s="20">
        <f>W6/V6-1</f>
        <v>0.87446149512061577</v>
      </c>
      <c r="X25" s="20">
        <f>X6/W6-1</f>
        <v>0.18409001966034921</v>
      </c>
      <c r="Y25" s="20">
        <f>Y6/X6-1</f>
        <v>0.52298713698656485</v>
      </c>
      <c r="Z25" s="20">
        <f>Z6/Y6-1</f>
        <v>0.22631098546628237</v>
      </c>
      <c r="AA25" s="22">
        <f t="shared" si="25"/>
        <v>0.39318045645164407</v>
      </c>
      <c r="AB25" s="22">
        <f t="shared" si="26"/>
        <v>0.44551360048555777</v>
      </c>
      <c r="AC25" s="18"/>
      <c r="AD25" s="18"/>
      <c r="AP25" s="23" t="s">
        <v>72</v>
      </c>
      <c r="AQ25" s="24">
        <f>NPV(AQ23,AE19:CY19)</f>
        <v>21183.38342126771</v>
      </c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</row>
    <row r="26">
      <c r="B26" t="s">
        <v>73</v>
      </c>
      <c r="C26" s="14">
        <f t="shared" ref="C26:C27" si="27">C10/C3</f>
        <v>0.27107678088070242</v>
      </c>
      <c r="D26" s="14">
        <f t="shared" ref="D26:D27" si="28">D10/D3</f>
        <v>0.22027199528672431</v>
      </c>
      <c r="E26" s="14">
        <f t="shared" ref="E26:E27" si="29">E10/E3</f>
        <v>0.2379046585999888</v>
      </c>
      <c r="F26" s="15">
        <f t="shared" ref="F26:F27" si="30">F10/F3</f>
        <v>0.19270521270221688</v>
      </c>
      <c r="G26" s="14">
        <f t="shared" ref="G26:G27" si="31">G10/G3</f>
        <v>0.18748995775167057</v>
      </c>
      <c r="H26" s="14">
        <f t="shared" ref="H26:H27" si="32">H10/H3</f>
        <v>0.25512694803162744</v>
      </c>
      <c r="I26" s="14">
        <f t="shared" ref="I26:I27" si="33">I10/I3</f>
        <v>0.20002848472232873</v>
      </c>
      <c r="J26" s="15">
        <f t="shared" ref="J26:J27" si="34">J10/J3</f>
        <v>0.14434509689427394</v>
      </c>
      <c r="K26" s="14">
        <f t="shared" ref="K26:K27" si="35">K10/K3</f>
        <v>0.12652807514331102</v>
      </c>
      <c r="L26" s="14">
        <f t="shared" ref="L26:L27" si="36">L10/L3</f>
        <v>0.14565786132974204</v>
      </c>
      <c r="M26" s="14">
        <f t="shared" ref="M26:M27" si="37">M10/M3</f>
        <v>0.16766974654573197</v>
      </c>
      <c r="N26" s="15">
        <f t="shared" ref="N26:N27" si="38">N10/N3</f>
        <v>0.22471320084020036</v>
      </c>
      <c r="O26" s="14">
        <f t="shared" ref="O26:O27" si="39">O10/O3</f>
        <v>0.18871641588261268</v>
      </c>
      <c r="P26" s="14">
        <f t="shared" ref="P26:P27" si="40">P10/P3</f>
        <v>0.20983027267668336</v>
      </c>
      <c r="Q26" s="14">
        <f t="shared" ref="Q26:Q27" si="41">Q10/Q3</f>
        <v>0.23905937845248521</v>
      </c>
      <c r="R26" s="15">
        <f t="shared" ref="R26:R27" si="42">R10/R3</f>
        <v>0.2377396700576748</v>
      </c>
      <c r="U26" s="14">
        <f t="shared" ref="U26:U27" si="43">U10/U3</f>
        <v>0.30974780965905491</v>
      </c>
      <c r="V26" s="14">
        <f t="shared" ref="V26:V27" si="44">V10/V3</f>
        <v>0.22003571751514603</v>
      </c>
      <c r="W26" s="14">
        <f t="shared" ref="W26:W27" si="45">W10/W3</f>
        <v>0.22724299638504261</v>
      </c>
      <c r="X26" s="14">
        <f t="shared" ref="X26:X27" si="46">X10/X3</f>
        <v>0.19148461103707168</v>
      </c>
      <c r="Y26" s="14">
        <f t="shared" ref="Y26:Y27" si="47">Y10/Y3</f>
        <v>0.1729844733379651</v>
      </c>
      <c r="Z26" s="14">
        <f t="shared" ref="Z26:Z27" si="48">Z10/Z3</f>
        <v>0.21984008376138747</v>
      </c>
      <c r="AA26" s="16">
        <f t="shared" si="25"/>
        <v>0.20379115555688945</v>
      </c>
      <c r="AB26" s="16">
        <f t="shared" si="26"/>
        <v>0.20492937869950606</v>
      </c>
      <c r="AC26" s="16">
        <f t="shared" ref="AC26:AC31" si="49">AB26</f>
        <v>0.20492937869950606</v>
      </c>
      <c r="AD26" s="16">
        <f t="shared" ref="AD26:AD31" si="50">AC26</f>
        <v>0.20492937869950606</v>
      </c>
      <c r="AP26" s="23" t="s">
        <v>6</v>
      </c>
      <c r="AQ26" s="3">
        <f>AQ24*AQ27/10000000</f>
        <v>26361.42406392</v>
      </c>
    </row>
    <row r="27">
      <c r="B27" t="s">
        <v>74</v>
      </c>
      <c r="C27" s="14">
        <f t="shared" si="27"/>
        <v>0.30279866720308651</v>
      </c>
      <c r="D27" s="14">
        <f t="shared" si="28"/>
        <v>0.30310543634680426</v>
      </c>
      <c r="E27" s="14">
        <f t="shared" si="29"/>
        <v>0.26137596533414303</v>
      </c>
      <c r="F27" s="15">
        <f t="shared" si="30"/>
        <v>0.27408999954443025</v>
      </c>
      <c r="G27" s="14">
        <f t="shared" si="31"/>
        <v>0.27106465544219815</v>
      </c>
      <c r="H27" s="14">
        <f t="shared" si="32"/>
        <v>0.26254375164396448</v>
      </c>
      <c r="I27" s="14">
        <f t="shared" si="33"/>
        <v>0.29006303180570425</v>
      </c>
      <c r="J27" s="15">
        <f t="shared" si="34"/>
        <v>0.24353266158875947</v>
      </c>
      <c r="K27" s="14">
        <f t="shared" si="35"/>
        <v>0.24844485477743639</v>
      </c>
      <c r="L27" s="14">
        <f t="shared" si="36"/>
        <v>0.23944404555024854</v>
      </c>
      <c r="M27" s="14">
        <f t="shared" si="37"/>
        <v>0.23400051145323753</v>
      </c>
      <c r="N27" s="15">
        <f t="shared" si="38"/>
        <v>0.2180299928760156</v>
      </c>
      <c r="O27" s="14">
        <f t="shared" si="39"/>
        <v>0.2175933864606554</v>
      </c>
      <c r="P27" s="14">
        <f t="shared" si="40"/>
        <v>0.21067240779401533</v>
      </c>
      <c r="Q27" s="14">
        <f t="shared" si="41"/>
        <v>0.21493840470846073</v>
      </c>
      <c r="R27" s="15">
        <f t="shared" si="42"/>
        <v>0.20641988296033559</v>
      </c>
      <c r="S27" s="14"/>
      <c r="T27" s="14"/>
      <c r="U27" s="14">
        <f t="shared" si="43"/>
        <v>0.40829199149539336</v>
      </c>
      <c r="V27" s="14">
        <f t="shared" si="44"/>
        <v>0.3367698933590148</v>
      </c>
      <c r="W27" s="14">
        <f t="shared" si="45"/>
        <v>0.28209764828395234</v>
      </c>
      <c r="X27" s="14">
        <f t="shared" si="46"/>
        <v>0.26482568846178267</v>
      </c>
      <c r="Y27" s="14">
        <f t="shared" si="47"/>
        <v>0.23300642708359981</v>
      </c>
      <c r="Z27" s="14">
        <f t="shared" si="48"/>
        <v>0.21286831090351283</v>
      </c>
      <c r="AA27" s="16">
        <f t="shared" si="25"/>
        <v>0.25525597481379375</v>
      </c>
      <c r="AB27" s="16">
        <f t="shared" si="26"/>
        <v>0.24148835356950399</v>
      </c>
      <c r="AC27" s="16">
        <f t="shared" si="49"/>
        <v>0.24148835356950399</v>
      </c>
      <c r="AD27" s="16">
        <f t="shared" si="50"/>
        <v>0.24148835356950399</v>
      </c>
      <c r="AP27" s="1" t="s">
        <v>75</v>
      </c>
      <c r="AQ27">
        <f>Business!D10</f>
        <v>2924.9000000000001</v>
      </c>
    </row>
    <row r="28" s="18" customFormat="1">
      <c r="B28" s="18" t="s">
        <v>76</v>
      </c>
      <c r="F28" s="19"/>
      <c r="G28" s="20">
        <f t="shared" ref="G28:G30" si="51">G12/C12-1</f>
        <v>0.11324639670555947</v>
      </c>
      <c r="H28" s="20">
        <f t="shared" ref="H28:H30" si="52">H12/D12-1</f>
        <v>-0.73617021276595751</v>
      </c>
      <c r="I28" s="20">
        <f t="shared" ref="I28:I30" si="53">I12/E12-1</f>
        <v>1.9597523219814241</v>
      </c>
      <c r="J28" s="21">
        <f t="shared" ref="J28:J30" si="54">J12/F12-1</f>
        <v>-0.38264642082429501</v>
      </c>
      <c r="K28" s="20">
        <f t="shared" ref="K28:K30" si="55">K12/G12-1</f>
        <v>-0.45437731196054254</v>
      </c>
      <c r="L28" s="20">
        <f t="shared" ref="L28:L30" si="56">L12/H12-1</f>
        <v>4.206989247311828</v>
      </c>
      <c r="M28" s="20">
        <f t="shared" ref="M28:M30" si="57">M12/I12-1</f>
        <v>1.1652719665271967</v>
      </c>
      <c r="N28" s="21">
        <f t="shared" ref="N28:N30" si="58">N12/J12-1</f>
        <v>1.1644413211524949</v>
      </c>
      <c r="O28" s="20">
        <f t="shared" ref="O28:O30" si="59">O12/K12-1</f>
        <v>0.84745762711864403</v>
      </c>
      <c r="P28" s="20">
        <f t="shared" ref="P28:P30" si="60">P12/L12-1</f>
        <v>-1.4610221992772328</v>
      </c>
      <c r="Q28" s="20">
        <f t="shared" ref="Q28:Q30" si="61">Q12/M12-1</f>
        <v>-1.0091787439613527</v>
      </c>
      <c r="R28" s="21">
        <f t="shared" ref="R28:R30" si="62">R12/N12-1</f>
        <v>-0.96785714285714286</v>
      </c>
      <c r="U28" s="18"/>
      <c r="V28" s="20">
        <f t="shared" ref="V28:V30" si="63">V12/U12-1</f>
        <v>-0.082365420312914384</v>
      </c>
      <c r="W28" s="20">
        <f t="shared" ref="W28:W30" si="64">W12/V12-1</f>
        <v>-0.79909837013062068</v>
      </c>
      <c r="X28" s="20">
        <f t="shared" ref="X28:X30" si="65">X12/W12-1</f>
        <v>-0.13765822784810122</v>
      </c>
      <c r="Y28" s="20">
        <f t="shared" ref="Y28:Y30" si="66">Y12/X12-1</f>
        <v>0.47739783152627169</v>
      </c>
      <c r="Z28" s="20">
        <f t="shared" ref="Z28:Z30" si="67">Z12/Y12-1</f>
        <v>-0.72259229987580442</v>
      </c>
      <c r="AA28" s="16">
        <f t="shared" si="25"/>
        <v>0.18715237426526207</v>
      </c>
      <c r="AB28" s="16">
        <f t="shared" si="26"/>
        <v>-0.13765822784810122</v>
      </c>
      <c r="AC28" s="18"/>
      <c r="AD28" s="18"/>
      <c r="AP28" s="1" t="s">
        <v>77</v>
      </c>
      <c r="AQ28" s="26">
        <f>AQ25*10000000/AQ24</f>
        <v>2350.3767481843865</v>
      </c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</row>
    <row r="29">
      <c r="B29" t="s">
        <v>78</v>
      </c>
      <c r="F29" s="5"/>
      <c r="G29" s="27">
        <f t="shared" si="51"/>
        <v>0.71848573052479292</v>
      </c>
      <c r="H29" s="27">
        <f t="shared" si="52"/>
        <v>0.59107817494914294</v>
      </c>
      <c r="I29" s="27">
        <f t="shared" si="53"/>
        <v>-0.29998114511972851</v>
      </c>
      <c r="J29" s="28">
        <f t="shared" si="54"/>
        <v>0.029595972000491244</v>
      </c>
      <c r="K29" s="27">
        <f t="shared" si="55"/>
        <v>0.23465327680728021</v>
      </c>
      <c r="L29" s="27">
        <f t="shared" si="56"/>
        <v>0.21395824581270872</v>
      </c>
      <c r="M29" s="27">
        <f t="shared" si="57"/>
        <v>0.81607367313957391</v>
      </c>
      <c r="N29" s="28">
        <f t="shared" si="58"/>
        <v>1.1038088422391859</v>
      </c>
      <c r="O29" s="27">
        <f t="shared" si="59"/>
        <v>0.63130124198392745</v>
      </c>
      <c r="P29" s="27">
        <f t="shared" si="60"/>
        <v>0.73211410860177861</v>
      </c>
      <c r="Q29" s="27">
        <f t="shared" si="61"/>
        <v>0.67609751963387743</v>
      </c>
      <c r="R29" s="28">
        <f t="shared" si="62"/>
        <v>0.17589845349459821</v>
      </c>
      <c r="V29" s="14">
        <f t="shared" si="63"/>
        <v>0.075355281189965151</v>
      </c>
      <c r="W29" s="14">
        <f t="shared" si="64"/>
        <v>0.81294189531263616</v>
      </c>
      <c r="X29" s="14">
        <f t="shared" si="65"/>
        <v>0.16418815901394668</v>
      </c>
      <c r="Y29" s="14">
        <f t="shared" si="66"/>
        <v>0.53420899538733435</v>
      </c>
      <c r="Z29" s="14">
        <f t="shared" si="67"/>
        <v>0.53686474868497425</v>
      </c>
      <c r="AA29" s="16">
        <f t="shared" si="25"/>
        <v>0.45568489256802858</v>
      </c>
      <c r="AB29" s="16">
        <f t="shared" si="26"/>
        <v>0.53686474868497425</v>
      </c>
      <c r="AC29" s="13">
        <v>0.13</v>
      </c>
      <c r="AD29" s="13">
        <v>0.070000000000000007</v>
      </c>
    </row>
    <row r="30">
      <c r="B30" t="s">
        <v>79</v>
      </c>
      <c r="F30" s="5"/>
      <c r="G30" s="14">
        <f t="shared" si="51"/>
        <v>0.63431269674711466</v>
      </c>
      <c r="H30" s="14">
        <f t="shared" si="52"/>
        <v>0.52252650176678461</v>
      </c>
      <c r="I30" s="14">
        <f t="shared" si="53"/>
        <v>-0.39566633266533069</v>
      </c>
      <c r="J30" s="15">
        <f t="shared" si="54"/>
        <v>0.78537170263788969</v>
      </c>
      <c r="K30" s="14">
        <f t="shared" si="55"/>
        <v>0.43338683788121979</v>
      </c>
      <c r="L30" s="14">
        <f t="shared" si="56"/>
        <v>0.62692196112561627</v>
      </c>
      <c r="M30" s="14">
        <f t="shared" si="57"/>
        <v>1.713160621761658</v>
      </c>
      <c r="N30" s="15">
        <f t="shared" si="58"/>
        <v>0.86814416834564612</v>
      </c>
      <c r="O30" s="14">
        <f t="shared" si="59"/>
        <v>1.5319148936170213</v>
      </c>
      <c r="P30" s="14">
        <f t="shared" si="60"/>
        <v>1.2818295292439372</v>
      </c>
      <c r="Q30" s="14">
        <f t="shared" si="61"/>
        <v>1.0367428003972194</v>
      </c>
      <c r="R30" s="15">
        <f t="shared" si="62"/>
        <v>0.70910724985020956</v>
      </c>
      <c r="V30" s="14">
        <f t="shared" si="63"/>
        <v>-0.12224506382368416</v>
      </c>
      <c r="W30" s="14">
        <f t="shared" si="64"/>
        <v>0.1616557734204791</v>
      </c>
      <c r="X30" s="14">
        <f t="shared" si="65"/>
        <v>0.26045573893473395</v>
      </c>
      <c r="Y30" s="14">
        <f t="shared" si="66"/>
        <v>0.85719599747052055</v>
      </c>
      <c r="Z30" s="14">
        <f t="shared" si="67"/>
        <v>1.070843431409858</v>
      </c>
      <c r="AA30" s="16">
        <f t="shared" si="25"/>
        <v>0.70445050047769964</v>
      </c>
      <c r="AB30" s="16">
        <f t="shared" si="26"/>
        <v>0.70910724985020956</v>
      </c>
      <c r="AC30" s="13">
        <v>0.13</v>
      </c>
      <c r="AD30" s="13">
        <v>0.070000000000000007</v>
      </c>
    </row>
    <row r="31">
      <c r="B31" t="s">
        <v>80</v>
      </c>
      <c r="F31" s="5"/>
      <c r="G31" s="14">
        <f>G18/G17*-1</f>
        <v>0.25318491343568605</v>
      </c>
      <c r="H31" s="14">
        <f>H18/H17*-1</f>
        <v>0.25226385704534721</v>
      </c>
      <c r="I31" s="14">
        <f>I18/I17*-1</f>
        <v>0.25448031920434427</v>
      </c>
      <c r="J31" s="15">
        <f>J18/J17*-1</f>
        <v>0.26171170672890792</v>
      </c>
      <c r="K31" s="14">
        <f>K18/K17*-1</f>
        <v>0.25569560528444324</v>
      </c>
      <c r="L31" s="14">
        <f>L18/L17*-1</f>
        <v>0.25226495212226446</v>
      </c>
      <c r="M31" s="14">
        <f>M18/M17*-1</f>
        <v>0.25841499544211471</v>
      </c>
      <c r="N31" s="15">
        <f>N18/N17*-1</f>
        <v>0.25900456630957186</v>
      </c>
      <c r="O31" s="14">
        <f>O18/O17*-1</f>
        <v>0.26228392884140511</v>
      </c>
      <c r="P31" s="14">
        <f>P18/P17*-1</f>
        <v>0.25993903035896576</v>
      </c>
      <c r="Q31" s="14">
        <f>Q18/Q17*-1</f>
        <v>0.38393299735624586</v>
      </c>
      <c r="R31" s="15">
        <f>R18/R17*-1</f>
        <v>0.25964467220416937</v>
      </c>
      <c r="U31" s="15">
        <f>U18/U17*-1</f>
        <v>0.26924987580725274</v>
      </c>
      <c r="V31" s="15">
        <f>V18/V17*-1</f>
        <v>0.27509260227596105</v>
      </c>
      <c r="W31" s="15">
        <f>W18/W17*-1</f>
        <v>0.24977270803398771</v>
      </c>
      <c r="X31" s="15">
        <f>X18/X17*-1</f>
        <v>0.2559912184809417</v>
      </c>
      <c r="Y31" s="15">
        <f>Y18/Y17*-1</f>
        <v>0.34374244420104416</v>
      </c>
      <c r="Z31" s="15">
        <f>Z18/Z17*-1</f>
        <v>0.29064724793059288</v>
      </c>
      <c r="AA31" s="16">
        <f t="shared" si="25"/>
        <v>0.27207320228129145</v>
      </c>
      <c r="AB31" s="16">
        <f t="shared" si="26"/>
        <v>0.25932461925687061</v>
      </c>
      <c r="AC31" s="16">
        <f t="shared" si="49"/>
        <v>0.25932461925687061</v>
      </c>
      <c r="AD31" s="16">
        <f t="shared" si="50"/>
        <v>0.25932461925687061</v>
      </c>
    </row>
    <row r="32">
      <c r="B32" t="s">
        <v>81</v>
      </c>
      <c r="F32" s="5"/>
      <c r="G32" s="14">
        <f>G15/C15-1</f>
        <v>0.43259922878948442</v>
      </c>
      <c r="H32" s="14">
        <f>H15/D15-1</f>
        <v>0.18619334178194991</v>
      </c>
      <c r="I32" s="14">
        <f>I15/E15-1</f>
        <v>-0.098331160365058734</v>
      </c>
      <c r="J32" s="15">
        <f>J15/F15-1</f>
        <v>0.30125470431441026</v>
      </c>
      <c r="K32" s="14">
        <f>K15/G15-1</f>
        <v>0.23069846084988943</v>
      </c>
      <c r="L32" s="14">
        <f>L15/H15-1</f>
        <v>0.67977711386768891</v>
      </c>
      <c r="M32" s="14">
        <f>M15/I15-1</f>
        <v>1.3120680181613116</v>
      </c>
      <c r="N32" s="15">
        <f>N15/J15-1</f>
        <v>1.1541339243054214</v>
      </c>
      <c r="O32" s="14">
        <f>O15/K15-1</f>
        <v>1.4734821699161533</v>
      </c>
      <c r="P32" s="14">
        <f>P15/L15-1</f>
        <v>0.41421177510082985</v>
      </c>
      <c r="Q32" s="14">
        <f>Q15/M15-1</f>
        <v>0.045672866452363348</v>
      </c>
      <c r="R32" s="15">
        <f>R15/N15-1</f>
        <v>-0.10393581878244451</v>
      </c>
      <c r="V32" s="14">
        <f>V15/U15-1</f>
        <v>0.88900143251964292</v>
      </c>
      <c r="W32" s="14">
        <f>W15/V15-1</f>
        <v>1.1013849418217192</v>
      </c>
      <c r="X32" s="14">
        <f>X15/W15-1</f>
        <v>0.18878028064790686</v>
      </c>
      <c r="Y32" s="14">
        <f>Y15/X15-1</f>
        <v>0.84618580726271997</v>
      </c>
      <c r="Z32" s="14">
        <f>Z15/Y15-1</f>
        <v>0.30813347539793723</v>
      </c>
      <c r="AA32" s="16">
        <f t="shared" si="25"/>
        <v>0.55066532717893679</v>
      </c>
      <c r="AB32" s="16">
        <f t="shared" si="26"/>
        <v>0.41421177510082985</v>
      </c>
      <c r="AC32" s="13">
        <v>0.20000000000000001</v>
      </c>
      <c r="AD32" s="13">
        <v>0.10000000000000001</v>
      </c>
    </row>
    <row r="33">
      <c r="F33" s="5"/>
      <c r="J33" s="5"/>
      <c r="N33" s="5"/>
      <c r="R33" s="5"/>
    </row>
    <row r="34">
      <c r="F34" s="5"/>
      <c r="J34" s="5"/>
      <c r="N34" s="5"/>
      <c r="R34" s="5"/>
    </row>
    <row r="35">
      <c r="F35" s="5"/>
      <c r="J35" s="5"/>
      <c r="N35" s="5"/>
      <c r="R35" s="5"/>
    </row>
    <row r="36">
      <c r="F36" s="5"/>
      <c r="J36" s="5"/>
      <c r="N36" s="5"/>
      <c r="R36" s="5"/>
    </row>
    <row r="37">
      <c r="F37" s="5"/>
      <c r="J37" s="5"/>
      <c r="R37" s="5"/>
    </row>
    <row r="38">
      <c r="J38" s="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82</v>
      </c>
    </row>
    <row r="2" ht="14.25"/>
    <row r="3" ht="14.25">
      <c r="B3" t="s">
        <v>83</v>
      </c>
    </row>
    <row r="4" ht="14.25">
      <c r="B4" t="s">
        <v>84</v>
      </c>
    </row>
    <row r="5" ht="14.25">
      <c r="B5" t="s">
        <v>85</v>
      </c>
    </row>
    <row r="6" ht="14.25">
      <c r="B6" t="s">
        <v>86</v>
      </c>
    </row>
    <row r="8" ht="14.25">
      <c r="B8" t="s">
        <v>87</v>
      </c>
    </row>
    <row r="9" ht="14.25">
      <c r="B9" t="s">
        <v>88</v>
      </c>
      <c r="C9" t="s">
        <v>89</v>
      </c>
    </row>
    <row r="10" ht="14.25">
      <c r="B10" t="s">
        <v>90</v>
      </c>
      <c r="C10" t="s">
        <v>91</v>
      </c>
    </row>
    <row r="11" ht="14.25">
      <c r="B11" t="s">
        <v>92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1" max="1" width="13.7109375"/>
    <col customWidth="1" min="2" max="2" width="26.421875"/>
    <col customWidth="1" min="3" max="23" width="13.7109375"/>
    <col customWidth="1" min="24" max="24" width="15.140625"/>
    <col customWidth="1" min="25" max="16384" width="13.7109375"/>
  </cols>
  <sheetData>
    <row r="1">
      <c r="A1" t="s">
        <v>93</v>
      </c>
      <c r="B1" t="s">
        <v>94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="1" customFormat="1">
      <c r="C2" s="1" t="s">
        <v>34</v>
      </c>
      <c r="D2" s="1" t="s">
        <v>35</v>
      </c>
      <c r="E2" s="1" t="s">
        <v>36</v>
      </c>
      <c r="F2" s="4" t="s">
        <v>37</v>
      </c>
      <c r="G2" s="1" t="s">
        <v>38</v>
      </c>
      <c r="H2" s="1" t="s">
        <v>39</v>
      </c>
      <c r="I2" s="1" t="s">
        <v>40</v>
      </c>
      <c r="J2" s="4" t="s">
        <v>41</v>
      </c>
      <c r="K2" s="1" t="s">
        <v>42</v>
      </c>
      <c r="L2" s="1" t="s">
        <v>43</v>
      </c>
      <c r="M2" s="1" t="s">
        <v>44</v>
      </c>
      <c r="N2" s="4" t="s">
        <v>45</v>
      </c>
      <c r="O2" s="1"/>
      <c r="P2" s="1">
        <f>Q2-1</f>
        <v>2020</v>
      </c>
      <c r="Q2" s="1">
        <f>R2-1</f>
        <v>2021</v>
      </c>
      <c r="R2" s="1">
        <f>S2-1</f>
        <v>2022</v>
      </c>
      <c r="S2" s="1">
        <v>2023</v>
      </c>
      <c r="T2" s="1">
        <f>S2+1</f>
        <v>2024</v>
      </c>
      <c r="U2" s="1">
        <f>T2+1</f>
        <v>2025</v>
      </c>
      <c r="V2" s="1"/>
      <c r="W2" s="1"/>
      <c r="X2" s="1"/>
      <c r="Y2" s="1"/>
      <c r="Z2" s="1">
        <v>2025</v>
      </c>
      <c r="AA2" s="1">
        <f>U2+1</f>
        <v>2026</v>
      </c>
      <c r="AB2" s="1">
        <f>AA2+1</f>
        <v>2027</v>
      </c>
      <c r="AC2" s="1">
        <v>2028</v>
      </c>
      <c r="AD2" s="1">
        <f>AC2+1</f>
        <v>2029</v>
      </c>
      <c r="AE2" s="1">
        <f>AD2+1</f>
        <v>2030</v>
      </c>
      <c r="AF2" s="1">
        <f>AE2+1</f>
        <v>2031</v>
      </c>
      <c r="AG2" s="1">
        <f>AF2+1</f>
        <v>2032</v>
      </c>
      <c r="AH2" s="1">
        <f>AG2+1</f>
        <v>2033</v>
      </c>
      <c r="AI2" s="1">
        <f>AH2+1</f>
        <v>2034</v>
      </c>
      <c r="AJ2" s="1">
        <f>AI2+1</f>
        <v>2035</v>
      </c>
    </row>
    <row r="3">
      <c r="B3" t="s">
        <v>95</v>
      </c>
      <c r="C3" s="29">
        <v>132.22999999999999</v>
      </c>
      <c r="D3" s="29">
        <v>154.41</v>
      </c>
      <c r="E3" s="29">
        <v>182.28</v>
      </c>
      <c r="F3" s="5">
        <v>191.75</v>
      </c>
      <c r="G3" s="29">
        <v>207.53</v>
      </c>
      <c r="H3" s="29">
        <v>256.89999999999998</v>
      </c>
      <c r="I3" s="29">
        <v>310.74000000000001</v>
      </c>
      <c r="J3" s="5">
        <v>339.17000000000002</v>
      </c>
      <c r="K3">
        <v>384.44999999999999</v>
      </c>
      <c r="L3" s="29">
        <v>405.94</v>
      </c>
      <c r="M3" s="29">
        <v>442.19</v>
      </c>
      <c r="N3" s="5">
        <v>485.44</v>
      </c>
      <c r="O3" s="29"/>
      <c r="P3" s="29"/>
      <c r="Q3" s="29"/>
      <c r="R3" s="29"/>
      <c r="S3">
        <v>660.65999999999997</v>
      </c>
      <c r="T3">
        <v>1114.3399999999999</v>
      </c>
      <c r="U3">
        <f t="shared" ref="U3:U6" si="68">SUM(K3:N3)</f>
        <v>1718.02</v>
      </c>
      <c r="Z3" s="6">
        <v>1718.02</v>
      </c>
      <c r="AA3" s="30">
        <f>Z3*($X$29+1)</f>
        <v>1975.7229999999997</v>
      </c>
      <c r="AB3" s="30">
        <f>AA3*($X$29+1)</f>
        <v>2272.0814499999997</v>
      </c>
      <c r="AC3" s="30">
        <f>AB3*($X$29+1)</f>
        <v>2612.8936674999995</v>
      </c>
      <c r="AD3" s="30">
        <f>AC3*($X$29+1)</f>
        <v>3004.8277176249994</v>
      </c>
      <c r="AE3" s="30">
        <f>AD3*($X$29+1)</f>
        <v>3455.551875268749</v>
      </c>
      <c r="AF3" s="30">
        <f>AE3*($Y$29+1)</f>
        <v>3697.4405065375618</v>
      </c>
      <c r="AG3" s="30">
        <f>AF3*($Y$29+1)</f>
        <v>3956.2613419951913</v>
      </c>
      <c r="AH3" s="30">
        <f>AG3*($Y$29+1)</f>
        <v>4233.199635934855</v>
      </c>
      <c r="AI3" s="30">
        <f>AH3*($Y$29+1)</f>
        <v>4529.5236104502947</v>
      </c>
      <c r="AJ3" s="30">
        <f>AI3*($Y$29+1)</f>
        <v>4846.5902631818153</v>
      </c>
    </row>
    <row r="4">
      <c r="B4" t="s">
        <v>96</v>
      </c>
      <c r="C4" s="29">
        <v>300.39999999999998</v>
      </c>
      <c r="D4" s="29">
        <v>360.5</v>
      </c>
      <c r="E4" s="29">
        <v>326.13999999999999</v>
      </c>
      <c r="F4" s="5">
        <v>335.89999999999998</v>
      </c>
      <c r="G4" s="29">
        <v>331.91000000000003</v>
      </c>
      <c r="H4" s="29">
        <v>400.26999999999998</v>
      </c>
      <c r="I4" s="29">
        <v>472.77999999999997</v>
      </c>
      <c r="J4" s="5">
        <v>528.66999999999996</v>
      </c>
      <c r="K4">
        <v>494.48000000000002</v>
      </c>
      <c r="L4" s="29">
        <v>552.04999999999995</v>
      </c>
      <c r="M4" s="29">
        <v>512.39999999999998</v>
      </c>
      <c r="N4" s="5">
        <v>574.75999999999999</v>
      </c>
      <c r="O4" s="29"/>
      <c r="P4" s="29"/>
      <c r="Q4" s="29"/>
      <c r="R4" s="29"/>
      <c r="S4">
        <v>1322.95</v>
      </c>
      <c r="T4">
        <v>1733.6199999999999</v>
      </c>
      <c r="U4" s="6">
        <f t="shared" si="68"/>
        <v>2133.6899999999996</v>
      </c>
      <c r="Z4" s="6">
        <v>2133.6899999999996</v>
      </c>
      <c r="AA4" s="3">
        <f>Z4*(1+$X$28)</f>
        <v>2453.7434999999991</v>
      </c>
      <c r="AB4" s="3">
        <f>AA4*(1+$X$28)</f>
        <v>2821.8050249999987</v>
      </c>
      <c r="AC4" s="3">
        <f>AB4*(1+$X$28)</f>
        <v>3245.0757787499983</v>
      </c>
      <c r="AD4" s="3">
        <f>AC4*(1+$X$28)</f>
        <v>3731.8371455624979</v>
      </c>
      <c r="AE4" s="3">
        <f>AD4*(1+$X$28)</f>
        <v>4291.6127173968725</v>
      </c>
      <c r="AF4" s="3">
        <f>AE4*(1+$Y$28)</f>
        <v>4592.0256076146543</v>
      </c>
      <c r="AG4" s="3">
        <f>AF4*(1+$Y$28)</f>
        <v>4913.4674001476806</v>
      </c>
      <c r="AH4" s="3">
        <f>AG4*(1+$Y$28)</f>
        <v>5257.4101181580181</v>
      </c>
      <c r="AI4" s="3">
        <f>AH4*(1+$Y$28)</f>
        <v>5625.4288264290799</v>
      </c>
      <c r="AJ4" s="3">
        <f>AI4*(1+$Y$28)</f>
        <v>6019.2088442791155</v>
      </c>
    </row>
    <row r="5">
      <c r="B5" t="s">
        <v>97</v>
      </c>
      <c r="C5" s="29">
        <v>0.63</v>
      </c>
      <c r="D5" s="29">
        <v>-0.070000000000000007</v>
      </c>
      <c r="E5" s="29">
        <v>0.22</v>
      </c>
      <c r="F5" s="5">
        <v>0.050000000000000003</v>
      </c>
      <c r="G5" s="29">
        <v>0.029999999999999999</v>
      </c>
      <c r="H5" s="29">
        <v>0.13</v>
      </c>
      <c r="I5" s="29">
        <v>0.059999999999999998</v>
      </c>
      <c r="J5" s="5">
        <v>0.68999999999999995</v>
      </c>
      <c r="K5">
        <v>0.28999999999999998</v>
      </c>
      <c r="L5" s="29">
        <v>0.059999999999999998</v>
      </c>
      <c r="M5" s="29">
        <v>0</v>
      </c>
      <c r="N5" s="5">
        <v>0.02</v>
      </c>
      <c r="O5" s="29"/>
      <c r="P5" s="29"/>
      <c r="Q5" s="29"/>
      <c r="R5" s="29"/>
      <c r="S5">
        <v>0.82599999999999996</v>
      </c>
      <c r="T5">
        <v>0.90900000000000003</v>
      </c>
      <c r="U5" s="6">
        <f t="shared" si="68"/>
        <v>0.37</v>
      </c>
      <c r="Z5" s="6">
        <v>0.37</v>
      </c>
      <c r="AA5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</row>
    <row r="6">
      <c r="B6" t="s">
        <v>48</v>
      </c>
      <c r="C6" s="29">
        <v>27.420000000000002</v>
      </c>
      <c r="D6" s="29">
        <v>47.869999999999997</v>
      </c>
      <c r="E6" s="29">
        <v>69.900000000000006</v>
      </c>
      <c r="F6" s="5">
        <v>85.079999999999998</v>
      </c>
      <c r="G6" s="29">
        <v>63.960000000000001</v>
      </c>
      <c r="H6" s="29">
        <v>77.959999999999994</v>
      </c>
      <c r="I6" s="29">
        <v>57.060000000000002</v>
      </c>
      <c r="J6" s="5">
        <v>58.850000000000001</v>
      </c>
      <c r="K6">
        <v>70.209999999999994</v>
      </c>
      <c r="L6" s="29">
        <v>93.299999999999997</v>
      </c>
      <c r="M6" s="29">
        <v>77.230000000000004</v>
      </c>
      <c r="N6" s="5">
        <v>59.590000000000003</v>
      </c>
      <c r="O6" s="29"/>
      <c r="P6" s="29"/>
      <c r="Q6" s="29"/>
      <c r="R6" s="29"/>
      <c r="S6">
        <v>230.27000000000001</v>
      </c>
      <c r="T6">
        <v>257.81999999999999</v>
      </c>
      <c r="U6" s="6">
        <f t="shared" si="68"/>
        <v>300.33000000000004</v>
      </c>
      <c r="Z6" s="6">
        <v>300.33000000000004</v>
      </c>
      <c r="AA6" s="3">
        <f>Z6*($X$28+1)</f>
        <v>345.37950000000001</v>
      </c>
      <c r="AB6" s="3">
        <f>AA6*($X$28+1)</f>
        <v>397.18642499999999</v>
      </c>
      <c r="AC6" s="3">
        <f>AB6*($X$28+1)</f>
        <v>456.76438874999997</v>
      </c>
      <c r="AD6" s="3">
        <f>AC6*($X$28+1)</f>
        <v>525.2790470624999</v>
      </c>
      <c r="AE6" s="3">
        <f>AD6*($X$28+1)</f>
        <v>604.07090412187483</v>
      </c>
      <c r="AF6" s="3">
        <f>AE6*$X$28</f>
        <v>90.610635618281222</v>
      </c>
      <c r="AG6" s="3">
        <f>AF6*$X$28</f>
        <v>13.591595342742183</v>
      </c>
      <c r="AH6" s="3">
        <f>AG6*$X$28</f>
        <v>2.0387393014113275</v>
      </c>
      <c r="AI6" s="3">
        <f>AH6*$X$28</f>
        <v>0.30581089521169913</v>
      </c>
      <c r="AJ6" s="3">
        <f>AI6*$X$28</f>
        <v>0.045871634281754871</v>
      </c>
    </row>
    <row r="7" s="1" customFormat="1">
      <c r="B7" s="1" t="s">
        <v>98</v>
      </c>
      <c r="C7" s="1">
        <f>SUM(C3:C6)</f>
        <v>460.68000000000001</v>
      </c>
      <c r="D7" s="1">
        <f>SUM(D3:D6)</f>
        <v>562.70999999999992</v>
      </c>
      <c r="E7" s="1">
        <f>SUM(E3:E6)</f>
        <v>578.53999999999996</v>
      </c>
      <c r="F7" s="4">
        <f>SUM(F3:F6)</f>
        <v>612.77999999999997</v>
      </c>
      <c r="G7" s="1">
        <f>SUM(G3:G6)</f>
        <v>603.43000000000006</v>
      </c>
      <c r="H7" s="1">
        <f>SUM(H3:H6)</f>
        <v>735.25999999999999</v>
      </c>
      <c r="I7" s="1">
        <f>SUM(I3:I6)</f>
        <v>840.63999999999987</v>
      </c>
      <c r="J7" s="4">
        <f>SUM(J3:J6)</f>
        <v>927.38</v>
      </c>
      <c r="K7" s="1">
        <f>SUM(K3:K6)</f>
        <v>949.43000000000006</v>
      </c>
      <c r="L7" s="1">
        <f>SUM(L3:L6)</f>
        <v>1051.3499999999999</v>
      </c>
      <c r="M7" s="1">
        <f>SUM(M3:M6)</f>
        <v>1031.8199999999999</v>
      </c>
      <c r="N7" s="4">
        <f>SUM(N3:N6)</f>
        <v>1119.8099999999999</v>
      </c>
      <c r="O7" s="1"/>
      <c r="P7" s="1"/>
      <c r="Q7" s="1"/>
      <c r="R7" s="1"/>
      <c r="S7" s="1">
        <f>SUM(S3:S6)</f>
        <v>2214.7060000000001</v>
      </c>
      <c r="T7" s="1">
        <f>SUM(T3:T6)</f>
        <v>3106.6890000000003</v>
      </c>
      <c r="U7" s="1">
        <f>SUM(U3:U6)</f>
        <v>4152.4099999999999</v>
      </c>
      <c r="V7" s="1"/>
      <c r="W7" s="1"/>
      <c r="X7" s="1"/>
      <c r="Y7" s="1"/>
      <c r="Z7" s="1">
        <v>4152.4099999999999</v>
      </c>
      <c r="AA7" s="9">
        <f>SUM(AA3:AA6)</f>
        <v>4774.8459999999986</v>
      </c>
      <c r="AB7" s="9">
        <f>SUM(AB3:AB6)</f>
        <v>5491.0728999999983</v>
      </c>
      <c r="AC7" s="9">
        <f>SUM(AC3:AC6)</f>
        <v>6314.7338349999973</v>
      </c>
      <c r="AD7" s="9">
        <f>SUM(AD3:AD6)</f>
        <v>7261.9439102499973</v>
      </c>
      <c r="AE7" s="9">
        <f>SUM(AE3:AE6)</f>
        <v>8351.2354967874962</v>
      </c>
      <c r="AF7" s="9">
        <f>SUM(AF3:AF6)</f>
        <v>8380.0767497704965</v>
      </c>
      <c r="AG7" s="9">
        <f>SUM(AG3:AG6)</f>
        <v>8883.3203374856148</v>
      </c>
      <c r="AH7" s="9">
        <f>SUM(AH3:AH6)</f>
        <v>9492.6484933942847</v>
      </c>
      <c r="AI7" s="9">
        <f>SUM(AI3:AI6)</f>
        <v>10155.258247774587</v>
      </c>
      <c r="AJ7" s="9">
        <f>SUM(AJ3:AJ6)</f>
        <v>10865.844979095213</v>
      </c>
    </row>
    <row r="8">
      <c r="B8" t="s">
        <v>50</v>
      </c>
      <c r="C8" s="29">
        <v>2.1499999999999999</v>
      </c>
      <c r="D8" s="29">
        <v>3.0800000000000001</v>
      </c>
      <c r="E8" s="29">
        <v>3.5899999999999999</v>
      </c>
      <c r="F8" s="5">
        <v>6.8499999999999996</v>
      </c>
      <c r="G8" s="29">
        <f>44.28+1.5</f>
        <v>45.780000000000001</v>
      </c>
      <c r="H8" s="29">
        <v>2.0499999999999998</v>
      </c>
      <c r="I8" s="29">
        <v>1.5600000000000001</v>
      </c>
      <c r="J8" s="5">
        <v>1.6299999999999999</v>
      </c>
      <c r="K8">
        <v>3.25</v>
      </c>
      <c r="L8" s="29">
        <v>5.4900000000000002</v>
      </c>
      <c r="M8" s="29">
        <v>3.1699999999999999</v>
      </c>
      <c r="N8" s="5">
        <v>4.9800000000000004</v>
      </c>
      <c r="O8" s="29"/>
      <c r="P8" s="29"/>
      <c r="Q8" s="29"/>
      <c r="R8" s="29"/>
      <c r="S8">
        <v>15.67</v>
      </c>
      <c r="T8" s="6">
        <f>44.28+6.73</f>
        <v>51.010000000000005</v>
      </c>
      <c r="U8" s="6">
        <f>SUM(K8:N8)</f>
        <v>16.890000000000001</v>
      </c>
      <c r="Z8" s="6">
        <v>16.890000000000001</v>
      </c>
      <c r="AA8">
        <v>20</v>
      </c>
      <c r="AB8" s="6">
        <v>20</v>
      </c>
      <c r="AC8" s="6">
        <v>20</v>
      </c>
      <c r="AD8" s="6">
        <v>20</v>
      </c>
      <c r="AE8" s="6">
        <v>20</v>
      </c>
      <c r="AF8" s="6">
        <v>20</v>
      </c>
      <c r="AG8" s="6">
        <v>20</v>
      </c>
      <c r="AH8" s="6">
        <v>20</v>
      </c>
      <c r="AI8" s="6">
        <v>20</v>
      </c>
      <c r="AJ8" s="6">
        <v>20</v>
      </c>
    </row>
    <row r="9" s="1" customFormat="1">
      <c r="A9" s="1"/>
      <c r="B9" s="1" t="s">
        <v>51</v>
      </c>
      <c r="C9" s="1">
        <f>C7+C8</f>
        <v>462.82999999999998</v>
      </c>
      <c r="D9" s="1">
        <f>D7+D8</f>
        <v>565.78999999999996</v>
      </c>
      <c r="E9" s="1">
        <f>E7+E8</f>
        <v>582.13</v>
      </c>
      <c r="F9" s="4">
        <f>F7+F8</f>
        <v>619.63</v>
      </c>
      <c r="G9" s="1">
        <f>G7+G8</f>
        <v>649.21000000000004</v>
      </c>
      <c r="H9" s="1">
        <f>H7+H8</f>
        <v>737.30999999999995</v>
      </c>
      <c r="I9" s="1">
        <f>I7+I8</f>
        <v>842.19999999999982</v>
      </c>
      <c r="J9" s="4">
        <f>J7+J8</f>
        <v>929.00999999999999</v>
      </c>
      <c r="K9" s="1">
        <f>K7+K8</f>
        <v>952.68000000000006</v>
      </c>
      <c r="L9" s="1">
        <f>L7+L8</f>
        <v>1056.8399999999999</v>
      </c>
      <c r="M9" s="1">
        <f>M7+M8</f>
        <v>1034.99</v>
      </c>
      <c r="N9" s="4">
        <f>N7+N8</f>
        <v>1124.79</v>
      </c>
      <c r="O9" s="1"/>
      <c r="P9" s="1"/>
      <c r="Q9" s="1"/>
      <c r="R9" s="1"/>
      <c r="S9" s="1">
        <f>S8+S7</f>
        <v>2230.3760000000002</v>
      </c>
      <c r="T9" s="1">
        <f>T8+T7</f>
        <v>3157.6990000000005</v>
      </c>
      <c r="U9" s="1">
        <f>U8+U7</f>
        <v>4169.3000000000002</v>
      </c>
      <c r="V9" s="1"/>
      <c r="W9" s="1"/>
      <c r="X9" s="1"/>
      <c r="Y9" s="1"/>
      <c r="Z9" s="1">
        <v>4169.3000000000002</v>
      </c>
      <c r="AA9" s="9">
        <f>AA7+AA8</f>
        <v>4794.8459999999986</v>
      </c>
      <c r="AB9" s="9">
        <f>AB7+AB8</f>
        <v>5511.0728999999983</v>
      </c>
      <c r="AC9" s="9">
        <f>AC7+AC8</f>
        <v>6334.7338349999973</v>
      </c>
      <c r="AD9" s="9">
        <f>AD7+AD8</f>
        <v>7281.9439102499973</v>
      </c>
      <c r="AE9" s="9">
        <f>AE7+AE8</f>
        <v>8371.2354967874962</v>
      </c>
      <c r="AF9" s="9">
        <f>AF7+AF8</f>
        <v>8400.0767497704965</v>
      </c>
      <c r="AG9" s="9">
        <f>AG7+AG8</f>
        <v>8903.3203374856148</v>
      </c>
      <c r="AH9" s="9">
        <f>AH7+AH8</f>
        <v>9512.6484933942847</v>
      </c>
      <c r="AI9" s="9">
        <f>AI7+AI8</f>
        <v>10175.258247774587</v>
      </c>
      <c r="AJ9" s="9">
        <f>AJ7+AJ8</f>
        <v>10885.844979095213</v>
      </c>
    </row>
    <row r="10">
      <c r="C10" s="6"/>
      <c r="D10" s="6"/>
      <c r="E10" s="6"/>
      <c r="F10" s="5"/>
      <c r="H10" s="6"/>
      <c r="I10" s="6"/>
      <c r="J10" s="5"/>
      <c r="K10" s="6"/>
      <c r="L10" s="6"/>
      <c r="M10" s="6"/>
      <c r="N10" s="5"/>
      <c r="T10" s="6"/>
      <c r="U10" s="6"/>
      <c r="Z10" s="6"/>
      <c r="AB10" s="6"/>
      <c r="AC10" s="6"/>
      <c r="AD10" s="6"/>
      <c r="AE10" s="6"/>
      <c r="AF10" s="6"/>
      <c r="AG10" s="6"/>
      <c r="AH10" s="6"/>
      <c r="AI10" s="6"/>
      <c r="AJ10" s="6"/>
    </row>
    <row r="11">
      <c r="B11" t="s">
        <v>99</v>
      </c>
      <c r="C11" s="29">
        <v>81.780000000000001</v>
      </c>
      <c r="D11" s="29">
        <v>102.08</v>
      </c>
      <c r="E11" s="29">
        <v>113.95999999999999</v>
      </c>
      <c r="F11" s="5">
        <v>98.590000000000003</v>
      </c>
      <c r="G11" s="29">
        <v>119.04000000000001</v>
      </c>
      <c r="H11" s="29">
        <v>146.90000000000001</v>
      </c>
      <c r="I11" s="29">
        <v>171.05000000000001</v>
      </c>
      <c r="J11" s="5">
        <v>182.75999999999999</v>
      </c>
      <c r="K11">
        <v>182.50999999999999</v>
      </c>
      <c r="L11" s="29">
        <v>199.84</v>
      </c>
      <c r="M11" s="29">
        <v>224.87</v>
      </c>
      <c r="N11" s="5">
        <v>214.74000000000001</v>
      </c>
      <c r="O11" s="29"/>
      <c r="P11" s="29"/>
      <c r="Q11" s="29"/>
      <c r="R11" s="29"/>
      <c r="S11">
        <v>396.40699999999998</v>
      </c>
      <c r="T11" s="6">
        <v>619.75</v>
      </c>
      <c r="U11" s="6">
        <f>SUM(K11:N11)</f>
        <v>821.96000000000004</v>
      </c>
      <c r="Z11" s="6">
        <v>821.96000000000004</v>
      </c>
      <c r="AA11" s="30">
        <f>AA3*$Y$30</f>
        <v>1066.8904199999999</v>
      </c>
      <c r="AB11" s="30">
        <f>AB3*$Y$30</f>
        <v>1226.9239829999999</v>
      </c>
      <c r="AC11" s="30">
        <f>AC3*$Y$30</f>
        <v>1410.9625804499999</v>
      </c>
      <c r="AD11" s="30">
        <f>AD3*$Y$30</f>
        <v>1622.6069675174997</v>
      </c>
      <c r="AE11" s="30">
        <f>AE3*$Y$30</f>
        <v>1865.9980126451246</v>
      </c>
      <c r="AF11" s="30">
        <f>AF3*$Y$30</f>
        <v>1996.6178735302835</v>
      </c>
      <c r="AG11" s="30">
        <f>AG3*$Y$30</f>
        <v>2136.3811246774035</v>
      </c>
      <c r="AH11" s="30">
        <f>AH3*$Y$30</f>
        <v>2285.927803404822</v>
      </c>
      <c r="AI11" s="30">
        <f>AI3*$Y$30</f>
        <v>2445.9427496431595</v>
      </c>
      <c r="AJ11" s="30">
        <f>AJ3*$Y$30</f>
        <v>2617.1587421181803</v>
      </c>
    </row>
    <row r="12">
      <c r="B12" s="29" t="s">
        <v>100</v>
      </c>
      <c r="C12" s="29"/>
      <c r="D12" s="29"/>
      <c r="E12" s="29"/>
      <c r="F12" s="5"/>
      <c r="G12" s="29"/>
      <c r="H12" s="29"/>
      <c r="I12" s="29"/>
      <c r="J12" s="5"/>
      <c r="L12" s="29"/>
      <c r="M12" s="29">
        <v>60.82</v>
      </c>
      <c r="N12" s="5">
        <v>80.790000000000006</v>
      </c>
      <c r="O12" s="29"/>
      <c r="P12" s="29"/>
      <c r="Q12" s="29"/>
      <c r="R12" s="29"/>
      <c r="S12" s="29"/>
      <c r="T12" s="6"/>
      <c r="U12" s="6"/>
      <c r="Z12" s="6"/>
      <c r="AB12" s="6"/>
      <c r="AC12" s="6"/>
      <c r="AD12" s="6"/>
      <c r="AE12" s="6"/>
      <c r="AF12" s="6"/>
      <c r="AG12" s="6"/>
      <c r="AH12" s="6"/>
      <c r="AI12" s="6"/>
      <c r="AJ12" s="6"/>
    </row>
    <row r="13">
      <c r="B13" t="s">
        <v>55</v>
      </c>
      <c r="C13" s="29">
        <v>175.58000000000001</v>
      </c>
      <c r="D13" s="29">
        <v>170.31</v>
      </c>
      <c r="E13" s="29">
        <v>187.56999999999999</v>
      </c>
      <c r="F13" s="5">
        <v>195.22999999999999</v>
      </c>
      <c r="G13" s="29">
        <v>195.22999999999999</v>
      </c>
      <c r="H13" s="29">
        <v>212.88999999999999</v>
      </c>
      <c r="I13" s="29">
        <v>232.22</v>
      </c>
      <c r="J13" s="5">
        <v>250.62</v>
      </c>
      <c r="K13">
        <v>276.60000000000002</v>
      </c>
      <c r="L13" s="29">
        <v>292.97000000000003</v>
      </c>
      <c r="M13" s="29">
        <v>288.54000000000002</v>
      </c>
      <c r="N13" s="5">
        <v>307.86000000000001</v>
      </c>
      <c r="O13" s="29"/>
      <c r="P13" s="29"/>
      <c r="Q13" s="29"/>
      <c r="R13" s="29"/>
      <c r="S13">
        <v>728.702</v>
      </c>
      <c r="T13" s="6">
        <v>890.96000000000004</v>
      </c>
      <c r="U13" s="6">
        <f t="shared" ref="U13:U16" si="69">SUM(K13:N13)</f>
        <v>1165.9700000000003</v>
      </c>
      <c r="Z13" s="6">
        <v>1165.9700000000003</v>
      </c>
      <c r="AA13" s="8">
        <f>Z13*1.06</f>
        <v>1235.9282000000003</v>
      </c>
      <c r="AB13" s="8">
        <f>AA13*1.06</f>
        <v>1310.0838920000003</v>
      </c>
      <c r="AC13" s="8">
        <f>AB13*1.06</f>
        <v>1388.6889255200003</v>
      </c>
      <c r="AD13" s="8">
        <f>AC13*1.06</f>
        <v>1472.0102610512004</v>
      </c>
      <c r="AE13" s="8">
        <f>AD13*1.06</f>
        <v>1560.3308767142726</v>
      </c>
      <c r="AF13" s="8">
        <f>AE13*1.06</f>
        <v>1653.9507293171289</v>
      </c>
      <c r="AG13" s="8">
        <f>AF13*1.06</f>
        <v>1753.1877730761566</v>
      </c>
      <c r="AH13" s="8">
        <f>AG13*1.06</f>
        <v>1858.3790394607261</v>
      </c>
      <c r="AI13" s="8">
        <f>AH13*1.06</f>
        <v>1969.8817818283696</v>
      </c>
      <c r="AJ13" s="8">
        <f>AI13*1.06</f>
        <v>2088.0746887380719</v>
      </c>
    </row>
    <row r="14">
      <c r="B14" t="s">
        <v>101</v>
      </c>
      <c r="C14" s="29">
        <v>-3.2000000000000002</v>
      </c>
      <c r="D14" s="29">
        <v>0.87</v>
      </c>
      <c r="E14" s="29">
        <v>1.51</v>
      </c>
      <c r="F14" s="5">
        <v>9.0600000000000005</v>
      </c>
      <c r="G14" s="29">
        <v>6.1600000000000001</v>
      </c>
      <c r="H14" s="29">
        <v>2.1200000000000001</v>
      </c>
      <c r="I14" s="29">
        <v>7.5499999999999998</v>
      </c>
      <c r="J14" s="5">
        <v>24.149999999999999</v>
      </c>
      <c r="K14">
        <v>13.59</v>
      </c>
      <c r="L14" s="29">
        <v>-0.82999999999999996</v>
      </c>
      <c r="M14" s="29">
        <v>-1.05</v>
      </c>
      <c r="N14" s="5">
        <v>6.7000000000000002</v>
      </c>
      <c r="O14" s="29"/>
      <c r="P14" s="29"/>
      <c r="Q14" s="29"/>
      <c r="R14" s="29"/>
      <c r="S14">
        <v>8.2400000000000002</v>
      </c>
      <c r="T14" s="6">
        <v>39.969999999999999</v>
      </c>
      <c r="U14" s="6">
        <f t="shared" si="69"/>
        <v>18.41</v>
      </c>
      <c r="Z14" s="6">
        <v>18.41</v>
      </c>
      <c r="AA14" s="6">
        <v>20</v>
      </c>
      <c r="AB14" s="6">
        <v>20</v>
      </c>
      <c r="AC14" s="6">
        <v>20</v>
      </c>
      <c r="AD14" s="6">
        <v>20</v>
      </c>
      <c r="AE14" s="6">
        <v>20</v>
      </c>
      <c r="AF14" s="6">
        <v>20</v>
      </c>
      <c r="AG14" s="6">
        <v>20</v>
      </c>
      <c r="AH14" s="6">
        <v>20</v>
      </c>
      <c r="AI14" s="6">
        <v>20</v>
      </c>
      <c r="AJ14" s="6">
        <v>20</v>
      </c>
    </row>
    <row r="15">
      <c r="B15" t="s">
        <v>56</v>
      </c>
      <c r="C15" s="29">
        <v>15.31</v>
      </c>
      <c r="D15" s="29">
        <v>19.260000000000002</v>
      </c>
      <c r="E15" s="29">
        <v>22.629999999999999</v>
      </c>
      <c r="F15" s="5">
        <v>31.379999999999999</v>
      </c>
      <c r="G15" s="29">
        <v>22.280000000000001</v>
      </c>
      <c r="H15" s="29">
        <v>24.370000000000001</v>
      </c>
      <c r="I15" s="29">
        <v>44.640000000000001</v>
      </c>
      <c r="J15" s="5">
        <v>45.130000000000003</v>
      </c>
      <c r="K15">
        <v>20.170000000000002</v>
      </c>
      <c r="L15" s="29">
        <v>21.489999999999998</v>
      </c>
      <c r="M15" s="29">
        <v>24.039999999999999</v>
      </c>
      <c r="N15" s="5">
        <v>28.670000000000002</v>
      </c>
      <c r="O15" s="29"/>
      <c r="P15" s="29"/>
      <c r="Q15" s="29"/>
      <c r="R15" s="29"/>
      <c r="S15">
        <v>88.579999999999998</v>
      </c>
      <c r="T15" s="6">
        <v>136.40000000000001</v>
      </c>
      <c r="U15" s="6">
        <f t="shared" si="69"/>
        <v>94.36999999999999</v>
      </c>
      <c r="Z15" s="6">
        <v>94.36999999999999</v>
      </c>
      <c r="AA15" s="8">
        <f>Z15*($X$32+1)</f>
        <v>102.4203719697944</v>
      </c>
      <c r="AB15" s="8">
        <f>AA15*($X$32+1)</f>
        <v>111.15749278829128</v>
      </c>
      <c r="AC15" s="8">
        <f>AB15*($X$32+1)</f>
        <v>120.63994657843099</v>
      </c>
      <c r="AD15" s="8">
        <f>AC15*($X$32+1)</f>
        <v>130.93131506812577</v>
      </c>
      <c r="AE15" s="8">
        <f>AD15*($X$32+1)</f>
        <v>142.10060391831928</v>
      </c>
      <c r="AF15" s="8">
        <f>AE15*($Y$32+1)</f>
        <v>152.75814921219322</v>
      </c>
      <c r="AG15" s="8">
        <f>AF15*($Y$32+1)</f>
        <v>164.2150104031077</v>
      </c>
      <c r="AH15" s="8">
        <f>AG15*($Y$32+1)</f>
        <v>176.53113618334078</v>
      </c>
      <c r="AI15" s="8">
        <f>AH15*($Y$32+1)</f>
        <v>189.77097139709133</v>
      </c>
      <c r="AJ15" s="8">
        <f>AI15*($Y$32+1)</f>
        <v>204.00379425187316</v>
      </c>
    </row>
    <row r="16">
      <c r="B16" t="s">
        <v>102</v>
      </c>
      <c r="C16" s="29">
        <v>124.84999999999999</v>
      </c>
      <c r="D16" s="29">
        <v>160.28999999999999</v>
      </c>
      <c r="E16" s="29">
        <v>146.58000000000001</v>
      </c>
      <c r="F16" s="5">
        <v>171.59999999999999</v>
      </c>
      <c r="G16" s="29">
        <v>156.03999999999999</v>
      </c>
      <c r="H16" s="29">
        <v>160.16</v>
      </c>
      <c r="I16" s="29">
        <v>156.31999999999999</v>
      </c>
      <c r="J16" s="5">
        <v>188.24000000000001</v>
      </c>
      <c r="K16">
        <v>166.41</v>
      </c>
      <c r="L16" s="29">
        <v>195.66999999999999</v>
      </c>
      <c r="M16" s="29">
        <v>104.27</v>
      </c>
      <c r="N16" s="5">
        <v>149.71000000000001</v>
      </c>
      <c r="O16" s="29"/>
      <c r="P16" s="29"/>
      <c r="Q16" s="29"/>
      <c r="R16" s="29"/>
      <c r="S16">
        <v>603.30999999999995</v>
      </c>
      <c r="T16" s="6">
        <v>660.75</v>
      </c>
      <c r="U16" s="6">
        <f t="shared" si="69"/>
        <v>616.05999999999995</v>
      </c>
      <c r="Z16" s="6">
        <v>616.05999999999995</v>
      </c>
      <c r="AA16" s="8">
        <f>Z16*($X$36+1)</f>
        <v>680.74629999999991</v>
      </c>
      <c r="AB16" s="8">
        <f>AA16*($X$36+1)</f>
        <v>752.22466149999991</v>
      </c>
      <c r="AC16" s="8">
        <f>AB16*($X$36+1)</f>
        <v>831.2082509574999</v>
      </c>
      <c r="AD16" s="8">
        <f>AC16*($X$36+1)</f>
        <v>918.48511730803739</v>
      </c>
      <c r="AE16" s="8">
        <f>AD16*($X$36+1)</f>
        <v>1014.9260546253813</v>
      </c>
      <c r="AF16" s="8">
        <f>AE16*($Y$36+1)</f>
        <v>1101.1947692685387</v>
      </c>
      <c r="AG16" s="8">
        <f>AF16*($Y$36+1)</f>
        <v>1194.7963246563645</v>
      </c>
      <c r="AH16" s="8">
        <f>AG16*($Y$36+1)</f>
        <v>1296.3540122521554</v>
      </c>
      <c r="AI16" s="8">
        <f>AH16*($Y$36+1)</f>
        <v>1406.5441032935885</v>
      </c>
      <c r="AJ16" s="8">
        <f>AI16*($Y$36+1)</f>
        <v>1526.1003520735435</v>
      </c>
    </row>
    <row r="17" s="1" customFormat="1">
      <c r="B17" s="1" t="s">
        <v>103</v>
      </c>
      <c r="C17" s="1">
        <f>SUM(C11:C16)</f>
        <v>394.32000000000005</v>
      </c>
      <c r="D17" s="1">
        <f>SUM(D11:D16)</f>
        <v>452.80999999999995</v>
      </c>
      <c r="E17" s="1">
        <f>SUM(E11:E16)</f>
        <v>472.25</v>
      </c>
      <c r="F17" s="4">
        <f>SUM(F11:F16)</f>
        <v>505.86000000000001</v>
      </c>
      <c r="G17" s="1">
        <f>SUM(G11:G16)</f>
        <v>498.75</v>
      </c>
      <c r="H17" s="1">
        <f>SUM(H11:H16)</f>
        <v>546.43999999999994</v>
      </c>
      <c r="I17" s="1">
        <f>SUM(I11:I16)</f>
        <v>611.77999999999997</v>
      </c>
      <c r="J17" s="4">
        <f>SUM(J11:J16)</f>
        <v>690.89999999999998</v>
      </c>
      <c r="K17" s="1">
        <f>SUM(K11:K16)</f>
        <v>659.27999999999997</v>
      </c>
      <c r="L17" s="1">
        <f>SUM(L11:L16)</f>
        <v>709.13999999999999</v>
      </c>
      <c r="M17" s="1">
        <f>SUM(M11:M16)</f>
        <v>701.49000000000001</v>
      </c>
      <c r="N17" s="4">
        <f>SUM(N11:N16)</f>
        <v>788.47000000000014</v>
      </c>
      <c r="O17" s="1"/>
      <c r="P17" s="1"/>
      <c r="Q17" s="1"/>
      <c r="R17" s="1"/>
      <c r="S17" s="1">
        <f>SUM(S11:S16)</f>
        <v>1825.2389999999998</v>
      </c>
      <c r="T17" s="1">
        <f>SUM(T11:T16)</f>
        <v>2347.8299999999999</v>
      </c>
      <c r="U17" s="1">
        <f>SUM(U11:U16)</f>
        <v>2716.7700000000004</v>
      </c>
      <c r="V17" s="1"/>
      <c r="W17" s="1"/>
      <c r="X17" s="1"/>
      <c r="Y17" s="1"/>
      <c r="Z17" s="1">
        <v>2716.7700000000004</v>
      </c>
      <c r="AA17" s="9">
        <f>SUM(AA11:AA16)</f>
        <v>3105.9852919697942</v>
      </c>
      <c r="AB17" s="9">
        <f>SUM(AB11:AB16)</f>
        <v>3420.3900292882913</v>
      </c>
      <c r="AC17" s="9">
        <f>SUM(AC11:AC16)</f>
        <v>3771.4997035059314</v>
      </c>
      <c r="AD17" s="9">
        <f>SUM(AD11:AD16)</f>
        <v>4164.0336609448632</v>
      </c>
      <c r="AE17" s="9">
        <f>SUM(AE11:AE16)</f>
        <v>4603.3555479030983</v>
      </c>
      <c r="AF17" s="9">
        <f>SUM(AF11:AF16)</f>
        <v>4924.5215213281444</v>
      </c>
      <c r="AG17" s="9">
        <f>SUM(AG11:AG16)</f>
        <v>5268.5802328130321</v>
      </c>
      <c r="AH17" s="9">
        <f>SUM(AH11:AH16)</f>
        <v>5637.1919913010443</v>
      </c>
      <c r="AI17" s="9">
        <f>SUM(AI11:AI16)</f>
        <v>6032.1396061622099</v>
      </c>
      <c r="AJ17" s="9">
        <f>SUM(AJ11:AJ16)</f>
        <v>6455.3375771816682</v>
      </c>
    </row>
    <row r="18" s="1" customFormat="1">
      <c r="B18" s="1" t="s">
        <v>59</v>
      </c>
      <c r="C18" s="1">
        <f>C9-C17</f>
        <v>68.509999999999934</v>
      </c>
      <c r="D18" s="1">
        <f>D9-D17</f>
        <v>112.98000000000002</v>
      </c>
      <c r="E18" s="1">
        <f>E9-E17</f>
        <v>109.88</v>
      </c>
      <c r="F18" s="4">
        <f>F9-F17</f>
        <v>113.76999999999998</v>
      </c>
      <c r="G18" s="1">
        <f>G9-G17</f>
        <v>150.46000000000004</v>
      </c>
      <c r="H18" s="1">
        <f>H9-H17</f>
        <v>190.87</v>
      </c>
      <c r="I18" s="1">
        <f>I9-I17</f>
        <v>230.41999999999985</v>
      </c>
      <c r="J18" s="4">
        <f>J9-J17</f>
        <v>238.11000000000001</v>
      </c>
      <c r="K18" s="1">
        <f>K9-K17</f>
        <v>293.40000000000009</v>
      </c>
      <c r="L18" s="1">
        <f>L9-L17</f>
        <v>347.69999999999993</v>
      </c>
      <c r="M18" s="1">
        <f>M9-M17</f>
        <v>333.5</v>
      </c>
      <c r="N18" s="4">
        <f>N9-N17</f>
        <v>336.31999999999982</v>
      </c>
      <c r="O18" s="1"/>
      <c r="P18" s="1"/>
      <c r="Q18" s="1"/>
      <c r="R18" s="1"/>
      <c r="S18" s="1">
        <f>S9-S17</f>
        <v>405.1370000000004</v>
      </c>
      <c r="T18" s="1">
        <f>T9-T17</f>
        <v>809.8690000000006</v>
      </c>
      <c r="U18" s="1">
        <f>U9-U17</f>
        <v>1452.5299999999997</v>
      </c>
      <c r="V18" s="1"/>
      <c r="W18" s="1"/>
      <c r="X18" s="1"/>
      <c r="Y18" s="1"/>
      <c r="Z18" s="1">
        <v>1452.5299999999997</v>
      </c>
      <c r="AA18" s="9">
        <f>AA9-AA17</f>
        <v>1688.8607080302045</v>
      </c>
      <c r="AB18" s="9">
        <f>AB9-AB17</f>
        <v>2090.682870711707</v>
      </c>
      <c r="AC18" s="9">
        <f>AC9-AC17</f>
        <v>2563.2341314940659</v>
      </c>
      <c r="AD18" s="9">
        <f>AD9-AD17</f>
        <v>3117.9102493051341</v>
      </c>
      <c r="AE18" s="9">
        <f>AE9-AE17</f>
        <v>3767.8799488843979</v>
      </c>
      <c r="AF18" s="9">
        <f>AF9-AF17</f>
        <v>3475.555228442352</v>
      </c>
      <c r="AG18" s="9">
        <f>AG9-AG17</f>
        <v>3634.7401046725827</v>
      </c>
      <c r="AH18" s="9">
        <f>AH9-AH17</f>
        <v>3875.4565020932405</v>
      </c>
      <c r="AI18" s="9">
        <f>AI9-AI17</f>
        <v>4143.1186416123774</v>
      </c>
      <c r="AJ18" s="9">
        <f>AJ9-AJ17</f>
        <v>4430.5074019135445</v>
      </c>
    </row>
    <row r="19">
      <c r="B19" t="s">
        <v>104</v>
      </c>
      <c r="C19" s="29">
        <v>0.14000000000000001</v>
      </c>
      <c r="D19" s="29">
        <v>0.5</v>
      </c>
      <c r="E19" s="29">
        <v>2.0499999999999998</v>
      </c>
      <c r="F19" s="5">
        <v>-1.74</v>
      </c>
      <c r="G19" s="29">
        <f>2.15</f>
        <v>2.1499999999999999</v>
      </c>
      <c r="H19" s="29">
        <v>0.55000000000000004</v>
      </c>
      <c r="I19" s="29">
        <f>0.89-0.63</f>
        <v>0.26000000000000001</v>
      </c>
      <c r="J19" s="5">
        <f>-0.34-0.48</f>
        <v>-0.82000000000000006</v>
      </c>
      <c r="K19" s="29">
        <f>4.44-1.02</f>
        <v>3.4200000000000004</v>
      </c>
      <c r="L19" s="29">
        <f>0.53-0.89</f>
        <v>-0.35999999999999999</v>
      </c>
      <c r="M19" s="29">
        <f>+1.44-0.86</f>
        <v>0.57999999999999996</v>
      </c>
      <c r="N19" s="5">
        <f>4.34-0.6</f>
        <v>3.7399999999999998</v>
      </c>
      <c r="O19" s="29"/>
      <c r="P19" s="29"/>
      <c r="Q19" s="29"/>
      <c r="R19" s="29"/>
      <c r="S19">
        <f>0.95+0</f>
        <v>0.94999999999999996</v>
      </c>
      <c r="T19">
        <f>3.25-1.1</f>
        <v>2.1499999999999999</v>
      </c>
      <c r="U19" s="6">
        <f t="shared" ref="U19:U20" si="70">SUM(K19:N19)</f>
        <v>7.3800000000000008</v>
      </c>
      <c r="Z19" s="6">
        <v>7.3800000000000008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</row>
    <row r="20">
      <c r="B20" t="s">
        <v>60</v>
      </c>
      <c r="C20" s="29">
        <f>-28.12+6.52</f>
        <v>-21.600000000000001</v>
      </c>
      <c r="D20" s="29">
        <f>-12.67-15.55</f>
        <v>-28.219999999999999</v>
      </c>
      <c r="E20" s="29">
        <f>-15.24-9.33</f>
        <v>-24.57</v>
      </c>
      <c r="F20" s="5">
        <f>-44.65+18.02</f>
        <v>-26.629999999999999</v>
      </c>
      <c r="G20" s="29">
        <f>-41.99+12.36</f>
        <v>-29.630000000000003</v>
      </c>
      <c r="H20" s="29">
        <f>-43.22-3.24</f>
        <v>-46.460000000000001</v>
      </c>
      <c r="I20" s="29">
        <f>-66.94+12.42</f>
        <v>-54.519999999999996</v>
      </c>
      <c r="J20" s="5">
        <f>-66.54+9.99</f>
        <v>-56.550000000000004</v>
      </c>
      <c r="K20">
        <f>-68.65-7.4</f>
        <v>-76.050000000000011</v>
      </c>
      <c r="L20" s="29">
        <f>-86.18-3.85</f>
        <v>-90.030000000000001</v>
      </c>
      <c r="M20" s="29">
        <f>-81.18-1.19</f>
        <v>-82.370000000000005</v>
      </c>
      <c r="N20" s="5">
        <f>-91.73+6.94</f>
        <v>-84.790000000000006</v>
      </c>
      <c r="O20" s="29"/>
      <c r="P20" s="29"/>
      <c r="Q20" s="29"/>
      <c r="R20" s="29"/>
      <c r="S20">
        <f>-100.68-0.34</f>
        <v>-101.02000000000001</v>
      </c>
      <c r="T20" s="6">
        <f>-218.69+31.5</f>
        <v>-187.19</v>
      </c>
      <c r="U20" s="6">
        <f t="shared" si="70"/>
        <v>-333.24000000000001</v>
      </c>
      <c r="Z20" s="6">
        <v>-333.24000000000001</v>
      </c>
      <c r="AA20" s="8">
        <f>AA18*$X$35</f>
        <v>411.08853405502856</v>
      </c>
      <c r="AB20" s="8">
        <f>AB18*$X$35</f>
        <v>508.89676834110077</v>
      </c>
      <c r="AC20" s="8">
        <f>AC18*$X$35</f>
        <v>623.92129590409331</v>
      </c>
      <c r="AD20" s="8">
        <f>AD18*$X$35</f>
        <v>758.9359783240767</v>
      </c>
      <c r="AE20" s="8">
        <f>AE18*$X$35</f>
        <v>917.14623788531003</v>
      </c>
      <c r="AF20" s="8">
        <f>AF18*$X$35</f>
        <v>845.9909672207873</v>
      </c>
      <c r="AG20" s="8">
        <f>AG18*$X$35</f>
        <v>884.73843591495881</v>
      </c>
      <c r="AH20" s="8">
        <f>AH18*$X$35</f>
        <v>943.33163455363308</v>
      </c>
      <c r="AI20" s="8">
        <f>AI18*$X$35</f>
        <v>1008.4837433295492</v>
      </c>
      <c r="AJ20" s="8">
        <f>AJ18*$X$35</f>
        <v>1078.4375433169344</v>
      </c>
    </row>
    <row r="21" s="1" customFormat="1">
      <c r="B21" s="1" t="s">
        <v>9</v>
      </c>
      <c r="C21" s="1">
        <f>C18+C19+C20</f>
        <v>47.049999999999933</v>
      </c>
      <c r="D21" s="1">
        <f>D18+D19+D20</f>
        <v>85.260000000000019</v>
      </c>
      <c r="E21" s="1">
        <f>E18+E19+E20</f>
        <v>87.359999999999985</v>
      </c>
      <c r="F21" s="4">
        <f>F18+F19+F20</f>
        <v>85.399999999999991</v>
      </c>
      <c r="G21" s="1">
        <f>G18+G19+G20</f>
        <v>122.98000000000005</v>
      </c>
      <c r="H21" s="1">
        <f>H18+H19+H20</f>
        <v>144.96000000000001</v>
      </c>
      <c r="I21" s="1">
        <f>I18+I19+I20</f>
        <v>176.15999999999985</v>
      </c>
      <c r="J21" s="4">
        <f>J18+J19+J20</f>
        <v>180.74000000000001</v>
      </c>
      <c r="K21" s="1">
        <f>K18+K19+K20</f>
        <v>220.7700000000001</v>
      </c>
      <c r="L21" s="1">
        <f>L18+L19+L20</f>
        <v>257.30999999999995</v>
      </c>
      <c r="M21" s="1">
        <f>M18+M19+M20</f>
        <v>251.70999999999998</v>
      </c>
      <c r="N21" s="4">
        <f>N18+N19+N20</f>
        <v>255.26999999999981</v>
      </c>
      <c r="O21" s="1"/>
      <c r="P21" s="1"/>
      <c r="Q21" s="1"/>
      <c r="R21" s="1"/>
      <c r="S21" s="1">
        <f>S18+S20+S19</f>
        <v>305.06700000000041</v>
      </c>
      <c r="T21" s="1">
        <f>T18+T20+T19</f>
        <v>624.82900000000052</v>
      </c>
      <c r="U21" s="1">
        <f>U18+U20+U19</f>
        <v>1126.6699999999998</v>
      </c>
      <c r="Z21" s="1">
        <v>1126.6699999999998</v>
      </c>
      <c r="AA21" s="9">
        <f>AA18+AA20</f>
        <v>2099.949242085233</v>
      </c>
      <c r="AB21" s="9">
        <f>AB18+AB20</f>
        <v>2599.5796390528076</v>
      </c>
      <c r="AC21" s="9">
        <f>AC18+AC20</f>
        <v>3187.1554273981592</v>
      </c>
      <c r="AD21" s="9">
        <f>AD18+AD20</f>
        <v>3876.8462276292107</v>
      </c>
      <c r="AE21" s="9">
        <f>AE18+AE20</f>
        <v>4685.0261867697081</v>
      </c>
      <c r="AF21" s="9">
        <f>AF18+AF20</f>
        <v>4321.5461956631389</v>
      </c>
      <c r="AG21" s="9">
        <f>AG18+AG20</f>
        <v>4519.4785405875418</v>
      </c>
      <c r="AH21" s="9">
        <f>AH18+AH20</f>
        <v>4818.7881366468737</v>
      </c>
      <c r="AI21" s="9">
        <f>AI18+AI20</f>
        <v>5151.6023849419262</v>
      </c>
      <c r="AJ21" s="9">
        <f>AJ18+AJ20</f>
        <v>5508.9449452304789</v>
      </c>
      <c r="AK21" s="9">
        <f>AJ21*($AL$28+1)</f>
        <v>5564.0343946827834</v>
      </c>
      <c r="AL21" s="9">
        <f>AK21*($AL$28+1)</f>
        <v>5619.6747386296111</v>
      </c>
      <c r="AM21" s="9">
        <f>AL21*($AL$28+1)</f>
        <v>5675.8714860159071</v>
      </c>
      <c r="AN21" s="9">
        <f>AM21*($AL$28+1)</f>
        <v>5732.6302008760658</v>
      </c>
      <c r="AO21" s="9">
        <f>AN21*($AL$28+1)</f>
        <v>5789.9565028848265</v>
      </c>
      <c r="AP21" s="9">
        <f>AO21*($AL$28+1)</f>
        <v>5847.8560679136745</v>
      </c>
      <c r="AQ21" s="9">
        <f>AP21*($AL$28+1)</f>
        <v>5906.334628592811</v>
      </c>
      <c r="AR21" s="9">
        <f>AQ21*($AL$28+1)</f>
        <v>5965.3979748787388</v>
      </c>
      <c r="AS21" s="9">
        <f>AR21*($AL$28+1)</f>
        <v>6025.0519546275264</v>
      </c>
      <c r="AT21" s="9">
        <f>AS21*($AL$28+1)</f>
        <v>6085.3024741738018</v>
      </c>
      <c r="AU21" s="9">
        <f>AT21*($AL$28+1)</f>
        <v>6146.1554989155402</v>
      </c>
      <c r="AV21" s="9">
        <f>AU21*($AL$28+1)</f>
        <v>6207.6170539046952</v>
      </c>
      <c r="AW21" s="9">
        <f>AV21*($AL$28+1)</f>
        <v>6269.6932244437421</v>
      </c>
      <c r="AX21" s="9">
        <f>AW21*($AL$28+1)</f>
        <v>6332.3901566881796</v>
      </c>
      <c r="AY21" s="9">
        <f>AX21*($AL$28+1)</f>
        <v>6395.714058255061</v>
      </c>
      <c r="AZ21" s="9">
        <f>AY21*($AL$28+1)</f>
        <v>6459.6711988376119</v>
      </c>
      <c r="BA21" s="9">
        <f>AZ21*($AL$28+1)</f>
        <v>6524.2679108259881</v>
      </c>
      <c r="BB21" s="9">
        <f>BA21*($AL$28+1)</f>
        <v>6589.5105899342479</v>
      </c>
      <c r="BC21" s="9">
        <f>BB21*($AL$28+1)</f>
        <v>6655.4056958335905</v>
      </c>
      <c r="BD21" s="9">
        <f>BC21*($AL$28+1)</f>
        <v>6721.9597527919268</v>
      </c>
      <c r="BE21" s="9">
        <f>BD21*($AL$28+1)</f>
        <v>6789.179350319846</v>
      </c>
      <c r="BF21" s="9">
        <f>BE21*($AL$28+1)</f>
        <v>6857.0711438230446</v>
      </c>
      <c r="BG21" s="9">
        <f>BF21*($AL$28+1)</f>
        <v>6925.6418552612749</v>
      </c>
      <c r="BH21" s="9">
        <f>BG21*($AL$28+1)</f>
        <v>6994.8982738138875</v>
      </c>
      <c r="BI21" s="9">
        <f>BH21*($AL$28+1)</f>
        <v>7064.847256552026</v>
      </c>
      <c r="BJ21" s="9">
        <f>BI21*($AL$28+1)</f>
        <v>7135.495729117546</v>
      </c>
      <c r="BK21" s="9">
        <f>BJ21*($AL$28+1)</f>
        <v>7206.8506864087212</v>
      </c>
      <c r="BL21" s="9">
        <f>BK21*($AL$28+1)</f>
        <v>7278.9191932728081</v>
      </c>
      <c r="BM21" s="9">
        <f>BL21*($AL$28+1)</f>
        <v>7351.7083852055366</v>
      </c>
      <c r="BN21" s="9">
        <f>BM21*($AL$28+1)</f>
        <v>7425.2254690575919</v>
      </c>
      <c r="BO21" s="9">
        <f>BN21*($AL$28+1)</f>
        <v>7499.4777237481676</v>
      </c>
      <c r="BP21" s="9">
        <f>BO21*($AL$28+1)</f>
        <v>7574.4725009856493</v>
      </c>
      <c r="BQ21" s="9">
        <f>BP21*($AL$28+1)</f>
        <v>7650.2172259955059</v>
      </c>
      <c r="BR21" s="9">
        <f>BQ21*($AL$28+1)</f>
        <v>7726.7193982554609</v>
      </c>
      <c r="BS21" s="9">
        <f>BR21*($AL$28+1)</f>
        <v>7803.9865922380159</v>
      </c>
      <c r="BT21" s="9">
        <f>BS21*($AL$28+1)</f>
        <v>7882.026458160396</v>
      </c>
      <c r="BU21" s="9">
        <f>BT21*($AL$28+1)</f>
        <v>7960.8467227419997</v>
      </c>
      <c r="BV21" s="9">
        <f>BU21*($AL$28+1)</f>
        <v>8040.4551899694197</v>
      </c>
      <c r="BW21" s="9">
        <f>BV21*($AL$28+1)</f>
        <v>8120.8597418691143</v>
      </c>
      <c r="BX21" s="9">
        <f>BW21*($AL$28+1)</f>
        <v>8202.0683392878054</v>
      </c>
      <c r="BY21" s="9">
        <f>BX21*($AL$28+1)</f>
        <v>8284.0890226806841</v>
      </c>
      <c r="BZ21" s="9">
        <f>BY21*($AL$28+1)</f>
        <v>8366.9299129074916</v>
      </c>
      <c r="CA21" s="9">
        <f>BZ21*($AL$28+1)</f>
        <v>8450.5992120365663</v>
      </c>
      <c r="CB21" s="9">
        <f>CA21*($AL$28+1)</f>
        <v>8535.1052041569328</v>
      </c>
      <c r="CC21" s="9">
        <f>CB21*($AL$28+1)</f>
        <v>8620.4562561985022</v>
      </c>
      <c r="CD21" s="9">
        <f>CC21*($AL$28+1)</f>
        <v>8706.660818760487</v>
      </c>
      <c r="CE21" s="9">
        <f>CD21*($AL$28+1)</f>
        <v>8793.7274269480913</v>
      </c>
      <c r="CF21" s="9">
        <f>CE21*($AL$28+1)</f>
        <v>8881.6647012175727</v>
      </c>
      <c r="CG21" s="9">
        <f>CF21*($AL$28+1)</f>
        <v>8970.4813482297486</v>
      </c>
      <c r="CH21" s="9">
        <f>CG21*($AL$28+1)</f>
        <v>9060.1861617120467</v>
      </c>
      <c r="CI21" s="9">
        <f>CH21*($AL$28+1)</f>
        <v>9150.7880233291671</v>
      </c>
      <c r="CJ21" s="9">
        <f>CI21*($AL$28+1)</f>
        <v>9242.295903562459</v>
      </c>
      <c r="CK21" s="9">
        <f>CJ21*($AL$28+1)</f>
        <v>9334.7188625980834</v>
      </c>
      <c r="CL21" s="9">
        <f>CK21*($AL$28+1)</f>
        <v>9428.0660512240647</v>
      </c>
      <c r="CM21" s="9">
        <f>CL21*($AL$28+1)</f>
        <v>9522.3467117363052</v>
      </c>
      <c r="CN21" s="9">
        <f>CM21*($AL$28+1)</f>
        <v>9617.570178853668</v>
      </c>
      <c r="CO21" s="9">
        <f>CN21*($AL$28+1)</f>
        <v>9713.7458806422055</v>
      </c>
      <c r="CP21" s="9">
        <f>CO21*($AL$28+1)</f>
        <v>9810.8833394486282</v>
      </c>
      <c r="CQ21" s="9">
        <f>CP21*($AL$28+1)</f>
        <v>9908.9921728431145</v>
      </c>
    </row>
    <row r="22">
      <c r="C22" s="29"/>
      <c r="D22" s="29"/>
      <c r="E22" s="29"/>
      <c r="F22" s="5"/>
      <c r="G22" s="29"/>
      <c r="H22" s="29"/>
      <c r="I22" s="29"/>
      <c r="J22" s="5"/>
      <c r="L22" s="29"/>
      <c r="M22" s="29"/>
      <c r="N22" s="5"/>
      <c r="O22" s="29"/>
      <c r="P22" s="29"/>
      <c r="Q22" s="29"/>
      <c r="R22" s="29"/>
      <c r="U22" s="6"/>
    </row>
    <row r="23">
      <c r="B23" t="s">
        <v>105</v>
      </c>
      <c r="C23" s="29"/>
      <c r="D23" s="29"/>
      <c r="E23" s="29"/>
      <c r="F23" s="5"/>
      <c r="G23" s="29"/>
      <c r="H23" s="29"/>
      <c r="I23" s="29"/>
      <c r="J23" s="5"/>
      <c r="L23" s="29"/>
      <c r="M23" s="29"/>
      <c r="N23" s="5"/>
      <c r="O23" s="29"/>
      <c r="P23" s="29"/>
      <c r="Q23" s="29"/>
      <c r="R23" s="29"/>
      <c r="U23" s="31">
        <v>35991533</v>
      </c>
    </row>
    <row r="24">
      <c r="B24" t="s">
        <v>106</v>
      </c>
      <c r="C24" s="6"/>
      <c r="D24" s="6"/>
      <c r="E24" s="6"/>
      <c r="F24" s="5"/>
      <c r="H24" s="6"/>
      <c r="I24" s="6"/>
      <c r="J24" s="7"/>
      <c r="K24" s="6"/>
      <c r="L24" s="6"/>
      <c r="M24" s="6"/>
      <c r="N24" s="7"/>
      <c r="O24" s="29"/>
      <c r="P24" s="29"/>
      <c r="Q24" s="29"/>
      <c r="R24" s="29"/>
      <c r="U24" s="6">
        <v>7071</v>
      </c>
    </row>
    <row r="25">
      <c r="B25" t="s">
        <v>107</v>
      </c>
      <c r="C25" s="29">
        <v>17.18</v>
      </c>
      <c r="D25" s="29">
        <v>24.329999999999998</v>
      </c>
      <c r="E25" s="29">
        <v>24.329999999999998</v>
      </c>
      <c r="F25" s="5">
        <v>24.370000000000001</v>
      </c>
      <c r="G25" s="29">
        <v>35.100000000000001</v>
      </c>
      <c r="H25" s="29">
        <v>41.390000000000001</v>
      </c>
      <c r="I25" s="29">
        <v>41.390000000000001</v>
      </c>
      <c r="J25" s="5">
        <v>24.370000000000001</v>
      </c>
      <c r="K25">
        <v>41.390000000000001</v>
      </c>
      <c r="L25" s="29">
        <v>72.540000000000006</v>
      </c>
      <c r="M25" s="29">
        <v>70.409999999999997</v>
      </c>
      <c r="N25" s="5">
        <v>24.370000000000001</v>
      </c>
      <c r="O25" s="29"/>
      <c r="P25" s="29"/>
      <c r="Q25" s="29"/>
      <c r="R25" s="29"/>
      <c r="S25">
        <v>92.069999999999993</v>
      </c>
      <c r="T25">
        <v>177.97</v>
      </c>
      <c r="U25" s="8">
        <f>U21*10000000/U23</f>
        <v>313.03751357298393</v>
      </c>
    </row>
    <row r="26">
      <c r="B26" t="s">
        <v>11</v>
      </c>
      <c r="F26" s="5"/>
      <c r="U26" s="3">
        <f>U24/U25</f>
        <v>22.588347061961358</v>
      </c>
    </row>
    <row r="27">
      <c r="F27" s="5"/>
      <c r="V27" s="1" t="s">
        <v>62</v>
      </c>
      <c r="W27" s="1" t="s">
        <v>108</v>
      </c>
      <c r="X27" s="1" t="s">
        <v>109</v>
      </c>
      <c r="Y27" s="1" t="s">
        <v>110</v>
      </c>
    </row>
    <row r="28">
      <c r="B28" t="s">
        <v>111</v>
      </c>
      <c r="F28" s="5"/>
      <c r="G28" s="14">
        <f>G7/C7-1</f>
        <v>0.30986802118607293</v>
      </c>
      <c r="H28" s="14">
        <f>H7/D7-1</f>
        <v>0.30664107622043346</v>
      </c>
      <c r="I28" s="14">
        <f>I7/E7-1</f>
        <v>0.45303695509385689</v>
      </c>
      <c r="J28" s="14">
        <f>J7/F7-1</f>
        <v>0.51339795685237766</v>
      </c>
      <c r="K28" s="14">
        <f>K7/G7-1</f>
        <v>0.57338879406062015</v>
      </c>
      <c r="L28" s="14">
        <f>L7/H7-1</f>
        <v>0.42990234746892253</v>
      </c>
      <c r="M28" s="14">
        <f>M7/I7-1</f>
        <v>0.22742196421773908</v>
      </c>
      <c r="N28" s="14">
        <f>N7/J7-1</f>
        <v>0.20749854428605308</v>
      </c>
      <c r="T28" s="14">
        <f>T7/S7-1</f>
        <v>0.40275458683906584</v>
      </c>
      <c r="U28" s="14">
        <f>U7/T7-1</f>
        <v>0.33660305231711307</v>
      </c>
      <c r="V28" s="16">
        <f>AVERAGE(G28:N28)</f>
        <v>0.37764445742325947</v>
      </c>
      <c r="W28" s="16">
        <f>MEDIAN(G28:N28)</f>
        <v>0.36988518432749773</v>
      </c>
      <c r="X28" s="16">
        <v>0.14999999999999999</v>
      </c>
      <c r="Y28" s="16">
        <v>0.070000000000000007</v>
      </c>
      <c r="AD28" s="14"/>
      <c r="AK28" s="1" t="s">
        <v>112</v>
      </c>
      <c r="AL28" s="13">
        <v>0.01</v>
      </c>
    </row>
    <row r="29">
      <c r="B29" s="29" t="s">
        <v>67</v>
      </c>
      <c r="F29" s="5"/>
      <c r="G29" s="14">
        <f>G3/C3-1</f>
        <v>0.56946230053694324</v>
      </c>
      <c r="H29" s="14">
        <f>H3/D3-1</f>
        <v>0.66375234764587776</v>
      </c>
      <c r="I29" s="14">
        <f>I3/E3-1</f>
        <v>0.70473996050032928</v>
      </c>
      <c r="J29" s="14">
        <f>J3/F3-1</f>
        <v>0.76881355932203399</v>
      </c>
      <c r="K29" s="14">
        <f>K3/G3-1</f>
        <v>0.85250325254180104</v>
      </c>
      <c r="L29" s="14">
        <f>L3/H3-1</f>
        <v>0.58014791747761785</v>
      </c>
      <c r="M29" s="14">
        <f>M3/I3-1</f>
        <v>0.42302246250884989</v>
      </c>
      <c r="N29" s="14">
        <f>N3/J3-1</f>
        <v>0.43125866084854203</v>
      </c>
      <c r="T29" s="14">
        <f>T3/S3-1</f>
        <v>0.68670723216177754</v>
      </c>
      <c r="U29" s="14">
        <f>U3/T3-1</f>
        <v>0.54173771021411787</v>
      </c>
      <c r="V29" s="16">
        <f>AVERAGE(G29:U29)</f>
        <v>0.62221454037578905</v>
      </c>
      <c r="W29" s="16">
        <f>MEDIAN(G29:U29)</f>
        <v>0.6219501325617478</v>
      </c>
      <c r="X29" s="16">
        <v>0.14999999999999999</v>
      </c>
      <c r="Y29" s="16">
        <v>0.070000000000000007</v>
      </c>
      <c r="AD29" s="14"/>
      <c r="AK29" s="1" t="s">
        <v>68</v>
      </c>
      <c r="AL29" s="13">
        <v>0.12</v>
      </c>
    </row>
    <row r="30">
      <c r="B30" t="s">
        <v>73</v>
      </c>
      <c r="C30" s="14">
        <f>C11/C3</f>
        <v>0.61846782122060051</v>
      </c>
      <c r="D30" s="14">
        <f>D11/D3</f>
        <v>0.66109707920471472</v>
      </c>
      <c r="E30" s="14">
        <f>E11/E3</f>
        <v>0.6251920122887864</v>
      </c>
      <c r="F30" s="15">
        <f>F11/F3</f>
        <v>0.51415906127770539</v>
      </c>
      <c r="G30" s="14">
        <f>G11/G3</f>
        <v>0.57360381631571344</v>
      </c>
      <c r="H30" s="14">
        <f>H11/H3</f>
        <v>0.57181782794861824</v>
      </c>
      <c r="I30" s="14">
        <f>I11/I3</f>
        <v>0.55046019180021888</v>
      </c>
      <c r="J30" s="14">
        <f>J11/J3</f>
        <v>0.53884482707786652</v>
      </c>
      <c r="K30" s="14">
        <f>K11/K3</f>
        <v>0.47473013395760177</v>
      </c>
      <c r="L30" s="14">
        <f>L11/L3</f>
        <v>0.49228950091146478</v>
      </c>
      <c r="M30" s="14">
        <f t="shared" ref="M30:M31" si="71">M11/M3</f>
        <v>0.50853705420746742</v>
      </c>
      <c r="N30" s="14">
        <f t="shared" ref="N30:N31" si="72">N11/N3</f>
        <v>0.44236156888595918</v>
      </c>
      <c r="T30" s="14">
        <f t="shared" ref="T30:T31" si="73">T11/T3</f>
        <v>0.55615880251987726</v>
      </c>
      <c r="U30" s="14">
        <f t="shared" ref="U30:U31" si="74">U11/U3</f>
        <v>0.47843447689782426</v>
      </c>
      <c r="V30" s="16">
        <f>AVERAGE(C30:U30)</f>
        <v>0.54329672675102991</v>
      </c>
      <c r="W30" s="16">
        <f>MEDIAN(C30:N30)</f>
        <v>0.54465250943904264</v>
      </c>
      <c r="X30" s="16">
        <v>0.54000000000000004</v>
      </c>
      <c r="Y30" s="16">
        <v>0.54000000000000004</v>
      </c>
      <c r="AK30" s="1" t="s">
        <v>113</v>
      </c>
      <c r="AL30" s="3">
        <f>AL31*AL34/10000000</f>
        <v>25451.952433945</v>
      </c>
    </row>
    <row r="31">
      <c r="B31" t="s">
        <v>114</v>
      </c>
      <c r="F31" s="5"/>
      <c r="L31" s="14"/>
      <c r="M31" s="14">
        <f t="shared" si="71"/>
        <v>0.11869633099141297</v>
      </c>
      <c r="N31" s="14">
        <f t="shared" si="72"/>
        <v>0.14056301760734916</v>
      </c>
      <c r="T31" s="14">
        <f t="shared" si="73"/>
        <v>0</v>
      </c>
      <c r="U31" s="14">
        <f t="shared" si="74"/>
        <v>0</v>
      </c>
      <c r="V31" s="16">
        <f t="shared" ref="V31:V34" si="75">AVERAGE(G31:N31)</f>
        <v>0.12962967429938105</v>
      </c>
      <c r="W31" s="16">
        <f t="shared" ref="W31:W34" si="76">MEDIAN(G31:N31)</f>
        <v>0.12962967429938105</v>
      </c>
      <c r="X31" s="16">
        <v>0.12962967429938105</v>
      </c>
      <c r="Y31" s="16">
        <f>MEDIAN(I31:P31)</f>
        <v>0.12962967429938105</v>
      </c>
      <c r="AK31" s="1" t="s">
        <v>70</v>
      </c>
      <c r="AL31" s="17">
        <f>Business!E9</f>
        <v>35991533</v>
      </c>
    </row>
    <row r="32">
      <c r="B32" t="s">
        <v>79</v>
      </c>
      <c r="F32" s="5"/>
      <c r="G32" s="14">
        <f>G15/C15-1</f>
        <v>0.45525800130633565</v>
      </c>
      <c r="H32" s="14">
        <f>H15/D15-1</f>
        <v>0.26531671858774653</v>
      </c>
      <c r="I32" s="14">
        <f>I15/E15-1</f>
        <v>0.97260273972602751</v>
      </c>
      <c r="J32" s="14">
        <f>J15/F15-1</f>
        <v>0.43817718291905683</v>
      </c>
      <c r="K32" s="14">
        <f>K15/G15-1</f>
        <v>-0.094703770197486548</v>
      </c>
      <c r="L32" s="14">
        <f>L15/H15-1</f>
        <v>-0.11817808781288475</v>
      </c>
      <c r="M32" s="14">
        <f>M15/I15-1</f>
        <v>-0.46146953405017921</v>
      </c>
      <c r="N32" s="14">
        <f>N15/J15-1</f>
        <v>-0.36472413029027251</v>
      </c>
      <c r="T32" s="14">
        <f>T15/S15-1</f>
        <v>0.53985098216301663</v>
      </c>
      <c r="U32" s="14">
        <f>U15/T15-1</f>
        <v>-0.30813782991202354</v>
      </c>
      <c r="V32" s="16">
        <f t="shared" si="75"/>
        <v>0.13653489002354291</v>
      </c>
      <c r="W32" s="16">
        <f t="shared" si="76"/>
        <v>0.085306474195129989</v>
      </c>
      <c r="X32" s="16">
        <v>0.085306474195129989</v>
      </c>
      <c r="Y32" s="16">
        <v>0.074999999999999997</v>
      </c>
      <c r="AK32" s="1" t="s">
        <v>72</v>
      </c>
      <c r="AL32" s="3">
        <f>NPV(AL29,Z21:CQ21)</f>
        <v>34398.032092412439</v>
      </c>
    </row>
    <row r="33">
      <c r="B33" s="29" t="s">
        <v>78</v>
      </c>
      <c r="F33" s="5"/>
      <c r="G33" s="14">
        <f>G13/C13-1</f>
        <v>0.11191479667388071</v>
      </c>
      <c r="H33" s="14">
        <f>H13/D13-1</f>
        <v>0.25001467911455566</v>
      </c>
      <c r="I33" s="14">
        <f>I13/E13-1</f>
        <v>0.23804446340033047</v>
      </c>
      <c r="J33" s="14">
        <f>J13/F13-1</f>
        <v>0.28371664190954271</v>
      </c>
      <c r="K33" s="14">
        <f>K13/G13-1</f>
        <v>0.41679045228704625</v>
      </c>
      <c r="L33" s="14">
        <f>L13/H13-1</f>
        <v>0.37615670064352513</v>
      </c>
      <c r="M33" s="14">
        <f>M13/I13-1</f>
        <v>0.24252863663767132</v>
      </c>
      <c r="N33" s="14">
        <f>N13/J13-1</f>
        <v>0.22839358391189846</v>
      </c>
      <c r="T33" s="14">
        <f>T13/S13-1</f>
        <v>0.2226671533768263</v>
      </c>
      <c r="U33" s="14">
        <f>U13/T13-1</f>
        <v>0.30866705576007925</v>
      </c>
      <c r="V33" s="16">
        <f t="shared" si="75"/>
        <v>0.26844499432230634</v>
      </c>
      <c r="W33" s="16">
        <f t="shared" si="76"/>
        <v>0.24627165787611349</v>
      </c>
      <c r="X33" s="16">
        <v>0.14999999999999999</v>
      </c>
      <c r="Y33" s="16">
        <v>0.070000000000000007</v>
      </c>
      <c r="AF33" s="14"/>
      <c r="AK33" s="1" t="s">
        <v>115</v>
      </c>
      <c r="AL33" s="3">
        <f>AL32*10000000/AL31</f>
        <v>9557.2567282456239</v>
      </c>
    </row>
    <row r="34">
      <c r="B34" t="s">
        <v>116</v>
      </c>
      <c r="F34" s="5"/>
      <c r="G34" s="14">
        <f>G17/C17-1</f>
        <v>0.26483566646378565</v>
      </c>
      <c r="H34" s="14">
        <f>H17/D17-1</f>
        <v>0.20677546873964792</v>
      </c>
      <c r="I34" s="14">
        <f>I17/E17-1</f>
        <v>0.29545791424033885</v>
      </c>
      <c r="J34" s="14">
        <f>J17/F17-1</f>
        <v>0.36579290712845447</v>
      </c>
      <c r="K34" s="14">
        <f>K17/G17-1</f>
        <v>0.32186466165413519</v>
      </c>
      <c r="L34" s="14">
        <f>L17/H17-1</f>
        <v>0.29774540663201821</v>
      </c>
      <c r="M34" s="14">
        <f>M17/I17-1</f>
        <v>0.14663768021184098</v>
      </c>
      <c r="N34" s="14">
        <f>N17/J17-1</f>
        <v>0.14122159502098741</v>
      </c>
      <c r="T34" s="14">
        <f>T17/S17-1</f>
        <v>0.28631373754341216</v>
      </c>
      <c r="U34" s="14">
        <f>U17/T17-1</f>
        <v>0.15714084920969595</v>
      </c>
      <c r="V34" s="16">
        <f t="shared" si="75"/>
        <v>0.25504141251140111</v>
      </c>
      <c r="W34" s="16">
        <f t="shared" si="76"/>
        <v>0.28014679035206225</v>
      </c>
      <c r="X34" s="16">
        <f>W34</f>
        <v>0.28014679035206225</v>
      </c>
      <c r="Y34" s="16">
        <f>X34</f>
        <v>0.28014679035206225</v>
      </c>
      <c r="AK34" s="1" t="s">
        <v>106</v>
      </c>
      <c r="AL34">
        <f>Business!D9</f>
        <v>7071.6499999999996</v>
      </c>
    </row>
    <row r="35">
      <c r="B35" t="s">
        <v>117</v>
      </c>
      <c r="C35" s="14">
        <f>C20/C18*-1</f>
        <v>0.3152824405196325</v>
      </c>
      <c r="D35" s="32">
        <f>D20/D18*-1</f>
        <v>0.24977872189768097</v>
      </c>
      <c r="E35" s="32">
        <f>E20/E18*-1</f>
        <v>0.22360757189661451</v>
      </c>
      <c r="F35" s="33">
        <f>F20/F18*-1</f>
        <v>0.23406873516744311</v>
      </c>
      <c r="G35" s="32">
        <f>G20/G18*-1</f>
        <v>0.19692941645620096</v>
      </c>
      <c r="H35" s="32">
        <f>H20/H18*-1</f>
        <v>0.2434117462147011</v>
      </c>
      <c r="I35" s="32">
        <f>I20/I18*-1</f>
        <v>0.23661140525996022</v>
      </c>
      <c r="J35" s="32">
        <f>J20/J18*-1</f>
        <v>0.23749527529293185</v>
      </c>
      <c r="K35" s="32">
        <f>K20/K18*-1</f>
        <v>0.25920245398773001</v>
      </c>
      <c r="L35" s="32">
        <f>L20/L18*-1</f>
        <v>0.25893011216566009</v>
      </c>
      <c r="M35" s="32">
        <f>M20/M18*-1</f>
        <v>0.2469865067466267</v>
      </c>
      <c r="N35" s="32">
        <f>N20/N18*-1</f>
        <v>0.25211108468125609</v>
      </c>
      <c r="T35" s="32">
        <f>T20/T18*-1</f>
        <v>0.23113614671014679</v>
      </c>
      <c r="U35" s="32">
        <f>U20/U18*-1</f>
        <v>0.22942039062876504</v>
      </c>
      <c r="V35" s="16">
        <f>AVERAGE(C35:N35)</f>
        <v>0.24620128919053652</v>
      </c>
      <c r="W35" s="16">
        <f>MEDIAN(C35:N35)</f>
        <v>0.24519912648066389</v>
      </c>
      <c r="X35" s="16">
        <f>MEDIAN(D35:O35)</f>
        <v>0.2434117462147011</v>
      </c>
      <c r="Y35" s="16">
        <f>MEDIAN(E35:P35)</f>
        <v>0.24045351075381649</v>
      </c>
    </row>
    <row r="36">
      <c r="B36" t="s">
        <v>118</v>
      </c>
      <c r="F36" s="5"/>
      <c r="X36" s="14">
        <f>(0.8*13+0.2*0.5)/100</f>
        <v>0.105</v>
      </c>
      <c r="Y36" s="14">
        <f>X36-0.02</f>
        <v>0.084999999999999992</v>
      </c>
      <c r="AK36" s="14"/>
    </row>
    <row r="37">
      <c r="F37" s="5"/>
    </row>
    <row r="38">
      <c r="Z38" s="29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18.28125"/>
  </cols>
  <sheetData>
    <row r="2" ht="14.25">
      <c r="B2" t="s">
        <v>119</v>
      </c>
    </row>
    <row r="3" ht="14.25"/>
    <row r="4" ht="14.25">
      <c r="B4" t="s">
        <v>85</v>
      </c>
    </row>
    <row r="5" ht="14.25">
      <c r="B5" t="s">
        <v>120</v>
      </c>
    </row>
    <row r="6" ht="14.25">
      <c r="B6" t="s">
        <v>121</v>
      </c>
    </row>
    <row r="7" ht="14.25">
      <c r="B7" t="s">
        <v>122</v>
      </c>
    </row>
    <row r="8" ht="14.25">
      <c r="B8" t="s">
        <v>123</v>
      </c>
    </row>
    <row r="9" ht="14.25">
      <c r="B9" t="s">
        <v>124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5"/>
  <cols>
    <col customWidth="1" min="2" max="2" width="24.140625"/>
  </cols>
  <sheetData>
    <row r="1">
      <c r="A1" t="s">
        <v>28</v>
      </c>
    </row>
    <row r="2">
      <c r="C2">
        <v>2023</v>
      </c>
      <c r="D2">
        <v>2024</v>
      </c>
    </row>
    <row r="3">
      <c r="B3" t="s">
        <v>95</v>
      </c>
      <c r="C3">
        <v>14290.58</v>
      </c>
    </row>
    <row r="4">
      <c r="B4" t="s">
        <v>97</v>
      </c>
      <c r="C4">
        <v>2.7200000000000002</v>
      </c>
    </row>
    <row r="5">
      <c r="B5" t="s">
        <v>125</v>
      </c>
      <c r="C5">
        <v>1348.54</v>
      </c>
    </row>
    <row r="6">
      <c r="B6" t="s">
        <v>126</v>
      </c>
      <c r="C6">
        <v>362.13</v>
      </c>
    </row>
    <row r="7">
      <c r="B7" t="s">
        <v>127</v>
      </c>
      <c r="C7">
        <v>58.979999999999997</v>
      </c>
    </row>
    <row r="8">
      <c r="B8" t="s">
        <v>128</v>
      </c>
      <c r="C8">
        <v>486.43000000000001</v>
      </c>
    </row>
    <row r="9">
      <c r="B9" t="s">
        <v>129</v>
      </c>
      <c r="C9">
        <v>17950.07</v>
      </c>
    </row>
    <row r="10">
      <c r="B10" t="s">
        <v>130</v>
      </c>
      <c r="C10">
        <v>0</v>
      </c>
    </row>
    <row r="11">
      <c r="B11" t="s">
        <v>131</v>
      </c>
      <c r="C11">
        <v>6.0899999999999999</v>
      </c>
    </row>
    <row r="12">
      <c r="C12">
        <f>SUM(C3:C11)</f>
        <v>34505.539999999994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20" zoomScale="100" workbookViewId="0">
      <selection activeCell="A1" activeCellId="0" sqref="A1"/>
    </sheetView>
  </sheetViews>
  <sheetFormatPr defaultRowHeight="14.25"/>
  <cols>
    <col min="1" max="16384" style="34" width="9.140625"/>
  </cols>
  <sheetData>
    <row r="1" ht="16.5">
      <c r="A1" s="34" t="s">
        <v>132</v>
      </c>
    </row>
    <row r="2" ht="14.25">
      <c r="A2" s="34"/>
    </row>
    <row r="3" ht="16.5">
      <c r="B3" s="34" t="s">
        <v>133</v>
      </c>
    </row>
    <row r="4" ht="16.5">
      <c r="B4" s="34" t="s">
        <v>134</v>
      </c>
    </row>
    <row r="5" ht="16.5">
      <c r="B5" s="34" t="s">
        <v>120</v>
      </c>
    </row>
    <row r="6" ht="16.5">
      <c r="B6" s="34" t="s">
        <v>135</v>
      </c>
    </row>
    <row r="7" ht="16.5">
      <c r="B7" s="34" t="s">
        <v>136</v>
      </c>
    </row>
    <row r="8" ht="16.5">
      <c r="B8" s="34" t="s">
        <v>137</v>
      </c>
    </row>
    <row r="9" ht="16.5">
      <c r="B9" s="34" t="s">
        <v>84</v>
      </c>
    </row>
    <row r="10" ht="16.5">
      <c r="B10" s="34" t="s">
        <v>138</v>
      </c>
    </row>
    <row r="11" ht="16.5">
      <c r="B11" s="34" t="s">
        <v>139</v>
      </c>
    </row>
    <row r="12" ht="16.5">
      <c r="B12" s="34" t="s">
        <v>140</v>
      </c>
    </row>
    <row r="13" ht="16.5">
      <c r="B13" s="34" t="s">
        <v>141</v>
      </c>
    </row>
    <row r="17" ht="16.5">
      <c r="B17" s="35" t="s">
        <v>142</v>
      </c>
    </row>
    <row r="18" ht="16.5">
      <c r="B18" s="34"/>
      <c r="D18" s="34" t="s">
        <v>143</v>
      </c>
    </row>
    <row r="19" ht="14.25">
      <c r="D19" s="34" t="s">
        <v>144</v>
      </c>
    </row>
    <row r="20" ht="14.25">
      <c r="D20" s="34" t="s">
        <v>145</v>
      </c>
      <c r="F20" s="34" t="s">
        <v>146</v>
      </c>
    </row>
    <row r="21" ht="14.25">
      <c r="D21" s="34" t="s">
        <v>147</v>
      </c>
      <c r="F21" s="34" t="s">
        <v>148</v>
      </c>
    </row>
    <row r="22" ht="14.25">
      <c r="D22" s="34" t="s">
        <v>149</v>
      </c>
      <c r="F22" s="34" t="s">
        <v>150</v>
      </c>
    </row>
    <row r="24" ht="14.25">
      <c r="B24" s="35" t="s">
        <v>151</v>
      </c>
    </row>
    <row r="25" ht="14.25">
      <c r="D25" s="34" t="s">
        <v>152</v>
      </c>
      <c r="F25" s="34" t="s">
        <v>153</v>
      </c>
    </row>
    <row r="26" ht="14.25">
      <c r="D26" s="34" t="s">
        <v>154</v>
      </c>
      <c r="F26" s="34" t="s">
        <v>155</v>
      </c>
    </row>
    <row r="28" ht="14.25">
      <c r="D28" s="34" t="s">
        <v>156</v>
      </c>
      <c r="E28" s="34"/>
      <c r="G28" s="34" t="s">
        <v>157</v>
      </c>
    </row>
    <row r="29" ht="14.25">
      <c r="D29" s="34" t="s">
        <v>158</v>
      </c>
    </row>
    <row r="30" ht="14.25">
      <c r="D30" s="34" t="s">
        <v>159</v>
      </c>
    </row>
    <row r="31" ht="14.25">
      <c r="D31" s="34" t="s">
        <v>160</v>
      </c>
    </row>
    <row r="32" ht="14.25">
      <c r="D32" s="34" t="s">
        <v>161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1.421875"/>
    <col customWidth="1" min="2" max="2" width="20.57421875"/>
    <col customWidth="1" min="3" max="5" width="17.7109375"/>
    <col customWidth="1" min="6" max="6" style="5" width="17.7109375"/>
    <col customWidth="1" min="7" max="7" style="29" width="17.7109375"/>
    <col customWidth="1" min="8" max="37" width="17.7109375"/>
    <col customWidth="1" min="38" max="38" width="19.421875"/>
    <col customWidth="1" min="39" max="16384" width="17.7109375"/>
  </cols>
  <sheetData>
    <row r="1">
      <c r="A1" s="1" t="s">
        <v>28</v>
      </c>
      <c r="B1" t="s">
        <v>162</v>
      </c>
      <c r="C1" s="29"/>
      <c r="D1" s="29"/>
      <c r="E1" s="29"/>
      <c r="F1" s="5"/>
      <c r="G1" s="29"/>
      <c r="H1" s="29"/>
      <c r="I1" s="29"/>
      <c r="J1" s="29"/>
      <c r="K1" s="29"/>
      <c r="L1" s="29"/>
      <c r="M1" s="29"/>
      <c r="N1" s="29"/>
      <c r="S1" s="29"/>
      <c r="X1" s="29"/>
      <c r="Y1" s="29"/>
      <c r="Z1" s="29"/>
      <c r="AA1" s="29" t="s">
        <v>163</v>
      </c>
      <c r="AD1" s="36" t="s">
        <v>164</v>
      </c>
      <c r="AE1" t="s">
        <v>165</v>
      </c>
      <c r="AF1" s="36" t="s">
        <v>166</v>
      </c>
    </row>
    <row r="2" s="1" customFormat="1">
      <c r="C2" s="1" t="s">
        <v>30</v>
      </c>
      <c r="D2" s="1" t="s">
        <v>31</v>
      </c>
      <c r="E2" s="1" t="s">
        <v>32</v>
      </c>
      <c r="F2" s="4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1" t="s">
        <v>38</v>
      </c>
      <c r="L2" s="1" t="s">
        <v>39</v>
      </c>
      <c r="M2" s="1" t="s">
        <v>40</v>
      </c>
      <c r="N2" s="4" t="s">
        <v>41</v>
      </c>
      <c r="O2" s="1" t="s">
        <v>42</v>
      </c>
      <c r="P2" s="1" t="s">
        <v>43</v>
      </c>
      <c r="Q2" s="1" t="s">
        <v>44</v>
      </c>
      <c r="R2" s="4" t="s">
        <v>45</v>
      </c>
      <c r="S2" s="1"/>
      <c r="T2" s="1"/>
      <c r="U2" s="1">
        <v>2013</v>
      </c>
      <c r="V2" s="1">
        <v>2014</v>
      </c>
      <c r="W2" s="1">
        <v>2015</v>
      </c>
      <c r="X2" s="1">
        <v>2016</v>
      </c>
      <c r="Y2" s="1">
        <v>2017</v>
      </c>
      <c r="Z2" s="1">
        <v>2018</v>
      </c>
      <c r="AA2" s="1">
        <v>2019</v>
      </c>
      <c r="AB2" s="1">
        <v>2020</v>
      </c>
      <c r="AC2" s="1">
        <v>2021</v>
      </c>
      <c r="AD2" s="1">
        <f>AC2+1</f>
        <v>2022</v>
      </c>
      <c r="AE2" s="10">
        <f>AD2+1</f>
        <v>2023</v>
      </c>
      <c r="AF2" s="10">
        <f>AE2+1</f>
        <v>2024</v>
      </c>
      <c r="AG2" s="10">
        <f>AF2+1</f>
        <v>2025</v>
      </c>
      <c r="AH2" s="10"/>
      <c r="AI2" s="10"/>
      <c r="AJ2" s="10"/>
      <c r="AK2" s="10">
        <v>2025</v>
      </c>
      <c r="AL2" s="1">
        <v>2026</v>
      </c>
      <c r="AM2" s="1">
        <f>AL2+1</f>
        <v>2027</v>
      </c>
      <c r="AN2" s="1">
        <f>AM2+1</f>
        <v>2028</v>
      </c>
      <c r="AO2" s="1">
        <f>AN2+1</f>
        <v>2029</v>
      </c>
      <c r="AP2" s="1">
        <f>AO2+1</f>
        <v>2030</v>
      </c>
      <c r="AQ2" s="1">
        <f>AP2+1</f>
        <v>2031</v>
      </c>
      <c r="AR2" s="1">
        <f>AQ2+1</f>
        <v>2032</v>
      </c>
      <c r="AS2" s="1">
        <f>AR2+1</f>
        <v>2033</v>
      </c>
      <c r="AT2" s="1">
        <f>AS2+1</f>
        <v>2034</v>
      </c>
      <c r="AU2" s="1">
        <f>AT2+1</f>
        <v>2035</v>
      </c>
      <c r="AV2" s="1"/>
      <c r="AW2" s="1"/>
    </row>
    <row r="3">
      <c r="B3" t="s">
        <v>46</v>
      </c>
      <c r="C3" s="29">
        <v>211.97999999999999</v>
      </c>
      <c r="D3" s="29">
        <v>248.62</v>
      </c>
      <c r="E3" s="29">
        <v>313.97000000000003</v>
      </c>
      <c r="F3" s="5">
        <v>259.49000000000001</v>
      </c>
      <c r="G3" s="29">
        <v>255.34999999999999</v>
      </c>
      <c r="H3" s="29">
        <v>281.86000000000001</v>
      </c>
      <c r="I3" s="29">
        <v>337.82999999999998</v>
      </c>
      <c r="J3" s="5">
        <v>353.24000000000001</v>
      </c>
      <c r="K3" s="29">
        <v>399.5</v>
      </c>
      <c r="L3" s="29">
        <v>448.80000000000001</v>
      </c>
      <c r="M3" s="29">
        <v>490.13999999999999</v>
      </c>
      <c r="N3" s="5">
        <v>556.26999999999998</v>
      </c>
      <c r="O3">
        <v>587.29999999999995</v>
      </c>
      <c r="P3" s="6">
        <v>666.47000000000003</v>
      </c>
      <c r="Q3" s="6">
        <v>604.70000000000005</v>
      </c>
      <c r="R3" s="5">
        <v>584.84000000000003</v>
      </c>
      <c r="S3" s="29"/>
      <c r="X3" s="29"/>
      <c r="Y3" s="29"/>
      <c r="Z3" s="29"/>
      <c r="AA3">
        <v>817.83000000000004</v>
      </c>
      <c r="AB3" s="6">
        <v>767.53999999999996</v>
      </c>
      <c r="AC3">
        <v>753.12</v>
      </c>
      <c r="AD3">
        <v>1034.25</v>
      </c>
      <c r="AE3" s="6">
        <v>1228.29</v>
      </c>
      <c r="AF3">
        <v>1894.72</v>
      </c>
      <c r="AG3">
        <v>2443.3200000000002</v>
      </c>
      <c r="AH3" s="29"/>
      <c r="AI3" s="29"/>
      <c r="AJ3" s="29"/>
      <c r="AK3" s="6">
        <v>2443.3200000000002</v>
      </c>
      <c r="AL3" s="3">
        <f t="shared" ref="AL3:AL8" si="77">AK3*(1+$AJ$44)</f>
        <v>2687.6520000000005</v>
      </c>
      <c r="AM3" s="3">
        <f t="shared" ref="AM3:AM8" si="78">AL3*(1+$AJ$44)</f>
        <v>2956.4172000000008</v>
      </c>
      <c r="AN3" s="3">
        <f t="shared" ref="AN3:AN8" si="79">AM3*(1+$AJ$44)</f>
        <v>3252.0589200000013</v>
      </c>
      <c r="AO3" s="3">
        <f t="shared" ref="AO3:AO8" si="80">AN3*(1+$AJ$44)</f>
        <v>3577.2648120000017</v>
      </c>
      <c r="AP3" s="3">
        <f t="shared" ref="AP3:AP8" si="81">AO3*(1+$AJ$44)</f>
        <v>3934.991293200002</v>
      </c>
      <c r="AQ3" s="3">
        <f t="shared" ref="AQ3:AQ8" si="82">AP3*(1+$AJ$44)</f>
        <v>4328.4904225200025</v>
      </c>
      <c r="AR3" s="3">
        <f t="shared" ref="AR3:AR8" si="83">AQ3*(1+$AJ$44)</f>
        <v>4761.3394647720033</v>
      </c>
      <c r="AS3" s="3">
        <f t="shared" ref="AS3:AS8" si="84">AR3*(1+$AJ$44)</f>
        <v>5237.4734112492042</v>
      </c>
      <c r="AT3" s="3">
        <f t="shared" ref="AT3:AT8" si="85">AS3*(1+$AJ$44)</f>
        <v>5761.2207523741254</v>
      </c>
      <c r="AU3" s="3">
        <f t="shared" ref="AU3:AU8" si="86">AT3*(1+$AJ$44)</f>
        <v>6337.3428276115383</v>
      </c>
    </row>
    <row r="4">
      <c r="B4" t="s">
        <v>167</v>
      </c>
      <c r="C4" s="29">
        <v>0.13</v>
      </c>
      <c r="D4" s="29">
        <v>97.010000000000005</v>
      </c>
      <c r="E4" s="29">
        <v>1.4399999999999999</v>
      </c>
      <c r="F4" s="5">
        <v>3.5299999999999998</v>
      </c>
      <c r="G4" s="29">
        <v>0.17999999999999999</v>
      </c>
      <c r="H4" s="29">
        <v>3.54</v>
      </c>
      <c r="I4" s="29">
        <v>0.54000000000000004</v>
      </c>
      <c r="J4" s="5">
        <v>4.5599999999999996</v>
      </c>
      <c r="K4" s="29">
        <v>0.81999999999999995</v>
      </c>
      <c r="L4" s="29">
        <v>6.7800000000000002</v>
      </c>
      <c r="M4" s="29">
        <v>0.38</v>
      </c>
      <c r="N4" s="5">
        <v>0.60999999999999999</v>
      </c>
      <c r="O4">
        <v>0.87</v>
      </c>
      <c r="P4" s="6">
        <v>7.9199999999999999</v>
      </c>
      <c r="Q4" s="6">
        <v>0.27000000000000002</v>
      </c>
      <c r="R4" s="5">
        <v>0.94999999999999996</v>
      </c>
      <c r="S4" s="29"/>
      <c r="X4" s="29"/>
      <c r="Y4" s="29"/>
      <c r="Z4" s="29"/>
      <c r="AA4">
        <v>0.37</v>
      </c>
      <c r="AB4" s="6">
        <v>1.9399999999999999</v>
      </c>
      <c r="AC4">
        <v>1.53</v>
      </c>
      <c r="AD4">
        <v>102.11</v>
      </c>
      <c r="AE4" s="6">
        <v>8.8200000000000003</v>
      </c>
      <c r="AF4">
        <v>8.5800000000000001</v>
      </c>
      <c r="AG4">
        <v>10.01</v>
      </c>
      <c r="AH4" s="29"/>
      <c r="AI4" s="29"/>
      <c r="AJ4" s="29"/>
      <c r="AK4" s="6">
        <v>10.01</v>
      </c>
      <c r="AL4" s="8">
        <f t="shared" si="77"/>
        <v>11.011000000000001</v>
      </c>
      <c r="AM4" s="8">
        <f t="shared" si="78"/>
        <v>12.112100000000002</v>
      </c>
      <c r="AN4" s="8">
        <f t="shared" si="79"/>
        <v>13.323310000000003</v>
      </c>
      <c r="AO4" s="8">
        <f t="shared" si="80"/>
        <v>14.655641000000005</v>
      </c>
      <c r="AP4" s="8">
        <f t="shared" si="81"/>
        <v>16.121205100000008</v>
      </c>
      <c r="AQ4" s="8">
        <f t="shared" si="82"/>
        <v>17.733325610000012</v>
      </c>
      <c r="AR4" s="8">
        <f t="shared" si="83"/>
        <v>19.506658171000016</v>
      </c>
      <c r="AS4" s="8">
        <f t="shared" si="84"/>
        <v>21.457323988100018</v>
      </c>
      <c r="AT4" s="8">
        <f t="shared" si="85"/>
        <v>23.603056386910023</v>
      </c>
      <c r="AU4" s="8">
        <f t="shared" si="86"/>
        <v>25.963362025601025</v>
      </c>
    </row>
    <row r="5">
      <c r="B5" t="s">
        <v>168</v>
      </c>
      <c r="C5" s="29">
        <v>0.01</v>
      </c>
      <c r="D5" s="29">
        <v>0.089999999999999997</v>
      </c>
      <c r="E5" s="29">
        <v>0.070000000000000007</v>
      </c>
      <c r="F5" s="5">
        <v>0.01</v>
      </c>
      <c r="G5" s="29">
        <v>0.23000000000000001</v>
      </c>
      <c r="H5" s="29">
        <v>0.01</v>
      </c>
      <c r="I5" s="29">
        <v>0.02</v>
      </c>
      <c r="J5" s="5">
        <v>0.01</v>
      </c>
      <c r="K5" s="29">
        <v>0.28999999999999998</v>
      </c>
      <c r="L5" s="29">
        <v>0.22</v>
      </c>
      <c r="M5" s="29">
        <v>0.01</v>
      </c>
      <c r="N5" s="5">
        <v>0.01</v>
      </c>
      <c r="O5">
        <v>0.34999999999999998</v>
      </c>
      <c r="P5" s="6">
        <v>0.01</v>
      </c>
      <c r="Q5" s="6">
        <v>0.01</v>
      </c>
      <c r="R5" s="5">
        <v>0.01</v>
      </c>
      <c r="S5" s="29"/>
      <c r="X5" s="29"/>
      <c r="Y5" s="29"/>
      <c r="Z5" s="29"/>
      <c r="AA5">
        <v>3.6299999999999999</v>
      </c>
      <c r="AB5" s="6">
        <v>0.39000000000000001</v>
      </c>
      <c r="AC5">
        <v>0.17000000000000001</v>
      </c>
      <c r="AD5">
        <v>0.17000000000000001</v>
      </c>
      <c r="AE5" s="6">
        <v>0.26000000000000001</v>
      </c>
      <c r="AF5">
        <v>0.53000000000000003</v>
      </c>
      <c r="AG5">
        <v>0.38</v>
      </c>
      <c r="AH5" s="29"/>
      <c r="AI5" s="29"/>
      <c r="AJ5" s="29"/>
      <c r="AK5" s="6">
        <v>0.38</v>
      </c>
      <c r="AL5" s="8">
        <f t="shared" si="77"/>
        <v>0.41800000000000004</v>
      </c>
      <c r="AM5" s="8">
        <f t="shared" si="78"/>
        <v>0.4598000000000001</v>
      </c>
      <c r="AN5" s="8">
        <f t="shared" si="79"/>
        <v>0.50578000000000012</v>
      </c>
      <c r="AO5" s="8">
        <f t="shared" si="80"/>
        <v>0.55635800000000013</v>
      </c>
      <c r="AP5" s="8">
        <f t="shared" si="81"/>
        <v>0.61199380000000014</v>
      </c>
      <c r="AQ5" s="8">
        <f t="shared" si="82"/>
        <v>0.67319318000000017</v>
      </c>
      <c r="AR5" s="8">
        <f t="shared" si="83"/>
        <v>0.7405124980000003</v>
      </c>
      <c r="AS5" s="8">
        <f t="shared" si="84"/>
        <v>0.8145637478000004</v>
      </c>
      <c r="AT5" s="8">
        <f t="shared" si="85"/>
        <v>0.89602012258000052</v>
      </c>
      <c r="AU5" s="8">
        <f t="shared" si="86"/>
        <v>0.98562213483800065</v>
      </c>
    </row>
    <row r="6">
      <c r="A6" t="s">
        <v>169</v>
      </c>
      <c r="B6" t="s">
        <v>170</v>
      </c>
      <c r="C6" s="29">
        <v>568.94000000000005</v>
      </c>
      <c r="D6" s="29">
        <v>627.21000000000004</v>
      </c>
      <c r="E6" s="29">
        <v>691.66999999999996</v>
      </c>
      <c r="F6" s="5">
        <v>722.57000000000005</v>
      </c>
      <c r="G6" s="29">
        <v>643.13</v>
      </c>
      <c r="H6" s="29">
        <v>705.05999999999995</v>
      </c>
      <c r="I6" s="29">
        <v>697.69000000000005</v>
      </c>
      <c r="J6" s="5">
        <v>687.53999999999996</v>
      </c>
      <c r="K6" s="29">
        <v>749.92999999999995</v>
      </c>
      <c r="L6" s="29">
        <v>872.12</v>
      </c>
      <c r="M6" s="29">
        <v>862.19000000000005</v>
      </c>
      <c r="N6" s="5">
        <v>1137.3299999999999</v>
      </c>
      <c r="O6">
        <v>1093.9200000000001</v>
      </c>
      <c r="P6" s="6">
        <v>1281.0999999999999</v>
      </c>
      <c r="Q6" s="6">
        <v>1147.95</v>
      </c>
      <c r="R6" s="5">
        <v>1023.36</v>
      </c>
      <c r="S6" s="29"/>
      <c r="X6" s="29"/>
      <c r="Y6" s="29"/>
      <c r="Z6" s="29"/>
      <c r="AA6">
        <v>1515.4000000000001</v>
      </c>
      <c r="AB6" s="6">
        <v>1549.22</v>
      </c>
      <c r="AC6">
        <v>1949.48</v>
      </c>
      <c r="AD6">
        <v>2607.3000000000002</v>
      </c>
      <c r="AE6" s="6">
        <v>2733.4200000000001</v>
      </c>
      <c r="AF6">
        <v>3625.3099999999999</v>
      </c>
      <c r="AG6">
        <v>4546.3299999999999</v>
      </c>
      <c r="AH6" s="29"/>
      <c r="AI6" s="29"/>
      <c r="AJ6" s="29"/>
      <c r="AK6" s="6">
        <v>4546.3299999999999</v>
      </c>
      <c r="AL6" s="8">
        <f t="shared" si="77"/>
        <v>5000.9630000000006</v>
      </c>
      <c r="AM6" s="8">
        <f t="shared" si="78"/>
        <v>5501.0593000000008</v>
      </c>
      <c r="AN6" s="8">
        <f t="shared" si="79"/>
        <v>6051.1652300000014</v>
      </c>
      <c r="AO6" s="8">
        <f t="shared" si="80"/>
        <v>6656.281753000002</v>
      </c>
      <c r="AP6" s="8">
        <f t="shared" si="81"/>
        <v>7321.9099283000032</v>
      </c>
      <c r="AQ6" s="8">
        <f t="shared" si="82"/>
        <v>8054.1009211300043</v>
      </c>
      <c r="AR6" s="8">
        <f t="shared" si="83"/>
        <v>8859.5110132430054</v>
      </c>
      <c r="AS6" s="8">
        <f t="shared" si="84"/>
        <v>9745.4621145673063</v>
      </c>
      <c r="AT6" s="8">
        <f t="shared" si="85"/>
        <v>10720.008326024037</v>
      </c>
      <c r="AU6" s="8">
        <f t="shared" si="86"/>
        <v>11792.009158626443</v>
      </c>
    </row>
    <row r="7">
      <c r="B7" t="s">
        <v>171</v>
      </c>
      <c r="C7" s="29">
        <v>106.06999999999999</v>
      </c>
      <c r="D7" s="29">
        <v>334.99000000000001</v>
      </c>
      <c r="E7" s="29">
        <v>8.7400000000000002</v>
      </c>
      <c r="F7" s="5">
        <v>46.100000000000001</v>
      </c>
      <c r="G7" s="29">
        <v>-158.03999999999999</v>
      </c>
      <c r="H7" s="29">
        <v>317.00999999999999</v>
      </c>
      <c r="I7" s="29">
        <v>19.699999999999999</v>
      </c>
      <c r="J7" s="5">
        <v>-39.920000000000002</v>
      </c>
      <c r="K7" s="29">
        <v>334.44</v>
      </c>
      <c r="L7" s="29">
        <v>293.68000000000001</v>
      </c>
      <c r="M7" s="29">
        <v>413.27999999999997</v>
      </c>
      <c r="N7" s="5">
        <v>423.69999999999999</v>
      </c>
      <c r="O7">
        <v>615.44000000000005</v>
      </c>
      <c r="P7" s="6">
        <v>871.24000000000001</v>
      </c>
      <c r="Q7" s="6">
        <v>233.58000000000001</v>
      </c>
      <c r="R7" s="5">
        <v>-429.88999999999999</v>
      </c>
      <c r="S7" s="29"/>
      <c r="X7" s="29"/>
      <c r="Y7" s="29"/>
      <c r="Z7" s="29"/>
      <c r="AA7">
        <v>73.760000000000005</v>
      </c>
      <c r="AB7" s="6">
        <v>0</v>
      </c>
      <c r="AC7">
        <v>859.88</v>
      </c>
      <c r="AD7">
        <v>495.93000000000001</v>
      </c>
      <c r="AE7" s="6">
        <v>138.75999999999999</v>
      </c>
      <c r="AF7">
        <v>1465.1099999999999</v>
      </c>
      <c r="AG7">
        <v>1290.3699999999999</v>
      </c>
      <c r="AH7" s="29"/>
      <c r="AI7" s="29"/>
      <c r="AJ7" s="29"/>
      <c r="AK7" s="6">
        <v>1290.3699999999999</v>
      </c>
      <c r="AL7" s="8">
        <f t="shared" si="77"/>
        <v>1419.4069999999999</v>
      </c>
      <c r="AM7" s="8">
        <f t="shared" si="78"/>
        <v>1561.3477</v>
      </c>
      <c r="AN7" s="8">
        <f t="shared" si="79"/>
        <v>1717.4824700000001</v>
      </c>
      <c r="AO7" s="8">
        <f t="shared" si="80"/>
        <v>1889.2307170000004</v>
      </c>
      <c r="AP7" s="8">
        <f t="shared" si="81"/>
        <v>2078.1537887000004</v>
      </c>
      <c r="AQ7" s="8">
        <f t="shared" si="82"/>
        <v>2285.9691675700005</v>
      </c>
      <c r="AR7" s="8">
        <f t="shared" si="83"/>
        <v>2514.5660843270007</v>
      </c>
      <c r="AS7" s="8">
        <f t="shared" si="84"/>
        <v>2766.0226927597009</v>
      </c>
      <c r="AT7" s="8">
        <f t="shared" si="85"/>
        <v>3042.6249620356712</v>
      </c>
      <c r="AU7" s="8">
        <f t="shared" si="86"/>
        <v>3346.8874582392386</v>
      </c>
    </row>
    <row r="8">
      <c r="B8" t="s">
        <v>172</v>
      </c>
      <c r="C8" s="29">
        <v>11.619999999999999</v>
      </c>
      <c r="D8" s="29">
        <v>16.760000000000002</v>
      </c>
      <c r="E8" s="29">
        <v>9.0700000000000003</v>
      </c>
      <c r="F8" s="5">
        <v>19.609999999999999</v>
      </c>
      <c r="G8" s="29">
        <v>12.130000000000001</v>
      </c>
      <c r="H8" s="29">
        <v>12.33</v>
      </c>
      <c r="I8" s="29">
        <v>16.300000000000001</v>
      </c>
      <c r="J8" s="5">
        <v>21.940000000000001</v>
      </c>
      <c r="K8" s="29">
        <v>14.77</v>
      </c>
      <c r="L8" s="29">
        <v>17.609999999999999</v>
      </c>
      <c r="M8" s="29">
        <v>18.309999999999999</v>
      </c>
      <c r="N8" s="5">
        <v>23.370000000000001</v>
      </c>
      <c r="O8">
        <v>14.460000000000001</v>
      </c>
      <c r="P8" s="6">
        <v>11.09</v>
      </c>
      <c r="Q8" s="6">
        <v>12.119999999999999</v>
      </c>
      <c r="R8" s="5">
        <v>10.99</v>
      </c>
      <c r="S8" s="29"/>
      <c r="X8" s="29"/>
      <c r="Y8" s="29"/>
      <c r="Z8" s="29"/>
      <c r="AA8">
        <v>38.259999999999998</v>
      </c>
      <c r="AB8" s="6">
        <v>38.460000000000001</v>
      </c>
      <c r="AC8">
        <v>60.939999999999998</v>
      </c>
      <c r="AD8">
        <v>57.07</v>
      </c>
      <c r="AE8" s="6">
        <v>67.569999999999993</v>
      </c>
      <c r="AF8">
        <v>73.519999999999996</v>
      </c>
      <c r="AG8">
        <v>48.640000000000001</v>
      </c>
      <c r="AH8" s="29"/>
      <c r="AI8" s="29"/>
      <c r="AJ8" s="29"/>
      <c r="AK8" s="6">
        <v>48.640000000000001</v>
      </c>
      <c r="AL8" s="8">
        <f t="shared" si="77"/>
        <v>53.504000000000005</v>
      </c>
      <c r="AM8" s="8">
        <f t="shared" si="78"/>
        <v>58.854400000000012</v>
      </c>
      <c r="AN8" s="8">
        <f t="shared" si="79"/>
        <v>64.739840000000015</v>
      </c>
      <c r="AO8" s="8">
        <f t="shared" si="80"/>
        <v>71.213824000000017</v>
      </c>
      <c r="AP8" s="8">
        <f t="shared" si="81"/>
        <v>78.335206400000018</v>
      </c>
      <c r="AQ8" s="8">
        <f t="shared" si="82"/>
        <v>86.168727040000022</v>
      </c>
      <c r="AR8" s="8">
        <f t="shared" si="83"/>
        <v>94.785599744000038</v>
      </c>
      <c r="AS8" s="8">
        <f t="shared" si="84"/>
        <v>104.26415971840005</v>
      </c>
      <c r="AT8" s="8">
        <f t="shared" si="85"/>
        <v>114.69057569024007</v>
      </c>
      <c r="AU8" s="8">
        <f t="shared" si="86"/>
        <v>126.15963325926408</v>
      </c>
    </row>
    <row r="9" s="1" customFormat="1">
      <c r="B9" s="1" t="s">
        <v>173</v>
      </c>
      <c r="C9" s="1">
        <f>C3+C5+C6</f>
        <v>780.93000000000006</v>
      </c>
      <c r="D9" s="1">
        <f>D3+D5+D6</f>
        <v>875.92000000000007</v>
      </c>
      <c r="E9" s="1">
        <f>E3+E5+E6</f>
        <v>1005.71</v>
      </c>
      <c r="F9" s="4">
        <f>F3+F5+F6</f>
        <v>982.07000000000005</v>
      </c>
      <c r="G9" s="1">
        <f>G3+G5+G6</f>
        <v>898.71000000000004</v>
      </c>
      <c r="H9" s="1">
        <f>H3+H5+H6</f>
        <v>986.92999999999995</v>
      </c>
      <c r="I9" s="1">
        <f>I3+I5+I6</f>
        <v>1035.54</v>
      </c>
      <c r="J9" s="4">
        <f>J3+J5+J6</f>
        <v>1040.79</v>
      </c>
      <c r="K9" s="4">
        <f>K3+K5+K6</f>
        <v>1149.72</v>
      </c>
      <c r="L9" s="4">
        <f>L3+L5+L6</f>
        <v>1321.1400000000001</v>
      </c>
      <c r="M9" s="4">
        <f>M3+M5+M6</f>
        <v>1352.3400000000001</v>
      </c>
      <c r="N9" s="4">
        <f>N3+N5+N6</f>
        <v>1693.6099999999999</v>
      </c>
      <c r="O9" s="4">
        <f>O3+O5+O6</f>
        <v>1681.5700000000002</v>
      </c>
      <c r="P9" s="4">
        <f>P3+P5+P6</f>
        <v>1947.5799999999999</v>
      </c>
      <c r="Q9" s="4">
        <f>Q3+Q5+Q6</f>
        <v>1752.6600000000001</v>
      </c>
      <c r="R9" s="4">
        <f>R3+R5+R6</f>
        <v>1608.21</v>
      </c>
      <c r="S9" s="1"/>
      <c r="T9" s="1"/>
      <c r="U9" s="1"/>
      <c r="V9" s="1"/>
      <c r="W9" s="1"/>
      <c r="X9" s="1"/>
      <c r="Y9" s="1"/>
      <c r="Z9" s="1"/>
      <c r="AA9" s="1">
        <f>AA3+AA5+AA6</f>
        <v>2336.8600000000001</v>
      </c>
      <c r="AB9" s="1">
        <f>AB3+AB5+AB6</f>
        <v>2317.1500000000001</v>
      </c>
      <c r="AC9" s="1">
        <f>AC3+AC5+AC6</f>
        <v>2702.77</v>
      </c>
      <c r="AD9" s="1">
        <f>AD3+AD5+AD6</f>
        <v>3641.7200000000003</v>
      </c>
      <c r="AE9" s="1">
        <f>AE3+AE5+AE6</f>
        <v>3961.9700000000003</v>
      </c>
      <c r="AF9" s="1">
        <f>AF3+AF5+AF6</f>
        <v>5520.5599999999995</v>
      </c>
      <c r="AG9" s="1">
        <f>AG3+AG5+AG6</f>
        <v>6990.0300000000007</v>
      </c>
      <c r="AH9" s="1"/>
      <c r="AI9" s="1"/>
      <c r="AJ9" s="1"/>
      <c r="AK9" s="1">
        <f>AK3+AK5+AK6</f>
        <v>6990.0300000000007</v>
      </c>
      <c r="AL9" s="9">
        <f>AL3+AL5+AL6</f>
        <v>7689.0330000000013</v>
      </c>
      <c r="AM9" s="9">
        <f>AM3+AM5+AM6</f>
        <v>8457.9363000000012</v>
      </c>
      <c r="AN9" s="9">
        <f>AN3+AN5+AN6</f>
        <v>9303.7299300000032</v>
      </c>
      <c r="AO9" s="9">
        <f>AO3+AO5+AO6</f>
        <v>10234.102923000004</v>
      </c>
      <c r="AP9" s="9">
        <f>AP3+AP5+AP6</f>
        <v>11257.513215300005</v>
      </c>
      <c r="AQ9" s="9">
        <f>AQ3+AQ5+AQ6</f>
        <v>12383.264536830007</v>
      </c>
      <c r="AR9" s="9">
        <f>AR3+AR5+AR6</f>
        <v>13621.590990513008</v>
      </c>
      <c r="AS9" s="9">
        <f>AS3+AS5+AS6</f>
        <v>14983.75008956431</v>
      </c>
      <c r="AT9" s="9">
        <f>AT3+AT5+AT6</f>
        <v>16482.125098520744</v>
      </c>
      <c r="AU9" s="9">
        <f>AU3+AU5+AU6</f>
        <v>18130.337608372818</v>
      </c>
    </row>
    <row r="10" s="1" customFormat="1">
      <c r="B10" s="1" t="s">
        <v>174</v>
      </c>
      <c r="C10" s="1">
        <f>SUM(C3:C8)</f>
        <v>898.75000000000011</v>
      </c>
      <c r="D10" s="1">
        <f>SUM(D3:D8)</f>
        <v>1324.6800000000001</v>
      </c>
      <c r="E10" s="1">
        <f>SUM(E3:E8)</f>
        <v>1024.96</v>
      </c>
      <c r="F10" s="4">
        <f>SUM(F3:F8)</f>
        <v>1051.3099999999999</v>
      </c>
      <c r="G10" s="1">
        <f>SUM(G3:G8)</f>
        <v>752.98000000000002</v>
      </c>
      <c r="H10" s="1">
        <f>SUM(H3:H8)</f>
        <v>1319.8099999999999</v>
      </c>
      <c r="I10" s="1">
        <f>SUM(I3:I8)</f>
        <v>1072.0799999999999</v>
      </c>
      <c r="J10" s="4">
        <f>SUM(J3:J8)</f>
        <v>1027.3699999999999</v>
      </c>
      <c r="K10" s="1">
        <f>SUM(K3:K8)</f>
        <v>1499.75</v>
      </c>
      <c r="L10" s="1">
        <f>SUM(L3:L8)</f>
        <v>1639.21</v>
      </c>
      <c r="M10" s="1">
        <f>SUM(M3:M8)</f>
        <v>1784.3099999999999</v>
      </c>
      <c r="N10" s="4">
        <f>SUM(N3:N8)</f>
        <v>2141.2899999999995</v>
      </c>
      <c r="O10" s="1">
        <f>SUM(O3:O8)</f>
        <v>2312.3400000000001</v>
      </c>
      <c r="P10" s="1">
        <f>SUM(P3:P8)</f>
        <v>2837.8299999999999</v>
      </c>
      <c r="Q10" s="1">
        <f>SUM(Q3:Q8)</f>
        <v>1998.6299999999999</v>
      </c>
      <c r="R10" s="4">
        <f>SUM(R3:R8)</f>
        <v>1190.26</v>
      </c>
      <c r="S10" s="1"/>
      <c r="T10" s="1"/>
      <c r="U10" s="1">
        <v>464.62</v>
      </c>
      <c r="V10" s="1">
        <v>456.82999999999998</v>
      </c>
      <c r="W10" s="1">
        <v>768.96000000000004</v>
      </c>
      <c r="X10" s="1">
        <v>1054.8900000000001</v>
      </c>
      <c r="Y10" s="1">
        <v>1840.8699999999999</v>
      </c>
      <c r="Z10" s="1">
        <v>2747.9499999999998</v>
      </c>
      <c r="AA10" s="1">
        <f>SUM(AA3:AA8)</f>
        <v>2449.2500000000005</v>
      </c>
      <c r="AB10" s="1">
        <f>SUM(AB3:AB8)</f>
        <v>2357.5500000000002</v>
      </c>
      <c r="AC10" s="1">
        <f>SUM(AC3:AC8)</f>
        <v>3625.1200000000003</v>
      </c>
      <c r="AD10" s="1">
        <f>SUM(AD3:AD8)</f>
        <v>4296.8299999999999</v>
      </c>
      <c r="AE10" s="1">
        <f>SUM(AE3:AE8)</f>
        <v>4177.1199999999999</v>
      </c>
      <c r="AF10" s="1">
        <f>SUM(AF3:AF8)</f>
        <v>7067.7699999999995</v>
      </c>
      <c r="AG10" s="1">
        <f>SUM(AG3:AG8)</f>
        <v>8339.0499999999993</v>
      </c>
      <c r="AH10" s="1"/>
      <c r="AI10" s="1"/>
      <c r="AJ10" s="1"/>
      <c r="AK10" s="1">
        <f>SUM(AK3:AK8)</f>
        <v>8339.0499999999993</v>
      </c>
      <c r="AL10" s="9">
        <f>SUM(AL3:AL8)</f>
        <v>9172.9550000000017</v>
      </c>
      <c r="AM10" s="9">
        <f>SUM(AM3:AM8)</f>
        <v>10090.250500000002</v>
      </c>
      <c r="AN10" s="9">
        <f>SUM(AN3:AN8)</f>
        <v>11099.275550000004</v>
      </c>
      <c r="AO10" s="9">
        <f>SUM(AO3:AO8)</f>
        <v>12209.203105000004</v>
      </c>
      <c r="AP10" s="9">
        <f>SUM(AP3:AP8)</f>
        <v>13430.123415500006</v>
      </c>
      <c r="AQ10" s="9">
        <f>SUM(AQ3:AQ8)</f>
        <v>14773.135757050008</v>
      </c>
      <c r="AR10" s="9">
        <f>SUM(AR3:AR8)</f>
        <v>16250.44933275501</v>
      </c>
      <c r="AS10" s="9">
        <f>SUM(AS3:AS8)</f>
        <v>17875.494266030513</v>
      </c>
      <c r="AT10" s="9">
        <f>SUM(AT3:AT8)</f>
        <v>19663.043692633564</v>
      </c>
      <c r="AU10" s="9">
        <f>SUM(AU3:AU8)</f>
        <v>21629.348061896922</v>
      </c>
    </row>
    <row r="11">
      <c r="B11" t="s">
        <v>50</v>
      </c>
      <c r="C11" s="6">
        <v>2.5099999999999998</v>
      </c>
      <c r="D11" s="6">
        <v>4.0800000000000001</v>
      </c>
      <c r="E11" s="6">
        <v>9.3800000000000008</v>
      </c>
      <c r="F11" s="7">
        <v>3.9199999999999999</v>
      </c>
      <c r="G11" s="6">
        <v>7.6799999999999997</v>
      </c>
      <c r="H11" s="6">
        <v>7.46</v>
      </c>
      <c r="I11" s="6">
        <v>6.2400000000000002</v>
      </c>
      <c r="J11" s="7">
        <v>6.1699999999999999</v>
      </c>
      <c r="K11" s="6">
        <v>31.149999999999999</v>
      </c>
      <c r="L11" s="6">
        <v>11.48</v>
      </c>
      <c r="M11" s="6">
        <v>6.9900000000000002</v>
      </c>
      <c r="N11" s="7">
        <v>16.859999999999999</v>
      </c>
      <c r="O11" s="6">
        <v>5.3499999999999996</v>
      </c>
      <c r="P11" s="6">
        <v>8.1500000000000004</v>
      </c>
      <c r="Q11" s="6">
        <v>3.8799999999999999</v>
      </c>
      <c r="R11" s="7">
        <v>18.289999999999999</v>
      </c>
      <c r="S11" s="29"/>
      <c r="U11" s="6">
        <v>8.2400000000000002</v>
      </c>
      <c r="V11">
        <v>11.42</v>
      </c>
      <c r="W11">
        <v>3.75</v>
      </c>
      <c r="X11" s="29">
        <v>24.702000000000002</v>
      </c>
      <c r="Y11" s="29">
        <v>82.75</v>
      </c>
      <c r="Z11" s="29">
        <v>21.73</v>
      </c>
      <c r="AA11" s="6">
        <v>12.49</v>
      </c>
      <c r="AB11" s="6">
        <v>7.8600000000000003</v>
      </c>
      <c r="AC11" s="6">
        <v>9</v>
      </c>
      <c r="AD11" s="6">
        <v>23</v>
      </c>
      <c r="AE11" s="6">
        <v>20</v>
      </c>
      <c r="AF11">
        <v>62.75</v>
      </c>
      <c r="AG11" s="6">
        <v>78.170000000000002</v>
      </c>
      <c r="AH11" s="6"/>
      <c r="AI11" s="6"/>
      <c r="AJ11" s="6"/>
      <c r="AK11" s="6">
        <v>78.170000000000002</v>
      </c>
      <c r="AL11" s="3">
        <v>50</v>
      </c>
      <c r="AM11" s="3">
        <v>50</v>
      </c>
      <c r="AN11" s="3">
        <v>50</v>
      </c>
      <c r="AO11" s="3">
        <v>50</v>
      </c>
      <c r="AP11" s="3">
        <v>50</v>
      </c>
      <c r="AQ11" s="3">
        <v>50</v>
      </c>
      <c r="AR11" s="3">
        <v>50</v>
      </c>
      <c r="AS11" s="3">
        <v>50</v>
      </c>
      <c r="AT11" s="3">
        <v>50</v>
      </c>
      <c r="AU11" s="3">
        <v>50</v>
      </c>
    </row>
    <row r="12" s="1" customFormat="1">
      <c r="B12" s="1" t="s">
        <v>51</v>
      </c>
      <c r="C12" s="1">
        <f>C10+C11</f>
        <v>901.2600000000001</v>
      </c>
      <c r="D12" s="1">
        <f>D10+D11</f>
        <v>1328.76</v>
      </c>
      <c r="E12" s="1">
        <f>E10+E11</f>
        <v>1034.3400000000001</v>
      </c>
      <c r="F12" s="4">
        <f>F10+F11</f>
        <v>1055.23</v>
      </c>
      <c r="G12" s="1">
        <f>G10+G11</f>
        <v>760.65999999999997</v>
      </c>
      <c r="H12" s="1">
        <f>H10+H11</f>
        <v>1327.27</v>
      </c>
      <c r="I12" s="1">
        <f>I10+I11</f>
        <v>1078.3199999999999</v>
      </c>
      <c r="J12" s="4">
        <f>J10+J11</f>
        <v>1033.54</v>
      </c>
      <c r="K12" s="1">
        <f>K10+K11</f>
        <v>1530.9000000000001</v>
      </c>
      <c r="L12" s="1">
        <f>L10+L11</f>
        <v>1650.6900000000001</v>
      </c>
      <c r="M12" s="1">
        <f>M10+M11</f>
        <v>1791.3</v>
      </c>
      <c r="N12" s="4">
        <f>N10+N11</f>
        <v>2158.1499999999996</v>
      </c>
      <c r="O12" s="1">
        <f>O10+O11</f>
        <v>2317.6900000000001</v>
      </c>
      <c r="P12" s="1">
        <f>P10+P11</f>
        <v>2845.98</v>
      </c>
      <c r="Q12" s="1">
        <f>Q10+Q11</f>
        <v>2002.51</v>
      </c>
      <c r="R12" s="4">
        <f>R10+R11</f>
        <v>1208.55</v>
      </c>
      <c r="S12" s="1"/>
      <c r="T12" s="1"/>
      <c r="U12" s="1">
        <f>U10+U11</f>
        <v>472.86000000000001</v>
      </c>
      <c r="V12" s="1">
        <f>V10+V11</f>
        <v>468.25</v>
      </c>
      <c r="W12" s="1">
        <f>W10+W11</f>
        <v>772.71000000000004</v>
      </c>
      <c r="X12" s="1">
        <f>X10+X11</f>
        <v>1079.5920000000001</v>
      </c>
      <c r="Y12" s="1">
        <f>Y10+Y11</f>
        <v>1923.6199999999999</v>
      </c>
      <c r="Z12" s="1">
        <f>Z10+Z11</f>
        <v>2769.6799999999998</v>
      </c>
      <c r="AA12" s="1">
        <f>AA10+AA11</f>
        <v>2461.7400000000002</v>
      </c>
      <c r="AB12" s="1">
        <f>AB10+AB11</f>
        <v>2365.4100000000003</v>
      </c>
      <c r="AC12" s="1">
        <f>AC10+AC11</f>
        <v>3634.1200000000003</v>
      </c>
      <c r="AD12" s="1">
        <f>AD10+AD11</f>
        <v>4319.8299999999999</v>
      </c>
      <c r="AE12" s="1">
        <f>AE10+AE11</f>
        <v>4197.1199999999999</v>
      </c>
      <c r="AF12" s="1">
        <f>AF10+AF11</f>
        <v>7130.5199999999995</v>
      </c>
      <c r="AG12" s="1">
        <f>AG10+AG11</f>
        <v>8417.2199999999993</v>
      </c>
      <c r="AH12" s="1"/>
      <c r="AI12" s="1"/>
      <c r="AJ12" s="1"/>
      <c r="AK12" s="1">
        <f>AK10+AK11</f>
        <v>8417.2199999999993</v>
      </c>
      <c r="AL12" s="9">
        <f>AL10+AL11</f>
        <v>9222.9550000000017</v>
      </c>
      <c r="AM12" s="9">
        <f>AM10+AM11</f>
        <v>10140.250500000002</v>
      </c>
      <c r="AN12" s="9">
        <f>AN10+AN11</f>
        <v>11149.275550000004</v>
      </c>
      <c r="AO12" s="9">
        <f>AO10+AO11</f>
        <v>12259.203105000004</v>
      </c>
      <c r="AP12" s="9">
        <f>AP10+AP11</f>
        <v>13480.123415500006</v>
      </c>
      <c r="AQ12" s="9">
        <f>AQ10+AQ11</f>
        <v>14823.135757050008</v>
      </c>
      <c r="AR12" s="9">
        <f>AR10+AR11</f>
        <v>16300.44933275501</v>
      </c>
      <c r="AS12" s="9">
        <f>AS10+AS11</f>
        <v>17925.494266030513</v>
      </c>
      <c r="AT12" s="9">
        <f>AT10+AT11</f>
        <v>19713.043692633564</v>
      </c>
      <c r="AU12" s="9">
        <f>AU10+AU11</f>
        <v>21679.348061896922</v>
      </c>
    </row>
    <row r="13" s="0" customFormat="1">
      <c r="B13" s="29" t="s">
        <v>175</v>
      </c>
      <c r="C13" s="6"/>
      <c r="D13" s="6"/>
      <c r="E13" s="6"/>
      <c r="F13" s="7"/>
      <c r="G13" s="6"/>
      <c r="H13" s="6"/>
      <c r="I13" s="6"/>
      <c r="J13" s="7"/>
      <c r="K13" s="6"/>
      <c r="L13" s="6"/>
      <c r="M13" s="6"/>
      <c r="N13" s="7"/>
      <c r="O13" s="6"/>
      <c r="P13" s="6"/>
      <c r="Q13" s="6"/>
      <c r="R13" s="7"/>
      <c r="T13" s="29"/>
      <c r="U13" s="6"/>
      <c r="V13" s="6"/>
      <c r="W13" s="6"/>
      <c r="Y13" s="29"/>
      <c r="Z13" s="29"/>
      <c r="AA13" s="6"/>
      <c r="AB13" s="6"/>
      <c r="AC13" s="6"/>
      <c r="AD13" s="6"/>
      <c r="AF13" s="29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="1" customFormat="1">
      <c r="B14" s="29" t="s">
        <v>176</v>
      </c>
      <c r="C14" s="1"/>
      <c r="D14" s="1"/>
      <c r="E14" s="1"/>
      <c r="F14" s="4"/>
      <c r="G14" s="1"/>
      <c r="H14" s="1"/>
      <c r="I14" s="1"/>
      <c r="J14" s="4"/>
      <c r="K14" s="1"/>
      <c r="L14" s="1"/>
      <c r="M14" s="1"/>
      <c r="N14" s="4"/>
      <c r="O14" s="1"/>
      <c r="P14" s="1"/>
      <c r="Q14" s="1"/>
      <c r="R14" s="4"/>
      <c r="T14" s="29"/>
      <c r="U14" s="6"/>
      <c r="V14" s="6"/>
      <c r="W14" s="6"/>
      <c r="Y14" s="29"/>
      <c r="Z14" s="29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9"/>
      <c r="AM14" s="9"/>
      <c r="AN14" s="9"/>
      <c r="AO14" s="9"/>
      <c r="AP14" s="9"/>
      <c r="AQ14" s="9"/>
      <c r="AR14" s="9"/>
      <c r="AS14" s="9"/>
      <c r="AT14" s="9"/>
      <c r="AU14" s="9"/>
    </row>
    <row r="15">
      <c r="C15" s="6"/>
      <c r="D15" s="6"/>
      <c r="E15" s="6"/>
      <c r="F15" s="7"/>
      <c r="G15" s="6"/>
      <c r="H15" s="6"/>
      <c r="I15" s="6"/>
      <c r="J15" s="7"/>
      <c r="K15" s="6"/>
      <c r="L15" s="6"/>
      <c r="M15" s="6"/>
      <c r="N15" s="7"/>
      <c r="O15" s="6"/>
      <c r="P15" s="6"/>
      <c r="Q15" s="6"/>
      <c r="R15" s="7"/>
      <c r="U15" s="6"/>
      <c r="V15" s="6"/>
      <c r="W15" s="6"/>
      <c r="X15" s="6"/>
      <c r="Y15" s="6"/>
      <c r="AA15" s="6"/>
      <c r="AB15" s="6"/>
      <c r="AC15" s="6"/>
      <c r="AD15" s="6"/>
      <c r="AE15" s="6"/>
      <c r="AG15" s="6"/>
      <c r="AH15" s="6"/>
      <c r="AI15" s="6"/>
      <c r="AJ15" s="6"/>
      <c r="AK15" s="6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>
      <c r="B16" t="s">
        <v>177</v>
      </c>
      <c r="C16" s="6">
        <v>106.19</v>
      </c>
      <c r="D16" s="6">
        <v>112.59</v>
      </c>
      <c r="E16" s="6">
        <v>144.34</v>
      </c>
      <c r="F16" s="7">
        <v>115.06999999999999</v>
      </c>
      <c r="G16" s="6">
        <v>114.41</v>
      </c>
      <c r="H16" s="6">
        <v>129.94999999999999</v>
      </c>
      <c r="I16" s="6">
        <v>169.44</v>
      </c>
      <c r="J16" s="7">
        <v>189.56999999999999</v>
      </c>
      <c r="K16" s="6">
        <v>215.88999999999999</v>
      </c>
      <c r="L16" s="6">
        <v>241.13</v>
      </c>
      <c r="M16" s="6">
        <v>262.38999999999999</v>
      </c>
      <c r="N16" s="7">
        <v>294.73000000000002</v>
      </c>
      <c r="O16" s="6">
        <v>317.68000000000001</v>
      </c>
      <c r="P16" s="6">
        <v>347.05000000000001</v>
      </c>
      <c r="Q16" s="6">
        <v>302.60000000000002</v>
      </c>
      <c r="R16" s="7">
        <v>298.49000000000001</v>
      </c>
      <c r="S16" s="29"/>
      <c r="U16" s="6">
        <v>4.7999999999999998</v>
      </c>
      <c r="V16" s="6">
        <v>2.8599999999999999</v>
      </c>
      <c r="W16" s="6">
        <v>30.940000000000001</v>
      </c>
      <c r="X16" s="29">
        <v>173.75999999999999</v>
      </c>
      <c r="Y16" s="29">
        <v>442.25999999999999</v>
      </c>
      <c r="Z16" s="29">
        <v>495.58999999999997</v>
      </c>
      <c r="AA16" s="6">
        <v>516.85000000000002</v>
      </c>
      <c r="AB16" s="6">
        <v>494.47000000000003</v>
      </c>
      <c r="AC16" s="6">
        <v>430.27999999999997</v>
      </c>
      <c r="AD16" s="6">
        <v>478.19</v>
      </c>
      <c r="AE16" s="6">
        <v>595.83000000000004</v>
      </c>
      <c r="AF16">
        <v>1014.14</v>
      </c>
      <c r="AG16" s="6">
        <v>1298.46</v>
      </c>
      <c r="AH16" s="6"/>
      <c r="AI16" s="6"/>
      <c r="AJ16" s="6"/>
      <c r="AK16" s="6">
        <v>1298.46</v>
      </c>
      <c r="AL16" s="3">
        <f>AL3*$AJ$38</f>
        <v>1438.5531367589936</v>
      </c>
      <c r="AM16" s="3">
        <f>AM3*$AJ$38</f>
        <v>1582.4084504348932</v>
      </c>
      <c r="AN16" s="3">
        <f>AN3*$AJ$38</f>
        <v>1740.6492954783828</v>
      </c>
      <c r="AO16" s="3">
        <f>AO3*$AJ$38</f>
        <v>1914.7142250262211</v>
      </c>
      <c r="AP16" s="3">
        <f>AP3*$AJ$38</f>
        <v>2106.1856475288432</v>
      </c>
      <c r="AQ16" s="3">
        <f>AQ3*$AJ$38</f>
        <v>2316.8042122817278</v>
      </c>
      <c r="AR16" s="3">
        <f>AR3*$AJ$38</f>
        <v>2548.484633509901</v>
      </c>
      <c r="AS16" s="3">
        <f>AS3*$AJ$38</f>
        <v>2803.3330968608911</v>
      </c>
      <c r="AT16" s="3">
        <f>AT3*$AJ$38</f>
        <v>3083.6664065469809</v>
      </c>
      <c r="AU16" s="3">
        <f>AU3*$AJ$38</f>
        <v>3392.033047201679</v>
      </c>
    </row>
    <row r="17">
      <c r="B17" t="s">
        <v>178</v>
      </c>
      <c r="C17" s="6">
        <v>196.75999999999999</v>
      </c>
      <c r="D17" s="6">
        <v>228.69999999999999</v>
      </c>
      <c r="E17" s="6">
        <v>238.40000000000001</v>
      </c>
      <c r="F17" s="7">
        <v>229</v>
      </c>
      <c r="G17" s="6">
        <v>221.34</v>
      </c>
      <c r="H17" s="6">
        <v>212.44999999999999</v>
      </c>
      <c r="I17" s="6">
        <v>219.28</v>
      </c>
      <c r="J17" s="7">
        <v>203.36000000000001</v>
      </c>
      <c r="K17" s="6">
        <v>217.44</v>
      </c>
      <c r="L17" s="6">
        <v>280.10000000000002</v>
      </c>
      <c r="M17" s="6">
        <v>278.44</v>
      </c>
      <c r="N17" s="7">
        <v>361.86000000000001</v>
      </c>
      <c r="O17" s="6">
        <v>361.88999999999999</v>
      </c>
      <c r="P17" s="6">
        <v>389.24000000000001</v>
      </c>
      <c r="Q17" s="6">
        <v>302.89999999999998</v>
      </c>
      <c r="R17" s="7">
        <v>270.38999999999999</v>
      </c>
      <c r="S17" s="29"/>
      <c r="U17" s="6">
        <v>0</v>
      </c>
      <c r="V17" s="6">
        <v>0</v>
      </c>
      <c r="W17" s="6">
        <v>0</v>
      </c>
      <c r="X17">
        <v>0</v>
      </c>
      <c r="Y17" s="29">
        <v>367.91000000000003</v>
      </c>
      <c r="Z17" s="29">
        <v>599.85000000000002</v>
      </c>
      <c r="AA17" s="6">
        <v>461.63999999999999</v>
      </c>
      <c r="AB17" s="6">
        <v>469.11000000000001</v>
      </c>
      <c r="AC17" s="6">
        <v>635.85000000000002</v>
      </c>
      <c r="AD17" s="6">
        <v>892.85000000000002</v>
      </c>
      <c r="AE17" s="6">
        <v>861.30999999999995</v>
      </c>
      <c r="AF17">
        <v>1137.8399999999999</v>
      </c>
      <c r="AG17" s="6">
        <v>1329.0599999999999</v>
      </c>
      <c r="AH17" s="6"/>
      <c r="AI17" s="6"/>
      <c r="AJ17" s="6"/>
      <c r="AK17" s="6">
        <v>1329.0599999999999</v>
      </c>
      <c r="AL17" s="3">
        <f>AL6*$AJ$39</f>
        <v>1569.8330637614756</v>
      </c>
      <c r="AM17" s="3">
        <f>AM6*$AJ$39</f>
        <v>1726.8163701376234</v>
      </c>
      <c r="AN17" s="3">
        <f>AN6*$AJ$39</f>
        <v>1899.4980071513858</v>
      </c>
      <c r="AO17" s="3">
        <f>AO6*$AJ$39</f>
        <v>2089.4478078665247</v>
      </c>
      <c r="AP17" s="3">
        <f>AP6*$AJ$39</f>
        <v>2298.3925886531774</v>
      </c>
      <c r="AQ17" s="3">
        <f>AQ6*$AJ$39</f>
        <v>2528.2318475184952</v>
      </c>
      <c r="AR17" s="3">
        <f>AR6*$AJ$39</f>
        <v>2781.0550322703448</v>
      </c>
      <c r="AS17" s="3">
        <f>AS6*$AJ$39</f>
        <v>3059.1605354973794</v>
      </c>
      <c r="AT17" s="3">
        <f>AT6*$AJ$39</f>
        <v>3365.0765890471175</v>
      </c>
      <c r="AU17" s="3">
        <f>AU6*$AJ$39</f>
        <v>3701.5842479518301</v>
      </c>
    </row>
    <row r="18">
      <c r="B18" s="29" t="s">
        <v>179</v>
      </c>
      <c r="C18" s="6">
        <v>0</v>
      </c>
      <c r="D18" s="6">
        <v>0</v>
      </c>
      <c r="E18" s="6">
        <v>0</v>
      </c>
      <c r="F18" s="7">
        <v>0</v>
      </c>
      <c r="G18" s="6">
        <v>0</v>
      </c>
      <c r="H18" s="6">
        <v>3.4399999999999999</v>
      </c>
      <c r="I18" s="6">
        <v>0</v>
      </c>
      <c r="J18" s="7">
        <v>0</v>
      </c>
      <c r="K18" s="6">
        <v>0</v>
      </c>
      <c r="L18" s="6">
        <v>0</v>
      </c>
      <c r="M18" s="6">
        <v>0</v>
      </c>
      <c r="N18" s="7">
        <v>0</v>
      </c>
      <c r="O18" s="6">
        <v>0</v>
      </c>
      <c r="P18" s="6">
        <v>0</v>
      </c>
      <c r="Q18" s="6">
        <v>0</v>
      </c>
      <c r="R18" s="7">
        <v>0</v>
      </c>
      <c r="T18" s="29"/>
      <c r="U18" s="6">
        <v>0</v>
      </c>
      <c r="V18" s="6">
        <v>0</v>
      </c>
      <c r="W18" s="6">
        <v>0</v>
      </c>
      <c r="X18">
        <v>0</v>
      </c>
      <c r="Y18" s="29">
        <v>0</v>
      </c>
      <c r="Z18" s="29">
        <v>0</v>
      </c>
      <c r="AA18" s="6">
        <v>0</v>
      </c>
      <c r="AB18" s="6">
        <v>219.02000000000001</v>
      </c>
      <c r="AC18" s="6"/>
      <c r="AD18" s="6"/>
      <c r="AE18" s="6"/>
      <c r="AF18" s="29"/>
      <c r="AG18" s="6"/>
      <c r="AH18" s="6"/>
      <c r="AI18" s="6"/>
      <c r="AJ18" s="6"/>
      <c r="AK18" s="6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>
      <c r="A19" t="s">
        <v>180</v>
      </c>
      <c r="B19" t="s">
        <v>181</v>
      </c>
      <c r="C19" s="6">
        <v>42.479999999999997</v>
      </c>
      <c r="D19" s="6">
        <v>27.02</v>
      </c>
      <c r="E19" s="6">
        <v>29.48</v>
      </c>
      <c r="F19" s="7">
        <v>-4.3300000000000001</v>
      </c>
      <c r="G19" s="6">
        <v>8.5500000000000007</v>
      </c>
      <c r="H19" s="6">
        <v>15.449999999999999</v>
      </c>
      <c r="I19" s="6">
        <v>10.01</v>
      </c>
      <c r="J19" s="7">
        <v>5.3399999999999999</v>
      </c>
      <c r="K19" s="6">
        <v>23.34</v>
      </c>
      <c r="L19" s="6">
        <v>10.619999999999999</v>
      </c>
      <c r="M19" s="6">
        <v>2.6899999999999999</v>
      </c>
      <c r="N19" s="7">
        <v>17.309999999999999</v>
      </c>
      <c r="O19" s="6">
        <v>14.960000000000001</v>
      </c>
      <c r="P19" s="6">
        <v>0.53000000000000003</v>
      </c>
      <c r="Q19" s="6">
        <v>-8.5999999999999996</v>
      </c>
      <c r="R19" s="7">
        <v>1.79</v>
      </c>
      <c r="S19" s="29"/>
      <c r="U19" s="6">
        <v>0</v>
      </c>
      <c r="V19" s="6">
        <v>0</v>
      </c>
      <c r="W19" s="6">
        <v>0</v>
      </c>
      <c r="X19" s="29">
        <v>0</v>
      </c>
      <c r="Y19" s="29">
        <v>0</v>
      </c>
      <c r="Z19" s="29">
        <v>0</v>
      </c>
      <c r="AA19" s="6">
        <v>360.41000000000003</v>
      </c>
      <c r="AB19" s="6">
        <v>91.299999999999997</v>
      </c>
      <c r="AC19" s="6">
        <v>97.609999999999999</v>
      </c>
      <c r="AD19" s="6">
        <v>94.659999999999997</v>
      </c>
      <c r="AE19" s="6">
        <v>42.789999999999999</v>
      </c>
      <c r="AF19">
        <v>53.979999999999997</v>
      </c>
      <c r="AG19" s="6">
        <v>8.6899999999999995</v>
      </c>
      <c r="AH19" s="6"/>
      <c r="AI19" s="6"/>
      <c r="AJ19" s="6"/>
      <c r="AK19" s="6">
        <v>8.6899999999999995</v>
      </c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>
      <c r="B20" t="s">
        <v>55</v>
      </c>
      <c r="C20" s="6">
        <v>180.37</v>
      </c>
      <c r="D20" s="6">
        <v>210.00999999999999</v>
      </c>
      <c r="E20" s="6">
        <v>226.84999999999999</v>
      </c>
      <c r="F20" s="7">
        <v>250.36000000000001</v>
      </c>
      <c r="G20" s="6">
        <v>232.18000000000001</v>
      </c>
      <c r="H20" s="6">
        <v>243.55000000000001</v>
      </c>
      <c r="I20" s="6">
        <v>260.67000000000002</v>
      </c>
      <c r="J20" s="7">
        <v>271.98000000000002</v>
      </c>
      <c r="K20" s="6">
        <v>317.85000000000002</v>
      </c>
      <c r="L20" s="6">
        <v>309.91000000000003</v>
      </c>
      <c r="M20" s="6">
        <v>303.77999999999997</v>
      </c>
      <c r="N20" s="7">
        <v>398.27999999999997</v>
      </c>
      <c r="O20" s="6">
        <v>396.99000000000001</v>
      </c>
      <c r="P20" s="6">
        <v>453.70999999999998</v>
      </c>
      <c r="Q20" s="6">
        <v>458.19</v>
      </c>
      <c r="R20" s="7">
        <v>432.5</v>
      </c>
      <c r="S20" s="29"/>
      <c r="U20" s="6">
        <v>107.95999999999999</v>
      </c>
      <c r="V20" s="6">
        <v>127.31999999999999</v>
      </c>
      <c r="W20" s="6">
        <v>190.15000000000001</v>
      </c>
      <c r="X20" s="29">
        <v>250.94999999999999</v>
      </c>
      <c r="Y20" s="29">
        <v>353.39999999999998</v>
      </c>
      <c r="Z20" s="29">
        <v>500.13</v>
      </c>
      <c r="AA20" s="6">
        <v>501.76999999999998</v>
      </c>
      <c r="AB20" s="6">
        <v>539.79999999999995</v>
      </c>
      <c r="AC20" s="6">
        <v>643.58000000000004</v>
      </c>
      <c r="AD20" s="6">
        <v>867.58000000000004</v>
      </c>
      <c r="AE20" s="6">
        <v>1008.38</v>
      </c>
      <c r="AF20">
        <v>1329.8099999999999</v>
      </c>
      <c r="AG20" s="6">
        <v>1741.3900000000001</v>
      </c>
      <c r="AH20" s="6"/>
      <c r="AI20" s="6"/>
      <c r="AJ20" s="6"/>
      <c r="AK20" s="6">
        <v>1741.3900000000001</v>
      </c>
      <c r="AL20" s="3">
        <f>AK20*($AJ$48+1)</f>
        <v>1880.7012000000002</v>
      </c>
      <c r="AM20" s="3">
        <f>AL20*($AJ$48+1)</f>
        <v>2031.1572960000003</v>
      </c>
      <c r="AN20" s="3">
        <f>AM20*($AJ$48+1)</f>
        <v>2193.6498796800006</v>
      </c>
      <c r="AO20" s="3">
        <f>AN20*($AJ$48+1)</f>
        <v>2369.1418700544009</v>
      </c>
      <c r="AP20" s="3">
        <f>AO20*($AJ$48+1)</f>
        <v>2558.6732196587532</v>
      </c>
      <c r="AQ20" s="3">
        <f>AP20*($AJ$48+1)</f>
        <v>2763.3670772314535</v>
      </c>
      <c r="AR20" s="3">
        <f>AQ20*($AJ$48+1)</f>
        <v>2984.4364434099703</v>
      </c>
      <c r="AS20" s="3">
        <f>AR20*($AJ$48+1)</f>
        <v>3223.1913588827679</v>
      </c>
      <c r="AT20" s="3">
        <f>AS20*($AJ$48+1)</f>
        <v>3481.0466675933894</v>
      </c>
      <c r="AU20" s="3">
        <f>AT20*($AJ$48+1)</f>
        <v>3759.5304010008608</v>
      </c>
    </row>
    <row r="21">
      <c r="B21" t="s">
        <v>56</v>
      </c>
      <c r="C21" s="6">
        <v>11.26</v>
      </c>
      <c r="D21" s="6">
        <v>13.140000000000001</v>
      </c>
      <c r="E21" s="6">
        <v>12.720000000000001</v>
      </c>
      <c r="F21" s="7">
        <v>11.15</v>
      </c>
      <c r="G21" s="6">
        <v>13.359999999999999</v>
      </c>
      <c r="H21" s="6">
        <v>15.57</v>
      </c>
      <c r="I21" s="6">
        <v>16.699999999999999</v>
      </c>
      <c r="J21" s="7">
        <v>12.75</v>
      </c>
      <c r="K21" s="6">
        <v>17.350000000000001</v>
      </c>
      <c r="L21" s="6">
        <v>17.260000000000002</v>
      </c>
      <c r="M21" s="6">
        <v>24.030000000000001</v>
      </c>
      <c r="N21" s="7">
        <v>23.940000000000001</v>
      </c>
      <c r="O21" s="6">
        <v>21.84</v>
      </c>
      <c r="P21" s="6">
        <v>23.41</v>
      </c>
      <c r="Q21" s="6">
        <v>27.300000000000001</v>
      </c>
      <c r="R21" s="7">
        <v>26.219999999999999</v>
      </c>
      <c r="S21" s="29"/>
      <c r="U21" s="6">
        <v>25.850000000000001</v>
      </c>
      <c r="V21" s="6">
        <v>24.199999999999999</v>
      </c>
      <c r="W21" s="6">
        <v>30.670000000000002</v>
      </c>
      <c r="X21" s="29">
        <v>34.939999999999998</v>
      </c>
      <c r="Y21" s="29">
        <v>32.840000000000003</v>
      </c>
      <c r="Z21" s="29">
        <v>37.490000000000002</v>
      </c>
      <c r="AA21" s="6">
        <v>23.949999999999999</v>
      </c>
      <c r="AB21" s="6">
        <v>39.710000000000001</v>
      </c>
      <c r="AC21" s="6">
        <v>47.520000000000003</v>
      </c>
      <c r="AD21" s="6">
        <v>48.259999999999998</v>
      </c>
      <c r="AE21" s="6">
        <v>58.380000000000003</v>
      </c>
      <c r="AF21">
        <v>82.579999999999998</v>
      </c>
      <c r="AG21" s="6">
        <v>98.760000000000005</v>
      </c>
      <c r="AH21" s="6"/>
      <c r="AI21" s="6"/>
      <c r="AJ21" s="6"/>
      <c r="AK21" s="6">
        <v>98.760000000000005</v>
      </c>
      <c r="AL21" s="3">
        <f>AK21*($AJ$49+1)</f>
        <v>103.69800000000001</v>
      </c>
      <c r="AM21" s="3">
        <f>AL21*($AJ$49+1)</f>
        <v>108.88290000000001</v>
      </c>
      <c r="AN21" s="3">
        <f>AM21*($AJ$49+1)</f>
        <v>114.32704500000001</v>
      </c>
      <c r="AO21" s="3">
        <f>AN21*($AJ$49+1)</f>
        <v>120.04339725000001</v>
      </c>
      <c r="AP21" s="3">
        <f>AO21*($AJ$49+1)</f>
        <v>126.04556711250002</v>
      </c>
      <c r="AQ21" s="3">
        <f>AP21*($AJ$49+1)</f>
        <v>132.34784546812503</v>
      </c>
      <c r="AR21" s="3">
        <f>AQ21*($AJ$49+1)</f>
        <v>138.9652377415313</v>
      </c>
      <c r="AS21" s="3">
        <f>AR21*($AJ$49+1)</f>
        <v>145.91349962860787</v>
      </c>
      <c r="AT21" s="3">
        <f>AS21*($AJ$49+1)</f>
        <v>153.20917461003827</v>
      </c>
      <c r="AU21" s="3">
        <f>AT21*($AJ$49+1)</f>
        <v>160.86963334054019</v>
      </c>
    </row>
    <row r="22">
      <c r="B22" t="s">
        <v>182</v>
      </c>
      <c r="C22" s="6">
        <v>78.469999999999999</v>
      </c>
      <c r="D22" s="6">
        <v>78.25</v>
      </c>
      <c r="E22" s="6">
        <v>81.930000000000007</v>
      </c>
      <c r="F22" s="7">
        <v>83.760000000000005</v>
      </c>
      <c r="G22" s="6">
        <v>89.900000000000006</v>
      </c>
      <c r="H22" s="6">
        <v>99.75</v>
      </c>
      <c r="I22" s="6">
        <v>95.469999999999999</v>
      </c>
      <c r="J22" s="7">
        <v>103.06</v>
      </c>
      <c r="K22" s="6">
        <v>103.06999999999999</v>
      </c>
      <c r="L22" s="6">
        <v>134.09999999999999</v>
      </c>
      <c r="M22" s="6">
        <v>111.34999999999999</v>
      </c>
      <c r="N22" s="7">
        <v>132.31999999999999</v>
      </c>
      <c r="O22" s="6">
        <v>145.72999999999999</v>
      </c>
      <c r="P22" s="6">
        <v>178.37</v>
      </c>
      <c r="Q22" s="6">
        <v>179.46000000000001</v>
      </c>
      <c r="R22" s="7">
        <v>205.81999999999999</v>
      </c>
      <c r="S22" s="29"/>
      <c r="U22" s="6">
        <v>190.50999999999999</v>
      </c>
      <c r="V22" s="6">
        <v>198.75</v>
      </c>
      <c r="W22" s="6">
        <v>325.36000000000001</v>
      </c>
      <c r="X22" s="29">
        <v>395.38999999999999</v>
      </c>
      <c r="Y22" s="29">
        <v>193.71000000000001</v>
      </c>
      <c r="Z22" s="29">
        <v>370.02999999999997</v>
      </c>
      <c r="AA22" s="6">
        <v>219.22</v>
      </c>
      <c r="AB22" s="6">
        <v>226.81</v>
      </c>
      <c r="AC22" s="6">
        <v>232.75999999999999</v>
      </c>
      <c r="AD22" s="6">
        <v>322.48000000000002</v>
      </c>
      <c r="AE22" s="6">
        <v>388.18000000000001</v>
      </c>
      <c r="AF22">
        <v>480.29000000000002</v>
      </c>
      <c r="AG22" s="6">
        <v>714.60000000000002</v>
      </c>
      <c r="AH22" s="6"/>
      <c r="AI22" s="6"/>
      <c r="AJ22" s="6"/>
      <c r="AK22" s="6">
        <v>714.60000000000002</v>
      </c>
      <c r="AL22" s="3">
        <f>AK22*($AJ$50+1)</f>
        <v>764.62200000000007</v>
      </c>
      <c r="AM22" s="3">
        <f>AL22*($AJ$50+1)</f>
        <v>818.1455400000001</v>
      </c>
      <c r="AN22" s="3">
        <f>AM22*($AJ$50+1)</f>
        <v>875.41572780000013</v>
      </c>
      <c r="AO22" s="3">
        <f>AN22*($AJ$50+1)</f>
        <v>936.69482874600021</v>
      </c>
      <c r="AP22" s="3">
        <f>AO22*($AJ$50+1)</f>
        <v>1002.2634667582203</v>
      </c>
      <c r="AQ22" s="3">
        <f>AP22*($AJ$50+1)</f>
        <v>1072.4219094312957</v>
      </c>
      <c r="AR22" s="3">
        <f>AQ22*($AJ$50+1)</f>
        <v>1147.4914430914864</v>
      </c>
      <c r="AS22" s="3">
        <f>AR22*($AJ$50+1)</f>
        <v>1227.8158441078906</v>
      </c>
      <c r="AT22" s="3">
        <f>AS22*($AJ$50+1)</f>
        <v>1313.7629531954431</v>
      </c>
      <c r="AU22" s="3">
        <f>AT22*($AJ$50+1)</f>
        <v>1405.7263599191242</v>
      </c>
    </row>
    <row r="23" s="1" customFormat="1">
      <c r="B23" s="1" t="s">
        <v>183</v>
      </c>
      <c r="C23" s="1">
        <f>SUM(C16:C22)</f>
        <v>615.52999999999997</v>
      </c>
      <c r="D23" s="1">
        <f>SUM(D16:D22)</f>
        <v>669.70999999999992</v>
      </c>
      <c r="E23" s="1">
        <f>SUM(E16:E22)</f>
        <v>733.72000000000003</v>
      </c>
      <c r="F23" s="4">
        <f>SUM(F16:F22)</f>
        <v>685.00999999999999</v>
      </c>
      <c r="G23" s="1">
        <f>SUM(G16:G22)</f>
        <v>679.74000000000001</v>
      </c>
      <c r="H23" s="1">
        <f>SUM(H16:H22)</f>
        <v>720.15999999999997</v>
      </c>
      <c r="I23" s="1">
        <f>SUM(I16:I22)</f>
        <v>771.57000000000016</v>
      </c>
      <c r="J23" s="4">
        <f>SUM(J16:J22)</f>
        <v>786.05999999999995</v>
      </c>
      <c r="K23" s="1">
        <f>SUM(K16:K22)</f>
        <v>894.94000000000005</v>
      </c>
      <c r="L23" s="1">
        <f>SUM(L16:L22)</f>
        <v>993.12</v>
      </c>
      <c r="M23" s="1">
        <f>SUM(M16:M22)</f>
        <v>982.67999999999995</v>
      </c>
      <c r="N23" s="4">
        <f>SUM(N16:N22)</f>
        <v>1228.4399999999998</v>
      </c>
      <c r="O23" s="1">
        <f>SUM(O16:O22)</f>
        <v>1259.0899999999999</v>
      </c>
      <c r="P23" s="1">
        <f>SUM(P16:P22)</f>
        <v>1392.3099999999999</v>
      </c>
      <c r="Q23" s="1">
        <f>SUM(Q16:Q22)</f>
        <v>1261.8499999999999</v>
      </c>
      <c r="R23" s="4">
        <f>SUM(R16:R22)</f>
        <v>1235.2099999999998</v>
      </c>
      <c r="S23" s="1"/>
      <c r="T23" s="1"/>
      <c r="U23" s="1">
        <f>SUM(U16:U22)</f>
        <v>329.12</v>
      </c>
      <c r="V23" s="1">
        <f>SUM(V16:V22)</f>
        <v>353.13</v>
      </c>
      <c r="W23" s="1">
        <f>SUM(W16:W22)</f>
        <v>577.12</v>
      </c>
      <c r="X23" s="1">
        <f>SUM(X16:X22)</f>
        <v>855.03999999999996</v>
      </c>
      <c r="Y23" s="1">
        <f>SUM(Y16:Y22)</f>
        <v>1390.1200000000001</v>
      </c>
      <c r="Z23" s="1">
        <f>SUM(Z16:Z22)</f>
        <v>2003.0900000000001</v>
      </c>
      <c r="AA23" s="1">
        <f>SUM(AA16:AA22)</f>
        <v>2083.8400000000001</v>
      </c>
      <c r="AB23" s="1">
        <f>SUM(AB16:AB22)</f>
        <v>2080.2200000000003</v>
      </c>
      <c r="AC23" s="1">
        <f>SUM(AC16:AC22)</f>
        <v>2087.6000000000004</v>
      </c>
      <c r="AD23" s="1">
        <f>SUM(AD16:AD22)</f>
        <v>2704.0200000000004</v>
      </c>
      <c r="AE23" s="1">
        <f>SUM(AE16:AE22)</f>
        <v>2954.8699999999999</v>
      </c>
      <c r="AF23" s="1">
        <f>SUM(AF16:AF22)</f>
        <v>4098.6400000000003</v>
      </c>
      <c r="AG23" s="1">
        <f>SUM(AG16:AG22)</f>
        <v>5190.9600000000009</v>
      </c>
      <c r="AH23" s="1"/>
      <c r="AI23" s="1"/>
      <c r="AJ23" s="1"/>
      <c r="AK23" s="1">
        <f>SUM(AK16:AK22)</f>
        <v>5190.9600000000009</v>
      </c>
      <c r="AL23" s="9">
        <f>SUM(AL16:AL22)</f>
        <v>5757.4074005204702</v>
      </c>
      <c r="AM23" s="9">
        <f>SUM(AM16:AM22)</f>
        <v>6267.4105565725167</v>
      </c>
      <c r="AN23" s="9">
        <f>SUM(AN16:AN22)</f>
        <v>6823.5399551097689</v>
      </c>
      <c r="AO23" s="9">
        <f>SUM(AO16:AO22)</f>
        <v>7430.042128943147</v>
      </c>
      <c r="AP23" s="9">
        <f>SUM(AP16:AP22)</f>
        <v>8091.5604897114936</v>
      </c>
      <c r="AQ23" s="9">
        <f>SUM(AQ16:AQ22)</f>
        <v>8813.1728919310972</v>
      </c>
      <c r="AR23" s="9">
        <f>SUM(AR16:AR22)</f>
        <v>9600.4327900232347</v>
      </c>
      <c r="AS23" s="9">
        <f>SUM(AS16:AS22)</f>
        <v>10459.414334977537</v>
      </c>
      <c r="AT23" s="9">
        <f>SUM(AT16:AT22)</f>
        <v>11396.761790992969</v>
      </c>
      <c r="AU23" s="9">
        <f>SUM(AU16:AU22)</f>
        <v>12419.743689414036</v>
      </c>
    </row>
    <row r="24" s="0" customFormat="1">
      <c r="B24" s="29" t="s">
        <v>184</v>
      </c>
      <c r="C24" s="6">
        <v>0</v>
      </c>
      <c r="D24" s="6">
        <v>0</v>
      </c>
      <c r="E24" s="6">
        <v>0</v>
      </c>
      <c r="F24" s="7">
        <v>0</v>
      </c>
      <c r="G24" s="6">
        <v>0</v>
      </c>
      <c r="H24" s="6">
        <v>0</v>
      </c>
      <c r="I24" s="6">
        <v>0</v>
      </c>
      <c r="J24" s="7">
        <v>0</v>
      </c>
      <c r="K24" s="6">
        <v>0</v>
      </c>
      <c r="L24" s="6">
        <v>0</v>
      </c>
      <c r="M24" s="6">
        <v>0</v>
      </c>
      <c r="N24" s="7">
        <v>0</v>
      </c>
      <c r="O24" s="6">
        <v>0</v>
      </c>
      <c r="P24" s="6">
        <v>0</v>
      </c>
      <c r="Q24" s="6">
        <v>0</v>
      </c>
      <c r="R24" s="7">
        <v>0</v>
      </c>
      <c r="T24" s="29"/>
      <c r="U24" s="6">
        <v>18.07</v>
      </c>
      <c r="V24" s="6">
        <v>-55.579999999999998</v>
      </c>
      <c r="W24" s="6">
        <v>0</v>
      </c>
      <c r="X24" s="6">
        <v>0</v>
      </c>
      <c r="Y24" s="6">
        <v>-27.879999999999999</v>
      </c>
      <c r="Z24" s="6">
        <v>0</v>
      </c>
      <c r="AA24" s="6">
        <v>0</v>
      </c>
      <c r="AB24" s="6">
        <v>0</v>
      </c>
      <c r="AC24">
        <v>-88.099999999999994</v>
      </c>
      <c r="AD24">
        <v>0</v>
      </c>
      <c r="AE24">
        <v>0</v>
      </c>
      <c r="AF24" s="29">
        <v>0</v>
      </c>
      <c r="AG24">
        <v>0</v>
      </c>
      <c r="AH24" s="29"/>
      <c r="AI24" s="29"/>
      <c r="AJ24" s="29"/>
      <c r="AK24" s="6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</row>
    <row r="25" s="1" customFormat="1">
      <c r="B25" s="1" t="s">
        <v>59</v>
      </c>
      <c r="C25" s="10">
        <f>C12-C23+C24</f>
        <v>285.73000000000013</v>
      </c>
      <c r="D25" s="10">
        <f>D12-D23+D24</f>
        <v>659.05000000000007</v>
      </c>
      <c r="E25" s="10">
        <f>E12-E23+E24</f>
        <v>300.62000000000012</v>
      </c>
      <c r="F25" s="11">
        <f>F12-F23+F24</f>
        <v>370.22000000000003</v>
      </c>
      <c r="G25" s="10">
        <f>G12-G23+G24</f>
        <v>80.919999999999959</v>
      </c>
      <c r="H25" s="10">
        <f>H12-H23+H24</f>
        <v>607.11000000000001</v>
      </c>
      <c r="I25" s="10">
        <f>I12-I23+I24</f>
        <v>306.74999999999977</v>
      </c>
      <c r="J25" s="11">
        <f>J12-J23+J24</f>
        <v>247.48000000000002</v>
      </c>
      <c r="K25" s="10">
        <f>K12-K23+K24</f>
        <v>635.96000000000004</v>
      </c>
      <c r="L25" s="10">
        <f>L12-L23+L24</f>
        <v>657.57000000000005</v>
      </c>
      <c r="M25" s="10">
        <f>M12-M23+M24</f>
        <v>808.62</v>
      </c>
      <c r="N25" s="11">
        <f>N12-N23+N24</f>
        <v>929.70999999999981</v>
      </c>
      <c r="O25" s="10">
        <f>O12-O23+O24</f>
        <v>1058.6000000000001</v>
      </c>
      <c r="P25" s="10">
        <f>P12-P23+P24</f>
        <v>1453.6700000000001</v>
      </c>
      <c r="Q25" s="10">
        <f>Q12-Q23+Q24</f>
        <v>740.66000000000008</v>
      </c>
      <c r="R25" s="11">
        <f>R12-R23+R24</f>
        <v>-26.659999999999854</v>
      </c>
      <c r="S25" s="1"/>
      <c r="T25" s="1"/>
      <c r="U25" s="10">
        <f>U12-U23+U24</f>
        <v>161.81</v>
      </c>
      <c r="V25" s="10">
        <f>V12-V23+V24</f>
        <v>59.540000000000006</v>
      </c>
      <c r="W25" s="10">
        <f>W12-W23+W24</f>
        <v>195.59000000000003</v>
      </c>
      <c r="X25" s="10">
        <f>X12-X23+X24</f>
        <v>224.55200000000013</v>
      </c>
      <c r="Y25" s="10">
        <f>Y12-Y23+Y24</f>
        <v>505.61999999999978</v>
      </c>
      <c r="Z25" s="10">
        <f>Z12-Z23+Z24</f>
        <v>766.58999999999969</v>
      </c>
      <c r="AA25" s="10">
        <f>AA12-AA23+AA24</f>
        <v>377.90000000000009</v>
      </c>
      <c r="AB25" s="10">
        <f>AB12-AB23+AB24</f>
        <v>285.19000000000005</v>
      </c>
      <c r="AC25" s="10">
        <f>AC12-AC23+AC24</f>
        <v>1458.4200000000001</v>
      </c>
      <c r="AD25" s="10">
        <f>AD12-AD23+AD24</f>
        <v>1615.8099999999995</v>
      </c>
      <c r="AE25" s="10">
        <f>AE12-AE23+AE24</f>
        <v>1242.25</v>
      </c>
      <c r="AF25" s="10">
        <f>AF12-AF23+AF24</f>
        <v>3031.8799999999992</v>
      </c>
      <c r="AG25" s="10">
        <f>AG12-AG23+AG24</f>
        <v>3226.2599999999984</v>
      </c>
      <c r="AH25" s="10"/>
      <c r="AI25" s="10"/>
      <c r="AJ25" s="10"/>
      <c r="AK25" s="10">
        <f>AK12-AK23+AK24</f>
        <v>3226.2599999999984</v>
      </c>
      <c r="AL25" s="12">
        <f>AL12-AL23+AL24</f>
        <v>3465.5475994795315</v>
      </c>
      <c r="AM25" s="12">
        <f>AM12-AM23+AM24</f>
        <v>3872.8399434274852</v>
      </c>
      <c r="AN25" s="12">
        <f>AN12-AN23+AN24</f>
        <v>4325.735594890235</v>
      </c>
      <c r="AO25" s="12">
        <f>AO12-AO23+AO24</f>
        <v>4829.1609760568572</v>
      </c>
      <c r="AP25" s="12">
        <f>AP12-AP23+AP24</f>
        <v>5388.5629257885121</v>
      </c>
      <c r="AQ25" s="12">
        <f>AQ12-AQ23+AQ24</f>
        <v>6009.9628651189105</v>
      </c>
      <c r="AR25" s="12">
        <f>AR12-AR23+AR24</f>
        <v>6700.0165427317752</v>
      </c>
      <c r="AS25" s="12">
        <f>AS12-AS23+AS24</f>
        <v>7466.0799310529765</v>
      </c>
      <c r="AT25" s="12">
        <f>AT12-AT23+AT24</f>
        <v>8316.2819016405956</v>
      </c>
      <c r="AU25" s="12">
        <f>AU12-AU23+AU24</f>
        <v>9259.6043724828869</v>
      </c>
    </row>
    <row r="26">
      <c r="B26" t="s">
        <v>60</v>
      </c>
      <c r="C26" s="6">
        <f>-65.63</f>
        <v>-65.629999999999995</v>
      </c>
      <c r="D26" s="6">
        <f>-109.58</f>
        <v>-109.58</v>
      </c>
      <c r="E26" s="6">
        <f>-61.48</f>
        <v>-61.479999999999997</v>
      </c>
      <c r="F26" s="7">
        <v>-68.349999999999994</v>
      </c>
      <c r="G26" s="6">
        <f>-49.65</f>
        <v>-49.649999999999999</v>
      </c>
      <c r="H26" s="6">
        <f>-98.09</f>
        <v>-98.090000000000003</v>
      </c>
      <c r="I26" s="6">
        <v>-81.170000000000002</v>
      </c>
      <c r="J26" s="7">
        <v>-80.519999999999996</v>
      </c>
      <c r="K26" s="6">
        <v>-109.83</v>
      </c>
      <c r="L26" s="6">
        <v>-124.18000000000001</v>
      </c>
      <c r="M26" s="6">
        <v>-147.13</v>
      </c>
      <c r="N26" s="7">
        <v>-205.11000000000001</v>
      </c>
      <c r="O26" s="6">
        <v>-175.02000000000001</v>
      </c>
      <c r="P26" s="6">
        <v>-331.87</v>
      </c>
      <c r="Q26" s="6">
        <v>-174.66</v>
      </c>
      <c r="R26" s="7">
        <v>-36.520000000000003</v>
      </c>
      <c r="S26" s="29"/>
      <c r="U26" s="6">
        <v>-51.829999999999998</v>
      </c>
      <c r="V26" s="6">
        <v>-17.923999999999999</v>
      </c>
      <c r="W26" s="6">
        <v>-52.32</v>
      </c>
      <c r="X26" s="6">
        <v>-61.210000000000001</v>
      </c>
      <c r="Y26" s="6">
        <v>-141.09</v>
      </c>
      <c r="Z26" s="6">
        <f>-204.33</f>
        <v>-204.33000000000001</v>
      </c>
      <c r="AA26" s="6">
        <f>-92.65</f>
        <v>-92.650000000000006</v>
      </c>
      <c r="AB26" s="6">
        <f>-69.79</f>
        <v>-69.790000000000006</v>
      </c>
      <c r="AC26" s="6">
        <f>-255.46</f>
        <v>-255.46000000000001</v>
      </c>
      <c r="AD26" s="6">
        <f>-305.08</f>
        <v>-305.07999999999998</v>
      </c>
      <c r="AE26" s="6">
        <f>-309.43</f>
        <v>-309.43000000000001</v>
      </c>
      <c r="AF26">
        <f>-586.26</f>
        <v>-586.25999999999999</v>
      </c>
      <c r="AG26" s="6">
        <f>-718.08</f>
        <v>-718.08000000000004</v>
      </c>
      <c r="AH26" s="6"/>
      <c r="AI26" s="6"/>
      <c r="AJ26" s="6"/>
      <c r="AK26" s="6">
        <f>-718.08</f>
        <v>-718.08000000000004</v>
      </c>
      <c r="AL26" s="3">
        <f>AL25*$AJ$51*-1</f>
        <v>-839.12392607415552</v>
      </c>
      <c r="AM26" s="3">
        <f>AM25*$AJ$51*-1</f>
        <v>-937.74290068148173</v>
      </c>
      <c r="AN26" s="3">
        <f>AN25*$AJ$51*-1</f>
        <v>-1047.4039473842915</v>
      </c>
      <c r="AO26" s="3">
        <f>AO25*$AJ$51*-1</f>
        <v>-1169.2999162618671</v>
      </c>
      <c r="AP26" s="3">
        <f>AP25*$AJ$51*-1</f>
        <v>-1304.7496675170112</v>
      </c>
      <c r="AQ26" s="3">
        <f>AQ25*$AJ$51*-1</f>
        <v>-1455.2111867388151</v>
      </c>
      <c r="AR26" s="3">
        <f>AR25*$AJ$51*-1</f>
        <v>-1622.2960512627878</v>
      </c>
      <c r="AS26" s="3">
        <f>AS25*$AJ$51*-1</f>
        <v>-1807.7853857986338</v>
      </c>
      <c r="AT26" s="3">
        <f>AT25*$AJ$51*-1</f>
        <v>-2013.6474595507334</v>
      </c>
      <c r="AU26" s="3">
        <f>AU25*$AJ$51*-1</f>
        <v>-2242.0570925351531</v>
      </c>
    </row>
    <row r="27" s="1" customFormat="1">
      <c r="B27" s="1" t="s">
        <v>9</v>
      </c>
      <c r="C27" s="1">
        <f>C25+C26</f>
        <v>220.10000000000014</v>
      </c>
      <c r="D27" s="1">
        <f>D25+D26</f>
        <v>549.47000000000003</v>
      </c>
      <c r="E27" s="1">
        <f>E25+E26</f>
        <v>239.14000000000013</v>
      </c>
      <c r="F27" s="4">
        <f>F25+F26</f>
        <v>301.87</v>
      </c>
      <c r="G27" s="1">
        <f>G25+G26</f>
        <v>31.26999999999996</v>
      </c>
      <c r="H27" s="1">
        <f>H25+H26</f>
        <v>509.01999999999998</v>
      </c>
      <c r="I27" s="1">
        <f>I25+I26</f>
        <v>225.57999999999976</v>
      </c>
      <c r="J27" s="4">
        <f>J25+J26</f>
        <v>166.96000000000004</v>
      </c>
      <c r="K27" s="1">
        <f>K25+K26</f>
        <v>526.13</v>
      </c>
      <c r="L27" s="1">
        <f>L25+L26</f>
        <v>533.3900000000001</v>
      </c>
      <c r="M27" s="1">
        <f>M25+M26</f>
        <v>661.49000000000001</v>
      </c>
      <c r="N27" s="4">
        <f>N25+N26</f>
        <v>724.5999999999998</v>
      </c>
      <c r="O27" s="1">
        <f>O25+O26</f>
        <v>883.58000000000015</v>
      </c>
      <c r="P27" s="1">
        <f>P25+P26</f>
        <v>1121.8000000000002</v>
      </c>
      <c r="Q27" s="1">
        <f>Q25+Q26</f>
        <v>566.00000000000011</v>
      </c>
      <c r="R27" s="4">
        <f>R25+R26</f>
        <v>-63.179999999999858</v>
      </c>
      <c r="S27" s="1"/>
      <c r="T27" s="1"/>
      <c r="U27" s="1">
        <f>U25+U26</f>
        <v>109.98</v>
      </c>
      <c r="V27" s="1">
        <f>V25+V26</f>
        <v>41.616000000000007</v>
      </c>
      <c r="W27" s="1">
        <f>W25+W26</f>
        <v>143.27000000000004</v>
      </c>
      <c r="X27" s="1">
        <f>X25+X26</f>
        <v>163.34200000000013</v>
      </c>
      <c r="Y27" s="1">
        <f>Y25+Y26</f>
        <v>364.52999999999975</v>
      </c>
      <c r="Z27" s="1">
        <f>Z25+Z26</f>
        <v>562.25999999999965</v>
      </c>
      <c r="AA27" s="1">
        <f>AA25+AA26</f>
        <v>285.25000000000011</v>
      </c>
      <c r="AB27" s="1">
        <f>AB25+AB26</f>
        <v>215.40000000000003</v>
      </c>
      <c r="AC27" s="1">
        <f>AC25+AC26</f>
        <v>1202.96</v>
      </c>
      <c r="AD27" s="1">
        <f>AD25+AD26</f>
        <v>1310.7299999999996</v>
      </c>
      <c r="AE27" s="1">
        <f>AE25+AE26</f>
        <v>932.81999999999994</v>
      </c>
      <c r="AF27" s="1">
        <f>AF25+AF26</f>
        <v>2445.619999999999</v>
      </c>
      <c r="AG27" s="1">
        <f>AG25+AG26</f>
        <v>2508.1799999999985</v>
      </c>
      <c r="AH27" s="1"/>
      <c r="AI27" s="1"/>
      <c r="AJ27" s="1"/>
      <c r="AK27" s="1">
        <f>AK25+AK26</f>
        <v>2508.1799999999985</v>
      </c>
      <c r="AL27" s="9">
        <f>AL25+AL26</f>
        <v>2626.4236734053761</v>
      </c>
      <c r="AM27" s="9">
        <f>AM25+AM26</f>
        <v>2935.0970427460034</v>
      </c>
      <c r="AN27" s="9">
        <f>AN25+AN26</f>
        <v>3278.3316475059437</v>
      </c>
      <c r="AO27" s="9">
        <f>AO25+AO26</f>
        <v>3659.8610597949901</v>
      </c>
      <c r="AP27" s="9">
        <f>AP25+AP26</f>
        <v>4083.8132582715007</v>
      </c>
      <c r="AQ27" s="9">
        <f>AQ25+AQ26</f>
        <v>4554.7516783800957</v>
      </c>
      <c r="AR27" s="9">
        <f>AR25+AR26</f>
        <v>5077.7204914689873</v>
      </c>
      <c r="AS27" s="9">
        <f>AS25+AS26</f>
        <v>5658.2945452543427</v>
      </c>
      <c r="AT27" s="9">
        <f>AT25+AT26</f>
        <v>6302.6344420898622</v>
      </c>
      <c r="AU27" s="9">
        <f>AU25+AU26</f>
        <v>7017.5472799477338</v>
      </c>
      <c r="AV27" s="9">
        <f>AU27*(1+$AW$32)</f>
        <v>7087.7227527472114</v>
      </c>
      <c r="AW27" s="9">
        <f>AV27*(1+$AW$32)</f>
        <v>7158.5999802746837</v>
      </c>
      <c r="AX27" s="9">
        <f>AW27*(1+$AW$32)</f>
        <v>7230.1859800774309</v>
      </c>
      <c r="AY27" s="9">
        <f>AX27*(1+$AW$32)</f>
        <v>7302.4878398782057</v>
      </c>
      <c r="AZ27" s="9">
        <f>AY27*(1+$AW$32)</f>
        <v>7375.5127182769875</v>
      </c>
      <c r="BA27" s="9">
        <f>AZ27*(1+$AW$32)</f>
        <v>7449.2678454597572</v>
      </c>
      <c r="BB27" s="9">
        <f>BA27*(1+$AW$32)</f>
        <v>7523.760523914355</v>
      </c>
      <c r="BC27" s="9">
        <f>BB27*(1+$AW$32)</f>
        <v>7598.9981291534987</v>
      </c>
      <c r="BD27" s="9">
        <f>BC27*(1+$AW$32)</f>
        <v>7674.9881104450333</v>
      </c>
      <c r="BE27" s="9">
        <f>BD27*(1+$AW$32)</f>
        <v>7751.7379915494839</v>
      </c>
      <c r="BF27" s="9">
        <f>BE27*(1+$AW$32)</f>
        <v>7829.2553714649785</v>
      </c>
      <c r="BG27" s="9">
        <f>BF27*(1+$AW$32)</f>
        <v>7907.5479251796287</v>
      </c>
      <c r="BH27" s="9">
        <f>BG27*(1+$AW$32)</f>
        <v>7986.6234044314251</v>
      </c>
      <c r="BI27" s="9">
        <f>BH27*(1+$AW$32)</f>
        <v>8066.4896384757394</v>
      </c>
      <c r="BJ27" s="9">
        <f>BI27*(1+$AW$32)</f>
        <v>8147.1545348604968</v>
      </c>
      <c r="BK27" s="9">
        <f>BJ27*(1+$AW$32)</f>
        <v>8228.6260802091019</v>
      </c>
      <c r="BL27" s="9">
        <f>BK27*(1+$AW$32)</f>
        <v>8310.9123410111933</v>
      </c>
      <c r="BM27" s="9">
        <f>BL27*(1+$AW$32)</f>
        <v>8394.0214644213047</v>
      </c>
      <c r="BN27" s="9">
        <f>BM27*(1+$AW$32)</f>
        <v>8477.9616790655182</v>
      </c>
      <c r="BO27" s="9">
        <f>BN27*(1+$AW$32)</f>
        <v>8562.7412958561727</v>
      </c>
      <c r="BP27" s="9">
        <f>BO27*(1+$AW$32)</f>
        <v>8648.3687088147344</v>
      </c>
      <c r="BQ27" s="9">
        <f>BP27*(1+$AW$32)</f>
        <v>8734.8523959028826</v>
      </c>
      <c r="BR27" s="9">
        <f>BQ27*(1+$AW$32)</f>
        <v>8822.2009198619107</v>
      </c>
      <c r="BS27" s="9">
        <f>BR27*(1+$AW$32)</f>
        <v>8910.4229290605308</v>
      </c>
      <c r="BT27" s="9">
        <f>BS27*(1+$AW$32)</f>
        <v>8999.5271583511367</v>
      </c>
      <c r="BU27" s="9">
        <f>BT27*(1+$AW$32)</f>
        <v>9089.5224299346482</v>
      </c>
      <c r="BV27" s="9">
        <f>BU27*(1+$AW$32)</f>
        <v>9180.4176542339956</v>
      </c>
      <c r="BW27" s="9">
        <f>BV27*(1+$AW$32)</f>
        <v>9272.221830776336</v>
      </c>
      <c r="BX27" s="9">
        <f>BW27*(1+$AW$32)</f>
        <v>9364.9440490840989</v>
      </c>
      <c r="BY27" s="9">
        <f>BX27*(1+$AW$32)</f>
        <v>9458.5934895749397</v>
      </c>
      <c r="BZ27" s="9">
        <f>BY27*(1+$AW$32)</f>
        <v>9553.1794244706889</v>
      </c>
      <c r="CA27" s="9">
        <f>BZ27*(1+$AW$32)</f>
        <v>9648.7112187153962</v>
      </c>
      <c r="CB27" s="9">
        <f>CA27*(1+$AW$32)</f>
        <v>9745.1983309025509</v>
      </c>
      <c r="CC27" s="9">
        <f>CB27*(1+$AW$32)</f>
        <v>9842.6503142115762</v>
      </c>
      <c r="CD27" s="9">
        <f>CC27*(1+$AW$32)</f>
        <v>9941.0768173536926</v>
      </c>
      <c r="CE27" s="9">
        <f>CD27*(1+$AW$32)</f>
        <v>10040.487585527229</v>
      </c>
      <c r="CF27" s="9">
        <f>CE27*(1+$AW$32)</f>
        <v>10140.892461382502</v>
      </c>
      <c r="CG27" s="9">
        <f>CF27*(1+$AW$32)</f>
        <v>10242.301385996327</v>
      </c>
      <c r="CH27" s="9">
        <f>CG27*(1+$AW$32)</f>
        <v>10344.72439985629</v>
      </c>
      <c r="CI27" s="9">
        <f>CH27*(1+$AW$32)</f>
        <v>10448.171643854854</v>
      </c>
      <c r="CJ27" s="9">
        <f>CI27*(1+$AW$32)</f>
        <v>10552.653360293403</v>
      </c>
      <c r="CK27" s="9">
        <f>CJ27*(1+$AW$32)</f>
        <v>10658.179893896337</v>
      </c>
      <c r="CL27" s="9">
        <f>CK27*(1+$AW$32)</f>
        <v>10764.7616928353</v>
      </c>
      <c r="CM27" s="9">
        <f>CL27*(1+$AW$32)</f>
        <v>10872.409309763652</v>
      </c>
      <c r="CN27" s="9">
        <f>CM27*(1+$AW$32)</f>
        <v>10981.133402861289</v>
      </c>
      <c r="CO27" s="9">
        <f>CN27*(1+$AW$32)</f>
        <v>11090.944736889902</v>
      </c>
      <c r="CP27" s="9">
        <f>CO27*(1+$AW$32)</f>
        <v>11201.8541842588</v>
      </c>
      <c r="CQ27" s="9">
        <f>CP27*(1+$AW$32)</f>
        <v>11313.872726101388</v>
      </c>
      <c r="CR27" s="9">
        <f>CQ27*(1+$AW$32)</f>
        <v>11427.011453362402</v>
      </c>
      <c r="CS27" s="9">
        <f>CR27*(1+$AW$32)</f>
        <v>11541.281567896027</v>
      </c>
      <c r="CT27" s="9">
        <f>CS27*(1+$AW$32)</f>
        <v>11656.694383574988</v>
      </c>
      <c r="CU27" s="9">
        <f>CT27*(1+$AW$32)</f>
        <v>11773.261327410739</v>
      </c>
      <c r="CV27" s="9">
        <f>CU27*(1+$AW$32)</f>
        <v>11890.993940684846</v>
      </c>
      <c r="CW27" s="9">
        <f>CV27*(1+$AW$32)</f>
        <v>12009.903880091695</v>
      </c>
      <c r="CX27" s="9">
        <f>CW27*(1+$AW$32)</f>
        <v>12130.002918892613</v>
      </c>
      <c r="CY27" s="9">
        <f>CX27*(1+$AW$32)</f>
        <v>12251.302948081538</v>
      </c>
      <c r="CZ27" s="9">
        <f>CY27*(1+$AW$32)</f>
        <v>12373.815977562354</v>
      </c>
      <c r="DA27" s="9">
        <f>CZ27*(1+$AW$32)</f>
        <v>12497.554137337976</v>
      </c>
      <c r="DB27" s="9">
        <f>DA27*(1+$AW$32)</f>
        <v>12622.529678711357</v>
      </c>
      <c r="DC27" s="9">
        <f>DB27*(1+$AW$32)</f>
        <v>12748.75497549847</v>
      </c>
      <c r="DD27" s="9">
        <f>DC27*(1+$AW$32)</f>
        <v>12876.242525253456</v>
      </c>
    </row>
    <row r="28">
      <c r="B28" t="s">
        <v>185</v>
      </c>
      <c r="C28" s="6">
        <v>1.1200000000000001</v>
      </c>
      <c r="D28" s="6">
        <f>-0.7</f>
        <v>-0.69999999999999996</v>
      </c>
      <c r="E28" s="6">
        <v>0.67000000000000004</v>
      </c>
      <c r="F28" s="7">
        <v>0.64000000000000001</v>
      </c>
      <c r="G28" s="6">
        <v>0.68999999999999995</v>
      </c>
      <c r="H28" s="6">
        <v>0.68999999999999995</v>
      </c>
      <c r="I28" s="6">
        <v>1.72</v>
      </c>
      <c r="J28" s="7">
        <v>-1.47</v>
      </c>
      <c r="K28" s="6">
        <v>1.4399999999999999</v>
      </c>
      <c r="L28" s="6">
        <v>-1.2</v>
      </c>
      <c r="M28" s="6">
        <v>-0.25</v>
      </c>
      <c r="N28" s="5">
        <v>0</v>
      </c>
      <c r="O28" s="6">
        <v>0</v>
      </c>
      <c r="P28" s="6">
        <v>0</v>
      </c>
      <c r="Q28" s="6">
        <v>0</v>
      </c>
      <c r="R28" s="5">
        <v>0</v>
      </c>
      <c r="S28" s="29"/>
      <c r="U28" s="6">
        <f>22.13-18.97</f>
        <v>3.1600000000000001</v>
      </c>
      <c r="V28" s="6">
        <f>22.13-18.97</f>
        <v>3.1600000000000001</v>
      </c>
      <c r="W28" s="6">
        <f>22.13-18.97</f>
        <v>3.1600000000000001</v>
      </c>
      <c r="X28" s="6">
        <f>+83.11-25.54</f>
        <v>57.57</v>
      </c>
      <c r="Y28" s="6">
        <v>13.06</v>
      </c>
      <c r="Z28" s="6">
        <v>13.06</v>
      </c>
      <c r="AA28" s="6">
        <v>13.06</v>
      </c>
      <c r="AB28" s="6">
        <f>-25.82</f>
        <v>-25.82</v>
      </c>
      <c r="AC28" s="6">
        <v>61.770000000000003</v>
      </c>
      <c r="AD28" s="6">
        <v>1.72</v>
      </c>
      <c r="AE28" s="6">
        <v>1.96</v>
      </c>
      <c r="AF28">
        <v>-0.01</v>
      </c>
      <c r="AG28" s="6">
        <v>-0.01</v>
      </c>
      <c r="AH28" s="6"/>
      <c r="AI28" s="6"/>
      <c r="AJ28" s="6"/>
      <c r="AK28" s="6">
        <v>-0.01</v>
      </c>
    </row>
    <row r="29" s="37" customFormat="1">
      <c r="B29" s="37" t="s">
        <v>186</v>
      </c>
      <c r="C29" s="38"/>
      <c r="D29" s="38"/>
      <c r="E29" s="38"/>
      <c r="F29" s="39"/>
      <c r="G29" s="37"/>
      <c r="H29" s="37"/>
      <c r="I29" s="37"/>
      <c r="J29" s="40"/>
      <c r="K29" s="37"/>
      <c r="L29" s="37"/>
      <c r="M29" s="37"/>
      <c r="N29" s="40"/>
      <c r="O29" s="37"/>
      <c r="P29" s="37"/>
      <c r="Q29" s="37"/>
      <c r="R29" s="40"/>
      <c r="S29" s="37"/>
      <c r="T29" s="37"/>
      <c r="U29" s="37"/>
      <c r="V29" s="37"/>
      <c r="W29" s="37"/>
      <c r="X29" s="38"/>
      <c r="Y29" s="38">
        <v>-2.8999999999999999</v>
      </c>
      <c r="Z29" s="38">
        <v>-2.8999999999999999</v>
      </c>
      <c r="AA29" s="38">
        <v>-2.8999999999999999</v>
      </c>
      <c r="AB29" s="38">
        <v>-2.8999999999999999</v>
      </c>
      <c r="AC29" s="38">
        <f>41.06</f>
        <v>41.060000000000002</v>
      </c>
      <c r="AD29" s="38">
        <f>41.06</f>
        <v>41.060000000000002</v>
      </c>
      <c r="AE29" s="38">
        <v>-46.479999999999997</v>
      </c>
      <c r="AF29" s="37">
        <v>184.96000000000001</v>
      </c>
      <c r="AG29" s="37">
        <v>184.96000000000001</v>
      </c>
      <c r="AH29" s="37"/>
      <c r="AI29" s="37"/>
      <c r="AJ29" s="37"/>
      <c r="AK29" s="37">
        <v>184.96000000000001</v>
      </c>
      <c r="AL29" s="37"/>
      <c r="AM29" s="37"/>
    </row>
    <row r="30">
      <c r="B30" t="s">
        <v>187</v>
      </c>
      <c r="C30" s="6"/>
      <c r="D30" s="6"/>
      <c r="E30" s="6"/>
      <c r="F30" s="7"/>
      <c r="G30" s="29"/>
      <c r="H30" s="29"/>
      <c r="I30" s="29"/>
      <c r="J30" s="5"/>
      <c r="K30" s="29"/>
      <c r="L30" s="6"/>
      <c r="M30" s="6"/>
      <c r="N30" s="7"/>
      <c r="O30" s="6"/>
      <c r="P30" s="6"/>
      <c r="Q30" s="6"/>
      <c r="R30" s="7"/>
      <c r="S30" s="29"/>
      <c r="X30" s="6"/>
      <c r="Y30" s="6">
        <v>293.97000000000003</v>
      </c>
      <c r="Z30" s="6">
        <v>293.97000000000003</v>
      </c>
      <c r="AA30" s="6">
        <v>293.97000000000003</v>
      </c>
      <c r="AB30" s="6">
        <v>183.37</v>
      </c>
      <c r="AC30" s="6">
        <v>1260.4400000000001</v>
      </c>
      <c r="AD30" s="6">
        <v>1309.78</v>
      </c>
      <c r="AE30" s="6">
        <v>931.69000000000005</v>
      </c>
      <c r="AF30">
        <v>2441.0599999999999</v>
      </c>
      <c r="AG30" s="6">
        <v>2501.6399999999999</v>
      </c>
      <c r="AH30" s="6"/>
      <c r="AI30" s="6"/>
      <c r="AJ30" s="6"/>
      <c r="AK30" s="6">
        <v>2501.6399999999999</v>
      </c>
    </row>
    <row r="31">
      <c r="C31" s="6"/>
      <c r="F31" s="5"/>
      <c r="J31" s="5"/>
      <c r="K31" s="6"/>
      <c r="L31" s="6"/>
      <c r="M31" s="6"/>
      <c r="N31" s="7"/>
      <c r="O31" s="6"/>
      <c r="P31" s="6"/>
      <c r="Q31" s="6"/>
      <c r="R31" s="7"/>
      <c r="X31" s="6"/>
      <c r="Y31" s="6"/>
      <c r="Z31" s="6"/>
      <c r="AA31" s="6"/>
      <c r="AB31" s="6"/>
      <c r="AC31" s="6"/>
      <c r="AD31" s="6"/>
      <c r="AE31" s="6"/>
      <c r="AG31" s="6"/>
      <c r="AH31" s="6"/>
      <c r="AI31" s="6"/>
      <c r="AJ31" s="6"/>
      <c r="AK31" s="6"/>
    </row>
    <row r="32">
      <c r="B32" t="s">
        <v>188</v>
      </c>
      <c r="C32" s="6"/>
      <c r="E32" s="29"/>
      <c r="F32" s="5"/>
      <c r="G32" s="29"/>
      <c r="H32" s="29"/>
      <c r="I32" s="29"/>
      <c r="J32" s="5"/>
      <c r="K32" s="29"/>
      <c r="L32" s="6"/>
      <c r="M32" s="6"/>
      <c r="N32" s="7"/>
      <c r="O32" s="6"/>
      <c r="P32" s="6"/>
      <c r="Q32" s="6"/>
      <c r="R32" s="7"/>
      <c r="S32" s="29"/>
      <c r="X32" s="6">
        <v>148135120</v>
      </c>
      <c r="Y32" s="6">
        <v>148135120</v>
      </c>
      <c r="Z32" s="6">
        <v>148135120</v>
      </c>
      <c r="AA32" s="6">
        <v>148135120</v>
      </c>
      <c r="AB32" s="6">
        <v>148135120</v>
      </c>
      <c r="AC32" s="6">
        <v>148135120</v>
      </c>
      <c r="AD32" s="6">
        <v>148135120</v>
      </c>
      <c r="AE32" s="6">
        <v>148135120</v>
      </c>
      <c r="AF32">
        <v>148272290</v>
      </c>
      <c r="AG32" s="6">
        <v>148272290</v>
      </c>
      <c r="AH32" s="6"/>
      <c r="AI32" s="6"/>
      <c r="AJ32" s="6"/>
      <c r="AK32" s="6">
        <v>148272290</v>
      </c>
      <c r="AV32" s="1" t="s">
        <v>189</v>
      </c>
      <c r="AW32" s="13">
        <v>0.01</v>
      </c>
    </row>
    <row r="33">
      <c r="B33" t="s">
        <v>190</v>
      </c>
      <c r="C33" s="6">
        <v>15.07</v>
      </c>
      <c r="D33" s="29">
        <v>36.560000000000002</v>
      </c>
      <c r="E33" s="29"/>
      <c r="F33" s="5"/>
      <c r="G33" s="29"/>
      <c r="H33" s="29">
        <v>34.450000000000003</v>
      </c>
      <c r="I33" s="29">
        <v>15.449999999999999</v>
      </c>
      <c r="J33" s="5">
        <v>11.35</v>
      </c>
      <c r="K33" s="29">
        <v>35.619999999999997</v>
      </c>
      <c r="L33" s="6">
        <v>35.869999999999997</v>
      </c>
      <c r="M33" s="6">
        <v>44.490000000000002</v>
      </c>
      <c r="N33" s="7">
        <v>48.609999999999999</v>
      </c>
      <c r="O33" s="6">
        <v>14.779999999999999</v>
      </c>
      <c r="P33" s="6">
        <v>18.739999999999998</v>
      </c>
      <c r="Q33" s="6">
        <v>9.4299999999999997</v>
      </c>
      <c r="R33" s="7">
        <v>48.609999999999999</v>
      </c>
      <c r="S33" s="29"/>
      <c r="U33">
        <v>7.5700000000000003</v>
      </c>
      <c r="V33">
        <v>2.9500000000000002</v>
      </c>
      <c r="X33" s="6">
        <v>11.94</v>
      </c>
      <c r="Y33" s="6">
        <v>25.140000000000001</v>
      </c>
      <c r="Z33" s="6">
        <v>38.799999999999997</v>
      </c>
      <c r="AA33" s="6">
        <v>20.210000000000001</v>
      </c>
      <c r="AB33" s="6">
        <v>12.470000000000001</v>
      </c>
      <c r="AC33" s="6">
        <v>85.670000000000002</v>
      </c>
      <c r="AD33" s="6">
        <v>89.140000000000001</v>
      </c>
      <c r="AE33" s="6">
        <v>62.890000000000001</v>
      </c>
      <c r="AF33">
        <v>164.63</v>
      </c>
      <c r="AG33" s="6">
        <v>41.829999999999998</v>
      </c>
      <c r="AH33" s="6"/>
      <c r="AI33" s="6"/>
      <c r="AJ33" s="6"/>
      <c r="AK33" s="6">
        <v>41.829999999999998</v>
      </c>
      <c r="AV33" s="1" t="s">
        <v>68</v>
      </c>
      <c r="AW33" s="13">
        <v>0.12</v>
      </c>
    </row>
    <row r="34">
      <c r="B34" t="s">
        <v>191</v>
      </c>
      <c r="C34" s="8"/>
      <c r="D34" s="29"/>
      <c r="E34" s="29"/>
      <c r="F34" s="5"/>
      <c r="G34" s="29"/>
      <c r="H34" s="29"/>
      <c r="I34" s="29"/>
      <c r="J34" s="5"/>
      <c r="K34" s="29"/>
      <c r="L34" s="29"/>
      <c r="M34" s="29"/>
      <c r="N34" s="5"/>
      <c r="R34" s="5"/>
      <c r="S34" s="29"/>
      <c r="X34" s="8">
        <f>X30*10000000/X32</f>
        <v>0</v>
      </c>
      <c r="Y34" s="8">
        <f>Y30*10000000/Y32</f>
        <v>19.844720144689528</v>
      </c>
      <c r="Z34" s="8">
        <f>Z30*10000000/Z32</f>
        <v>19.844720144689528</v>
      </c>
      <c r="AA34" s="8">
        <f>AA30*10000000/AA32</f>
        <v>19.844720144689528</v>
      </c>
      <c r="AB34" s="8">
        <f>AB30*10000000/AB32</f>
        <v>12.378563570880424</v>
      </c>
      <c r="AC34" s="8">
        <f>AC30*10000000/AC32</f>
        <v>85.087182566834926</v>
      </c>
      <c r="AD34" s="8">
        <f>AD30*10000000/AD32</f>
        <v>88.417925472366036</v>
      </c>
      <c r="AE34" s="8">
        <f>AE30*10000000/AE32</f>
        <v>62.894605951647385</v>
      </c>
      <c r="AF34" s="8">
        <f>AF30*10000000/AF32</f>
        <v>164.63359404511795</v>
      </c>
      <c r="AG34" s="8">
        <f>AG30*10000000/AG32</f>
        <v>168.7193203800926</v>
      </c>
      <c r="AH34" s="8"/>
      <c r="AI34" s="8"/>
      <c r="AJ34" s="8"/>
      <c r="AK34" s="8">
        <f>AK30*10000000/AK32</f>
        <v>168.7193203800926</v>
      </c>
      <c r="AV34" s="1" t="s">
        <v>192</v>
      </c>
      <c r="AW34" s="3">
        <f>NPV(AW33,AL27:DD27)</f>
        <v>43791.623116032417</v>
      </c>
    </row>
    <row r="35">
      <c r="B35" s="29" t="s">
        <v>193</v>
      </c>
      <c r="C35" s="8"/>
      <c r="F35" s="5"/>
      <c r="G35" s="29"/>
      <c r="H35" s="29"/>
      <c r="I35" s="29"/>
      <c r="J35" s="5"/>
      <c r="N35" s="5"/>
      <c r="O35" s="29"/>
      <c r="P35" s="29"/>
      <c r="Q35" s="29"/>
      <c r="R35" s="5"/>
      <c r="T35" s="29"/>
      <c r="U35" s="29"/>
      <c r="V35" s="29"/>
      <c r="W35" s="29"/>
      <c r="X35">
        <v>350</v>
      </c>
      <c r="Y35" s="29">
        <v>350</v>
      </c>
      <c r="Z35" s="29">
        <v>1275</v>
      </c>
      <c r="AA35" s="8">
        <v>715</v>
      </c>
      <c r="AB35" s="8">
        <v>455</v>
      </c>
      <c r="AC35" s="8">
        <v>623</v>
      </c>
      <c r="AD35" s="8">
        <v>1000</v>
      </c>
      <c r="AE35" s="8">
        <v>710</v>
      </c>
      <c r="AF35" s="8">
        <v>1030</v>
      </c>
      <c r="AG35" s="8">
        <v>602.35000000000002</v>
      </c>
      <c r="AH35" s="8"/>
      <c r="AI35" s="8"/>
      <c r="AJ35" s="8"/>
      <c r="AK35" s="8">
        <v>602.35000000000002</v>
      </c>
      <c r="AV35" s="1" t="s">
        <v>194</v>
      </c>
      <c r="AW35">
        <v>598642630</v>
      </c>
    </row>
    <row r="36">
      <c r="B36" s="29"/>
      <c r="F36" s="5"/>
      <c r="G36" s="29"/>
      <c r="H36" s="29"/>
      <c r="I36" s="29"/>
      <c r="O36" s="29"/>
      <c r="P36" s="29"/>
      <c r="Q36" s="29"/>
      <c r="R36" s="29"/>
      <c r="T36" s="29"/>
      <c r="U36" s="29"/>
      <c r="V36" s="29"/>
      <c r="W36" s="29"/>
      <c r="Y36" s="29"/>
      <c r="Z36" s="29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29"/>
      <c r="AV36" s="1" t="s">
        <v>195</v>
      </c>
      <c r="AW36" s="3">
        <f>AW34*10000000/AW35</f>
        <v>731.51528009344099</v>
      </c>
    </row>
    <row r="37">
      <c r="A37" s="1" t="s">
        <v>196</v>
      </c>
      <c r="F37" s="5"/>
      <c r="AA37" s="6"/>
      <c r="AB37" s="6"/>
      <c r="AC37" s="6"/>
      <c r="AD37" s="6"/>
      <c r="AE37" s="6"/>
      <c r="AG37" s="6"/>
      <c r="AH37" s="10" t="s">
        <v>62</v>
      </c>
      <c r="AI37" s="10" t="s">
        <v>63</v>
      </c>
      <c r="AJ37" s="10" t="s">
        <v>197</v>
      </c>
      <c r="AK37" s="10"/>
      <c r="AV37" s="1" t="s">
        <v>198</v>
      </c>
      <c r="AW37" s="3">
        <v>822.89999999999998</v>
      </c>
    </row>
    <row r="38">
      <c r="B38" t="s">
        <v>199</v>
      </c>
      <c r="C38" s="14">
        <f>C16/C3</f>
        <v>0.50094348523445609</v>
      </c>
      <c r="D38" s="14">
        <f>D16/D3</f>
        <v>0.45285978601882393</v>
      </c>
      <c r="E38" s="14">
        <f>E16/E3</f>
        <v>0.45972545147625565</v>
      </c>
      <c r="F38" s="15">
        <f>F16/F3</f>
        <v>0.44344676095417929</v>
      </c>
      <c r="G38" s="14">
        <f>G16/G3</f>
        <v>0.44805169375367143</v>
      </c>
      <c r="H38" s="14">
        <f>H16/H3</f>
        <v>0.46104449017242599</v>
      </c>
      <c r="I38" s="14">
        <f>I16/I3</f>
        <v>0.50155403605363647</v>
      </c>
      <c r="J38" s="14">
        <f>J16/J3</f>
        <v>0.53666062733552256</v>
      </c>
      <c r="K38" s="14">
        <f>K16/K3</f>
        <v>0.54040050062578215</v>
      </c>
      <c r="L38" s="14">
        <f>L16/L3</f>
        <v>0.53727718360071297</v>
      </c>
      <c r="M38" s="14">
        <f>M16/M3</f>
        <v>0.53533684253478597</v>
      </c>
      <c r="N38" s="14">
        <f>N16/N3</f>
        <v>0.52983263523109292</v>
      </c>
      <c r="O38" s="14">
        <f>O16/O3</f>
        <v>0.54091605652988262</v>
      </c>
      <c r="P38" s="14">
        <f>P16/P3</f>
        <v>0.52072861494140776</v>
      </c>
      <c r="Q38" s="14">
        <f>Q16/Q3</f>
        <v>0.50041342814618817</v>
      </c>
      <c r="R38" s="14">
        <f>R16/R3</f>
        <v>0.51037890705150124</v>
      </c>
      <c r="S38" s="29"/>
      <c r="X38" s="29"/>
      <c r="Y38" s="14"/>
      <c r="Z38" s="14"/>
      <c r="AA38" s="14">
        <f>AA16/AA3</f>
        <v>0.63197730579704825</v>
      </c>
      <c r="AB38" s="14">
        <f>AB16/AB3</f>
        <v>0.64422701097011237</v>
      </c>
      <c r="AC38" s="14">
        <f>AC16/AC3</f>
        <v>0.57132993414064159</v>
      </c>
      <c r="AD38" s="14">
        <f>AD16/AD3</f>
        <v>0.46235436306502298</v>
      </c>
      <c r="AE38" s="14">
        <f>AE16/AE3</f>
        <v>0.4850890262071661</v>
      </c>
      <c r="AF38" s="14">
        <f>AF16/AF3</f>
        <v>0.53524531329167369</v>
      </c>
      <c r="AG38" s="14">
        <f>AG16/AG3</f>
        <v>0.53143264083296493</v>
      </c>
      <c r="AH38" s="41">
        <f t="shared" ref="AH38:AH40" si="87">AVERAGE(AA38:AG38)</f>
        <v>0.55166508490066135</v>
      </c>
      <c r="AI38" s="14">
        <f t="shared" ref="AI38:AI39" si="88">MEDIAN(AA38:AG38)</f>
        <v>0.53524531329167369</v>
      </c>
      <c r="AJ38" s="14">
        <f t="shared" ref="AJ38:AJ39" si="89">MEDIAN(AB38:AH38)</f>
        <v>0.53524531329167369</v>
      </c>
      <c r="AK38" s="14"/>
    </row>
    <row r="39">
      <c r="B39" s="29" t="s">
        <v>200</v>
      </c>
      <c r="C39" s="14">
        <f>C17/C6</f>
        <v>0.34583611628642735</v>
      </c>
      <c r="D39" s="14">
        <f>D17/D6</f>
        <v>0.3646306659651472</v>
      </c>
      <c r="E39" s="14">
        <f>E17/E6</f>
        <v>0.34467303772030017</v>
      </c>
      <c r="F39" s="15">
        <f>F17/F6</f>
        <v>0.31692431183137965</v>
      </c>
      <c r="G39" s="14">
        <f>G17/G6</f>
        <v>0.34416058961640728</v>
      </c>
      <c r="H39" s="14">
        <f>H17/H6</f>
        <v>0.30132187331574617</v>
      </c>
      <c r="I39" s="14">
        <f>I17/I6</f>
        <v>0.31429431409365188</v>
      </c>
      <c r="J39" s="14">
        <f>J17/J6</f>
        <v>0.29577915466736482</v>
      </c>
      <c r="K39" s="14">
        <f>K17/K6</f>
        <v>0.28994706172576107</v>
      </c>
      <c r="L39" s="14">
        <f>L17/L6</f>
        <v>0.32117139843140857</v>
      </c>
      <c r="M39" s="14">
        <f>M17/M6</f>
        <v>0.32294505851378463</v>
      </c>
      <c r="N39" s="14">
        <f>N17/N6</f>
        <v>0.31816623143678618</v>
      </c>
      <c r="O39" s="14">
        <f>O17/O6</f>
        <v>0.33081943835015354</v>
      </c>
      <c r="P39" s="14">
        <f>P17/P6</f>
        <v>0.30383264382171576</v>
      </c>
      <c r="Q39" s="14">
        <f>Q17/Q6</f>
        <v>0.26386166644888709</v>
      </c>
      <c r="R39" s="14">
        <f>R17/R6</f>
        <v>0.26421787054409002</v>
      </c>
      <c r="S39" s="29"/>
      <c r="T39" s="29"/>
      <c r="U39" s="29"/>
      <c r="V39" s="29"/>
      <c r="W39" s="29"/>
      <c r="X39" s="29"/>
      <c r="Y39" s="14"/>
      <c r="Z39" s="14"/>
      <c r="AA39" s="14">
        <f>AA17/AA6</f>
        <v>0.30463244027979408</v>
      </c>
      <c r="AB39" s="14">
        <f>AB17/AB6</f>
        <v>0.30280399168613881</v>
      </c>
      <c r="AC39" s="14">
        <f>AC17/AC6</f>
        <v>0.32616390011695429</v>
      </c>
      <c r="AD39" s="14">
        <f>AD17/AD6</f>
        <v>0.34244237333640165</v>
      </c>
      <c r="AE39" s="14">
        <f>AE17/AE6</f>
        <v>0.315103423549985</v>
      </c>
      <c r="AF39" s="14">
        <f>AF17/AF6</f>
        <v>0.31386005610554679</v>
      </c>
      <c r="AG39" s="14">
        <f>AG17/AG6</f>
        <v>0.29233689591384698</v>
      </c>
      <c r="AH39" s="41">
        <f t="shared" si="87"/>
        <v>0.31390615442695247</v>
      </c>
      <c r="AI39" s="14">
        <f t="shared" si="88"/>
        <v>0.31386005610554679</v>
      </c>
      <c r="AJ39" s="14">
        <f t="shared" si="89"/>
        <v>0.31390615442695247</v>
      </c>
      <c r="AK39" s="14"/>
    </row>
    <row r="40">
      <c r="B40" t="s">
        <v>201</v>
      </c>
      <c r="C40" s="16">
        <f>1-C38</f>
        <v>0.49905651476554391</v>
      </c>
      <c r="D40" s="16">
        <f>1-D38</f>
        <v>0.54714021398117607</v>
      </c>
      <c r="E40" s="16">
        <f>1-E38</f>
        <v>0.54027454852374435</v>
      </c>
      <c r="F40" s="42">
        <f>1-F38</f>
        <v>0.55655323904582077</v>
      </c>
      <c r="G40" s="16">
        <f>1-G38</f>
        <v>0.55194830624632862</v>
      </c>
      <c r="H40" s="16">
        <f>1-H38</f>
        <v>0.53895550982757401</v>
      </c>
      <c r="I40" s="16">
        <f>1-I38</f>
        <v>0.49844596394636353</v>
      </c>
      <c r="J40" s="16">
        <f>1-J38</f>
        <v>0.46333937266447744</v>
      </c>
      <c r="K40" s="16">
        <f>1-K38</f>
        <v>0.45959949937421785</v>
      </c>
      <c r="L40" s="16">
        <f>1-L38</f>
        <v>0.46272281639928703</v>
      </c>
      <c r="M40" s="16">
        <f>1-M38</f>
        <v>0.46466315746521403</v>
      </c>
      <c r="N40" s="16">
        <f>1-N38</f>
        <v>0.47016736476890708</v>
      </c>
      <c r="O40" s="16">
        <f>1-O38</f>
        <v>0.45908394347011738</v>
      </c>
      <c r="P40" s="16">
        <f>1-P38</f>
        <v>0.47927138505859224</v>
      </c>
      <c r="Q40" s="16">
        <f>1-Q38</f>
        <v>0.49958657185381183</v>
      </c>
      <c r="R40" s="16">
        <f>1-R38</f>
        <v>0.48962109294849876</v>
      </c>
      <c r="Y40" s="14"/>
      <c r="Z40" s="14"/>
      <c r="AA40" s="14">
        <f>1-AA38</f>
        <v>0.36802269420295175</v>
      </c>
      <c r="AB40" s="14">
        <f>1-AB38</f>
        <v>0.35577298902988763</v>
      </c>
      <c r="AC40" s="14">
        <f>1-AC38</f>
        <v>0.42867006585935841</v>
      </c>
      <c r="AD40" s="14">
        <f>1-AD38</f>
        <v>0.53764563693497702</v>
      </c>
      <c r="AE40" s="14">
        <f>1-AE38</f>
        <v>0.5149109737928339</v>
      </c>
      <c r="AF40" s="14">
        <f>1-AF38</f>
        <v>0.46475468670832631</v>
      </c>
      <c r="AG40" s="14">
        <f>1-AG38</f>
        <v>0.46856735916703507</v>
      </c>
      <c r="AH40" s="43">
        <f t="shared" si="87"/>
        <v>0.44833491509933859</v>
      </c>
      <c r="AI40" s="14"/>
      <c r="AJ40" s="14"/>
      <c r="AK40" s="14"/>
    </row>
    <row r="41" ht="14.25">
      <c r="B41" t="s">
        <v>202</v>
      </c>
      <c r="C41" s="29"/>
      <c r="D41" s="14"/>
      <c r="E41" s="14"/>
      <c r="F41" s="15"/>
      <c r="G41" s="14">
        <f>G9/C9-1</f>
        <v>0.1508201759440666</v>
      </c>
      <c r="H41" s="44">
        <f>H9/D9-1</f>
        <v>0.12673531829390794</v>
      </c>
      <c r="I41" s="44">
        <f>I9/E9-1</f>
        <v>0.029660637758399444</v>
      </c>
      <c r="J41" s="44">
        <f>J9/F9-1</f>
        <v>0.059792071848238759</v>
      </c>
      <c r="K41" s="44">
        <f>K9/G9-1</f>
        <v>0.27930033047367897</v>
      </c>
      <c r="L41" s="44">
        <f>L9/H9-1</f>
        <v>0.3386359721560801</v>
      </c>
      <c r="M41" s="44">
        <f>M9/I9-1</f>
        <v>0.30592734225621432</v>
      </c>
      <c r="N41" s="44">
        <f>N9/J9-1</f>
        <v>0.62723508104420667</v>
      </c>
      <c r="O41" s="44">
        <f>O9/K9-1</f>
        <v>0.46259089169536938</v>
      </c>
      <c r="P41" s="44">
        <f>P9/L9-1</f>
        <v>0.47416625035953786</v>
      </c>
      <c r="Q41" s="44">
        <f>Q9/M9-1</f>
        <v>0.2960202315985625</v>
      </c>
      <c r="R41" s="44">
        <f>R9/N9-1</f>
        <v>-0.050424832163248889</v>
      </c>
      <c r="S41" s="29"/>
      <c r="V41" s="14">
        <f>V10/U10-1</f>
        <v>-0.016766389737850385</v>
      </c>
      <c r="W41" s="14">
        <f>W10/V10-1</f>
        <v>0.68325197557078132</v>
      </c>
      <c r="X41" s="14">
        <f>X10/W10-1</f>
        <v>0.3718398876404494</v>
      </c>
      <c r="Y41" s="14">
        <f>Y10/X10-1</f>
        <v>0.74508242565575533</v>
      </c>
      <c r="Z41" s="14">
        <f>Z10/Y10-1</f>
        <v>0.4927452780478796</v>
      </c>
      <c r="AA41" s="14">
        <f>AA10/Z10-1</f>
        <v>-0.1086992121399587</v>
      </c>
      <c r="AB41" s="14">
        <f>AB10/AA10-1</f>
        <v>-0.037440032663060174</v>
      </c>
      <c r="AC41" s="14">
        <f>AC10/AB10-1</f>
        <v>0.53766410044325674</v>
      </c>
      <c r="AD41" s="14">
        <f>AD10/AC10-1</f>
        <v>0.18529317650174315</v>
      </c>
      <c r="AE41" s="14">
        <f>AE10/AD10-1</f>
        <v>-0.027860073589134338</v>
      </c>
      <c r="AF41" s="14">
        <f>AF10/AE10-1</f>
        <v>0.69201986057379239</v>
      </c>
      <c r="AG41" s="14">
        <f>AG10/AF10-1</f>
        <v>0.1798700297264908</v>
      </c>
      <c r="AH41" s="43">
        <f t="shared" ref="AH41:AH43" si="90">AVERAGE(V41:AG41)</f>
        <v>0.30808341883584545</v>
      </c>
      <c r="AI41" s="14">
        <f t="shared" ref="AI41:AI42" si="91">MEDIAN(Z41:AG41)</f>
        <v>0.18258160311411697</v>
      </c>
      <c r="AJ41" s="45">
        <v>0.11</v>
      </c>
      <c r="AK41" s="14"/>
    </row>
    <row r="42" ht="14.25">
      <c r="B42" t="s">
        <v>203</v>
      </c>
      <c r="C42" s="14"/>
      <c r="D42" s="14"/>
      <c r="E42" s="14"/>
      <c r="F42" s="15"/>
      <c r="G42" s="14">
        <f>G23/C23-1</f>
        <v>0.10431660520202102</v>
      </c>
      <c r="H42" s="44">
        <f>H23/D23-1</f>
        <v>0.075331113467023147</v>
      </c>
      <c r="I42" s="44">
        <f>I23/E23-1</f>
        <v>0.051586436242708533</v>
      </c>
      <c r="J42" s="44">
        <f>J23/F23-1</f>
        <v>0.14751609465555249</v>
      </c>
      <c r="K42" s="44">
        <f>K23/G23-1</f>
        <v>0.31659163797922751</v>
      </c>
      <c r="L42" s="44">
        <f>L23/H23-1</f>
        <v>0.37902688291490794</v>
      </c>
      <c r="M42" s="44">
        <f>M23/I23-1</f>
        <v>0.27361094910377504</v>
      </c>
      <c r="N42" s="44">
        <f>N23/J23-1</f>
        <v>0.5627814670635829</v>
      </c>
      <c r="O42" s="44">
        <f>O23/K23-1</f>
        <v>0.40689878651082734</v>
      </c>
      <c r="P42" s="44">
        <f>P23/L23-1</f>
        <v>0.401955453520219</v>
      </c>
      <c r="Q42" s="44">
        <f>Q23/M23-1</f>
        <v>0.2840904465339682</v>
      </c>
      <c r="R42" s="44">
        <f>R23/N23-1</f>
        <v>0.0055110546709646879</v>
      </c>
      <c r="S42" s="29"/>
      <c r="V42" s="14">
        <f>V23/U23-1</f>
        <v>0.072952114730189477</v>
      </c>
      <c r="W42" s="14">
        <f>W23/V23-1</f>
        <v>0.63429898337722657</v>
      </c>
      <c r="X42" s="14">
        <f>X23/W23-1</f>
        <v>0.48156362628222893</v>
      </c>
      <c r="Y42" s="14">
        <f>Y23/X23-1</f>
        <v>0.62579528443113785</v>
      </c>
      <c r="Z42" s="14">
        <f>Z23/Y23-1</f>
        <v>0.44094754409691239</v>
      </c>
      <c r="AA42" s="14">
        <f>AA23/Z23-1</f>
        <v>0.040312716852462849</v>
      </c>
      <c r="AB42" s="14">
        <f>AB23/AA23-1</f>
        <v>-0.0017371775184275018</v>
      </c>
      <c r="AC42" s="14">
        <f>AC23/AB23-1</f>
        <v>0.0035477016853986409</v>
      </c>
      <c r="AD42" s="14">
        <f>AD23/AC23-1</f>
        <v>0.29527687296416927</v>
      </c>
      <c r="AE42" s="14">
        <f>AE23/AD23-1</f>
        <v>0.092769284250855844</v>
      </c>
      <c r="AF42" s="14">
        <f>AF23/AE23-1</f>
        <v>0.38707963463705686</v>
      </c>
      <c r="AG42" s="14">
        <f>AG23/AF23-1</f>
        <v>0.26650791482052605</v>
      </c>
      <c r="AH42" s="43">
        <f t="shared" si="90"/>
        <v>0.27827620838414474</v>
      </c>
      <c r="AI42" s="14">
        <f t="shared" si="91"/>
        <v>0.17963859953569095</v>
      </c>
      <c r="AJ42" s="14"/>
      <c r="AK42" s="14"/>
    </row>
    <row r="43" ht="14.25">
      <c r="B43" t="s">
        <v>204</v>
      </c>
      <c r="C43" s="8"/>
      <c r="D43" s="8"/>
      <c r="E43" s="8"/>
      <c r="F43" s="46"/>
      <c r="G43" s="8">
        <f>G10/G23</f>
        <v>1.1077470797657929</v>
      </c>
      <c r="H43" s="8">
        <f>H10/H23</f>
        <v>1.8326621861808488</v>
      </c>
      <c r="I43" s="8">
        <f>I10/I23</f>
        <v>1.389478595590808</v>
      </c>
      <c r="J43" s="8">
        <f>J10/J23</f>
        <v>1.3069867440144518</v>
      </c>
      <c r="K43" s="8">
        <f>K10/K23</f>
        <v>1.6758106688716561</v>
      </c>
      <c r="L43" s="8">
        <f>L10/L23</f>
        <v>1.6505658933462219</v>
      </c>
      <c r="M43" s="8">
        <f>M10/M23</f>
        <v>1.8157589449261204</v>
      </c>
      <c r="N43" s="8">
        <f>N10/N23</f>
        <v>1.7430969359512876</v>
      </c>
      <c r="O43" s="8">
        <f>O10/O23</f>
        <v>1.8365168494706496</v>
      </c>
      <c r="P43" s="8">
        <f>P10/P23</f>
        <v>2.0382170637286237</v>
      </c>
      <c r="Q43" s="8">
        <f>Q10/Q23</f>
        <v>1.5838887347941515</v>
      </c>
      <c r="R43" s="8">
        <f>R10/R23</f>
        <v>0.96360942673715411</v>
      </c>
      <c r="S43" s="29"/>
      <c r="V43" s="8">
        <f>V10/V23</f>
        <v>1.2936595588027071</v>
      </c>
      <c r="W43" s="8">
        <f>W10/W23</f>
        <v>1.3324092043249238</v>
      </c>
      <c r="X43" s="8">
        <f>X10/X23</f>
        <v>1.2337317552395211</v>
      </c>
      <c r="Y43" s="8">
        <f>Y10/Y23</f>
        <v>1.3242525825108622</v>
      </c>
      <c r="Z43" s="8">
        <f>Z10/Z23</f>
        <v>1.3718554832783347</v>
      </c>
      <c r="AA43" s="8">
        <f>AA10/AA23</f>
        <v>1.1753541538697789</v>
      </c>
      <c r="AB43" s="8">
        <f>AB10/AB23</f>
        <v>1.1333176298660719</v>
      </c>
      <c r="AC43" s="8">
        <f>AC10/AC23</f>
        <v>1.7365012454493196</v>
      </c>
      <c r="AD43" s="8">
        <f>AD10/AD23</f>
        <v>1.589052595764824</v>
      </c>
      <c r="AE43" s="8">
        <f>AE10/AE23</f>
        <v>1.4136391787117539</v>
      </c>
      <c r="AF43" s="8">
        <f>AF10/AF23</f>
        <v>1.7244183436456968</v>
      </c>
      <c r="AG43" s="8">
        <f>AG10/AG23</f>
        <v>1.606456223896928</v>
      </c>
      <c r="AH43" s="47">
        <f t="shared" si="90"/>
        <v>1.411220662946727</v>
      </c>
      <c r="AI43" s="48">
        <f>MEDIAN(Y43:AH43)</f>
        <v>1.4124299208292403</v>
      </c>
      <c r="AJ43" s="48"/>
      <c r="AK43" s="48"/>
    </row>
    <row r="44" s="0" customFormat="1" ht="14.25">
      <c r="B44" s="29" t="s">
        <v>205</v>
      </c>
      <c r="D44" s="6"/>
      <c r="E44" s="6"/>
      <c r="F44" s="7"/>
      <c r="G44" s="32">
        <f t="shared" ref="G44:G45" si="92">G3/C3-1</f>
        <v>0.20459477309180119</v>
      </c>
      <c r="H44" s="32">
        <f t="shared" ref="H44:H45" si="93">H3/D3-1</f>
        <v>0.13369801303193629</v>
      </c>
      <c r="I44" s="32">
        <f t="shared" ref="I44:I45" si="94">I3/E3-1</f>
        <v>0.075994521769595647</v>
      </c>
      <c r="J44" s="32">
        <f t="shared" ref="J44:J45" si="95">J3/F3-1</f>
        <v>0.36128559867432264</v>
      </c>
      <c r="K44" s="32">
        <f t="shared" ref="K44:K45" si="96">K3/G3-1</f>
        <v>0.56451928725279021</v>
      </c>
      <c r="L44" s="32">
        <f t="shared" ref="L44:L45" si="97">L3/H3-1</f>
        <v>0.59227985524728588</v>
      </c>
      <c r="M44" s="32">
        <f t="shared" ref="M44:M45" si="98">M3/I3-1</f>
        <v>0.45084805967498442</v>
      </c>
      <c r="N44" s="32">
        <f t="shared" ref="N44:N45" si="99">N3/J3-1</f>
        <v>0.57476503227267561</v>
      </c>
      <c r="O44" s="32">
        <f t="shared" ref="O44:O45" si="100">O3/K3-1</f>
        <v>0.47008760951188977</v>
      </c>
      <c r="P44" s="32">
        <f t="shared" ref="P44:P45" si="101">P3/L3-1</f>
        <v>0.48500445632798583</v>
      </c>
      <c r="Q44" s="32">
        <f t="shared" ref="Q44:Q45" si="102">Q3/M3-1</f>
        <v>0.23372913861345745</v>
      </c>
      <c r="R44" s="32">
        <f t="shared" ref="R44:R45" si="103">R3/N3-1</f>
        <v>0.051359951102881718</v>
      </c>
      <c r="V44" s="6"/>
      <c r="W44" s="6"/>
      <c r="AB44" s="14">
        <f t="shared" ref="AB44:AB45" si="104">AB3/AA3-1</f>
        <v>-0.061491997114314856</v>
      </c>
      <c r="AC44" s="14">
        <f t="shared" ref="AC44:AC45" si="105">AC3/AB3-1</f>
        <v>-0.018787294473252114</v>
      </c>
      <c r="AD44" s="14">
        <f t="shared" ref="AD44:AD45" si="106">AD3/AC3-1</f>
        <v>0.37328712555767996</v>
      </c>
      <c r="AE44" s="14">
        <f t="shared" ref="AE44:AE45" si="107">AE3/AD3-1</f>
        <v>0.18761421319796945</v>
      </c>
      <c r="AF44" s="14">
        <f t="shared" ref="AF44:AF45" si="108">AF3/AE3-1</f>
        <v>0.54256730902311356</v>
      </c>
      <c r="AG44" s="14">
        <f t="shared" ref="AG44:AG45" si="109">AG3/AF3-1</f>
        <v>0.28954146259077862</v>
      </c>
      <c r="AH44" s="43">
        <f>AVERAGE(AB44:AG44)</f>
        <v>0.21878846979699576</v>
      </c>
      <c r="AI44" s="14">
        <f>MEDIAN(AB44:AH44)</f>
        <v>0.21878846979699576</v>
      </c>
      <c r="AJ44" s="45">
        <v>0.10000000000000001</v>
      </c>
      <c r="AK44" s="14"/>
    </row>
    <row r="45" s="0" customFormat="1" ht="14.25">
      <c r="B45" s="29" t="s">
        <v>206</v>
      </c>
      <c r="C45" s="29"/>
      <c r="D45" s="6"/>
      <c r="E45" s="6"/>
      <c r="F45" s="7"/>
      <c r="G45" s="32">
        <f t="shared" si="92"/>
        <v>0.38461538461538458</v>
      </c>
      <c r="H45" s="32">
        <f t="shared" si="93"/>
        <v>-0.96350891660653537</v>
      </c>
      <c r="I45" s="32">
        <f t="shared" si="94"/>
        <v>-0.625</v>
      </c>
      <c r="J45" s="32">
        <f t="shared" si="95"/>
        <v>0.291784702549575</v>
      </c>
      <c r="K45" s="32">
        <f t="shared" si="96"/>
        <v>3.5555555555555554</v>
      </c>
      <c r="L45" s="32">
        <f t="shared" si="97"/>
        <v>0.9152542372881356</v>
      </c>
      <c r="M45" s="32">
        <f t="shared" si="98"/>
        <v>-0.29629629629629628</v>
      </c>
      <c r="N45" s="32">
        <f t="shared" si="99"/>
        <v>-0.86622807017543857</v>
      </c>
      <c r="O45" s="32">
        <f t="shared" si="100"/>
        <v>0.060975609756097615</v>
      </c>
      <c r="P45" s="32">
        <f t="shared" si="101"/>
        <v>0.16814159292035402</v>
      </c>
      <c r="Q45" s="32">
        <f t="shared" si="102"/>
        <v>-0.28947368421052633</v>
      </c>
      <c r="R45" s="32">
        <f t="shared" si="103"/>
        <v>0.55737704918032782</v>
      </c>
      <c r="S45" s="29"/>
      <c r="T45" s="29"/>
      <c r="U45" s="29"/>
      <c r="V45" s="6"/>
      <c r="W45" s="6"/>
      <c r="X45" s="29"/>
      <c r="Y45" s="29"/>
      <c r="Z45" s="29"/>
      <c r="AA45" s="29"/>
      <c r="AB45" s="14">
        <f t="shared" si="104"/>
        <v>4.243243243243243</v>
      </c>
      <c r="AC45" s="14">
        <f t="shared" si="105"/>
        <v>-0.21134020618556693</v>
      </c>
      <c r="AD45" s="14">
        <f t="shared" si="106"/>
        <v>65.738562091503269</v>
      </c>
      <c r="AE45" s="14">
        <f t="shared" si="107"/>
        <v>-0.91362256390167462</v>
      </c>
      <c r="AF45" s="14">
        <f t="shared" si="108"/>
        <v>-0.027210884353741527</v>
      </c>
      <c r="AG45" s="14">
        <f t="shared" si="109"/>
        <v>0.16666666666666674</v>
      </c>
      <c r="AH45" s="43"/>
      <c r="AI45" s="14"/>
      <c r="AJ45" s="14"/>
      <c r="AK45" s="14"/>
    </row>
    <row r="46" s="0" customFormat="1" ht="14.25">
      <c r="B46" s="29" t="s">
        <v>207</v>
      </c>
      <c r="D46" s="6"/>
      <c r="E46" s="6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V46" s="6"/>
      <c r="W46" s="6"/>
      <c r="AH46" s="49"/>
      <c r="AI46" s="29"/>
      <c r="AJ46" s="29"/>
      <c r="AK46" s="29"/>
    </row>
    <row r="47" s="37" customFormat="1" ht="14.25">
      <c r="B47" s="37"/>
      <c r="C47" s="37"/>
      <c r="D47" s="50"/>
      <c r="E47" s="50"/>
      <c r="F47" s="51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37"/>
      <c r="T47" s="37"/>
      <c r="U47" s="37"/>
      <c r="V47" s="37"/>
      <c r="W47" s="37"/>
      <c r="X47" s="37"/>
      <c r="Y47" s="37"/>
      <c r="Z47" s="50"/>
      <c r="AA47" s="50"/>
      <c r="AB47" s="50"/>
      <c r="AC47" s="50"/>
      <c r="AD47" s="50"/>
      <c r="AE47" s="50"/>
      <c r="AF47" s="50"/>
      <c r="AG47" s="50"/>
      <c r="AH47" s="43"/>
      <c r="AI47" s="14"/>
      <c r="AJ47" s="14"/>
      <c r="AK47" s="14"/>
    </row>
    <row r="48" ht="14.25">
      <c r="B48" t="s">
        <v>208</v>
      </c>
      <c r="C48" s="29"/>
      <c r="D48" s="14"/>
      <c r="E48" s="14"/>
      <c r="F48" s="15"/>
      <c r="G48" s="14">
        <f t="shared" ref="G48:G50" si="110">G20/C20-1</f>
        <v>0.2872428896157897</v>
      </c>
      <c r="H48" s="44">
        <f t="shared" ref="H48:H50" si="111">H20/D20-1</f>
        <v>0.15970668063425553</v>
      </c>
      <c r="I48" s="44">
        <f t="shared" ref="I48:I50" si="112">I20/E20-1</f>
        <v>0.14908529865549935</v>
      </c>
      <c r="J48" s="44">
        <f t="shared" ref="J48:J50" si="113">J20/F20-1</f>
        <v>0.086355647867071506</v>
      </c>
      <c r="K48" s="44">
        <f t="shared" ref="K48:K50" si="114">K20/G20-1</f>
        <v>0.36898096304591266</v>
      </c>
      <c r="L48" s="44">
        <f t="shared" ref="L48:L50" si="115">L20/H20-1</f>
        <v>0.2724697187435845</v>
      </c>
      <c r="M48" s="44">
        <f t="shared" ref="M48:M50" si="116">M20/I20-1</f>
        <v>0.16538151686039804</v>
      </c>
      <c r="N48" s="44">
        <f t="shared" ref="N48:N50" si="117">N20/J20-1</f>
        <v>0.46437238032208228</v>
      </c>
      <c r="O48" s="44">
        <f t="shared" ref="O48:O50" si="118">O20/K20-1</f>
        <v>0.24898537045776314</v>
      </c>
      <c r="P48" s="44">
        <f t="shared" ref="P48:P50" si="119">P20/L20-1</f>
        <v>0.46400567906811641</v>
      </c>
      <c r="Q48" s="44">
        <f t="shared" ref="Q48:Q50" si="120">Q20/M20-1</f>
        <v>0.50829547698992705</v>
      </c>
      <c r="R48" s="44">
        <f t="shared" ref="R48:R50" si="121">R20/N20-1</f>
        <v>0.085919453650697974</v>
      </c>
      <c r="S48" s="29"/>
      <c r="V48" s="14">
        <f t="shared" ref="V48:V50" si="122">V20/U20-1</f>
        <v>0.17932567617636153</v>
      </c>
      <c r="W48" s="14">
        <f t="shared" ref="W48:W50" si="123">W20/V20-1</f>
        <v>0.49348099277411261</v>
      </c>
      <c r="X48" s="14">
        <f t="shared" ref="X48:X50" si="124">X20/W20-1</f>
        <v>0.31974756770970281</v>
      </c>
      <c r="Y48" s="14">
        <f t="shared" ref="Y48:Y50" si="125">Y20/X20-1</f>
        <v>0.40824865511057973</v>
      </c>
      <c r="Z48" s="14">
        <f t="shared" ref="Z48:Z50" si="126">Z20/Y20-1</f>
        <v>0.41519524617996617</v>
      </c>
      <c r="AA48" s="32">
        <f t="shared" ref="AA48:AA50" si="127">AA20/Z20-1</f>
        <v>0.0032791474216702365</v>
      </c>
      <c r="AB48" s="32">
        <f t="shared" ref="AB48:AB50" si="128">AB20/AA20-1</f>
        <v>0.075791697391234925</v>
      </c>
      <c r="AC48" s="32">
        <f t="shared" ref="AC48:AC50" si="129">AC20/AB20-1</f>
        <v>0.1922563912560209</v>
      </c>
      <c r="AD48" s="32">
        <f t="shared" ref="AD48:AD50" si="130">AD20/AC20-1</f>
        <v>0.34805307809440933</v>
      </c>
      <c r="AE48" s="32">
        <f t="shared" ref="AE48:AE50" si="131">AE20/AD20-1</f>
        <v>0.16229050923257793</v>
      </c>
      <c r="AF48" s="32">
        <f t="shared" ref="AF48:AF50" si="132">AF20/AE20-1</f>
        <v>0.31875880124556222</v>
      </c>
      <c r="AG48" s="32">
        <f t="shared" ref="AG48:AG50" si="133">AG20/AF20-1</f>
        <v>0.30950286131101445</v>
      </c>
      <c r="AH48" s="43">
        <f t="shared" ref="AH48:AH51" si="134">AVERAGE(V48:AG48)</f>
        <v>0.26882755199193437</v>
      </c>
      <c r="AI48" s="14">
        <f t="shared" ref="AI48:AI51" si="135">MEDIAN(Z48:AH48)</f>
        <v>0.26882755199193437</v>
      </c>
      <c r="AJ48" s="45">
        <v>0.080000000000000002</v>
      </c>
      <c r="AK48" s="14"/>
    </row>
    <row r="49" ht="14.25">
      <c r="B49" t="s">
        <v>209</v>
      </c>
      <c r="C49" s="29"/>
      <c r="D49" s="32"/>
      <c r="E49" s="32"/>
      <c r="F49" s="33"/>
      <c r="G49" s="32">
        <f t="shared" si="110"/>
        <v>0.18650088809946719</v>
      </c>
      <c r="H49" s="52">
        <f t="shared" si="111"/>
        <v>0.18493150684931514</v>
      </c>
      <c r="I49" s="52">
        <f t="shared" si="112"/>
        <v>0.31289308176100628</v>
      </c>
      <c r="J49" s="52">
        <f t="shared" si="113"/>
        <v>0.1434977578475336</v>
      </c>
      <c r="K49" s="52">
        <f t="shared" si="114"/>
        <v>0.29865269461077859</v>
      </c>
      <c r="L49" s="52">
        <f t="shared" si="115"/>
        <v>0.10854206807964051</v>
      </c>
      <c r="M49" s="52">
        <f t="shared" si="116"/>
        <v>0.43892215568862292</v>
      </c>
      <c r="N49" s="52">
        <f t="shared" si="117"/>
        <v>0.87764705882352945</v>
      </c>
      <c r="O49" s="52">
        <f t="shared" si="118"/>
        <v>0.25878962536023042</v>
      </c>
      <c r="P49" s="52">
        <f t="shared" si="119"/>
        <v>0.35631517960602532</v>
      </c>
      <c r="Q49" s="52">
        <f t="shared" si="120"/>
        <v>0.13607990012484383</v>
      </c>
      <c r="R49" s="52">
        <f t="shared" si="121"/>
        <v>0.095238095238095122</v>
      </c>
      <c r="S49" s="29"/>
      <c r="V49" s="32">
        <f t="shared" si="122"/>
        <v>-0.063829787234042645</v>
      </c>
      <c r="W49" s="32">
        <f t="shared" si="123"/>
        <v>0.26735537190082659</v>
      </c>
      <c r="X49" s="32">
        <f t="shared" si="124"/>
        <v>0.13922399739158764</v>
      </c>
      <c r="Y49" s="32">
        <f t="shared" si="125"/>
        <v>-0.060103033772180736</v>
      </c>
      <c r="Z49" s="32">
        <f t="shared" si="126"/>
        <v>0.14159561510353225</v>
      </c>
      <c r="AA49" s="32">
        <f t="shared" si="127"/>
        <v>-0.36116297679381171</v>
      </c>
      <c r="AB49" s="32">
        <f t="shared" si="128"/>
        <v>0.65803757828810028</v>
      </c>
      <c r="AC49" s="32">
        <f t="shared" si="129"/>
        <v>0.19667590027700843</v>
      </c>
      <c r="AD49" s="32">
        <f t="shared" si="130"/>
        <v>0.015572390572390571</v>
      </c>
      <c r="AE49" s="32">
        <f t="shared" si="131"/>
        <v>0.209697472026523</v>
      </c>
      <c r="AF49" s="32">
        <f t="shared" si="132"/>
        <v>0.4145255224391915</v>
      </c>
      <c r="AG49" s="32">
        <f t="shared" si="133"/>
        <v>0.19593121821264248</v>
      </c>
      <c r="AH49" s="43">
        <f t="shared" si="134"/>
        <v>0.14612660570098063</v>
      </c>
      <c r="AI49" s="14">
        <f t="shared" si="135"/>
        <v>0.19593121821264248</v>
      </c>
      <c r="AJ49" s="45">
        <v>0.050000000000000003</v>
      </c>
      <c r="AK49" s="14"/>
    </row>
    <row r="50" ht="14.25">
      <c r="B50" t="s">
        <v>182</v>
      </c>
      <c r="C50" s="29"/>
      <c r="D50" s="32"/>
      <c r="E50" s="32"/>
      <c r="F50" s="33"/>
      <c r="G50" s="32">
        <f t="shared" si="110"/>
        <v>0.14566076207467837</v>
      </c>
      <c r="H50" s="52">
        <f t="shared" si="111"/>
        <v>0.27476038338658149</v>
      </c>
      <c r="I50" s="52">
        <f t="shared" si="112"/>
        <v>0.16526302941535453</v>
      </c>
      <c r="J50" s="52">
        <f t="shared" si="113"/>
        <v>0.23042024832855779</v>
      </c>
      <c r="K50" s="52">
        <f t="shared" si="114"/>
        <v>0.14649610678531677</v>
      </c>
      <c r="L50" s="52">
        <f t="shared" si="115"/>
        <v>0.34436090225563909</v>
      </c>
      <c r="M50" s="52">
        <f t="shared" si="116"/>
        <v>0.16633497433748823</v>
      </c>
      <c r="N50" s="52">
        <f t="shared" si="117"/>
        <v>0.28391228410634572</v>
      </c>
      <c r="O50" s="52">
        <f t="shared" si="118"/>
        <v>0.413893470456971</v>
      </c>
      <c r="P50" s="52">
        <f t="shared" si="119"/>
        <v>0.33012677106636845</v>
      </c>
      <c r="Q50" s="52">
        <f t="shared" si="120"/>
        <v>0.61167489896722071</v>
      </c>
      <c r="R50" s="52">
        <f t="shared" si="121"/>
        <v>0.55547158403869412</v>
      </c>
      <c r="S50" s="29"/>
      <c r="V50" s="32">
        <f t="shared" si="122"/>
        <v>0.043252322712718616</v>
      </c>
      <c r="W50" s="32">
        <f t="shared" si="123"/>
        <v>0.63703144654088062</v>
      </c>
      <c r="X50" s="32">
        <f t="shared" si="124"/>
        <v>0.21523850504057029</v>
      </c>
      <c r="Y50" s="32">
        <f t="shared" si="125"/>
        <v>-0.51007865651635087</v>
      </c>
      <c r="Z50" s="32">
        <f t="shared" si="126"/>
        <v>0.91022662743276017</v>
      </c>
      <c r="AA50" s="32">
        <f t="shared" si="127"/>
        <v>-0.40756154906358943</v>
      </c>
      <c r="AB50" s="32">
        <f t="shared" si="128"/>
        <v>0.034622753398412476</v>
      </c>
      <c r="AC50" s="32">
        <f t="shared" si="129"/>
        <v>0.026233411225254466</v>
      </c>
      <c r="AD50" s="32">
        <f t="shared" si="130"/>
        <v>0.3854614194878847</v>
      </c>
      <c r="AE50" s="32">
        <f t="shared" si="131"/>
        <v>0.20373356487224004</v>
      </c>
      <c r="AF50" s="32">
        <f t="shared" si="132"/>
        <v>0.23728682569941784</v>
      </c>
      <c r="AG50" s="32">
        <f t="shared" si="133"/>
        <v>0.48785108996647852</v>
      </c>
      <c r="AH50" s="43">
        <f t="shared" si="134"/>
        <v>0.18860814673305645</v>
      </c>
      <c r="AI50" s="14">
        <f t="shared" si="135"/>
        <v>0.20373356487224004</v>
      </c>
      <c r="AJ50" s="45">
        <v>0.070000000000000007</v>
      </c>
      <c r="AK50" s="14"/>
    </row>
    <row r="51" ht="14.25">
      <c r="B51" t="s">
        <v>210</v>
      </c>
      <c r="C51" s="14">
        <f>C26/C25*-1</f>
        <v>0.22969236691981929</v>
      </c>
      <c r="D51" s="14">
        <f>D26/D25*-1</f>
        <v>0.16626963052879143</v>
      </c>
      <c r="E51" s="14">
        <f>E26/E25*-1</f>
        <v>0.2045106779322732</v>
      </c>
      <c r="F51" s="15">
        <f>F26/F25*-1</f>
        <v>0.18461995570201498</v>
      </c>
      <c r="G51" s="14">
        <f>G26/G25*-1</f>
        <v>0.61356895699456282</v>
      </c>
      <c r="H51" s="14">
        <f>H26/H25*-1</f>
        <v>0.1615687437202484</v>
      </c>
      <c r="I51" s="14">
        <f>I26/I25*-1</f>
        <v>0.26461287693561553</v>
      </c>
      <c r="J51" s="14">
        <f>J26/J25*-1</f>
        <v>0.3253596250202036</v>
      </c>
      <c r="K51" s="14">
        <f>K26/K25*-1</f>
        <v>0.17269954085162587</v>
      </c>
      <c r="L51" s="14">
        <f>L26/L25*-1</f>
        <v>0.18884681478777923</v>
      </c>
      <c r="M51" s="14">
        <f>M26/M25*-1</f>
        <v>0.18195196754965248</v>
      </c>
      <c r="N51" s="14">
        <f>N26/N25*-1</f>
        <v>0.22061718170182107</v>
      </c>
      <c r="O51" s="14">
        <f>O26/O25*-1</f>
        <v>0.16533156999811069</v>
      </c>
      <c r="P51" s="14">
        <f>P26/P25*-1</f>
        <v>0.22829803187793651</v>
      </c>
      <c r="Q51" s="14">
        <f>Q26/Q25*-1</f>
        <v>0.23581670402073823</v>
      </c>
      <c r="R51" s="14">
        <f>R26/R25*-1</f>
        <v>-1.3698424606151614</v>
      </c>
      <c r="S51" s="29"/>
      <c r="V51" s="14">
        <f>V26/V25*-1</f>
        <v>0.30104131676184076</v>
      </c>
      <c r="W51" s="14">
        <f>W26/W25*-1</f>
        <v>0.26749833836085685</v>
      </c>
      <c r="X51" s="14">
        <f>X26/X25*-1</f>
        <v>0.27258719583882557</v>
      </c>
      <c r="Y51" s="14">
        <f>Y26/Y25*-1</f>
        <v>0.27904355049246482</v>
      </c>
      <c r="Z51" s="14">
        <f>Z26/Z25*-1</f>
        <v>0.26654404570891882</v>
      </c>
      <c r="AA51" s="14">
        <f>AA26/AA25*-1</f>
        <v>0.24517068007409362</v>
      </c>
      <c r="AB51" s="14">
        <f>AB26/AB25*-1</f>
        <v>0.24471405028226795</v>
      </c>
      <c r="AC51" s="14">
        <f>AC26/AC25*-1</f>
        <v>0.17516216179152783</v>
      </c>
      <c r="AD51" s="14">
        <f>AD26/AD25*-1</f>
        <v>0.18880932782938592</v>
      </c>
      <c r="AE51" s="14">
        <f>AE26/AE25*-1</f>
        <v>0.24908834775608774</v>
      </c>
      <c r="AF51" s="14">
        <f>AF26/AF25*-1</f>
        <v>0.19336517276409362</v>
      </c>
      <c r="AG51" s="14">
        <f>AG26/AG25*-1</f>
        <v>0.22257350616503332</v>
      </c>
      <c r="AH51" s="53">
        <f t="shared" si="134"/>
        <v>0.2421331411521164</v>
      </c>
      <c r="AI51" s="53">
        <f t="shared" si="135"/>
        <v>0.2421331411521164</v>
      </c>
      <c r="AJ51" s="54">
        <f>MEDIAN(AA51:AI51)</f>
        <v>0.2421331411521164</v>
      </c>
      <c r="AK51" s="14"/>
    </row>
    <row r="52" ht="14.25">
      <c r="F52" s="5"/>
    </row>
    <row r="53" ht="14.25">
      <c r="A53" s="1" t="s">
        <v>211</v>
      </c>
      <c r="F53" s="5"/>
    </row>
    <row r="54" ht="14.25">
      <c r="A54" s="1"/>
      <c r="B54" s="1" t="s">
        <v>212</v>
      </c>
      <c r="AM54" s="13"/>
    </row>
    <row r="55" ht="14.25">
      <c r="B55" t="s">
        <v>213</v>
      </c>
      <c r="C55">
        <v>512.04999999999995</v>
      </c>
    </row>
    <row r="56" ht="14.25">
      <c r="B56" t="s">
        <v>214</v>
      </c>
      <c r="C56">
        <v>110.84</v>
      </c>
    </row>
    <row r="57" ht="14.25">
      <c r="A57" t="s">
        <v>215</v>
      </c>
      <c r="B57" t="s">
        <v>216</v>
      </c>
      <c r="C57">
        <v>205.33000000000001</v>
      </c>
    </row>
    <row r="58" ht="14.25">
      <c r="B58" t="s">
        <v>217</v>
      </c>
      <c r="C58">
        <v>1.2</v>
      </c>
    </row>
    <row r="59" ht="14.25">
      <c r="B59" t="s">
        <v>159</v>
      </c>
      <c r="C59">
        <v>136.84999999999999</v>
      </c>
      <c r="F59" s="5"/>
    </row>
    <row r="60" ht="14.25">
      <c r="B60" t="s">
        <v>218</v>
      </c>
      <c r="C60">
        <v>0.16</v>
      </c>
      <c r="F60" s="5"/>
    </row>
    <row r="61" s="1" customFormat="1" ht="14.25">
      <c r="B61" s="1" t="s">
        <v>219</v>
      </c>
      <c r="C61" s="1">
        <f>SUM(C55:C60)</f>
        <v>966.43000000000006</v>
      </c>
      <c r="D61" s="1">
        <f>SUM(D55:D60)</f>
        <v>0</v>
      </c>
      <c r="E61" s="1">
        <f>SUM(E55:E60)</f>
        <v>0</v>
      </c>
      <c r="F61" s="4">
        <f>SUM(F55:F60)</f>
        <v>0</v>
      </c>
      <c r="G61" s="1"/>
      <c r="H61" s="1"/>
      <c r="I61" s="1"/>
    </row>
    <row r="62" ht="14.25">
      <c r="F62" s="5"/>
    </row>
    <row r="63" ht="14.25">
      <c r="B63" s="1" t="s">
        <v>220</v>
      </c>
      <c r="F63" s="5"/>
    </row>
    <row r="64" ht="14.25">
      <c r="B64" t="s">
        <v>213</v>
      </c>
      <c r="C64">
        <v>114.7</v>
      </c>
      <c r="F64" s="5"/>
    </row>
    <row r="65" ht="14.25">
      <c r="B65" t="s">
        <v>221</v>
      </c>
      <c r="C65">
        <v>0</v>
      </c>
    </row>
    <row r="66" ht="14.25">
      <c r="B66" t="s">
        <v>222</v>
      </c>
      <c r="C66">
        <v>103.88</v>
      </c>
    </row>
    <row r="67" ht="14.25">
      <c r="B67" t="s">
        <v>216</v>
      </c>
      <c r="C67">
        <v>77.540000000000006</v>
      </c>
    </row>
    <row r="68" ht="14.25">
      <c r="B68" t="s">
        <v>217</v>
      </c>
      <c r="C68">
        <v>-2.4900000000000002</v>
      </c>
      <c r="F68" s="5"/>
    </row>
    <row r="69" ht="14.25">
      <c r="B69" t="s">
        <v>159</v>
      </c>
      <c r="C69">
        <v>11.35</v>
      </c>
      <c r="F69" s="5"/>
    </row>
    <row r="70" ht="14.25">
      <c r="B70" t="s">
        <v>218</v>
      </c>
      <c r="C70">
        <v>-17.510000000000002</v>
      </c>
      <c r="F70" s="5"/>
    </row>
    <row r="71" s="1" customFormat="1" ht="14.25">
      <c r="B71" s="1" t="s">
        <v>223</v>
      </c>
      <c r="C71" s="1">
        <f>SUM(C65:C70)</f>
        <v>172.77000000000001</v>
      </c>
      <c r="D71" s="1">
        <f>SUM(D65:D70)</f>
        <v>0</v>
      </c>
      <c r="E71" s="1">
        <f>SUM(E65:E70)</f>
        <v>0</v>
      </c>
      <c r="F71" s="4">
        <f>SUM(F65:F70)</f>
        <v>0</v>
      </c>
      <c r="G71" s="1"/>
      <c r="H71" s="1"/>
      <c r="I71" s="1"/>
    </row>
    <row r="72" ht="14.25">
      <c r="F72" s="5"/>
    </row>
    <row r="73" ht="14.25">
      <c r="F73" s="5"/>
    </row>
    <row r="74" ht="14.25">
      <c r="F74" s="5"/>
    </row>
    <row r="78" ht="14.25">
      <c r="F78" s="5"/>
    </row>
  </sheetData>
  <hyperlinks>
    <hyperlink r:id="rId1" ref="AD1"/>
    <hyperlink r:id="rId2" ref="AF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2025-06-15T20:00:17Z</dcterms:modified>
</cp:coreProperties>
</file>