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Business" sheetId="1" state="visible" r:id="rId1"/>
    <sheet name="Jio financial - 6" sheetId="2" state="visible" r:id="rId2"/>
    <sheet name="Jio Financial " sheetId="3" state="visible" r:id="rId3"/>
    <sheet name="cholamandalam-6" sheetId="4" state="visible" r:id="rId4"/>
    <sheet name="cholamandalam" sheetId="5" state="visible" r:id="rId5"/>
    <sheet name="muthoot-6" sheetId="6" state="visible" r:id="rId6"/>
    <sheet name="muthoot-finance" sheetId="7" state="visible" r:id="rId7"/>
    <sheet name="bajaj-6" sheetId="8" state="visible" r:id="rId8"/>
    <sheet name="bajaj-finance" sheetId="9" state="visible" r:id="rId9"/>
    <sheet name="birla finance" sheetId="10" state="visible" r:id="rId10"/>
    <sheet name="birla-6" sheetId="11" state="visible" r:id="rId1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<sst xmlns="http://schemas.openxmlformats.org/spreadsheetml/2006/main" count="512" uniqueCount="512">
  <si>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</si>
  <si>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</si>
  <si>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</si>
  <si>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</si>
  <si>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</si>
  <si>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</si>
  <si>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</si>
  <si>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</si>
  <si>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</si>
  <si>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</si>
  <si>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</si>
  <si>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</si>
  <si>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</si>
  <si>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</si>
  <si>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</si>
  <si>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</si>
  <si>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</si>
  <si>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</si>
  <si>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</si>
  <si>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</si>
  <si>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</si>
  <si>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</si>
  <si>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</si>
  <si>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</si>
  <si>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</si>
  <si>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</si>
  <si>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</si>
  <si>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</si>
  <si>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</si>
  <si>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</si>
  <si>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</si>
  <si>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</si>
  <si>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</si>
  <si>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</si>
  <si>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</si>
  <si>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</si>
  <si>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</si>
  <si>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</si>
  <si>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</si>
  <si>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</si>
  <si>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</si>
  <si>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</si>
  <si>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</si>
  <si>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The total no. of shares that are in the market</t>
  </si>
  <si>
    <t xml:space="preserve">LTV (Loan to Value) </t>
  </si>
  <si>
    <t xml:space="preserve">How much loan will be given for 100 rupee of gold ... earlier the  rate was 75%, so that is 75 rupee will be lended for 100  rupee of gold and now its been increased to 85% for small loans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</si>
  <si>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</si>
  <si>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</si>
  <si>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</si>
  <si>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</si>
  <si>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</si>
  <si>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</si>
  <si>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</si>
  <si>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</si>
  <si>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</si>
  <si>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</si>
  <si>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</si>
  <si>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</si>
  <si>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</si>
  <si>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</si>
  <si>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</si>
  <si>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</si>
  <si>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</si>
  <si>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</si>
  <si>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</si>
  <si>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</si>
  <si>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</si>
  <si>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</si>
  <si>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</si>
  <si>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</si>
  <si>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</si>
  <si>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</si>
  <si>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</si>
  <si>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</si>
  <si>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</si>
  <si>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</si>
  <si>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</si>
  <si>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</si>
  <si>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</si>
  <si>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</si>
  <si>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 xml:space="preserve">Share price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</si>
  <si>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</si>
  <si>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</si>
  <si>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</si>
  <si>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</si>
  <si>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</si>
  <si>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</si>
  <si>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</si>
  <si>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</si>
  <si>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</si>
  <si>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</si>
  <si>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</si>
  <si>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</si>
  <si>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</si>
  <si>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</si>
  <si>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</si>
  <si>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</si>
  <si>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</si>
  <si>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</si>
  <si>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</si>
  <si>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</si>
  <si>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</si>
  <si>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</si>
  <si>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</si>
  <si>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</si>
  <si>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</si>
  <si>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</si>
  <si>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</si>
  <si>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</si>
  <si>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</si>
  <si>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</si>
  <si>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</si>
  <si>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</si>
  <si>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in-crore</t>
  </si>
  <si>
    <t>standalone</t>
  </si>
  <si>
    <t>https://www.ril.com/sites/default/files/2023-02/Reliance%20Strategic%20Investments%20Limited1.pdf</t>
  </si>
  <si>
    <t>Consolidated</t>
  </si>
  <si>
    <t>https://jiofinance.cdn.jio.com/cms/assets/jfs/investor-relations/financials/quarterly-results/q4-report-2024-25.pdf</t>
  </si>
  <si>
    <t>FY20</t>
  </si>
  <si>
    <t>FY21</t>
  </si>
  <si>
    <t>FY22</t>
  </si>
  <si>
    <t>FY23</t>
  </si>
  <si>
    <t>FY24</t>
  </si>
  <si>
    <t>FY25</t>
  </si>
  <si>
    <t>Q126</t>
  </si>
  <si>
    <t>Q225</t>
  </si>
  <si>
    <t>Q325</t>
  </si>
  <si>
    <t>Q425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</si>
  <si>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</si>
  <si>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</si>
  <si>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</si>
  <si>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</si>
  <si>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</si>
  <si>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</si>
  <si>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</si>
  <si>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</si>
  <si>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</si>
  <si>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</si>
  <si>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</si>
  <si>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EBE</t>
  </si>
  <si>
    <t>D&amp;A</t>
  </si>
  <si>
    <t xml:space="preserve">Other expenses</t>
  </si>
  <si>
    <t xml:space="preserve">Total Expenses</t>
  </si>
  <si>
    <t xml:space="preserve">Profit Before share in profit in JV</t>
  </si>
  <si>
    <t xml:space="preserve">Share of profit of associates and JV</t>
  </si>
  <si>
    <t>PBT</t>
  </si>
  <si>
    <t xml:space="preserve">Tax expense</t>
  </si>
  <si>
    <t>PAT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</si>
  <si>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</si>
  <si>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</si>
  <si>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</si>
  <si>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</si>
  <si>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</si>
  <si>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Equity share capital </t>
  </si>
  <si>
    <t xml:space="preserve">weighted no of shares</t>
  </si>
  <si>
    <t>EPS</t>
  </si>
  <si>
    <t xml:space="preserve">Finance cost / Interest Income</t>
  </si>
  <si>
    <t>ROI</t>
  </si>
  <si>
    <t xml:space="preserve">PAT YoY</t>
  </si>
  <si>
    <t xml:space="preserve">Expenses YoY</t>
  </si>
  <si>
    <t xml:space="preserve">Income YoY</t>
  </si>
  <si>
    <t>Standalone</t>
  </si>
  <si>
    <t xml:space="preserve">(in crores)</t>
  </si>
  <si>
    <t xml:space="preserve">Net gain on derecognition of financial instruments</t>
  </si>
  <si>
    <t xml:space="preserve">Sale of products</t>
  </si>
  <si>
    <t xml:space="preserve">Sales of services</t>
  </si>
  <si>
    <t xml:space="preserve">Equity </t>
  </si>
  <si>
    <t xml:space="preserve">paid up capital </t>
  </si>
  <si>
    <t xml:space="preserve">Face value </t>
  </si>
  <si>
    <t xml:space="preserve">weighted no. of shares issued </t>
  </si>
  <si>
    <t xml:space="preserve">Gives loans to this </t>
  </si>
  <si>
    <t xml:space="preserve">Commercial vehicle loans</t>
  </si>
  <si>
    <t xml:space="preserve">Passenger vehicle loans</t>
  </si>
  <si>
    <t xml:space="preserve">2 wheeler loan</t>
  </si>
  <si>
    <t xml:space="preserve">tracktor loans</t>
  </si>
  <si>
    <t xml:space="preserve">construction eq loan</t>
  </si>
  <si>
    <t xml:space="preserve">home equity</t>
  </si>
  <si>
    <t xml:space="preserve">borrow against the value of an existing home , after building equity in the home ,</t>
  </si>
  <si>
    <t xml:space="preserve">home loans</t>
  </si>
  <si>
    <t xml:space="preserve">SME loans </t>
  </si>
  <si>
    <t xml:space="preserve">Chola wealth</t>
  </si>
  <si>
    <t xml:space="preserve">Loans are financed using : debt + equity raised + other equity</t>
  </si>
  <si>
    <t xml:space="preserve">Other Equity is a term that includes a lot so take up securities premium + share capital raised + paid up capital </t>
  </si>
  <si>
    <t xml:space="preserve">in CR</t>
  </si>
  <si>
    <t>FY19</t>
  </si>
  <si>
    <t xml:space="preserve">Net gain on decognition</t>
  </si>
  <si>
    <t xml:space="preserve">Fee and commision </t>
  </si>
  <si>
    <t xml:space="preserve">Net gain on FV Change </t>
  </si>
  <si>
    <t xml:space="preserve">Sale of servies</t>
  </si>
  <si>
    <t xml:space="preserve">Total revs from opr</t>
  </si>
  <si>
    <t xml:space="preserve">other income</t>
  </si>
  <si>
    <t>BS</t>
  </si>
  <si>
    <t xml:space="preserve">Debt raised</t>
  </si>
  <si>
    <t xml:space="preserve">Equity raised</t>
  </si>
  <si>
    <t xml:space="preserve">Finance cost</t>
  </si>
  <si>
    <t>impairment</t>
  </si>
  <si>
    <t xml:space="preserve">Other expense</t>
  </si>
  <si>
    <t xml:space="preserve">Total Expense</t>
  </si>
  <si>
    <t>Tax</t>
  </si>
  <si>
    <t xml:space="preserve">Share of loss from associate</t>
  </si>
  <si>
    <t xml:space="preserve">Profit for the period</t>
  </si>
  <si>
    <t xml:space="preserve">OCI </t>
  </si>
  <si>
    <t xml:space="preserve">operational Profit to equity holders</t>
  </si>
  <si>
    <t xml:space="preserve">OP + OCI  profit</t>
  </si>
  <si>
    <t xml:space="preserve">Weighted no. of shares</t>
  </si>
  <si>
    <t>ReporteedEPS</t>
  </si>
  <si>
    <t xml:space="preserve">Calculated EPS</t>
  </si>
  <si>
    <t>Ratio's</t>
  </si>
  <si>
    <t>NICE</t>
  </si>
  <si>
    <t xml:space="preserve">Gross Margin</t>
  </si>
  <si>
    <t xml:space="preserve">None have been able to achieve this !! possible only if equity &gt;&gt; debt )</t>
  </si>
  <si>
    <t xml:space="preserve">Op Profit YoY</t>
  </si>
  <si>
    <t xml:space="preserve">EBE YoY</t>
  </si>
  <si>
    <t xml:space="preserve">D&amp;A YoY</t>
  </si>
  <si>
    <t xml:space="preserve">Tax Yoy</t>
  </si>
  <si>
    <t xml:space="preserve">Top player in gold finance loans </t>
  </si>
  <si>
    <t xml:space="preserve">Takes deposits from muthooth capital and part of that gets invested in muthooth finance as deposits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</si>
  <si>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</si>
  <si>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</si>
  <si>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</si>
  <si>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</si>
  <si>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</si>
  <si>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>Debt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</si>
  <si>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</si>
  <si>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</si>
  <si>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</si>
  <si>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</si>
  <si>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Loans Breakdown</t>
  </si>
  <si>
    <t xml:space="preserve">Found in notes for balance sheet </t>
  </si>
  <si>
    <t xml:space="preserve">Cash and cash eq</t>
  </si>
  <si>
    <t xml:space="preserve">laon amount </t>
  </si>
  <si>
    <t xml:space="preserve">Tangible Collateral amount categorized</t>
  </si>
  <si>
    <t xml:space="preserve">Add. Bank Balance</t>
  </si>
  <si>
    <t xml:space="preserve">Gold loan</t>
  </si>
  <si>
    <t xml:space="preserve">to be received</t>
  </si>
  <si>
    <t xml:space="preserve">Trade receivables</t>
  </si>
  <si>
    <t xml:space="preserve">coporate laon </t>
  </si>
  <si>
    <t xml:space="preserve">Other receivables</t>
  </si>
  <si>
    <t xml:space="preserve">personal loan </t>
  </si>
  <si>
    <t xml:space="preserve">given to others</t>
  </si>
  <si>
    <t xml:space="preserve">loans </t>
  </si>
  <si>
    <t xml:space="preserve">staff loan</t>
  </si>
  <si>
    <t>IPO</t>
  </si>
  <si>
    <t>Investments</t>
  </si>
  <si>
    <t xml:space="preserve">housing loan</t>
  </si>
  <si>
    <t xml:space="preserve">other financial assets</t>
  </si>
  <si>
    <t xml:space="preserve">project financing loan</t>
  </si>
  <si>
    <t xml:space="preserve">mortgage loan</t>
  </si>
  <si>
    <t xml:space="preserve">Current tax assets</t>
  </si>
  <si>
    <t xml:space="preserve">pledge loan </t>
  </si>
  <si>
    <t xml:space="preserve">Deferred tax assets</t>
  </si>
  <si>
    <t xml:space="preserve">business loan </t>
  </si>
  <si>
    <t xml:space="preserve">Investment property</t>
  </si>
  <si>
    <t xml:space="preserve">vehicle loan</t>
  </si>
  <si>
    <t>PPE</t>
  </si>
  <si>
    <t xml:space="preserve">includes unsecured loans</t>
  </si>
  <si>
    <t xml:space="preserve">micro-financing loan</t>
  </si>
  <si>
    <t xml:space="preserve">Right to use Assets</t>
  </si>
  <si>
    <t xml:space="preserve">other loan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</si>
  <si>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</si>
  <si>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</si>
  <si>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</si>
  <si>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</si>
  <si>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</si>
  <si>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</si>
  <si>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</si>
  <si>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</si>
  <si>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</si>
  <si>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</si>
  <si>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</si>
  <si>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</si>
  <si>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</si>
  <si>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</si>
  <si>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</si>
  <si>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</si>
  <si>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</si>
  <si>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</si>
  <si>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</si>
  <si>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</si>
  <si>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</si>
  <si>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</si>
  <si>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</si>
  <si>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</si>
  <si>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</si>
  <si>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</si>
  <si>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</si>
  <si>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</si>
  <si>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</si>
  <si>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for owners</t>
  </si>
  <si>
    <t xml:space="preserve">Total equity + liability</t>
  </si>
  <si>
    <t xml:space="preserve">Consolidated in Rs Million</t>
  </si>
  <si>
    <t>https://cdn.muthootfinance.com/sites/default/files/files/2022-07/ANNUAL%20REPORT%20FOR%20FY%202021-22.pdf</t>
  </si>
  <si>
    <t>https://cdn.muthootfinance.com/sites/default/files/files/2023-10/Muthoot-AR-2019-20.pdf</t>
  </si>
  <si>
    <t xml:space="preserve">Forecasting </t>
  </si>
  <si>
    <t xml:space="preserve">FY21 </t>
  </si>
  <si>
    <t>FY18</t>
  </si>
  <si>
    <t>FY17</t>
  </si>
  <si>
    <t xml:space="preserve">not an operating expense ( but curious to know , aisa kaha paisa lga diya )</t>
  </si>
  <si>
    <t xml:space="preserve">Net gain on fair value changes 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</si>
  <si>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</si>
  <si>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</si>
  <si>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</si>
  <si>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</si>
  <si>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</si>
  <si>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</si>
  <si>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 xml:space="preserve">Debt Raised</t>
  </si>
  <si>
    <t xml:space="preserve">Debt COGS / ( against what amount ? what amount of money are we giving this much in  financing ) ? 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</si>
  <si>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</si>
  <si>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</si>
  <si>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</si>
  <si>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</si>
  <si>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future income = current-income / Discount-rarte</t>
  </si>
  <si>
    <t xml:space="preserve">Total expenses</t>
  </si>
  <si>
    <t xml:space="preserve">not operating cost</t>
  </si>
  <si>
    <t xml:space="preserve">Net profit (in CR)</t>
  </si>
  <si>
    <t xml:space="preserve">Net profit </t>
  </si>
  <si>
    <t xml:space="preserve">Profit attributed to owners</t>
  </si>
  <si>
    <t xml:space="preserve">%profit attributed</t>
  </si>
  <si>
    <t xml:space="preserve">Book value </t>
  </si>
  <si>
    <t>EPS(basic)</t>
  </si>
  <si>
    <t xml:space="preserve">Revenue YoY</t>
  </si>
  <si>
    <t xml:space="preserve">Discount rate</t>
  </si>
  <si>
    <t xml:space="preserve">Total Income YoY</t>
  </si>
  <si>
    <t>NPV</t>
  </si>
  <si>
    <t xml:space="preserve">Millions rupee</t>
  </si>
  <si>
    <t xml:space="preserve">Gross Profit</t>
  </si>
  <si>
    <t xml:space="preserve">Current Share price </t>
  </si>
  <si>
    <t xml:space="preserve">cogs / revenue</t>
  </si>
  <si>
    <t xml:space="preserve">Gross margin ratio</t>
  </si>
  <si>
    <t xml:space="preserve">Total no of shares </t>
  </si>
  <si>
    <t xml:space="preserve">Profit YoY</t>
  </si>
  <si>
    <t xml:space="preserve">Terminal value </t>
  </si>
  <si>
    <t xml:space="preserve">Tax YoY</t>
  </si>
  <si>
    <t xml:space="preserve">Forecast Share price Value </t>
  </si>
  <si>
    <t xml:space="preserve">OpEx YoY</t>
  </si>
  <si>
    <t xml:space="preserve">COGS YoY</t>
  </si>
  <si>
    <t xml:space="preserve">ML / regression / core-ml</t>
  </si>
  <si>
    <t xml:space="preserve">EPS YoY</t>
  </si>
  <si>
    <t>EV</t>
  </si>
  <si>
    <t xml:space="preserve">OCI YoY</t>
  </si>
  <si>
    <t xml:space="preserve">Profit attributable YoY</t>
  </si>
  <si>
    <t xml:space="preserve">Cost of debt </t>
  </si>
  <si>
    <t xml:space="preserve">Interest yield </t>
  </si>
  <si>
    <t xml:space="preserve">Balance Sheet </t>
  </si>
  <si>
    <t xml:space="preserve">EQUITY </t>
  </si>
  <si>
    <t xml:space="preserve">Share capital </t>
  </si>
  <si>
    <t xml:space="preserve">Other capital </t>
  </si>
  <si>
    <t xml:space="preserve">Equity money</t>
  </si>
  <si>
    <t>LIABILITY</t>
  </si>
  <si>
    <t xml:space="preserve">Debt security</t>
  </si>
  <si>
    <t xml:space="preserve">more Borrowings </t>
  </si>
  <si>
    <t xml:space="preserve">Subordinated Liabilities</t>
  </si>
  <si>
    <t xml:space="preserve">Debt Money</t>
  </si>
  <si>
    <t xml:space="preserve">Total money deployed 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</si>
  <si>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</si>
  <si>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</si>
  <si>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</si>
  <si>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</si>
  <si>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</si>
  <si>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</si>
  <si>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</si>
  <si>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</si>
  <si>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</si>
  <si>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</si>
  <si>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</si>
  <si>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</si>
  <si>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</si>
  <si>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</si>
  <si>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</si>
  <si>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</si>
  <si>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</si>
  <si>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</si>
  <si>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</si>
  <si>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</si>
  <si>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</si>
  <si>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</si>
  <si>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</si>
  <si>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</si>
  <si>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</si>
  <si>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</si>
  <si>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</si>
  <si>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</si>
  <si>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</si>
  <si>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</si>
  <si>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</si>
  <si>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</si>
  <si>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</si>
  <si>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</si>
  <si>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</si>
  <si>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</si>
  <si>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</si>
  <si>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</si>
  <si>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</si>
  <si>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</si>
  <si>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</si>
  <si>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</si>
  <si>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</si>
  <si>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</si>
  <si>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</si>
  <si>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</si>
  <si>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</si>
  <si>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</si>
  <si>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</si>
  <si>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</si>
  <si>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</si>
  <si>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</si>
  <si>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</si>
  <si>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</si>
  <si>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</si>
  <si>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</si>
  <si>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</si>
  <si>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</si>
  <si>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</si>
  <si>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</si>
  <si>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</si>
  <si>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</si>
  <si>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</si>
  <si>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</si>
  <si>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</si>
  <si>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</si>
  <si>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</si>
  <si>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</si>
  <si>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</si>
  <si>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</si>
  <si>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</si>
  <si>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Bajaj finance</t>
  </si>
  <si>
    <t xml:space="preserve">in crore</t>
  </si>
  <si>
    <t>https://www.bajajfinserv.in/finance-digital-annual-report-fy24/bajaj-finance-ltd-ar-2023-24-assets/pdf/annual-report-fy2024.pdf</t>
  </si>
  <si>
    <t>https://cms-assets.bajajfinserv.in/is/content/bajajfinance/bajaj-finance-q4-fy-25-earnings-conference-call-transcriptpdf?scl=1&amp;fmt=pdf</t>
  </si>
  <si>
    <t>Forecasting</t>
  </si>
  <si>
    <t xml:space="preserve">Interest income</t>
  </si>
  <si>
    <t xml:space="preserve">Fees and commission income</t>
  </si>
  <si>
    <t xml:space="preserve">Net gain on fair value changes</t>
  </si>
  <si>
    <t xml:space="preserve">Income on derecognised loans</t>
  </si>
  <si>
    <t xml:space="preserve">Other operating income</t>
  </si>
  <si>
    <t xml:space="preserve">Revenue from operatiosn</t>
  </si>
  <si>
    <t xml:space="preserve">fees and commission cost</t>
  </si>
  <si>
    <t xml:space="preserve">bad debts</t>
  </si>
  <si>
    <t xml:space="preserve">impairment of financial instruments</t>
  </si>
  <si>
    <t xml:space="preserve">Total expense</t>
  </si>
  <si>
    <t xml:space="preserve">Share from Associates</t>
  </si>
  <si>
    <t xml:space="preserve">Total Profit </t>
  </si>
  <si>
    <t xml:space="preserve">Total profit to Shareholders </t>
  </si>
  <si>
    <t xml:space="preserve">% to shareholder</t>
  </si>
  <si>
    <t xml:space="preserve">Share capital</t>
  </si>
  <si>
    <t xml:space="preserve">Total no of shares</t>
  </si>
  <si>
    <t xml:space="preserve">Discount Value </t>
  </si>
  <si>
    <t xml:space="preserve">31st march resp year</t>
  </si>
  <si>
    <t xml:space="preserve">Share price </t>
  </si>
  <si>
    <t xml:space="preserve">Earnings per equity share</t>
  </si>
  <si>
    <t>PE</t>
  </si>
  <si>
    <t xml:space="preserve">Total no of Share s</t>
  </si>
  <si>
    <t xml:space="preserve">current Share price</t>
  </si>
  <si>
    <t xml:space="preserve">Financial ratios</t>
  </si>
  <si>
    <t xml:space="preserve">Forecasted share price</t>
  </si>
  <si>
    <t>Average</t>
  </si>
  <si>
    <t xml:space="preserve">Finance Cost YoY</t>
  </si>
  <si>
    <t xml:space="preserve">Gross margin Yoy</t>
  </si>
  <si>
    <t xml:space="preserve">fee and mainitaince yoy</t>
  </si>
  <si>
    <t xml:space="preserve">impairment yoy</t>
  </si>
  <si>
    <t xml:space="preserve">ebe yoy</t>
  </si>
  <si>
    <t xml:space="preserve">d&amp;A yoy</t>
  </si>
  <si>
    <t xml:space="preserve">Other expenses yoy</t>
  </si>
  <si>
    <t xml:space="preserve">Tax yoy</t>
  </si>
  <si>
    <t xml:space="preserve">Tax % </t>
  </si>
  <si>
    <t xml:space="preserve">impairement %</t>
  </si>
  <si>
    <t xml:space="preserve">Balance sheeet </t>
  </si>
  <si>
    <t xml:space="preserve">Share capital Equity</t>
  </si>
  <si>
    <t xml:space="preserve">Total Equity</t>
  </si>
  <si>
    <t xml:space="preserve">Debt securities</t>
  </si>
  <si>
    <t xml:space="preserve">Borrowings other than debt securiteies</t>
  </si>
  <si>
    <t xml:space="preserve">Subordinated debt</t>
  </si>
  <si>
    <t xml:space="preserve">Total debt</t>
  </si>
  <si>
    <t xml:space="preserve">Aditya birla finance NBFC</t>
  </si>
  <si>
    <t xml:space="preserve">Net interest income</t>
  </si>
  <si>
    <t>Op-ex</t>
  </si>
  <si>
    <t xml:space="preserve">funds set aside for bad-debts</t>
  </si>
  <si>
    <t xml:space="preserve">credit provisioning</t>
  </si>
  <si>
    <t xml:space="preserve">Profit after tax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</si>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</sst>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0.000"/>
    <numFmt numFmtId="169" formatCode="_(* #,##0.00_);_(* &quot;(&quot;#,##0.00&quot;)&quot;;_(* &quot;-&quot;??.0_);_(@_)"/>
    <numFmt numFmtId="170" formatCode="0.0"/>
    <numFmt numFmtId="171" formatCode="_(* #,##0_);_(* &quot;(&quot;#,##0&quot;)&quot;;_(* &quot;-&quot;??_);_(@_)"/>
    <numFmt numFmtId="172" formatCode="_(* #,##0.0_);_(* &quot;(&quot;#,##0.0&quot;)&quot;;_(* &quot;-&quot;??.0_);_(@_)"/>
    <numFmt numFmtId="173" formatCode="_(* #,##0.00_);_(* &quot;(&quot;#,##0.00&quot;)&quot;;_(* &quot;-&quot;??_);_(@_)"/>
  </numFmts>
  <fonts count="1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b/>
      <sz val="12.000000"/>
      <color theme="8" tint="-0.249977111117893"/>
      <name val="Calibri"/>
      <scheme val="minor"/>
    </font>
    <font>
      <b/>
      <sz val="12.000000"/>
      <color theme="4" tint="0"/>
      <name val="Calibri"/>
      <scheme val="minor"/>
    </font>
    <font>
      <sz val="12.000000"/>
      <name val="Liberation Sans"/>
    </font>
    <font>
      <b/>
      <sz val="11.000000"/>
      <color theme="4" tint="0"/>
      <name val="Calibri"/>
      <scheme val="minor"/>
    </font>
    <font>
      <strike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97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0" fillId="0" borderId="0" numFmtId="0" xfId="0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3" fillId="0" borderId="2" numFmtId="0" xfId="0" applyFont="1" applyBorder="1"/>
    <xf fontId="4" fillId="0" borderId="2" numFmtId="0" xfId="0" applyFont="1" applyBorder="1"/>
    <xf fontId="3" fillId="0" borderId="0" numFmtId="3" xfId="0" applyNumberFormat="1" applyFont="1"/>
    <xf fontId="3" fillId="0" borderId="2" numFmtId="3" xfId="0" applyNumberFormat="1" applyFont="1" applyBorder="1"/>
    <xf fontId="3" fillId="0" borderId="2" numFmtId="167" xfId="1" applyNumberFormat="1" applyFont="1" applyBorder="1"/>
    <xf fontId="3" fillId="0" borderId="0" numFmtId="9" xfId="2" applyNumberFormat="1" applyFont="1"/>
    <xf fontId="3" fillId="0" borderId="2" numFmtId="9" xfId="2" applyNumberFormat="1" applyFont="1" applyBorder="1"/>
    <xf fontId="3" fillId="3" borderId="0" numFmtId="0" xfId="0" applyFont="1" applyFill="1"/>
    <xf fontId="1" fillId="3" borderId="0" numFmtId="0" xfId="0" applyFont="1" applyFill="1"/>
    <xf fontId="4" fillId="3" borderId="0" numFmtId="0" xfId="0" applyFont="1" applyFill="1"/>
    <xf fontId="3" fillId="0" borderId="0" numFmtId="168" xfId="0" applyNumberFormat="1" applyFont="1"/>
    <xf fontId="3" fillId="0" borderId="0" numFmtId="2" xfId="0" applyNumberFormat="1" applyFont="1"/>
    <xf fontId="4" fillId="0" borderId="0" numFmtId="9" xfId="2" applyNumberFormat="1" applyFont="1"/>
    <xf fontId="6" fillId="0" borderId="0" numFmtId="0" xfId="0" applyFont="1"/>
    <xf fontId="3" fillId="0" borderId="0" numFmtId="169" xfId="1" applyNumberFormat="1" applyFont="1"/>
    <xf fontId="7" fillId="0" borderId="0" numFmtId="0" xfId="0" applyFont="1"/>
    <xf fontId="3" fillId="0" borderId="0" numFmtId="170" xfId="0" applyNumberFormat="1" applyFont="1"/>
    <xf fontId="4" fillId="0" borderId="0" numFmtId="169" xfId="1" applyNumberFormat="1" applyFont="1"/>
    <xf fontId="3" fillId="0" borderId="0" numFmtId="169" xfId="1" applyNumberFormat="1" applyFont="1" applyAlignment="1">
      <alignment horizontal="right"/>
    </xf>
    <xf fontId="3" fillId="0" borderId="0" numFmtId="169" xfId="0" applyNumberFormat="1" applyFont="1" applyAlignment="1">
      <alignment horizontal="right"/>
    </xf>
    <xf fontId="4" fillId="0" borderId="0" numFmtId="169" xfId="1" applyNumberFormat="1" applyFont="1" applyAlignment="1">
      <alignment horizontal="right"/>
    </xf>
    <xf fontId="4" fillId="0" borderId="2" numFmtId="169" xfId="1" applyNumberFormat="1" applyFont="1" applyBorder="1"/>
    <xf fontId="4" fillId="0" borderId="0" numFmtId="165" xfId="1" applyNumberFormat="1" applyFont="1"/>
    <xf fontId="4" fillId="0" borderId="2" numFmtId="165" xfId="1" applyNumberFormat="1" applyFont="1" applyBorder="1"/>
    <xf fontId="3" fillId="0" borderId="2" numFmtId="165" xfId="1" applyNumberFormat="1" applyFont="1" applyBorder="1"/>
    <xf fontId="8" fillId="0" borderId="0" numFmtId="165" xfId="1" applyNumberFormat="1" applyFont="1"/>
    <xf fontId="4" fillId="0" borderId="0" numFmtId="165" xfId="0" applyNumberFormat="1" applyFont="1"/>
    <xf fontId="3" fillId="0" borderId="2" numFmtId="165" xfId="0" applyNumberFormat="1" applyFont="1" applyBorder="1"/>
    <xf fontId="4" fillId="0" borderId="2" numFmtId="165" xfId="0" applyNumberFormat="1" applyFont="1" applyBorder="1"/>
    <xf fontId="3" fillId="0" borderId="0" numFmtId="165" xfId="0" applyNumberFormat="1" applyFont="1"/>
    <xf fontId="3" fillId="0" borderId="0" numFmtId="9" xfId="2" applyNumberFormat="1" applyFont="1" applyAlignment="1">
      <alignment horizontal="right"/>
    </xf>
    <xf fontId="3" fillId="0" borderId="2" numFmtId="9" xfId="0" applyNumberFormat="1" applyFont="1" applyBorder="1"/>
    <xf fontId="4" fillId="0" borderId="2" numFmtId="167" xfId="1" applyNumberFormat="1" applyFont="1" applyBorder="1"/>
    <xf fontId="9" fillId="0" borderId="0" numFmtId="3" xfId="0" applyNumberFormat="1" applyFont="1" applyAlignment="1">
      <alignment horizontal="right"/>
    </xf>
    <xf fontId="4" fillId="0" borderId="0" numFmtId="167" xfId="1" applyNumberFormat="1" applyFont="1"/>
    <xf fontId="3" fillId="0" borderId="0" numFmtId="164" xfId="0" applyNumberFormat="1" applyFont="1"/>
    <xf fontId="3" fillId="0" borderId="0" numFmtId="171" xfId="1" applyNumberFormat="1" applyFont="1"/>
    <xf fontId="4" fillId="0" borderId="0" numFmtId="171" xfId="1" applyNumberFormat="1" applyFont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0" numFmtId="171" xfId="1" applyNumberFormat="1"/>
    <xf fontId="0" fillId="0" borderId="0" numFmtId="165" xfId="1" applyNumberFormat="1"/>
    <xf fontId="0" fillId="0" borderId="0" numFmtId="172" xfId="1" applyNumberFormat="1"/>
    <xf fontId="0" fillId="0" borderId="2" numFmtId="0" xfId="0" applyBorder="1"/>
    <xf fontId="1" fillId="0" borderId="0" numFmtId="171" xfId="1" applyNumberFormat="1" applyFont="1"/>
    <xf fontId="1" fillId="0" borderId="2" numFmtId="0" xfId="0" applyFont="1" applyBorder="1"/>
    <xf fontId="1" fillId="0" borderId="0" numFmtId="171" xfId="1" applyNumberFormat="1" applyFont="1">
      <protection hidden="0" locked="1"/>
    </xf>
    <xf fontId="1" fillId="0" borderId="0" numFmtId="165" xfId="1" applyNumberFormat="1" applyFont="1">
      <protection hidden="0" locked="1"/>
    </xf>
    <xf fontId="0" fillId="0" borderId="0" numFmtId="171" xfId="1" applyNumberFormat="1">
      <protection hidden="0" locked="1"/>
    </xf>
    <xf fontId="0" fillId="0" borderId="0" numFmtId="165" xfId="1" applyNumberFormat="1">
      <protection hidden="0" locked="1"/>
    </xf>
    <xf fontId="10" fillId="0" borderId="0" numFmtId="173" xfId="1" applyNumberFormat="1" applyFont="1"/>
    <xf fontId="10" fillId="0" borderId="2" numFmtId="173" xfId="1" applyNumberFormat="1" applyFont="1" applyBorder="1"/>
    <xf fontId="1" fillId="0" borderId="0" numFmtId="165" xfId="1" applyNumberFormat="1" applyFont="1"/>
    <xf fontId="1" fillId="0" borderId="2" numFmtId="165" xfId="1" applyNumberFormat="1" applyFont="1" applyBorder="1"/>
    <xf fontId="1" fillId="0" borderId="0" numFmtId="167" xfId="1" applyNumberFormat="1" applyFont="1"/>
    <xf fontId="0" fillId="0" borderId="2" numFmtId="165" xfId="1" applyNumberFormat="1" applyBorder="1">
      <protection hidden="0" locked="1"/>
    </xf>
    <xf fontId="0" fillId="0" borderId="0" numFmtId="165" xfId="0" applyNumberFormat="1"/>
    <xf fontId="0" fillId="0" borderId="2" numFmtId="165" xfId="0" applyNumberFormat="1" applyBorder="1"/>
    <xf fontId="0" fillId="0" borderId="0" numFmtId="167" xfId="1" applyNumberFormat="1">
      <protection hidden="0" locked="1"/>
    </xf>
    <xf fontId="0" fillId="0" borderId="0" numFmtId="165" xfId="0" applyNumberFormat="1">
      <protection hidden="0" locked="1"/>
    </xf>
    <xf fontId="0" fillId="0" borderId="2" numFmtId="165" xfId="0" applyNumberFormat="1" applyBorder="1">
      <protection hidden="0" locked="1"/>
    </xf>
    <xf fontId="0" fillId="0" borderId="0" numFmtId="9" xfId="2" applyNumberFormat="1"/>
    <xf fontId="1" fillId="0" borderId="0" numFmtId="9" xfId="2" applyNumberFormat="1" applyFont="1"/>
    <xf fontId="0" fillId="0" borderId="2" numFmtId="165" xfId="1" applyNumberFormat="1" applyBorder="1"/>
    <xf fontId="1" fillId="0" borderId="0" numFmtId="2" xfId="0" applyNumberFormat="1" applyFont="1"/>
    <xf fontId="1" fillId="0" borderId="0" numFmtId="165" xfId="0" applyNumberFormat="1" applyFont="1"/>
    <xf fontId="1" fillId="0" borderId="2" numFmtId="165" xfId="0" applyNumberFormat="1" applyFont="1" applyBorder="1"/>
    <xf fontId="0" fillId="0" borderId="0" numFmtId="2" xfId="0" applyNumberFormat="1"/>
    <xf fontId="0" fillId="0" borderId="0" numFmtId="10" xfId="2" applyNumberFormat="1"/>
    <xf fontId="3" fillId="0" borderId="0" numFmtId="9" xfId="0" applyNumberFormat="1" applyFont="1"/>
    <xf fontId="0" fillId="0" borderId="0" numFmtId="9" xfId="0" applyNumberFormat="1"/>
    <xf fontId="0" fillId="0" borderId="0" numFmtId="172" xfId="0" applyNumberFormat="1"/>
    <xf fontId="0" fillId="0" borderId="0" numFmtId="164" xfId="2" applyNumberFormat="1"/>
    <xf fontId="11" fillId="0" borderId="0" numFmtId="0" xfId="0" applyFont="1"/>
    <xf fontId="11" fillId="0" borderId="0" numFmtId="164" xfId="2" applyNumberFormat="1" applyFont="1"/>
    <xf fontId="0" fillId="0" borderId="0" numFmtId="9" xfId="2" applyNumberFormat="1">
      <protection hidden="0" locked="1"/>
    </xf>
    <xf fontId="0" fillId="0" borderId="0" numFmtId="2" xfId="0" applyNumberFormat="1">
      <protection hidden="0" locked="1"/>
    </xf>
    <xf fontId="3" fillId="0" borderId="3" numFmtId="0" xfId="0" applyFont="1" applyBorder="1" applyAlignment="1">
      <alignment horizontal="left"/>
    </xf>
    <xf fontId="12" fillId="0" borderId="4" numFmtId="0" xfId="0" applyFont="1" applyBorder="1" applyAlignment="1">
      <alignment horizontal="left"/>
    </xf>
    <xf fontId="3" fillId="0" borderId="4" numFmtId="0" xfId="0" applyFont="1" applyBorder="1" applyAlignment="1">
      <alignment horizontal="left"/>
    </xf>
    <xf fontId="13" fillId="0" borderId="3" numFmtId="0" xfId="0" applyFont="1" applyBorder="1" applyAlignment="1">
      <alignment horizontal="left"/>
    </xf>
    <xf fontId="14" fillId="0" borderId="4" numFmtId="0" xfId="0" applyFont="1" applyBorder="1" applyAlignment="1">
      <alignment horizontal="left"/>
    </xf>
    <xf fontId="14" fillId="0" borderId="3" numFmtId="0" xfId="0" applyFont="1" applyBorder="1" applyAlignment="1">
      <alignment horizontal="left"/>
    </xf>
    <xf fontId="14" fillId="0" borderId="3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theme" Target="theme/theme1.xml"/><Relationship  Id="rId13" Type="http://schemas.openxmlformats.org/officeDocument/2006/relationships/sharedStrings" Target="sharedStrings.xml"/><Relationship  Id="rId14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Relationship  Id="rId2" Type="http://schemas.openxmlformats.org/officeDocument/2006/relationships/hyperlink" Target="https://jiofinance.cdn.jio.com/cms/assets/jfs/investor-relations/financials/quarterly-results/q4-report-2024-25.pdf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Relationship  Id="rId2" Type="http://schemas.openxmlformats.org/officeDocument/2006/relationships/hyperlink" Target="https://cdn.muthootfinance.com/sites/default/files/files/2022-07/ANNUAL REPORT FOR FY 2021-22.pdf" TargetMode="External"/><Relationship  Id="rId3" Type="http://schemas.openxmlformats.org/officeDocument/2006/relationships/hyperlink" Target="https://cdn.muthootfinance.com/sites/default/files/files/2023-10/Muthoot-AR-2019-20.pdf" TargetMode="Externa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bajajfinserv.in/finance-digital-annual-report-fy24/bajaj-finance-ltd-ar-2023-24-assets/pdf/annual-report-fy2024.pdf" TargetMode="External"/><Relationship  Id="rId2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4" t="s">
        <v>43</v>
      </c>
    </row>
    <row r="30">
      <c r="B30" s="4" t="s">
        <v>44</v>
      </c>
      <c r="C30" s="4" t="s">
        <v>45</v>
      </c>
    </row>
    <row r="31">
      <c r="B31" s="2"/>
      <c r="C31" s="2"/>
    </row>
    <row r="32">
      <c r="A32" t="s">
        <v>46</v>
      </c>
      <c r="B32" s="2" t="s">
        <v>47</v>
      </c>
      <c r="C32" s="2" t="s">
        <v>48</v>
      </c>
    </row>
    <row r="33">
      <c r="B33" s="2" t="s">
        <v>49</v>
      </c>
      <c r="C33" s="2" t="s">
        <v>50</v>
      </c>
    </row>
    <row r="34">
      <c r="B34" s="2" t="s">
        <v>51</v>
      </c>
      <c r="C34" s="2" t="s">
        <v>52</v>
      </c>
    </row>
    <row r="35" ht="14.25">
      <c r="B35" t="s">
        <v>53</v>
      </c>
      <c r="C35" t="s">
        <v>54</v>
      </c>
    </row>
    <row r="36" ht="14.25">
      <c r="B36" s="2"/>
    </row>
    <row r="37" ht="14.25">
      <c r="B37" s="2"/>
    </row>
    <row r="38">
      <c r="B38" t="s">
        <v>55</v>
      </c>
    </row>
    <row r="39">
      <c r="C39" t="s">
        <v>56</v>
      </c>
      <c r="E39" t="s">
        <v>57</v>
      </c>
    </row>
    <row r="40">
      <c r="C40" t="s">
        <v>58</v>
      </c>
      <c r="E40" t="s">
        <v>57</v>
      </c>
    </row>
    <row r="41">
      <c r="C41" t="s">
        <v>59</v>
      </c>
    </row>
    <row r="42" ht="14.25">
      <c r="C42" t="s">
        <v>60</v>
      </c>
    </row>
    <row r="43" ht="14.25">
      <c r="C43" t="s">
        <v>61</v>
      </c>
    </row>
    <row r="44" ht="14.25">
      <c r="C44" t="s">
        <v>62</v>
      </c>
    </row>
    <row r="45" ht="14.25">
      <c r="C45" t="s">
        <v>63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473</v>
      </c>
    </row>
    <row r="2" ht="14.25"/>
    <row r="3" ht="14.25">
      <c r="C3" s="1" t="s">
        <v>121</v>
      </c>
      <c r="D3" s="1" t="s">
        <v>122</v>
      </c>
    </row>
    <row r="4" ht="14.25">
      <c r="B4" t="s">
        <v>474</v>
      </c>
      <c r="C4" s="53">
        <v>4410</v>
      </c>
      <c r="D4" s="53">
        <v>6296</v>
      </c>
    </row>
    <row r="5" ht="14.25">
      <c r="B5" t="s">
        <v>475</v>
      </c>
      <c r="C5" s="53">
        <v>1417</v>
      </c>
      <c r="D5" s="53">
        <v>1957</v>
      </c>
    </row>
    <row r="6" s="1" customFormat="1" ht="14.25">
      <c r="A6" s="1"/>
      <c r="B6" s="1"/>
      <c r="C6" s="1"/>
      <c r="D6" s="1"/>
    </row>
    <row r="7" ht="14.25">
      <c r="A7" t="s">
        <v>476</v>
      </c>
      <c r="B7" s="1" t="s">
        <v>303</v>
      </c>
      <c r="C7" s="57">
        <f>C4-C5</f>
        <v>2993</v>
      </c>
      <c r="D7" s="57">
        <f>D4-D5</f>
        <v>4339</v>
      </c>
    </row>
    <row r="8" ht="14.25">
      <c r="B8" t="s">
        <v>477</v>
      </c>
      <c r="C8" s="53">
        <v>903</v>
      </c>
      <c r="D8" s="53">
        <v>1352</v>
      </c>
    </row>
    <row r="9" ht="14.25">
      <c r="B9" s="1" t="s">
        <v>145</v>
      </c>
      <c r="C9" s="57">
        <f>C4-C5-C8</f>
        <v>2090</v>
      </c>
      <c r="D9" s="57">
        <f>D4-D5-D8</f>
        <v>2987</v>
      </c>
    </row>
    <row r="10" ht="14.25">
      <c r="B10" t="s">
        <v>198</v>
      </c>
      <c r="C10" s="53">
        <v>536</v>
      </c>
      <c r="D10" s="53">
        <v>766</v>
      </c>
    </row>
    <row r="11" ht="14.25">
      <c r="B11" s="1" t="s">
        <v>478</v>
      </c>
      <c r="C11" s="57">
        <f>C9-C10</f>
        <v>1554</v>
      </c>
      <c r="D11" s="57">
        <f>D9-D10</f>
        <v>2221</v>
      </c>
    </row>
    <row r="12" ht="14.25">
      <c r="B12" t="s">
        <v>479</v>
      </c>
      <c r="C12" s="53">
        <v>11426</v>
      </c>
      <c r="D12" s="53">
        <v>15224</v>
      </c>
    </row>
    <row r="13" ht="14.25">
      <c r="B13" t="s">
        <v>480</v>
      </c>
      <c r="C13" s="53">
        <v>70771</v>
      </c>
      <c r="D13" s="53">
        <v>92292</v>
      </c>
    </row>
    <row r="14" ht="14.25"/>
    <row r="15" ht="14.25">
      <c r="B15" t="s">
        <v>481</v>
      </c>
      <c r="C15" s="74">
        <f>C11/C12</f>
        <v>0.13600560126028358</v>
      </c>
      <c r="D15" s="88">
        <f>D11/D12</f>
        <v>0.14588807146610616</v>
      </c>
    </row>
    <row r="16" ht="14.25">
      <c r="B16" t="s">
        <v>482</v>
      </c>
      <c r="C16" s="80">
        <f>C13/C12</f>
        <v>6.1938561176264662</v>
      </c>
      <c r="D16" s="89">
        <f>D13/D12</f>
        <v>6.0622700998423538</v>
      </c>
    </row>
    <row r="17" ht="14.25">
      <c r="B17" t="s">
        <v>483</v>
      </c>
      <c r="C17" s="74">
        <f>C5/C4</f>
        <v>0.32131519274376419</v>
      </c>
      <c r="D17" s="88">
        <f>D5/D4</f>
        <v>0.31083227445997458</v>
      </c>
    </row>
    <row r="18" ht="14.25">
      <c r="B18" t="s">
        <v>484</v>
      </c>
      <c r="C18" s="74">
        <f>C8/C7</f>
        <v>0.30170397594386905</v>
      </c>
      <c r="D18" s="88">
        <f>D8/D7</f>
        <v>0.3115925328416686</v>
      </c>
    </row>
    <row r="19" ht="14.25">
      <c r="A19" t="s">
        <v>485</v>
      </c>
      <c r="B19" t="s">
        <v>486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5" width="9.140625"/>
    <col customWidth="1" min="2" max="2" style="5" width="46.8515625"/>
    <col min="3" max="16384" style="5" width="9.140625"/>
  </cols>
  <sheetData>
    <row r="1" ht="16.5">
      <c r="A1" s="90"/>
      <c r="B1" s="91" t="s">
        <v>487</v>
      </c>
      <c r="C1" s="92"/>
      <c r="D1" s="92"/>
      <c r="E1" s="92"/>
      <c r="F1" s="92"/>
    </row>
    <row r="2">
      <c r="A2" s="90"/>
      <c r="B2" s="90"/>
      <c r="C2" s="90"/>
      <c r="D2" s="90"/>
      <c r="E2" s="90"/>
      <c r="F2" s="90"/>
    </row>
    <row r="3" ht="15">
      <c r="A3" s="90"/>
      <c r="B3" s="93" t="s">
        <v>488</v>
      </c>
      <c r="C3" s="94" t="s">
        <v>489</v>
      </c>
      <c r="D3" s="90"/>
      <c r="E3" s="90"/>
      <c r="F3" s="90"/>
    </row>
    <row r="4" ht="15">
      <c r="A4" s="95" t="s">
        <v>490</v>
      </c>
      <c r="B4" s="95" t="s">
        <v>491</v>
      </c>
      <c r="C4" s="96">
        <v>52.700000000000003</v>
      </c>
      <c r="D4" s="90"/>
      <c r="E4" s="90"/>
      <c r="F4" s="90"/>
    </row>
    <row r="5" ht="15">
      <c r="A5" s="90"/>
      <c r="B5" s="95" t="s">
        <v>492</v>
      </c>
      <c r="C5" s="96">
        <v>16.300000000000001</v>
      </c>
      <c r="D5" s="90"/>
      <c r="E5" s="90"/>
      <c r="F5" s="90"/>
    </row>
    <row r="6" ht="15">
      <c r="A6" s="90"/>
      <c r="B6" s="95" t="s">
        <v>493</v>
      </c>
      <c r="C6" s="96">
        <v>31</v>
      </c>
      <c r="D6" s="90"/>
      <c r="E6" s="90"/>
      <c r="F6" s="90"/>
    </row>
    <row r="7">
      <c r="A7" s="90"/>
      <c r="B7" s="90"/>
      <c r="C7" s="90"/>
      <c r="D7" s="90"/>
      <c r="E7" s="90"/>
      <c r="F7" s="90"/>
    </row>
    <row r="8">
      <c r="A8" s="90"/>
      <c r="B8" s="90"/>
      <c r="C8" s="90"/>
      <c r="D8" s="90"/>
      <c r="E8" s="90"/>
      <c r="F8" s="90"/>
    </row>
    <row r="9" ht="15">
      <c r="A9" s="90"/>
      <c r="B9" s="93" t="s">
        <v>494</v>
      </c>
      <c r="C9" s="95" t="s">
        <v>495</v>
      </c>
      <c r="D9" s="95" t="s">
        <v>496</v>
      </c>
      <c r="E9" s="90"/>
      <c r="F9" s="90"/>
    </row>
    <row r="10" ht="15">
      <c r="A10" s="90"/>
      <c r="B10" s="95" t="s">
        <v>497</v>
      </c>
      <c r="C10" s="96">
        <v>100</v>
      </c>
      <c r="D10" s="95" t="s">
        <v>0</v>
      </c>
      <c r="E10" s="90"/>
      <c r="F10" s="90"/>
    </row>
    <row r="11" ht="15">
      <c r="A11" s="90"/>
      <c r="B11" s="95" t="s">
        <v>498</v>
      </c>
      <c r="C11" s="96">
        <v>100</v>
      </c>
      <c r="D11" s="94" t="s">
        <v>499</v>
      </c>
      <c r="E11" s="90"/>
      <c r="F11" s="90"/>
    </row>
    <row r="12" ht="15">
      <c r="A12" s="95" t="s">
        <v>384</v>
      </c>
      <c r="B12" s="95" t="s">
        <v>500</v>
      </c>
      <c r="C12" s="96">
        <v>74</v>
      </c>
      <c r="D12" s="94" t="s">
        <v>501</v>
      </c>
      <c r="E12" s="92"/>
      <c r="F12" s="90"/>
    </row>
    <row r="13" ht="15">
      <c r="A13" s="90"/>
      <c r="B13" s="95" t="s">
        <v>502</v>
      </c>
      <c r="C13" s="96">
        <v>50</v>
      </c>
      <c r="D13" s="94" t="s">
        <v>503</v>
      </c>
      <c r="E13" s="90"/>
      <c r="F13" s="90"/>
    </row>
    <row r="14" ht="15">
      <c r="A14" s="90"/>
      <c r="B14" s="95" t="s">
        <v>504</v>
      </c>
      <c r="C14" s="96">
        <v>51</v>
      </c>
      <c r="D14" s="94" t="s">
        <v>505</v>
      </c>
      <c r="E14" s="90"/>
      <c r="F14" s="90"/>
    </row>
    <row r="15" ht="15">
      <c r="A15" s="95" t="s">
        <v>386</v>
      </c>
      <c r="B15" s="95" t="s">
        <v>506</v>
      </c>
      <c r="C15" s="96">
        <v>45</v>
      </c>
      <c r="D15" s="94" t="s">
        <v>507</v>
      </c>
      <c r="E15" s="90"/>
      <c r="F15" s="90"/>
    </row>
    <row r="16" ht="15">
      <c r="A16" s="90"/>
      <c r="B16" s="95" t="s">
        <v>508</v>
      </c>
      <c r="C16" s="96">
        <v>46</v>
      </c>
      <c r="D16" s="94" t="s">
        <v>509</v>
      </c>
      <c r="E16" s="92"/>
      <c r="F16" s="90"/>
    </row>
    <row r="17" ht="15">
      <c r="A17" s="90"/>
      <c r="B17" s="95" t="s">
        <v>510</v>
      </c>
      <c r="C17" s="96">
        <v>100</v>
      </c>
      <c r="D17" s="94" t="s">
        <v>511</v>
      </c>
      <c r="E17" s="90"/>
      <c r="F17" s="90"/>
    </row>
    <row r="18">
      <c r="A18" s="90"/>
      <c r="B18" s="90"/>
      <c r="C18" s="90"/>
      <c r="D18" s="90"/>
      <c r="E18" s="90"/>
      <c r="F18" s="90"/>
    </row>
    <row r="19">
      <c r="A19" s="90"/>
      <c r="B19" s="90"/>
      <c r="C19" s="90"/>
      <c r="D19" s="90"/>
      <c r="E19" s="90"/>
      <c r="F19" s="90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5" width="14.8515625"/>
    <col customWidth="1" min="2" max="2" style="5" width="10.421875"/>
    <col min="3" max="6" style="5" width="9.140625"/>
    <col customWidth="1" min="7" max="7" style="5" width="13.8515625"/>
    <col customWidth="1" min="8" max="8" style="5" width="10.421875"/>
    <col min="9" max="9" style="5" width="9.140625"/>
    <col customWidth="1" min="10" max="10" style="5" width="14.421875"/>
    <col customWidth="1" min="11" max="11" style="5" width="15.421875"/>
    <col customWidth="1" min="12" max="12" style="5" width="17.421875"/>
    <col min="13" max="16384" style="5" width="9.140625"/>
  </cols>
  <sheetData>
    <row r="1" ht="16.5">
      <c r="A1" s="5" t="s">
        <v>64</v>
      </c>
      <c r="B1" s="5" t="s">
        <v>65</v>
      </c>
    </row>
    <row r="2" ht="16.5">
      <c r="A2" s="6" t="s">
        <v>66</v>
      </c>
      <c r="D2" s="5" t="s">
        <v>67</v>
      </c>
    </row>
    <row r="3" ht="16.5">
      <c r="A3" s="5" t="s">
        <v>68</v>
      </c>
      <c r="B3" s="7" t="s">
        <v>69</v>
      </c>
    </row>
    <row r="4" ht="14.25">
      <c r="A4" s="5"/>
      <c r="B4" s="5"/>
      <c r="G4" s="5"/>
      <c r="H4" s="5"/>
      <c r="I4" s="5"/>
    </row>
    <row r="5" ht="16.5">
      <c r="A5" s="5" t="s">
        <v>70</v>
      </c>
      <c r="B5" s="5" t="s">
        <v>71</v>
      </c>
      <c r="G5" s="6">
        <v>1999</v>
      </c>
      <c r="H5" s="6">
        <v>2002</v>
      </c>
      <c r="I5" s="6">
        <v>2023</v>
      </c>
    </row>
    <row r="6" ht="16.5">
      <c r="A6" s="5"/>
      <c r="G6" s="5" t="s">
        <v>72</v>
      </c>
      <c r="H6" s="5" t="s">
        <v>73</v>
      </c>
      <c r="I6" s="5" t="s">
        <v>74</v>
      </c>
    </row>
    <row r="7" ht="16.5">
      <c r="A7" s="6" t="s">
        <v>75</v>
      </c>
      <c r="D7" s="5"/>
      <c r="I7" s="5" t="s">
        <v>76</v>
      </c>
      <c r="K7" s="5"/>
      <c r="L7" s="6" t="s">
        <v>77</v>
      </c>
    </row>
    <row r="8" ht="16.5">
      <c r="A8" s="5" t="s">
        <v>78</v>
      </c>
      <c r="B8" s="5" t="s">
        <v>79</v>
      </c>
      <c r="D8" s="8">
        <v>1</v>
      </c>
      <c r="K8" s="6" t="s">
        <v>80</v>
      </c>
      <c r="L8" s="9">
        <v>288.39999999999998</v>
      </c>
    </row>
    <row r="9" ht="16.5">
      <c r="A9" s="5" t="s">
        <v>81</v>
      </c>
      <c r="B9" s="5" t="s">
        <v>82</v>
      </c>
      <c r="D9" s="8">
        <v>1</v>
      </c>
      <c r="F9" s="5" t="s">
        <v>83</v>
      </c>
      <c r="K9" s="6" t="s">
        <v>84</v>
      </c>
      <c r="L9" s="9">
        <v>6353284188</v>
      </c>
    </row>
    <row r="10" ht="16.5">
      <c r="A10" s="5" t="s">
        <v>85</v>
      </c>
      <c r="B10" s="5" t="s">
        <v>86</v>
      </c>
      <c r="D10" s="8">
        <v>1</v>
      </c>
      <c r="K10" s="6" t="s">
        <v>87</v>
      </c>
      <c r="L10" s="10">
        <f>(L8*L9)/10000000</f>
        <v>183228.71598191999</v>
      </c>
    </row>
    <row r="11" ht="16.5">
      <c r="A11" s="5" t="s">
        <v>88</v>
      </c>
      <c r="B11" s="5" t="s">
        <v>89</v>
      </c>
      <c r="D11" s="8">
        <v>1</v>
      </c>
      <c r="K11" s="6" t="s">
        <v>90</v>
      </c>
      <c r="L11" s="11">
        <f>67.18+10892.59</f>
        <v>10959.77</v>
      </c>
    </row>
    <row r="12" ht="16.5">
      <c r="A12" s="5" t="s">
        <v>91</v>
      </c>
      <c r="B12" s="5" t="s">
        <v>92</v>
      </c>
      <c r="D12" s="8">
        <v>1</v>
      </c>
      <c r="K12" s="6" t="s">
        <v>93</v>
      </c>
      <c r="L12" s="5">
        <f>0</f>
        <v>0</v>
      </c>
    </row>
    <row r="13" ht="16.5">
      <c r="A13" s="5" t="s">
        <v>94</v>
      </c>
      <c r="B13" s="5" t="s">
        <v>95</v>
      </c>
      <c r="D13" s="8">
        <v>0.77249999999999996</v>
      </c>
      <c r="F13" s="5" t="s">
        <v>96</v>
      </c>
      <c r="K13" s="6" t="s">
        <v>97</v>
      </c>
      <c r="L13" s="12">
        <f>L10+L12-L11</f>
        <v>172268.94598192</v>
      </c>
    </row>
    <row r="14" ht="16.5">
      <c r="A14" s="5" t="s">
        <v>98</v>
      </c>
      <c r="B14" s="5" t="s">
        <v>99</v>
      </c>
      <c r="D14" s="8">
        <v>0.5</v>
      </c>
    </row>
    <row r="16" ht="14.25">
      <c r="A16" s="5"/>
      <c r="B16" s="5"/>
    </row>
    <row r="17" ht="16.5">
      <c r="A17" s="5" t="s">
        <v>100</v>
      </c>
      <c r="B17" s="5" t="s">
        <v>101</v>
      </c>
    </row>
    <row r="18" ht="16.5">
      <c r="A18" s="5"/>
      <c r="B18" s="5" t="s">
        <v>102</v>
      </c>
    </row>
    <row r="19" ht="14.25">
      <c r="A19" s="5"/>
      <c r="B19" s="5"/>
    </row>
    <row r="20" ht="16.5">
      <c r="A20" s="5" t="s">
        <v>103</v>
      </c>
      <c r="B20" s="5" t="s">
        <v>104</v>
      </c>
    </row>
    <row r="21" ht="16.5">
      <c r="B21" s="5" t="s">
        <v>105</v>
      </c>
    </row>
    <row r="22" ht="16.5">
      <c r="B22" s="5" t="s">
        <v>106</v>
      </c>
    </row>
    <row r="23" ht="14.25">
      <c r="A23" s="5"/>
      <c r="B23" s="5"/>
    </row>
    <row r="24" ht="16.5">
      <c r="A24" s="5" t="s">
        <v>88</v>
      </c>
      <c r="B24" s="5" t="s">
        <v>107</v>
      </c>
    </row>
    <row r="25" ht="16.5">
      <c r="B25" s="5" t="s">
        <v>108</v>
      </c>
    </row>
    <row r="26" ht="14.25">
      <c r="A26" s="5"/>
      <c r="B26" s="5"/>
    </row>
    <row r="27" ht="16.5">
      <c r="A27" s="5" t="s">
        <v>85</v>
      </c>
      <c r="B27" s="5" t="s">
        <v>86</v>
      </c>
    </row>
    <row r="28" ht="16.5">
      <c r="B28" s="5" t="s">
        <v>109</v>
      </c>
    </row>
    <row r="30" ht="14.25">
      <c r="A30" s="5"/>
      <c r="B30" s="5"/>
    </row>
    <row r="31" ht="16.5">
      <c r="A31" s="5" t="s">
        <v>110</v>
      </c>
    </row>
    <row r="32" ht="16.5">
      <c r="B32" s="5" t="s">
        <v>111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5" width="11.140625"/>
    <col customWidth="1" min="2" max="5" style="5" width="22.7109375"/>
    <col customWidth="1" min="6" max="6" style="5" width="14.8515625"/>
    <col customWidth="1" min="7" max="7" style="5" width="17.7109375"/>
    <col customWidth="1" min="8" max="8" style="5" width="15.00390625"/>
    <col customWidth="1" min="9" max="9" style="5" width="21.140625"/>
    <col customWidth="1" min="10" max="10" style="5" width="21.00390625"/>
    <col customWidth="1" min="11" max="11" style="5" width="19.8515625"/>
    <col customWidth="1" min="12" max="12" style="5" width="24.57421875"/>
    <col min="13" max="16384" style="5" width="9.140625"/>
  </cols>
  <sheetData>
    <row r="1" ht="16.5">
      <c r="A1" s="5" t="s">
        <v>112</v>
      </c>
      <c r="B1" s="5" t="s">
        <v>113</v>
      </c>
      <c r="C1" s="5" t="s">
        <v>114</v>
      </c>
      <c r="D1" s="7" t="s">
        <v>115</v>
      </c>
      <c r="F1" s="5" t="s">
        <v>116</v>
      </c>
      <c r="H1" s="7" t="s">
        <v>117</v>
      </c>
    </row>
    <row r="2" s="6" customFormat="1" ht="16.5">
      <c r="B2" s="6"/>
      <c r="C2" s="6" t="s">
        <v>118</v>
      </c>
      <c r="D2" s="6" t="s">
        <v>119</v>
      </c>
      <c r="E2" s="6" t="s">
        <v>120</v>
      </c>
      <c r="F2" s="6" t="s">
        <v>121</v>
      </c>
      <c r="G2" s="6" t="s">
        <v>122</v>
      </c>
      <c r="H2" s="6" t="s">
        <v>123</v>
      </c>
      <c r="I2" s="6" t="s">
        <v>124</v>
      </c>
      <c r="J2" s="6" t="s">
        <v>125</v>
      </c>
      <c r="K2" s="6" t="s">
        <v>126</v>
      </c>
      <c r="L2" s="6" t="s">
        <v>127</v>
      </c>
    </row>
    <row r="3" ht="16.5">
      <c r="A3" s="5" t="s">
        <v>128</v>
      </c>
      <c r="B3" s="5" t="s">
        <v>129</v>
      </c>
      <c r="C3" s="5">
        <v>295.39999999999998</v>
      </c>
      <c r="D3" s="5">
        <v>295.18000000000001</v>
      </c>
      <c r="E3" s="5">
        <v>148.09</v>
      </c>
      <c r="F3" s="5">
        <v>38.340000000000003</v>
      </c>
      <c r="G3" s="5">
        <v>937.74000000000001</v>
      </c>
      <c r="H3" s="13">
        <v>852.52999999999997</v>
      </c>
    </row>
    <row r="4" ht="16.5">
      <c r="A4" s="5" t="s">
        <v>128</v>
      </c>
      <c r="B4" s="5" t="s">
        <v>130</v>
      </c>
      <c r="C4" s="5">
        <v>1.48</v>
      </c>
      <c r="D4" s="5">
        <v>0</v>
      </c>
      <c r="E4" s="5">
        <v>0</v>
      </c>
      <c r="F4" s="5">
        <v>0.27000000000000002</v>
      </c>
      <c r="G4" s="5">
        <v>216.84999999999999</v>
      </c>
      <c r="H4" s="13">
        <v>240.94</v>
      </c>
    </row>
    <row r="5" ht="16.5">
      <c r="A5" s="5" t="s">
        <v>128</v>
      </c>
      <c r="B5" s="5" t="s">
        <v>131</v>
      </c>
      <c r="C5" s="5">
        <v>0</v>
      </c>
      <c r="D5" s="5">
        <v>0</v>
      </c>
      <c r="E5" s="5">
        <v>0</v>
      </c>
      <c r="F5" s="5">
        <v>0</v>
      </c>
      <c r="G5" s="5">
        <v>151.66</v>
      </c>
      <c r="H5" s="13">
        <v>155.16999999999999</v>
      </c>
      <c r="I5" s="5"/>
    </row>
    <row r="6" ht="16.5">
      <c r="A6" s="5" t="s">
        <v>132</v>
      </c>
      <c r="B6" s="5" t="s">
        <v>133</v>
      </c>
      <c r="C6" s="5">
        <v>52.369999999999997</v>
      </c>
      <c r="D6" s="5">
        <v>0</v>
      </c>
      <c r="E6" s="5">
        <v>0.52000000000000002</v>
      </c>
      <c r="F6" s="5">
        <v>3.02</v>
      </c>
      <c r="G6" s="5">
        <v>547.63</v>
      </c>
      <c r="H6" s="13">
        <v>794.26999999999998</v>
      </c>
    </row>
    <row r="7" s="6" customFormat="1" ht="16.5">
      <c r="B7" s="6" t="s">
        <v>134</v>
      </c>
      <c r="C7" s="6">
        <f>C3+C4+C5+C6</f>
        <v>349.25</v>
      </c>
      <c r="D7" s="6">
        <f>D3+D4+D5+D6</f>
        <v>295.18000000000001</v>
      </c>
      <c r="E7" s="6">
        <f>E3+E4+E5+E6</f>
        <v>148.61000000000001</v>
      </c>
      <c r="F7" s="6">
        <f>F3+F4+F5+F6</f>
        <v>41.63000000000001</v>
      </c>
      <c r="G7" s="6">
        <f>SUM(G3:G6)</f>
        <v>1853.8800000000001</v>
      </c>
      <c r="H7" s="14">
        <f>SUM(H3:H6)</f>
        <v>2042.9100000000001</v>
      </c>
      <c r="I7" s="6"/>
    </row>
    <row r="8" ht="16.5">
      <c r="B8" s="5" t="s">
        <v>135</v>
      </c>
      <c r="C8" s="5">
        <v>0</v>
      </c>
      <c r="D8" s="5">
        <v>15.630000000000001</v>
      </c>
      <c r="E8" s="5">
        <v>35.649999999999999</v>
      </c>
      <c r="F8" s="5">
        <v>3.21</v>
      </c>
      <c r="G8" s="5">
        <v>0.80000000000000004</v>
      </c>
      <c r="H8" s="13">
        <v>36.009999999999998</v>
      </c>
    </row>
    <row r="9" s="6" customFormat="1" ht="16.5">
      <c r="B9" s="6" t="s">
        <v>136</v>
      </c>
      <c r="C9" s="6">
        <f>C7+C8</f>
        <v>349.25</v>
      </c>
      <c r="D9" s="6">
        <f>D7+D8</f>
        <v>310.81</v>
      </c>
      <c r="E9" s="6">
        <f>E7+E8</f>
        <v>184.26000000000002</v>
      </c>
      <c r="F9" s="6">
        <f>F7+F8</f>
        <v>44.840000000000011</v>
      </c>
      <c r="G9" s="6">
        <f>G7+G8</f>
        <v>1854.6800000000001</v>
      </c>
      <c r="H9" s="14">
        <f>H7+H8</f>
        <v>2078.9200000000001</v>
      </c>
      <c r="I9" s="6"/>
    </row>
    <row r="10" ht="14.25">
      <c r="B10" s="5"/>
      <c r="C10" s="5"/>
      <c r="D10" s="5"/>
      <c r="E10" s="5"/>
      <c r="H10" s="13"/>
    </row>
    <row r="11" ht="16.5">
      <c r="B11" s="5" t="s">
        <v>137</v>
      </c>
      <c r="C11" s="5">
        <v>127.76000000000001</v>
      </c>
      <c r="D11" s="5">
        <v>110.56999999999999</v>
      </c>
      <c r="E11" s="5">
        <v>0</v>
      </c>
      <c r="F11" s="5">
        <v>0</v>
      </c>
      <c r="G11" s="5">
        <v>10.27</v>
      </c>
      <c r="H11" s="13">
        <v>7.6500000000000004</v>
      </c>
    </row>
    <row r="12" ht="16.5">
      <c r="B12" s="5" t="s">
        <v>138</v>
      </c>
      <c r="C12" s="5">
        <v>0</v>
      </c>
      <c r="D12" s="5">
        <v>12.25</v>
      </c>
      <c r="E12" s="5">
        <v>0</v>
      </c>
      <c r="F12" s="5">
        <v>-10.06</v>
      </c>
      <c r="G12" s="5">
        <v>2.0499999999999998</v>
      </c>
      <c r="H12" s="13">
        <v>40.350000000000001</v>
      </c>
    </row>
    <row r="13" ht="16.5">
      <c r="B13" s="5" t="s">
        <v>139</v>
      </c>
      <c r="C13" s="5">
        <v>0</v>
      </c>
      <c r="D13" s="5">
        <v>0</v>
      </c>
      <c r="E13" s="5">
        <v>0</v>
      </c>
      <c r="F13" s="5">
        <v>0</v>
      </c>
      <c r="G13" s="5">
        <v>116.04000000000001</v>
      </c>
      <c r="H13" s="13">
        <v>214.91999999999999</v>
      </c>
    </row>
    <row r="14" ht="16.5">
      <c r="B14" s="5" t="s">
        <v>140</v>
      </c>
      <c r="C14" s="5">
        <v>0</v>
      </c>
      <c r="D14" s="5">
        <v>0</v>
      </c>
      <c r="E14" s="5">
        <v>0</v>
      </c>
      <c r="F14" s="5">
        <v>0</v>
      </c>
      <c r="G14" s="5">
        <v>21.52</v>
      </c>
      <c r="H14" s="13">
        <v>22.52</v>
      </c>
    </row>
    <row r="15" ht="16.5">
      <c r="B15" s="5" t="s">
        <v>141</v>
      </c>
      <c r="C15" s="5">
        <v>27.649999999999999</v>
      </c>
      <c r="D15" s="5">
        <v>69.930000000000007</v>
      </c>
      <c r="E15" s="5">
        <v>7.3899999999999997</v>
      </c>
      <c r="F15" s="5">
        <v>5.5599999999999996</v>
      </c>
      <c r="G15" s="5">
        <v>177.43000000000001</v>
      </c>
      <c r="H15" s="13">
        <v>239.38999999999999</v>
      </c>
    </row>
    <row r="16" s="6" customFormat="1" ht="16.5">
      <c r="B16" s="6" t="s">
        <v>142</v>
      </c>
      <c r="C16" s="6">
        <f>SUM(C11:C15)</f>
        <v>155.41</v>
      </c>
      <c r="D16" s="6">
        <f>SUM(D11:D15)</f>
        <v>192.75</v>
      </c>
      <c r="E16" s="6">
        <f>SUM(E11:E15)</f>
        <v>7.3899999999999997</v>
      </c>
      <c r="F16" s="6">
        <f>SUM(F11:F15)</f>
        <v>-4.5000000000000009</v>
      </c>
      <c r="G16" s="6">
        <f>SUM(G11:G15)</f>
        <v>327.31000000000006</v>
      </c>
      <c r="H16" s="14">
        <f>SUM(H11:H15)</f>
        <v>524.82999999999993</v>
      </c>
      <c r="I16" s="6"/>
    </row>
    <row r="17" ht="14.25">
      <c r="C17" s="5"/>
      <c r="D17" s="5"/>
      <c r="E17" s="5"/>
      <c r="H17" s="13"/>
    </row>
    <row r="18" ht="16.5">
      <c r="B18" s="5" t="s">
        <v>143</v>
      </c>
      <c r="C18" s="5">
        <f>C9-C16</f>
        <v>193.84</v>
      </c>
      <c r="D18" s="5">
        <f>D9-D16</f>
        <v>118.06</v>
      </c>
      <c r="E18" s="5">
        <f>E9-E16</f>
        <v>176.87000000000003</v>
      </c>
      <c r="F18" s="5">
        <f>F9-F16</f>
        <v>49.340000000000011</v>
      </c>
      <c r="G18" s="5">
        <f>G9-G16</f>
        <v>1527.3699999999999</v>
      </c>
      <c r="H18" s="13">
        <v>1554.0899999999999</v>
      </c>
    </row>
    <row r="19" ht="16.5">
      <c r="B19" s="5" t="s">
        <v>144</v>
      </c>
      <c r="C19" s="5">
        <v>0</v>
      </c>
      <c r="D19" s="5">
        <v>0</v>
      </c>
      <c r="E19" s="5">
        <v>0</v>
      </c>
      <c r="F19" s="5">
        <v>0</v>
      </c>
      <c r="G19" s="5">
        <v>428.51999999999998</v>
      </c>
      <c r="H19" s="13">
        <v>392.81999999999999</v>
      </c>
    </row>
    <row r="20" ht="16.5">
      <c r="B20" s="5" t="s">
        <v>145</v>
      </c>
      <c r="C20" s="5">
        <f>C18+C19</f>
        <v>193.84</v>
      </c>
      <c r="D20" s="5">
        <f>D18+D19</f>
        <v>118.06</v>
      </c>
      <c r="E20" s="5">
        <f>E18+E19</f>
        <v>176.87000000000003</v>
      </c>
      <c r="F20" s="5">
        <f>F18+F19</f>
        <v>49.340000000000011</v>
      </c>
      <c r="G20" s="5">
        <f>G18+G19</f>
        <v>1955.8899999999999</v>
      </c>
      <c r="H20" s="13">
        <f>H18+H19</f>
        <v>1946.9099999999999</v>
      </c>
    </row>
    <row r="21" ht="14.25">
      <c r="C21" s="5"/>
      <c r="D21" s="5"/>
      <c r="E21" s="5"/>
      <c r="H21" s="13"/>
    </row>
    <row r="22" ht="16.5">
      <c r="B22" s="5" t="s">
        <v>146</v>
      </c>
      <c r="C22" s="5">
        <f>12.9+0-49.01</f>
        <v>-36.109999999999999</v>
      </c>
      <c r="D22" s="5">
        <f>3.4+0.31-8.71</f>
        <v>-5.0000000000000009</v>
      </c>
      <c r="E22" s="5">
        <f>-10.2+0+1.37</f>
        <v>-8.8299999999999983</v>
      </c>
      <c r="F22" s="5">
        <f>-8.7-9.39</f>
        <v>-18.09</v>
      </c>
      <c r="G22" s="5">
        <f>-333.2-18.14</f>
        <v>-351.33999999999997</v>
      </c>
      <c r="H22" s="13">
        <f>-269.92-64.4</f>
        <v>-334.32000000000005</v>
      </c>
    </row>
    <row r="23" s="6" customFormat="1" ht="16.5">
      <c r="B23" s="6" t="s">
        <v>147</v>
      </c>
      <c r="C23" s="6">
        <f>C20-C22</f>
        <v>229.94999999999999</v>
      </c>
      <c r="D23" s="6">
        <f>D20-D22</f>
        <v>123.06</v>
      </c>
      <c r="E23" s="6">
        <f>E20+E22</f>
        <v>168.04000000000002</v>
      </c>
      <c r="F23" s="6">
        <f>F20+F22</f>
        <v>31.250000000000011</v>
      </c>
      <c r="G23" s="6">
        <f>G20+G22</f>
        <v>1604.55</v>
      </c>
      <c r="H23" s="14">
        <f>H20+H22</f>
        <v>1612.5899999999997</v>
      </c>
      <c r="I23" s="6"/>
    </row>
    <row r="24" ht="16.5">
      <c r="A24" s="5" t="s">
        <v>148</v>
      </c>
      <c r="B24" s="5" t="s">
        <v>149</v>
      </c>
      <c r="C24" s="5">
        <v>0</v>
      </c>
      <c r="D24" s="5">
        <v>0</v>
      </c>
      <c r="E24" s="5">
        <v>0</v>
      </c>
      <c r="F24" s="5">
        <v>0</v>
      </c>
      <c r="G24" s="5">
        <f>23423.62</f>
        <v>23423.619999999999</v>
      </c>
      <c r="H24" s="13">
        <v>-17263.75</v>
      </c>
    </row>
    <row r="25" s="6" customFormat="1" ht="16.5">
      <c r="B25" s="6" t="s">
        <v>150</v>
      </c>
      <c r="C25" s="6">
        <f>C24+C23</f>
        <v>229.94999999999999</v>
      </c>
      <c r="D25" s="6">
        <f>D24+D23</f>
        <v>123.06</v>
      </c>
      <c r="E25" s="6">
        <f>E24+E23</f>
        <v>168.04000000000002</v>
      </c>
      <c r="F25" s="6">
        <f>F24+F23</f>
        <v>31.250000000000011</v>
      </c>
      <c r="G25" s="6">
        <f>G24+G23</f>
        <v>25028.169999999998</v>
      </c>
      <c r="H25" s="14">
        <f>H24+H23</f>
        <v>-15651.16</v>
      </c>
      <c r="I25" s="6"/>
    </row>
    <row r="26" s="6" customFormat="1" ht="16.5">
      <c r="A26" s="5" t="s">
        <v>151</v>
      </c>
      <c r="B26" s="6" t="s">
        <v>152</v>
      </c>
      <c r="C26" s="6">
        <f>C25</f>
        <v>229.94999999999999</v>
      </c>
      <c r="D26" s="6">
        <f>D25</f>
        <v>123.06</v>
      </c>
      <c r="E26" s="6">
        <f>E25</f>
        <v>168.04000000000002</v>
      </c>
      <c r="F26" s="6">
        <f>F25</f>
        <v>31.250000000000011</v>
      </c>
      <c r="G26" s="6">
        <f>G23</f>
        <v>1604.55</v>
      </c>
      <c r="H26" s="14">
        <f>H23</f>
        <v>1612.5899999999997</v>
      </c>
      <c r="I26" s="6"/>
    </row>
    <row r="27" s="6" customFormat="1" ht="14.25">
      <c r="B27" s="6"/>
      <c r="C27" s="6"/>
      <c r="D27" s="6"/>
      <c r="E27" s="6"/>
      <c r="F27" s="6"/>
      <c r="G27" s="6"/>
      <c r="H27" s="14"/>
      <c r="I27" s="6"/>
    </row>
    <row r="28" s="6" customFormat="1" ht="16.5">
      <c r="B28" s="6" t="s">
        <v>153</v>
      </c>
      <c r="C28" s="6"/>
      <c r="D28" s="6">
        <v>2.02</v>
      </c>
      <c r="E28" s="6"/>
      <c r="F28" s="6"/>
      <c r="G28" s="6">
        <v>6353.2799999999997</v>
      </c>
      <c r="H28" s="14">
        <v>6353.1400000000003</v>
      </c>
      <c r="I28" s="6"/>
    </row>
    <row r="29" s="6" customFormat="1" ht="16.5">
      <c r="B29" s="6" t="s">
        <v>22</v>
      </c>
      <c r="C29" s="6"/>
      <c r="D29" s="6">
        <f>892.96+881.17</f>
        <v>1774.1300000000001</v>
      </c>
      <c r="E29" s="6"/>
      <c r="F29" s="6"/>
      <c r="G29" s="6"/>
      <c r="H29" s="14"/>
      <c r="I29" s="6"/>
    </row>
    <row r="30" ht="14.25">
      <c r="C30" s="5"/>
      <c r="D30" s="5"/>
      <c r="E30" s="5"/>
      <c r="F30" s="5"/>
      <c r="G30" s="5"/>
      <c r="H30" s="13"/>
      <c r="I30" s="5"/>
    </row>
    <row r="31" ht="16.5">
      <c r="B31" s="5" t="s">
        <v>154</v>
      </c>
      <c r="C31" s="15">
        <v>5168355</v>
      </c>
      <c r="D31" s="15">
        <v>5168355</v>
      </c>
      <c r="E31" s="15">
        <v>5168355</v>
      </c>
      <c r="F31" s="15">
        <v>5168355</v>
      </c>
      <c r="G31" s="15">
        <v>6353284188</v>
      </c>
      <c r="H31" s="16">
        <v>6353284188</v>
      </c>
    </row>
    <row r="32" ht="16.5">
      <c r="B32" s="5" t="s">
        <v>155</v>
      </c>
      <c r="C32" s="11">
        <f>C25*10000000/C31</f>
        <v>444.91912803977283</v>
      </c>
      <c r="D32" s="11">
        <f>D25*10000000/D31</f>
        <v>238.10283929799715</v>
      </c>
      <c r="E32" s="11">
        <f>E25*10000000/E31</f>
        <v>325.13246477844501</v>
      </c>
      <c r="F32" s="11">
        <f>F25*10000000/F31</f>
        <v>60.464112856024812</v>
      </c>
      <c r="G32" s="11">
        <f>G26*10000000/G31</f>
        <v>2.5255441949703008</v>
      </c>
      <c r="H32" s="17">
        <f>H26*10000000/H31</f>
        <v>2.5381990672569605</v>
      </c>
      <c r="L32" s="5"/>
    </row>
    <row r="33" ht="14.25">
      <c r="B33" s="5"/>
      <c r="C33" s="5"/>
      <c r="D33" s="5"/>
      <c r="F33" s="5"/>
      <c r="G33" s="5"/>
      <c r="H33" s="13"/>
    </row>
    <row r="34" ht="16.5">
      <c r="B34" s="5" t="s">
        <v>156</v>
      </c>
      <c r="C34" s="5"/>
      <c r="D34" s="18">
        <f>D11/D3</f>
        <v>0.37458499898367092</v>
      </c>
      <c r="E34" s="5"/>
      <c r="F34" s="18">
        <f>F11/F3</f>
        <v>0</v>
      </c>
      <c r="G34" s="18">
        <f>G11/G3</f>
        <v>0.010951862989741292</v>
      </c>
      <c r="H34" s="19">
        <f>H11/H3</f>
        <v>0.008973291262477567</v>
      </c>
    </row>
    <row r="35" ht="16.5">
      <c r="B35" s="5" t="s">
        <v>157</v>
      </c>
      <c r="C35" s="5"/>
      <c r="D35" s="18">
        <f>D26/(D29+D28)</f>
        <v>0.069284688793176244</v>
      </c>
      <c r="E35" s="5"/>
      <c r="F35" s="18"/>
      <c r="G35" s="18"/>
      <c r="H35" s="19"/>
    </row>
    <row r="36" ht="16.5">
      <c r="B36" s="5" t="s">
        <v>158</v>
      </c>
      <c r="C36" s="5"/>
      <c r="D36" s="18">
        <f>D23/C23</f>
        <v>0.53515981735159823</v>
      </c>
      <c r="E36" s="5"/>
      <c r="F36" s="5"/>
      <c r="G36" s="18">
        <f>G23/F23</f>
        <v>51.345599999999983</v>
      </c>
      <c r="H36" s="19">
        <f>H23/G23</f>
        <v>1.0050107506777599</v>
      </c>
    </row>
    <row r="37" ht="16.5">
      <c r="B37" s="5" t="s">
        <v>159</v>
      </c>
      <c r="C37" s="5"/>
      <c r="D37" s="18">
        <f>D16/100</f>
        <v>1.9275</v>
      </c>
      <c r="E37" s="5"/>
      <c r="F37" s="5"/>
      <c r="G37" s="18">
        <f>G16/100</f>
        <v>3.2731000000000008</v>
      </c>
      <c r="H37" s="19">
        <f>H16/100</f>
        <v>5.2482999999999995</v>
      </c>
    </row>
    <row r="38" ht="16.5">
      <c r="B38" s="5" t="s">
        <v>160</v>
      </c>
      <c r="C38" s="5"/>
      <c r="D38" s="18">
        <f>D9/C9</f>
        <v>0.88993557623478881</v>
      </c>
      <c r="E38" s="5"/>
      <c r="F38" s="5"/>
      <c r="G38" s="18">
        <f>G9/F9</f>
        <v>41.362176628010694</v>
      </c>
      <c r="H38" s="18">
        <f>H9/G9</f>
        <v>1.120904953954321</v>
      </c>
    </row>
    <row r="40" s="20" customFormat="1" ht="16.5">
      <c r="A40" s="21" t="s">
        <v>161</v>
      </c>
      <c r="B40" s="22" t="s">
        <v>162</v>
      </c>
      <c r="C40" s="20"/>
      <c r="D40" s="20"/>
      <c r="E40" s="20"/>
      <c r="F40" s="20"/>
      <c r="G40" s="20"/>
      <c r="H40" s="20"/>
    </row>
    <row r="41" ht="13.800000000000001" customHeight="1"/>
    <row r="42" ht="16.5">
      <c r="B42" s="5" t="s">
        <v>129</v>
      </c>
      <c r="G42" s="5"/>
      <c r="H42" s="5">
        <v>117.13</v>
      </c>
    </row>
    <row r="43" ht="16.5">
      <c r="B43" s="5" t="s">
        <v>130</v>
      </c>
      <c r="H43" s="5">
        <v>235.03</v>
      </c>
    </row>
    <row r="44" ht="16.5">
      <c r="A44" s="5"/>
      <c r="B44" s="5" t="s">
        <v>131</v>
      </c>
      <c r="H44" s="5">
        <v>6.4000000000000004</v>
      </c>
    </row>
    <row r="45" ht="16.5">
      <c r="B45" s="5" t="s">
        <v>133</v>
      </c>
      <c r="H45" s="5">
        <v>447</v>
      </c>
    </row>
    <row r="46" ht="16.5">
      <c r="B46" s="5" t="s">
        <v>163</v>
      </c>
      <c r="H46" s="5">
        <v>0</v>
      </c>
    </row>
    <row r="47" ht="16.5">
      <c r="B47" s="5" t="s">
        <v>164</v>
      </c>
      <c r="H47" s="5">
        <v>0</v>
      </c>
    </row>
    <row r="48" ht="16.5">
      <c r="B48" s="5" t="s">
        <v>165</v>
      </c>
      <c r="H48" s="5">
        <v>0</v>
      </c>
    </row>
    <row r="49" ht="16.5">
      <c r="A49" s="5"/>
      <c r="B49" s="6" t="s">
        <v>134</v>
      </c>
      <c r="H49" s="5">
        <f>SUM(H42:H48)</f>
        <v>805.55999999999995</v>
      </c>
    </row>
    <row r="50" ht="16.5">
      <c r="B50" s="5" t="s">
        <v>135</v>
      </c>
      <c r="H50" s="5">
        <v>33.719999999999999</v>
      </c>
    </row>
    <row r="51" ht="16.5">
      <c r="B51" s="6" t="s">
        <v>136</v>
      </c>
      <c r="H51" s="5">
        <f>H49+H50</f>
        <v>839.27999999999997</v>
      </c>
    </row>
    <row r="52" ht="14.25">
      <c r="B52" s="5"/>
    </row>
    <row r="53" ht="16.5">
      <c r="B53" s="5" t="s">
        <v>137</v>
      </c>
      <c r="H53" s="5">
        <v>0</v>
      </c>
    </row>
    <row r="54" ht="16.5">
      <c r="B54" s="5" t="s">
        <v>138</v>
      </c>
      <c r="H54" s="5">
        <v>6.5499999999999998</v>
      </c>
    </row>
    <row r="55" ht="16.5">
      <c r="B55" s="5" t="s">
        <v>139</v>
      </c>
      <c r="H55" s="5">
        <v>83.409999999999997</v>
      </c>
    </row>
    <row r="56" ht="16.5">
      <c r="B56" s="5" t="s">
        <v>140</v>
      </c>
      <c r="H56" s="5">
        <v>12.359999999999999</v>
      </c>
    </row>
    <row r="57" ht="16.5">
      <c r="B57" s="5" t="s">
        <v>141</v>
      </c>
      <c r="H57" s="5">
        <v>83.469999999999999</v>
      </c>
    </row>
    <row r="58" ht="16.5">
      <c r="B58" s="6" t="s">
        <v>142</v>
      </c>
      <c r="H58" s="5">
        <f>SUM(H53:H57)</f>
        <v>185.78999999999999</v>
      </c>
    </row>
    <row r="59" ht="14.25">
      <c r="B59" s="5"/>
    </row>
    <row r="60" ht="16.5">
      <c r="B60" s="5" t="s">
        <v>143</v>
      </c>
      <c r="H60" s="5">
        <f>H51-H58</f>
        <v>653.49000000000001</v>
      </c>
    </row>
    <row r="61" ht="16.5">
      <c r="B61" s="5" t="s">
        <v>144</v>
      </c>
      <c r="H61" s="5">
        <v>0</v>
      </c>
    </row>
    <row r="62" ht="16.5">
      <c r="B62" s="5" t="s">
        <v>145</v>
      </c>
      <c r="H62" s="5">
        <f>H60-H61</f>
        <v>653.49000000000001</v>
      </c>
    </row>
    <row r="63" ht="14.25">
      <c r="B63" s="5"/>
    </row>
    <row r="64" ht="16.5">
      <c r="B64" s="5" t="s">
        <v>146</v>
      </c>
      <c r="H64" s="5">
        <f>-44.8-59.68</f>
        <v>-104.47999999999999</v>
      </c>
    </row>
    <row r="65" ht="14.25">
      <c r="B65" s="6" t="s">
        <v>147</v>
      </c>
      <c r="H65" s="5">
        <f>H62+H64</f>
        <v>549.00999999999999</v>
      </c>
    </row>
    <row r="66" ht="14.25">
      <c r="B66" s="5" t="s">
        <v>149</v>
      </c>
      <c r="H66" s="5">
        <v>0</v>
      </c>
    </row>
    <row r="67" ht="14.25">
      <c r="B67" s="6" t="s">
        <v>150</v>
      </c>
      <c r="H67" s="5">
        <f>H65+H66</f>
        <v>549.00999999999999</v>
      </c>
    </row>
    <row r="68" ht="14.25">
      <c r="B68" s="6" t="s">
        <v>152</v>
      </c>
      <c r="H68" s="5">
        <f>H67</f>
        <v>549.00999999999999</v>
      </c>
    </row>
    <row r="70" ht="14.25">
      <c r="B70" s="5" t="s">
        <v>155</v>
      </c>
      <c r="H70" s="23">
        <f>H68*10000000/H89</f>
        <v>0.86415536254513503</v>
      </c>
    </row>
    <row r="71" ht="14.25">
      <c r="B71" s="5"/>
    </row>
    <row r="86" ht="14.25">
      <c r="A86" s="5" t="s">
        <v>166</v>
      </c>
      <c r="B86" s="5"/>
    </row>
    <row r="87" ht="14.25">
      <c r="B87" s="5" t="s">
        <v>167</v>
      </c>
      <c r="H87" s="5">
        <v>6353.1400000000003</v>
      </c>
    </row>
    <row r="88" ht="14.25">
      <c r="B88" s="5" t="s">
        <v>168</v>
      </c>
      <c r="H88" s="5">
        <v>10</v>
      </c>
    </row>
    <row r="89" ht="14.25">
      <c r="B89" s="5" t="s">
        <v>169</v>
      </c>
      <c r="H89" s="5">
        <f>H87/H88*10000000</f>
        <v>6353140000.000001</v>
      </c>
    </row>
  </sheetData>
  <hyperlinks>
    <hyperlink r:id="rId1" ref="D1"/>
    <hyperlink r:id="rId2" ref="H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5" width="9.140625"/>
  </cols>
  <sheetData>
    <row r="3">
      <c r="B3" s="6" t="s">
        <v>170</v>
      </c>
    </row>
    <row r="5">
      <c r="B5" s="5" t="s">
        <v>171</v>
      </c>
    </row>
    <row r="6">
      <c r="B6" s="5" t="s">
        <v>172</v>
      </c>
    </row>
    <row r="7">
      <c r="B7" s="5" t="s">
        <v>173</v>
      </c>
    </row>
    <row r="8">
      <c r="B8" s="5" t="s">
        <v>174</v>
      </c>
    </row>
    <row r="9">
      <c r="B9" s="5" t="s">
        <v>175</v>
      </c>
    </row>
    <row r="10">
      <c r="B10" s="5" t="s">
        <v>176</v>
      </c>
      <c r="D10" s="5" t="s">
        <v>177</v>
      </c>
    </row>
    <row r="11">
      <c r="B11" s="5" t="s">
        <v>178</v>
      </c>
    </row>
    <row r="12">
      <c r="B12" s="5" t="s">
        <v>179</v>
      </c>
    </row>
    <row r="13">
      <c r="B13" s="5" t="s">
        <v>180</v>
      </c>
    </row>
    <row r="17">
      <c r="C17" s="5" t="s">
        <v>181</v>
      </c>
    </row>
    <row r="20">
      <c r="B20" s="5"/>
      <c r="C20" s="5" t="s">
        <v>182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5" width="16.140625"/>
    <col customWidth="1" min="2" max="2" style="5" width="21.7109375"/>
    <col customWidth="1" min="3" max="16384" style="5" width="16.140625"/>
  </cols>
  <sheetData>
    <row r="1" ht="16.5">
      <c r="A1" s="6" t="s">
        <v>112</v>
      </c>
      <c r="B1" s="6" t="s">
        <v>183</v>
      </c>
    </row>
    <row r="2" s="6" customFormat="1" ht="16.5">
      <c r="B2" s="6"/>
      <c r="C2" s="6" t="s">
        <v>184</v>
      </c>
      <c r="D2" s="6" t="s">
        <v>118</v>
      </c>
      <c r="E2" s="6" t="s">
        <v>119</v>
      </c>
      <c r="F2" s="6" t="s">
        <v>120</v>
      </c>
      <c r="G2" s="6" t="s">
        <v>121</v>
      </c>
      <c r="H2" s="6" t="s">
        <v>122</v>
      </c>
      <c r="I2" s="6" t="s">
        <v>123</v>
      </c>
    </row>
    <row r="3" ht="16.5">
      <c r="B3" s="5" t="s">
        <v>129</v>
      </c>
      <c r="C3" s="5">
        <v>6576.2200000000003</v>
      </c>
      <c r="D3" s="5">
        <v>8124.6499999999996</v>
      </c>
      <c r="E3" s="5">
        <v>9224.7700000000004</v>
      </c>
      <c r="F3" s="5">
        <v>9567.3500000000004</v>
      </c>
      <c r="G3" s="5">
        <v>12082.58</v>
      </c>
      <c r="H3" s="5">
        <v>17627.110000000001</v>
      </c>
    </row>
    <row r="4" ht="16.5">
      <c r="B4" s="5" t="s">
        <v>185</v>
      </c>
      <c r="C4" s="5">
        <v>86.700000000000003</v>
      </c>
      <c r="D4" s="5">
        <v>247.27000000000001</v>
      </c>
      <c r="E4" s="5">
        <v>0</v>
      </c>
      <c r="F4" s="5">
        <v>0</v>
      </c>
      <c r="G4" s="5">
        <v>0</v>
      </c>
      <c r="H4" s="5">
        <v>0</v>
      </c>
    </row>
    <row r="5" ht="16.5">
      <c r="B5" s="5" t="s">
        <v>186</v>
      </c>
      <c r="C5" s="5">
        <v>237.00999999999999</v>
      </c>
      <c r="D5" s="5">
        <v>248.69999999999999</v>
      </c>
      <c r="E5" s="5">
        <v>269.38999999999999</v>
      </c>
      <c r="F5" s="5">
        <v>472.54000000000002</v>
      </c>
      <c r="G5" s="5">
        <v>650.70000000000005</v>
      </c>
      <c r="H5" s="5">
        <v>1342.1199999999999</v>
      </c>
    </row>
    <row r="6" ht="16.5">
      <c r="B6" s="5" t="s">
        <v>187</v>
      </c>
      <c r="C6" s="5">
        <v>63.340000000000003</v>
      </c>
      <c r="D6" s="5">
        <v>15.69</v>
      </c>
      <c r="E6" s="5">
        <v>4.8700000000000001</v>
      </c>
      <c r="F6" s="5">
        <v>16.109999999999999</v>
      </c>
      <c r="G6" s="5">
        <v>69.730000000000004</v>
      </c>
      <c r="H6" s="5">
        <v>145.97999999999999</v>
      </c>
    </row>
    <row r="7" ht="16.5">
      <c r="B7" s="5" t="s">
        <v>188</v>
      </c>
      <c r="C7" s="5">
        <v>124.34999999999999</v>
      </c>
      <c r="D7" s="5">
        <v>75.700000000000003</v>
      </c>
      <c r="E7" s="5">
        <v>80.370000000000005</v>
      </c>
      <c r="F7" s="5">
        <v>84.75</v>
      </c>
      <c r="G7" s="5">
        <v>81.090000000000003</v>
      </c>
      <c r="H7" s="5">
        <v>24.41</v>
      </c>
    </row>
    <row r="8" s="6" customFormat="1" ht="16.5">
      <c r="B8" s="6" t="s">
        <v>189</v>
      </c>
      <c r="C8" s="6">
        <f>SUM(C3:C7)</f>
        <v>7087.6200000000008</v>
      </c>
      <c r="D8" s="6">
        <f>SUM(D3:D7)</f>
        <v>8712.010000000002</v>
      </c>
      <c r="E8" s="6">
        <f>SUM(E3:E7)</f>
        <v>9579.4000000000015</v>
      </c>
      <c r="F8" s="6">
        <f>SUM(F3:F7)</f>
        <v>10140.750000000002</v>
      </c>
      <c r="G8" s="6">
        <f>SUM(G3:G7)</f>
        <v>12884.1</v>
      </c>
      <c r="H8" s="6">
        <f>SUM(H3:H7)</f>
        <v>19139.619999999999</v>
      </c>
    </row>
    <row r="9" ht="16.5">
      <c r="B9" s="5" t="s">
        <v>190</v>
      </c>
      <c r="C9" s="5">
        <v>21.210000000000001</v>
      </c>
      <c r="D9" s="5">
        <v>0.62</v>
      </c>
      <c r="E9" s="5">
        <v>60.32</v>
      </c>
      <c r="F9" s="5">
        <v>91.060000000000002</v>
      </c>
      <c r="G9" s="5">
        <v>221.49000000000001</v>
      </c>
      <c r="H9" s="5">
        <v>280.25</v>
      </c>
    </row>
    <row r="10" ht="16.5">
      <c r="B10" s="5" t="s">
        <v>150</v>
      </c>
      <c r="C10" s="5">
        <f>C8+C9</f>
        <v>7108.8300000000008</v>
      </c>
      <c r="D10" s="5">
        <f>D8+D9</f>
        <v>8712.6300000000028</v>
      </c>
      <c r="E10" s="5">
        <f>E8+E9</f>
        <v>9639.7200000000012</v>
      </c>
      <c r="F10" s="5">
        <f>F8+F9</f>
        <v>10231.810000000001</v>
      </c>
      <c r="G10" s="5">
        <f>G8+G9</f>
        <v>13105.59</v>
      </c>
      <c r="H10" s="5">
        <f>H8+H9</f>
        <v>19419.869999999999</v>
      </c>
    </row>
    <row r="11" ht="16.5">
      <c r="A11" s="5" t="s">
        <v>191</v>
      </c>
      <c r="B11" s="5" t="s">
        <v>192</v>
      </c>
      <c r="D11" s="5"/>
      <c r="E11" s="5"/>
      <c r="F11" s="5"/>
      <c r="G11" s="5"/>
      <c r="H11" s="5"/>
    </row>
    <row r="12" ht="16.5">
      <c r="A12" s="5"/>
      <c r="B12" s="5" t="s">
        <v>193</v>
      </c>
      <c r="D12" s="5"/>
      <c r="E12" s="5"/>
      <c r="F12" s="5"/>
      <c r="G12" s="5"/>
      <c r="H12" s="5"/>
    </row>
    <row r="13">
      <c r="B13" s="5"/>
      <c r="C13" s="5"/>
      <c r="D13" s="5"/>
      <c r="E13" s="5"/>
      <c r="F13" s="5"/>
      <c r="G13" s="5"/>
      <c r="H13" s="5"/>
    </row>
    <row r="14" ht="16.5">
      <c r="B14" s="5" t="s">
        <v>194</v>
      </c>
      <c r="C14" s="5">
        <v>3588.1399999999999</v>
      </c>
      <c r="D14" s="5">
        <v>4591.6999999999998</v>
      </c>
      <c r="E14" s="5">
        <v>4575.54</v>
      </c>
      <c r="F14" s="5">
        <v>4297.6599999999999</v>
      </c>
      <c r="G14" s="5">
        <v>5748.0299999999997</v>
      </c>
      <c r="H14" s="5">
        <v>9230.75</v>
      </c>
    </row>
    <row r="15" ht="16.5">
      <c r="B15" s="5" t="s">
        <v>195</v>
      </c>
      <c r="C15" s="5">
        <v>311.33999999999997</v>
      </c>
      <c r="D15" s="5">
        <v>897.35000000000002</v>
      </c>
      <c r="E15" s="5">
        <v>1378.05</v>
      </c>
      <c r="F15" s="5">
        <v>880.34000000000003</v>
      </c>
      <c r="G15" s="5">
        <v>849.71000000000004</v>
      </c>
      <c r="H15" s="5">
        <v>1317.5999999999999</v>
      </c>
    </row>
    <row r="16" ht="16.5">
      <c r="B16" s="5" t="s">
        <v>139</v>
      </c>
      <c r="C16" s="5">
        <v>604.67999999999995</v>
      </c>
      <c r="D16" s="5">
        <v>700.32000000000005</v>
      </c>
      <c r="E16" s="5">
        <v>791.00999999999999</v>
      </c>
      <c r="F16" s="5">
        <v>957.20000000000005</v>
      </c>
      <c r="G16" s="5">
        <v>1360.3699999999999</v>
      </c>
      <c r="H16" s="5">
        <v>2478.5999999999999</v>
      </c>
    </row>
    <row r="17" ht="16.5">
      <c r="B17" s="5" t="s">
        <v>140</v>
      </c>
      <c r="C17" s="5">
        <v>56.990000000000002</v>
      </c>
      <c r="D17" s="5">
        <v>111.25</v>
      </c>
      <c r="E17" s="5">
        <v>102.3</v>
      </c>
      <c r="F17" s="5">
        <v>100.63</v>
      </c>
      <c r="G17" s="5">
        <v>121.09</v>
      </c>
      <c r="H17" s="5">
        <v>198.06</v>
      </c>
    </row>
    <row r="18" ht="16.5">
      <c r="B18" s="5" t="s">
        <v>196</v>
      </c>
      <c r="C18" s="5">
        <v>716.14999999999998</v>
      </c>
      <c r="D18" s="5">
        <v>823.78999999999996</v>
      </c>
      <c r="E18" s="5">
        <v>744.91999999999996</v>
      </c>
      <c r="F18" s="5">
        <v>1088.3800000000001</v>
      </c>
      <c r="G18" s="5">
        <v>1411.8</v>
      </c>
      <c r="H18" s="5">
        <v>1589.55</v>
      </c>
    </row>
    <row r="19" s="6" customFormat="1" ht="16.5">
      <c r="B19" s="6" t="s">
        <v>197</v>
      </c>
      <c r="C19" s="6">
        <f>SUM(C14:C18)</f>
        <v>5277.2999999999993</v>
      </c>
      <c r="D19" s="6">
        <f>SUM(D14:D18)</f>
        <v>7124.4099999999999</v>
      </c>
      <c r="E19" s="6">
        <f>SUM(E14:E18)</f>
        <v>7591.8200000000006</v>
      </c>
      <c r="F19" s="6">
        <f>SUM(F14:F18)</f>
        <v>7324.21</v>
      </c>
      <c r="G19" s="6">
        <f>SUM(G14:G18)</f>
        <v>9491</v>
      </c>
      <c r="H19" s="6">
        <f>SUM(H14:H18)</f>
        <v>14814.559999999999</v>
      </c>
    </row>
    <row r="20" ht="16.5">
      <c r="B20" s="5" t="s">
        <v>145</v>
      </c>
      <c r="C20" s="5">
        <f>C10-C19</f>
        <v>1831.5300000000016</v>
      </c>
      <c r="D20" s="5">
        <f>D10-D19</f>
        <v>1588.220000000003</v>
      </c>
      <c r="E20" s="5">
        <f>E10-E19</f>
        <v>2047.9000000000005</v>
      </c>
      <c r="F20" s="5">
        <f>F10-F19</f>
        <v>2907.6000000000013</v>
      </c>
      <c r="G20" s="5">
        <f>G10-G19</f>
        <v>3614.5900000000001</v>
      </c>
      <c r="H20" s="5">
        <f>H10-H19</f>
        <v>4605.3099999999995</v>
      </c>
    </row>
    <row r="21" ht="16.5">
      <c r="B21" s="5" t="s">
        <v>198</v>
      </c>
      <c r="C21" s="5">
        <f>-634.59</f>
        <v>-634.59000000000003</v>
      </c>
      <c r="D21" s="5">
        <v>-534.08000000000004</v>
      </c>
      <c r="E21" s="5">
        <f>-526.51</f>
        <v>-526.50999999999999</v>
      </c>
      <c r="F21" s="5">
        <f>-748.71</f>
        <v>-748.71000000000004</v>
      </c>
      <c r="G21" s="5">
        <f>-937.92</f>
        <v>-937.91999999999996</v>
      </c>
      <c r="H21" s="5">
        <f>-1194.57</f>
        <v>-1194.5699999999999</v>
      </c>
    </row>
    <row r="22" ht="16.5">
      <c r="B22" s="5" t="s">
        <v>147</v>
      </c>
      <c r="C22" s="5">
        <f>C20+C21</f>
        <v>1196.9400000000014</v>
      </c>
      <c r="D22" s="5">
        <f>D20+D21</f>
        <v>1054.1400000000031</v>
      </c>
      <c r="E22" s="5">
        <f>E20+E21</f>
        <v>1521.3900000000006</v>
      </c>
      <c r="F22" s="5">
        <f>F20+F21</f>
        <v>2158.8900000000012</v>
      </c>
      <c r="G22" s="5">
        <f>G20+G21</f>
        <v>2676.6700000000001</v>
      </c>
      <c r="H22" s="5">
        <f>H20+H21</f>
        <v>3410.7399999999998</v>
      </c>
    </row>
    <row r="23" ht="16.5">
      <c r="B23" s="5" t="s">
        <v>199</v>
      </c>
      <c r="C23" s="5">
        <v>-0.34999999999999998</v>
      </c>
      <c r="D23" s="5">
        <v>-0.41999999999999998</v>
      </c>
      <c r="E23" s="5">
        <v>-0.53000000000000003</v>
      </c>
      <c r="F23" s="5">
        <f>-0.96-4.42</f>
        <v>-5.3799999999999999</v>
      </c>
      <c r="G23" s="5">
        <f>-2.82-9</f>
        <v>-11.82</v>
      </c>
      <c r="H23" s="5">
        <f>-2.97+12.29</f>
        <v>9.3199999999999985</v>
      </c>
    </row>
    <row r="24" ht="16.5">
      <c r="B24" s="5" t="s">
        <v>200</v>
      </c>
      <c r="C24" s="5">
        <f>C22+C23</f>
        <v>1196.5900000000015</v>
      </c>
      <c r="D24" s="5">
        <f>D22+D23</f>
        <v>1053.720000000003</v>
      </c>
      <c r="E24" s="5">
        <f>E22+E23</f>
        <v>1520.8600000000006</v>
      </c>
      <c r="F24" s="5">
        <f>F22+F23</f>
        <v>2153.5100000000011</v>
      </c>
      <c r="G24" s="5">
        <f>G22+G23</f>
        <v>2664.8499999999999</v>
      </c>
      <c r="H24" s="5">
        <f>H22+H23</f>
        <v>3420.0599999999999</v>
      </c>
    </row>
    <row r="25" ht="16.5">
      <c r="B25" s="5" t="s">
        <v>201</v>
      </c>
      <c r="C25" s="5">
        <v>-2.1099999999999999</v>
      </c>
      <c r="D25" s="5">
        <v>-69.739999999999995</v>
      </c>
      <c r="E25" s="5">
        <v>1491.6099999999999</v>
      </c>
      <c r="F25" s="5">
        <v>2289.7800000000002</v>
      </c>
      <c r="G25" s="5">
        <v>2688.73</v>
      </c>
      <c r="H25" s="5">
        <v>-70.739999999999995</v>
      </c>
    </row>
    <row r="26" ht="16.5">
      <c r="B26" s="5" t="s">
        <v>202</v>
      </c>
      <c r="C26" s="5">
        <f>1198.06</f>
        <v>1198.0599999999999</v>
      </c>
      <c r="D26" s="5">
        <f>D24</f>
        <v>1053.720000000003</v>
      </c>
      <c r="E26" s="5">
        <f>E24</f>
        <v>1520.8600000000006</v>
      </c>
      <c r="F26" s="5">
        <f>F24</f>
        <v>2153.5100000000011</v>
      </c>
      <c r="G26" s="5">
        <f>G24</f>
        <v>2664.8499999999999</v>
      </c>
      <c r="H26" s="5">
        <f>H24</f>
        <v>3420.0599999999999</v>
      </c>
    </row>
    <row r="27" ht="16.5">
      <c r="A27" s="5"/>
      <c r="B27" s="5" t="s">
        <v>203</v>
      </c>
      <c r="C27" s="5"/>
      <c r="D27" s="5"/>
      <c r="E27" s="5">
        <v>1491.6099999999999</v>
      </c>
      <c r="F27" s="5">
        <v>2289.7800000000002</v>
      </c>
      <c r="G27" s="5">
        <f>2664.85+23.88+2688.73</f>
        <v>5377.46</v>
      </c>
      <c r="H27" s="5">
        <f>3420.06+3349.32-70.74</f>
        <v>6698.6400000000003</v>
      </c>
    </row>
    <row r="28">
      <c r="B28" s="5"/>
      <c r="C28" s="5"/>
      <c r="D28" s="5"/>
      <c r="E28" s="5"/>
      <c r="F28" s="5"/>
      <c r="G28" s="5"/>
      <c r="H28" s="5"/>
    </row>
    <row r="29" ht="16.5">
      <c r="B29" s="5" t="s">
        <v>204</v>
      </c>
      <c r="C29" s="5">
        <v>781731200</v>
      </c>
      <c r="D29" s="5">
        <v>787182549</v>
      </c>
      <c r="E29" s="5">
        <v>787182549</v>
      </c>
      <c r="F29" s="5">
        <v>787182549</v>
      </c>
      <c r="G29" s="5">
        <v>787182549</v>
      </c>
      <c r="H29" s="5">
        <v>787182549</v>
      </c>
    </row>
    <row r="30" ht="16.5">
      <c r="B30" s="5" t="s">
        <v>205</v>
      </c>
      <c r="C30" s="5">
        <v>15.31</v>
      </c>
      <c r="D30" s="5">
        <v>13.390000000000001</v>
      </c>
      <c r="E30" s="5">
        <v>18.550000000000001</v>
      </c>
      <c r="F30" s="5">
        <v>18.550000000000001</v>
      </c>
      <c r="G30" s="5">
        <v>18.550000000000001</v>
      </c>
      <c r="H30" s="5">
        <v>18.550000000000001</v>
      </c>
    </row>
    <row r="31" ht="16.5">
      <c r="B31" s="5" t="s">
        <v>206</v>
      </c>
      <c r="C31" s="24">
        <f>C26*10000000/C29</f>
        <v>15.325728332193982</v>
      </c>
      <c r="D31" s="24">
        <f>D26*10000000/D29</f>
        <v>13.385967477792791</v>
      </c>
      <c r="E31" s="24">
        <f>E26*10000000/E29</f>
        <v>19.320296187104631</v>
      </c>
      <c r="F31" s="24">
        <f>F26*10000000/F29</f>
        <v>27.357186750846036</v>
      </c>
      <c r="G31" s="24">
        <f>G26*10000000/G29</f>
        <v>33.853011647492707</v>
      </c>
      <c r="H31" s="24">
        <f>H26*10000000/H29</f>
        <v>43.44684729539145</v>
      </c>
    </row>
    <row r="32" ht="16.5">
      <c r="A32" s="5" t="s">
        <v>207</v>
      </c>
      <c r="C32" s="5"/>
      <c r="D32" s="5"/>
      <c r="E32" s="5"/>
      <c r="F32" s="5"/>
      <c r="G32" s="5"/>
      <c r="H32" s="5"/>
    </row>
    <row r="33" s="6" customFormat="1" ht="16.5">
      <c r="A33" s="6" t="s">
        <v>208</v>
      </c>
      <c r="B33" s="6" t="s">
        <v>209</v>
      </c>
      <c r="C33" s="25">
        <f>C14/C8</f>
        <v>0.50625456782389566</v>
      </c>
      <c r="D33" s="25">
        <f>D14/D8</f>
        <v>0.52705403230712533</v>
      </c>
      <c r="E33" s="25">
        <f>E14/E8</f>
        <v>0.47764369375952559</v>
      </c>
      <c r="F33" s="25">
        <f>F14/F8</f>
        <v>0.42380100091216122</v>
      </c>
      <c r="G33" s="25">
        <f>G14/G8</f>
        <v>0.44613360653829137</v>
      </c>
      <c r="H33" s="25">
        <f>H14/H8</f>
        <v>0.48228491474752377</v>
      </c>
    </row>
    <row r="34" ht="16.5">
      <c r="A34" s="5" t="s">
        <v>210</v>
      </c>
      <c r="G34" s="5"/>
      <c r="H34" s="5"/>
    </row>
    <row r="35" ht="16.5">
      <c r="B35" s="5" t="s">
        <v>211</v>
      </c>
      <c r="C35" s="18">
        <f>D26/C26-1</f>
        <v>-0.12047810627180355</v>
      </c>
      <c r="D35" s="18">
        <f>E26/D26-1</f>
        <v>0.44332460236115501</v>
      </c>
      <c r="E35" s="18">
        <f>F26/E26-1</f>
        <v>0.41598174716936498</v>
      </c>
      <c r="F35" s="18">
        <f>G26/F26-1</f>
        <v>0.23744491551002711</v>
      </c>
      <c r="G35" s="18">
        <f>H26/G26-1</f>
        <v>0.28339681407959172</v>
      </c>
      <c r="H35" s="18">
        <f>I26/H26-1</f>
        <v>-1</v>
      </c>
    </row>
    <row r="36" ht="16.5">
      <c r="B36" s="5" t="s">
        <v>212</v>
      </c>
      <c r="C36" s="18">
        <f t="shared" ref="C36:C37" si="0">D16/C16-1%</f>
        <v>1.1481663028378648</v>
      </c>
      <c r="D36" s="18">
        <f t="shared" ref="D36:D37" si="1">E16/D16-1%</f>
        <v>1.1194979437971213</v>
      </c>
      <c r="E36" s="18">
        <f t="shared" ref="E36:E37" si="2">F16/E16-1%</f>
        <v>1.2000984816879685</v>
      </c>
      <c r="F36" s="18">
        <f t="shared" ref="F36:F37" si="3">G16/F16-1%</f>
        <v>1.411197241955704</v>
      </c>
      <c r="G36" s="18">
        <f t="shared" ref="G36:G37" si="4">H16/G16-1%</f>
        <v>1.8120043076515948</v>
      </c>
      <c r="H36" s="18">
        <f t="shared" ref="H36:H37" si="5">I16/H16-1%</f>
        <v>-0.01</v>
      </c>
    </row>
    <row r="37" ht="16.5">
      <c r="B37" s="5" t="s">
        <v>213</v>
      </c>
      <c r="C37" s="18">
        <f t="shared" si="0"/>
        <v>1.9420968590980874</v>
      </c>
      <c r="D37" s="18">
        <f t="shared" si="1"/>
        <v>0.90955056179775273</v>
      </c>
      <c r="E37" s="18">
        <f t="shared" si="2"/>
        <v>0.97367546432062557</v>
      </c>
      <c r="F37" s="18">
        <f t="shared" si="3"/>
        <v>1.1933190897346717</v>
      </c>
      <c r="G37" s="18">
        <f t="shared" si="4"/>
        <v>1.6256429102320589</v>
      </c>
      <c r="H37" s="18">
        <f t="shared" si="5"/>
        <v>-0.01</v>
      </c>
    </row>
    <row r="38" ht="16.5">
      <c r="B38" s="5" t="s">
        <v>214</v>
      </c>
      <c r="C38" s="18">
        <f>D21/C21-1</f>
        <v>-0.15838572936856865</v>
      </c>
      <c r="D38" s="18">
        <f>E21/D21-1</f>
        <v>-0.014173906530856928</v>
      </c>
      <c r="E38" s="18">
        <f>F21/E21-1</f>
        <v>0.42202427304324708</v>
      </c>
      <c r="F38" s="18">
        <f>G21/F21-1</f>
        <v>0.25271466923107733</v>
      </c>
      <c r="G38" s="18">
        <f>H21/G21-1</f>
        <v>0.27363741044012291</v>
      </c>
      <c r="H38" s="18">
        <f>I21/H21-1</f>
        <v>-1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5" width="11.00390625"/>
    <col customWidth="1" min="2" max="2" style="5" width="23.57421875"/>
    <col customWidth="1" min="3" max="3" style="5" width="20.140625"/>
    <col customWidth="1" min="4" max="4" style="5" width="18.00390625"/>
    <col min="5" max="6" style="5" width="9.140625"/>
    <col customWidth="1" min="7" max="7" style="5" width="22.8515625"/>
    <col customWidth="1" min="8" max="8" style="5" width="29.57421875"/>
    <col customWidth="1" min="9" max="9" style="5" width="13.57421875"/>
    <col min="10" max="16384" style="5" width="9.140625"/>
  </cols>
  <sheetData>
    <row r="1" ht="16.5">
      <c r="A1" s="5" t="s">
        <v>215</v>
      </c>
    </row>
    <row r="2" ht="16.5">
      <c r="A2" s="5" t="s">
        <v>216</v>
      </c>
    </row>
    <row r="3">
      <c r="A3" s="5"/>
    </row>
    <row r="4" ht="16.5">
      <c r="A4" s="6" t="s">
        <v>217</v>
      </c>
    </row>
    <row r="5" ht="16.5">
      <c r="A5" s="5" t="s">
        <v>218</v>
      </c>
      <c r="B5" s="5"/>
      <c r="G5" s="5" t="s">
        <v>80</v>
      </c>
      <c r="H5" s="5">
        <v>2088.9000000000001</v>
      </c>
    </row>
    <row r="6" ht="16.5">
      <c r="G6" s="5" t="s">
        <v>219</v>
      </c>
      <c r="H6" s="5">
        <v>401461676</v>
      </c>
    </row>
    <row r="7" ht="16.5">
      <c r="A7" s="6"/>
      <c r="B7" s="6" t="s">
        <v>220</v>
      </c>
      <c r="G7" s="5" t="s">
        <v>87</v>
      </c>
      <c r="H7" s="24">
        <f>H5*H6/1000000</f>
        <v>838613.29499640001</v>
      </c>
      <c r="I7" s="5"/>
    </row>
    <row r="8" ht="16.5">
      <c r="A8" s="5"/>
      <c r="G8" s="5" t="s">
        <v>221</v>
      </c>
      <c r="H8" s="5">
        <f>50365.46+93.14</f>
        <v>50458.599999999999</v>
      </c>
    </row>
    <row r="9" ht="16.5">
      <c r="A9" s="5"/>
      <c r="G9" s="5" t="s">
        <v>222</v>
      </c>
      <c r="H9" s="5">
        <f>163714.7+423613.13</f>
        <v>587327.83000000007</v>
      </c>
    </row>
    <row r="10" ht="16.5">
      <c r="A10" s="5"/>
      <c r="G10" s="5" t="s">
        <v>223</v>
      </c>
      <c r="H10" s="24">
        <f>H7+H9-H8</f>
        <v>1375482.5249963999</v>
      </c>
      <c r="I10" s="5"/>
    </row>
    <row r="13" ht="16.5">
      <c r="A13" s="5"/>
    </row>
    <row r="15" ht="14.25">
      <c r="G15" s="5"/>
      <c r="H15" s="5"/>
    </row>
    <row r="16" ht="14.25">
      <c r="G16" s="5"/>
      <c r="H16" s="5"/>
    </row>
    <row r="18" ht="16.5">
      <c r="A18" s="26" t="s">
        <v>224</v>
      </c>
      <c r="B18" s="5"/>
    </row>
    <row r="19" ht="14.25">
      <c r="D19" s="7" t="s">
        <v>225</v>
      </c>
    </row>
    <row r="20" ht="16.5">
      <c r="C20" s="6" t="s">
        <v>122</v>
      </c>
      <c r="D20" s="6" t="s">
        <v>121</v>
      </c>
      <c r="E20" s="5"/>
      <c r="G20" s="5"/>
      <c r="H20" s="5"/>
    </row>
    <row r="21" ht="16.5">
      <c r="B21" s="6" t="s">
        <v>226</v>
      </c>
      <c r="G21" s="6" t="s">
        <v>227</v>
      </c>
      <c r="H21" s="5" t="s">
        <v>228</v>
      </c>
    </row>
    <row r="22" ht="16.5">
      <c r="B22" s="5" t="s">
        <v>229</v>
      </c>
      <c r="C22" s="27">
        <v>60373.449999999997</v>
      </c>
      <c r="D22" s="27">
        <v>77701.830000000002</v>
      </c>
      <c r="G22" s="28" t="s">
        <v>120</v>
      </c>
      <c r="H22" s="28" t="s">
        <v>230</v>
      </c>
      <c r="I22" s="28" t="s">
        <v>231</v>
      </c>
    </row>
    <row r="23" ht="16.5">
      <c r="B23" s="5" t="s">
        <v>232</v>
      </c>
      <c r="C23" s="27">
        <v>2346.5700000000002</v>
      </c>
      <c r="D23" s="27">
        <v>2654.7600000000002</v>
      </c>
      <c r="G23" s="5" t="s">
        <v>233</v>
      </c>
      <c r="H23" s="29">
        <v>599079.01000000001</v>
      </c>
      <c r="I23" s="29">
        <v>599079.01000000001</v>
      </c>
    </row>
    <row r="24" ht="16.5">
      <c r="A24" s="5" t="s">
        <v>234</v>
      </c>
      <c r="B24" s="5" t="s">
        <v>235</v>
      </c>
      <c r="C24" s="27">
        <v>178.36000000000001</v>
      </c>
      <c r="D24" s="27">
        <v>98.950000000000003</v>
      </c>
      <c r="G24" s="5" t="s">
        <v>236</v>
      </c>
      <c r="H24" s="29">
        <v>206.81</v>
      </c>
      <c r="I24" s="29">
        <v>206.81</v>
      </c>
    </row>
    <row r="25" ht="16.5">
      <c r="A25" s="5"/>
      <c r="B25" s="5" t="s">
        <v>237</v>
      </c>
      <c r="C25" s="27">
        <v>0</v>
      </c>
      <c r="D25" s="27">
        <v>0</v>
      </c>
      <c r="G25" s="5" t="s">
        <v>238</v>
      </c>
      <c r="H25" s="29">
        <v>3745.7600000000002</v>
      </c>
      <c r="I25" s="5"/>
    </row>
    <row r="26" ht="16.5">
      <c r="A26" s="5" t="s">
        <v>239</v>
      </c>
      <c r="B26" s="5" t="s">
        <v>240</v>
      </c>
      <c r="C26" s="27">
        <v>881871.70999999996</v>
      </c>
      <c r="D26" s="27">
        <v>705543.83999999997</v>
      </c>
      <c r="G26" s="5" t="s">
        <v>241</v>
      </c>
      <c r="H26" s="29">
        <v>26.379999999999999</v>
      </c>
      <c r="I26" s="29"/>
    </row>
    <row r="27" ht="16.5">
      <c r="A27" s="5" t="s">
        <v>242</v>
      </c>
      <c r="B27" s="5" t="s">
        <v>243</v>
      </c>
      <c r="C27" s="27">
        <v>7124.7200000000003</v>
      </c>
      <c r="D27" s="27">
        <v>5457.1199999999999</v>
      </c>
      <c r="G27" s="5" t="s">
        <v>244</v>
      </c>
      <c r="H27" s="29">
        <v>9202.5699999999997</v>
      </c>
      <c r="I27" s="29">
        <v>9202.5699999999997</v>
      </c>
    </row>
    <row r="28" ht="16.5">
      <c r="B28" s="5" t="s">
        <v>245</v>
      </c>
      <c r="C28" s="27">
        <v>4136.1199999999999</v>
      </c>
      <c r="D28" s="27">
        <v>3453</v>
      </c>
      <c r="G28" s="5" t="s">
        <v>246</v>
      </c>
      <c r="H28" s="29">
        <v>1.0600000000000001</v>
      </c>
      <c r="I28" s="29"/>
    </row>
    <row r="29" ht="16.5">
      <c r="C29" s="27"/>
      <c r="D29" s="27"/>
      <c r="G29" s="5" t="s">
        <v>247</v>
      </c>
      <c r="H29" s="29">
        <v>371.29000000000002</v>
      </c>
      <c r="I29" s="29">
        <v>371.29000000000002</v>
      </c>
    </row>
    <row r="30" ht="16.5">
      <c r="B30" s="5" t="s">
        <v>248</v>
      </c>
      <c r="C30" s="27">
        <v>724.86000000000001</v>
      </c>
      <c r="D30" s="27">
        <v>474.56999999999999</v>
      </c>
      <c r="G30" s="5" t="s">
        <v>249</v>
      </c>
      <c r="H30" s="29">
        <v>27.059999999999999</v>
      </c>
      <c r="I30" s="29"/>
    </row>
    <row r="31" ht="16.5">
      <c r="B31" s="5" t="s">
        <v>250</v>
      </c>
      <c r="C31" s="27">
        <v>975.77999999999997</v>
      </c>
      <c r="D31" s="27">
        <v>640.98000000000002</v>
      </c>
      <c r="G31" s="5" t="s">
        <v>251</v>
      </c>
      <c r="H31" s="29">
        <v>1058.5699999999999</v>
      </c>
      <c r="I31" s="5">
        <v>31.75</v>
      </c>
    </row>
    <row r="32" ht="16.5">
      <c r="B32" s="5" t="s">
        <v>252</v>
      </c>
      <c r="C32" s="27">
        <v>91.069999999999993</v>
      </c>
      <c r="D32" s="27">
        <v>82.019999999999996</v>
      </c>
      <c r="G32" s="5" t="s">
        <v>253</v>
      </c>
      <c r="H32" s="29">
        <v>1868.26</v>
      </c>
      <c r="I32" s="29">
        <v>1868.26</v>
      </c>
    </row>
    <row r="33" ht="16.5">
      <c r="B33" s="5" t="s">
        <v>254</v>
      </c>
      <c r="C33" s="27">
        <v>4255.2399999999998</v>
      </c>
      <c r="D33" s="27">
        <v>3272.3699999999999</v>
      </c>
      <c r="F33" s="5" t="s">
        <v>255</v>
      </c>
      <c r="G33" s="5" t="s">
        <v>256</v>
      </c>
      <c r="H33" s="29">
        <v>37963.510000000002</v>
      </c>
      <c r="I33" s="29">
        <v>12.06</v>
      </c>
    </row>
    <row r="34" ht="16.5">
      <c r="B34" s="5" t="s">
        <v>257</v>
      </c>
      <c r="C34" s="27">
        <v>111.11</v>
      </c>
      <c r="D34" s="27">
        <v>142.22999999999999</v>
      </c>
      <c r="G34" s="5" t="s">
        <v>258</v>
      </c>
      <c r="H34" s="29">
        <v>1894.0899999999999</v>
      </c>
      <c r="I34" s="29"/>
    </row>
    <row r="35" ht="16.5">
      <c r="B35" s="5" t="s">
        <v>259</v>
      </c>
      <c r="C35" s="27">
        <v>883.15999999999997</v>
      </c>
      <c r="D35" s="27">
        <v>674.26999999999998</v>
      </c>
    </row>
    <row r="36" ht="16.5">
      <c r="B36" s="5" t="s">
        <v>260</v>
      </c>
      <c r="C36" s="27">
        <v>299.95999999999998</v>
      </c>
      <c r="D36" s="27">
        <v>299.95999999999998</v>
      </c>
    </row>
    <row r="37" ht="16.5">
      <c r="B37" s="5" t="s">
        <v>261</v>
      </c>
      <c r="C37" s="27">
        <v>58.350000000000001</v>
      </c>
      <c r="D37" s="27">
        <v>58.850000000000001</v>
      </c>
    </row>
    <row r="38" ht="16.5">
      <c r="B38" s="5" t="s">
        <v>262</v>
      </c>
      <c r="C38" s="27">
        <v>3.6499999999999999</v>
      </c>
      <c r="D38" s="27">
        <v>0.44</v>
      </c>
    </row>
    <row r="39" ht="16.5">
      <c r="A39" s="5" t="s">
        <v>263</v>
      </c>
      <c r="B39" s="5" t="s">
        <v>264</v>
      </c>
      <c r="C39" s="27">
        <v>1260.0899999999999</v>
      </c>
      <c r="D39" s="27">
        <v>934.00999999999999</v>
      </c>
    </row>
    <row r="40" ht="14.25">
      <c r="C40" s="27"/>
      <c r="D40" s="27"/>
    </row>
    <row r="41" s="6" customFormat="1" ht="16.5">
      <c r="A41" s="6"/>
      <c r="B41" s="6" t="s">
        <v>265</v>
      </c>
      <c r="C41" s="30">
        <f>SUM(C22:C39)</f>
        <v>964694.19999999984</v>
      </c>
      <c r="D41" s="30">
        <f>SUM(D22:D39)</f>
        <v>801489.19999999984</v>
      </c>
      <c r="E41" s="6"/>
      <c r="G41" s="6"/>
      <c r="H41" s="6"/>
    </row>
    <row r="43" ht="16.5">
      <c r="A43" s="5" t="s">
        <v>266</v>
      </c>
      <c r="B43" s="5" t="s">
        <v>267</v>
      </c>
    </row>
    <row r="44" ht="16.5">
      <c r="B44" s="5" t="s">
        <v>268</v>
      </c>
    </row>
    <row r="47" ht="16.5">
      <c r="B47" s="6" t="s">
        <v>269</v>
      </c>
    </row>
    <row r="48" ht="16.5">
      <c r="A48" s="5" t="s">
        <v>270</v>
      </c>
      <c r="B48" s="5" t="s">
        <v>271</v>
      </c>
      <c r="C48" s="5">
        <v>138.86000000000001</v>
      </c>
      <c r="D48" s="5">
        <v>1921.73</v>
      </c>
    </row>
    <row r="49" ht="16.5">
      <c r="A49" s="5" t="s">
        <v>272</v>
      </c>
      <c r="B49" s="5" t="s">
        <v>273</v>
      </c>
      <c r="C49" s="5">
        <f>7.68+1381.23</f>
        <v>1388.9100000000001</v>
      </c>
      <c r="D49" s="5">
        <f>7.2+871.23</f>
        <v>878.43000000000006</v>
      </c>
    </row>
    <row r="50" ht="16.5">
      <c r="B50" s="5" t="s">
        <v>274</v>
      </c>
      <c r="C50" s="5">
        <f>1280.7</f>
        <v>1280.7</v>
      </c>
      <c r="D50" s="5">
        <f>871.23</f>
        <v>871.23000000000002</v>
      </c>
    </row>
    <row r="51" ht="16.5">
      <c r="A51" s="5"/>
      <c r="B51" s="5" t="s">
        <v>275</v>
      </c>
      <c r="C51" s="5">
        <v>174762.20000000001</v>
      </c>
      <c r="D51" s="5">
        <v>146045.79000000001</v>
      </c>
    </row>
    <row r="52" ht="16.5">
      <c r="B52" s="5" t="s">
        <v>276</v>
      </c>
      <c r="C52" s="5">
        <v>500519.53000000003</v>
      </c>
      <c r="D52" s="5">
        <v>405974.58000000002</v>
      </c>
    </row>
    <row r="53" ht="16.5">
      <c r="B53" s="5" t="s">
        <v>277</v>
      </c>
      <c r="C53" s="5">
        <v>4018.2600000000002</v>
      </c>
      <c r="D53" s="5">
        <v>3314.7600000000002</v>
      </c>
    </row>
    <row r="54" ht="16.5">
      <c r="B54" s="5" t="s">
        <v>278</v>
      </c>
      <c r="C54" s="5">
        <v>3309.73</v>
      </c>
      <c r="D54" s="5">
        <v>2546.5500000000002</v>
      </c>
    </row>
    <row r="55" ht="16.5">
      <c r="B55" s="5" t="s">
        <v>279</v>
      </c>
      <c r="C55" s="5">
        <v>125.91</v>
      </c>
      <c r="D55" s="5">
        <v>155.56999999999999</v>
      </c>
    </row>
    <row r="56" ht="16.5">
      <c r="B56" s="5" t="s">
        <v>280</v>
      </c>
      <c r="C56" s="5">
        <v>16014.9</v>
      </c>
      <c r="D56" s="5">
        <v>12638.76</v>
      </c>
    </row>
    <row r="58" ht="16.5">
      <c r="B58" s="5" t="s">
        <v>281</v>
      </c>
      <c r="C58" s="5">
        <v>551.67999999999995</v>
      </c>
      <c r="D58" s="5">
        <v>811.91999999999996</v>
      </c>
    </row>
    <row r="59" ht="16.5">
      <c r="B59" s="5" t="s">
        <v>282</v>
      </c>
      <c r="C59" s="5">
        <v>3733.27</v>
      </c>
      <c r="D59" s="5">
        <v>3618.9200000000001</v>
      </c>
    </row>
    <row r="60" ht="16.5">
      <c r="B60" s="5" t="s">
        <v>283</v>
      </c>
      <c r="C60" s="5">
        <v>167.62</v>
      </c>
      <c r="D60" s="5">
        <v>152.86000000000001</v>
      </c>
    </row>
    <row r="61" ht="16.5">
      <c r="B61" s="5" t="s">
        <v>284</v>
      </c>
      <c r="C61" s="5">
        <v>11142.16</v>
      </c>
      <c r="D61" s="5">
        <v>781.58000000000004</v>
      </c>
    </row>
    <row r="62" s="6" customFormat="1" ht="16.5">
      <c r="A62" s="6"/>
      <c r="B62" s="6" t="s">
        <v>285</v>
      </c>
      <c r="C62" s="6">
        <f>SUM(C48:C61)</f>
        <v>717153.73000000021</v>
      </c>
      <c r="D62" s="6">
        <f>SUM(D48:D61)</f>
        <v>579712.68000000005</v>
      </c>
      <c r="G62" s="6"/>
      <c r="H62" s="6"/>
    </row>
    <row r="63" ht="16.5">
      <c r="B63" s="5"/>
    </row>
    <row r="64" ht="14.25">
      <c r="B64" s="5"/>
      <c r="C64" s="5"/>
      <c r="D64" s="5"/>
    </row>
    <row r="65" ht="16.5">
      <c r="B65" s="6" t="s">
        <v>286</v>
      </c>
      <c r="C65" s="5"/>
      <c r="D65" s="5"/>
    </row>
    <row r="66" ht="14.25">
      <c r="A66" s="5" t="s">
        <v>287</v>
      </c>
      <c r="B66" s="5" t="s">
        <v>153</v>
      </c>
      <c r="C66" s="5">
        <v>4014.6199999999999</v>
      </c>
      <c r="D66" s="5">
        <v>4014.48</v>
      </c>
      <c r="J66" s="5"/>
    </row>
    <row r="67" ht="14.25">
      <c r="B67" s="5" t="s">
        <v>22</v>
      </c>
      <c r="C67" s="5">
        <v>247057.45000000001</v>
      </c>
      <c r="D67" s="5">
        <v>212643.04000000001</v>
      </c>
    </row>
    <row r="68" s="6" customFormat="1" ht="14.25">
      <c r="A68" s="6"/>
      <c r="B68" s="6" t="s">
        <v>288</v>
      </c>
      <c r="C68" s="6">
        <f>SUM(C66:C67)</f>
        <v>251072.07000000001</v>
      </c>
      <c r="D68" s="6">
        <f>SUM(D66:D67)</f>
        <v>216657.52000000002</v>
      </c>
      <c r="G68" s="6"/>
      <c r="H68" s="6"/>
      <c r="J68" s="6"/>
    </row>
    <row r="70" s="6" customFormat="1" ht="14.25">
      <c r="A70" s="6"/>
      <c r="B70" s="6" t="s">
        <v>289</v>
      </c>
      <c r="C70" s="6">
        <f>C68+C62</f>
        <v>968225.80000000028</v>
      </c>
      <c r="D70" s="6">
        <f>D68+D62</f>
        <v>796370.20000000007</v>
      </c>
      <c r="G70" s="6"/>
      <c r="H70" s="6"/>
    </row>
    <row r="71" ht="14.25">
      <c r="B71" s="5"/>
      <c r="C71" s="5"/>
      <c r="D71" s="5"/>
    </row>
    <row r="72" ht="14.25">
      <c r="C72" s="5"/>
      <c r="D72" s="5"/>
    </row>
    <row r="73" ht="14.25">
      <c r="B73" s="5"/>
    </row>
  </sheetData>
  <hyperlinks>
    <hyperlink r:id="rId1" ref="D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5" width="20.7109375"/>
    <col customWidth="1" min="2" max="2" style="5" width="27.28125"/>
    <col customWidth="1" min="3" max="16384" style="5" width="25.7109375"/>
  </cols>
  <sheetData>
    <row r="1" ht="16.5">
      <c r="A1" s="5" t="s">
        <v>112</v>
      </c>
      <c r="B1" s="5" t="s">
        <v>290</v>
      </c>
    </row>
    <row r="2" ht="16.5">
      <c r="C2" s="7" t="s">
        <v>225</v>
      </c>
      <c r="E2" s="7" t="s">
        <v>291</v>
      </c>
      <c r="G2" s="7" t="s">
        <v>292</v>
      </c>
      <c r="K2" s="6" t="s">
        <v>293</v>
      </c>
    </row>
    <row r="3" s="6" customFormat="1" ht="16.5">
      <c r="B3" s="6" t="s">
        <v>112</v>
      </c>
      <c r="C3" s="6" t="s">
        <v>122</v>
      </c>
      <c r="D3" s="6" t="s">
        <v>121</v>
      </c>
      <c r="E3" s="6" t="s">
        <v>120</v>
      </c>
      <c r="F3" s="6" t="s">
        <v>294</v>
      </c>
      <c r="G3" s="6" t="s">
        <v>118</v>
      </c>
      <c r="H3" s="6" t="s">
        <v>184</v>
      </c>
      <c r="I3" s="6" t="s">
        <v>295</v>
      </c>
      <c r="J3" s="6" t="s">
        <v>296</v>
      </c>
      <c r="K3" s="6" t="str">
        <f>C3</f>
        <v>FY24</v>
      </c>
      <c r="L3" s="6">
        <v>2025</v>
      </c>
      <c r="M3" s="6">
        <f>L3+1</f>
        <v>2026</v>
      </c>
      <c r="N3" s="6">
        <f>M3+1</f>
        <v>2027</v>
      </c>
      <c r="O3" s="6">
        <f>N3+1</f>
        <v>2028</v>
      </c>
      <c r="P3" s="6">
        <f>O3+1</f>
        <v>2029</v>
      </c>
      <c r="Q3" s="6">
        <f>P3+1</f>
        <v>2030</v>
      </c>
      <c r="R3" s="6">
        <f>Q3+1</f>
        <v>2031</v>
      </c>
      <c r="S3" s="6">
        <f>R3+1</f>
        <v>2032</v>
      </c>
      <c r="T3" s="6">
        <f>S3+1</f>
        <v>2033</v>
      </c>
      <c r="U3" s="6">
        <f>T3+1</f>
        <v>2034</v>
      </c>
      <c r="V3" s="6">
        <f>U3+1</f>
        <v>2035</v>
      </c>
      <c r="W3" s="6">
        <f>V3+1</f>
        <v>2036</v>
      </c>
      <c r="X3" s="6">
        <f>W3+1</f>
        <v>2037</v>
      </c>
      <c r="Y3" s="6">
        <f>X3+1</f>
        <v>2038</v>
      </c>
      <c r="Z3" s="6">
        <f>Y3+1</f>
        <v>2039</v>
      </c>
      <c r="AA3" s="6">
        <f>Z3+1</f>
        <v>2040</v>
      </c>
      <c r="AB3" s="6">
        <f>AA3+1</f>
        <v>2041</v>
      </c>
      <c r="AC3" s="6">
        <f>AB3+1</f>
        <v>2042</v>
      </c>
      <c r="AD3" s="6">
        <f>AC3+1</f>
        <v>2043</v>
      </c>
      <c r="AE3" s="6">
        <f>AD3+1</f>
        <v>2044</v>
      </c>
      <c r="AF3" s="6">
        <f>AE3+1</f>
        <v>2045</v>
      </c>
      <c r="AG3" s="6">
        <f>AF3+1</f>
        <v>2046</v>
      </c>
      <c r="AH3" s="6">
        <f>AG3+1</f>
        <v>2047</v>
      </c>
      <c r="AI3" s="6">
        <f>AH3+1</f>
        <v>2048</v>
      </c>
      <c r="AJ3" s="6">
        <f>AI3+1</f>
        <v>2049</v>
      </c>
      <c r="AK3" s="6">
        <f>AJ3+1</f>
        <v>2050</v>
      </c>
      <c r="AL3" s="6">
        <f>AK3+1</f>
        <v>2051</v>
      </c>
      <c r="AM3" s="6">
        <f>AL3+1</f>
        <v>2052</v>
      </c>
      <c r="AN3" s="6">
        <f>AM3+1</f>
        <v>2053</v>
      </c>
      <c r="AO3" s="6">
        <f>AN3+1</f>
        <v>2054</v>
      </c>
      <c r="AP3" s="6">
        <f>AO3+1</f>
        <v>2055</v>
      </c>
      <c r="AQ3" s="6">
        <f>AP3+1</f>
        <v>2056</v>
      </c>
      <c r="AR3" s="6">
        <f>AQ3+1</f>
        <v>2057</v>
      </c>
      <c r="AS3" s="6">
        <f>AR3+1</f>
        <v>2058</v>
      </c>
      <c r="AT3" s="6">
        <f>AS3+1</f>
        <v>2059</v>
      </c>
      <c r="AU3" s="6">
        <f>AT3+1</f>
        <v>2060</v>
      </c>
      <c r="AV3" s="6">
        <f>AU3+1</f>
        <v>2061</v>
      </c>
      <c r="AW3" s="6">
        <f>AV3+1</f>
        <v>2062</v>
      </c>
      <c r="AX3" s="6">
        <f>AW3+1</f>
        <v>2063</v>
      </c>
      <c r="AY3" s="6">
        <f>AX3+1</f>
        <v>2064</v>
      </c>
      <c r="AZ3" s="6">
        <f>AY3+1</f>
        <v>2065</v>
      </c>
      <c r="BA3" s="6">
        <f>AZ3+1</f>
        <v>2066</v>
      </c>
      <c r="BB3" s="6">
        <f>BA3+1</f>
        <v>2067</v>
      </c>
      <c r="BC3" s="6">
        <f>BB3+1</f>
        <v>2068</v>
      </c>
      <c r="BD3" s="6">
        <f>BC3+1</f>
        <v>2069</v>
      </c>
      <c r="BE3" s="6">
        <f>BD3+1</f>
        <v>2070</v>
      </c>
      <c r="BF3" s="6">
        <f>BE3+1</f>
        <v>2071</v>
      </c>
      <c r="BG3" s="6">
        <f>BF3+1</f>
        <v>2072</v>
      </c>
      <c r="BH3" s="6">
        <f>BG3+1</f>
        <v>2073</v>
      </c>
      <c r="BI3" s="6">
        <f>BH3+1</f>
        <v>2074</v>
      </c>
      <c r="BJ3" s="6">
        <f>BI3+1</f>
        <v>2075</v>
      </c>
      <c r="BK3" s="6">
        <f>BJ3+1</f>
        <v>2076</v>
      </c>
      <c r="BL3" s="6">
        <f>BK3+1</f>
        <v>2077</v>
      </c>
      <c r="BM3" s="6">
        <f>BL3+1</f>
        <v>2078</v>
      </c>
      <c r="BN3" s="6">
        <f>BM3+1</f>
        <v>2079</v>
      </c>
      <c r="BO3" s="6">
        <f>BN3+1</f>
        <v>2080</v>
      </c>
      <c r="BP3" s="6">
        <f>BO3+1</f>
        <v>2081</v>
      </c>
      <c r="BQ3" s="6">
        <f>BP3+1</f>
        <v>2082</v>
      </c>
      <c r="BR3" s="6">
        <f>BQ3+1</f>
        <v>2083</v>
      </c>
      <c r="BS3" s="6">
        <f>BR3+1</f>
        <v>2084</v>
      </c>
      <c r="BT3" s="6">
        <f>BS3+1</f>
        <v>2085</v>
      </c>
      <c r="BU3" s="6">
        <f>BT3+1</f>
        <v>2086</v>
      </c>
      <c r="BV3" s="6">
        <f>BU3+1</f>
        <v>2087</v>
      </c>
      <c r="BW3" s="6">
        <f>BV3+1</f>
        <v>2088</v>
      </c>
      <c r="BX3" s="6">
        <f>BW3+1</f>
        <v>2089</v>
      </c>
      <c r="BY3" s="6">
        <f>BX3+1</f>
        <v>2090</v>
      </c>
      <c r="BZ3" s="6">
        <f>BY3+1</f>
        <v>2091</v>
      </c>
      <c r="CA3" s="6">
        <f>BZ3+1</f>
        <v>2092</v>
      </c>
      <c r="CB3" s="6">
        <f>CA3+1</f>
        <v>2093</v>
      </c>
      <c r="CC3" s="6">
        <f>CB3+1</f>
        <v>2094</v>
      </c>
      <c r="CD3" s="6">
        <f>CC3+1</f>
        <v>2095</v>
      </c>
      <c r="CE3" s="6">
        <f>CD3+1</f>
        <v>2096</v>
      </c>
      <c r="CF3" s="6">
        <f>CE3+1</f>
        <v>2097</v>
      </c>
      <c r="CG3" s="6">
        <f>CF3+1</f>
        <v>2098</v>
      </c>
      <c r="CH3" s="6">
        <f>CG3+1</f>
        <v>2099</v>
      </c>
      <c r="CI3" s="6">
        <f>CH3+1</f>
        <v>2100</v>
      </c>
      <c r="CJ3" s="6">
        <f>CI3+1</f>
        <v>2101</v>
      </c>
    </row>
    <row r="4" ht="14.25">
      <c r="V4" s="13"/>
    </row>
    <row r="5" ht="16.5">
      <c r="B5" s="5" t="s">
        <v>129</v>
      </c>
      <c r="C5" s="31">
        <v>145457.01000000001</v>
      </c>
      <c r="D5" s="27">
        <v>115555.35000000001</v>
      </c>
      <c r="E5" s="27">
        <v>119251.52</v>
      </c>
      <c r="F5" s="27">
        <v>112102.78999999999</v>
      </c>
      <c r="G5" s="27">
        <v>94177.360000000001</v>
      </c>
      <c r="H5" s="27">
        <v>74160.100000000006</v>
      </c>
      <c r="I5" s="13"/>
      <c r="J5" s="13"/>
      <c r="K5" s="31">
        <f t="shared" ref="K5:K9" si="6">C5</f>
        <v>145457.01000000001</v>
      </c>
      <c r="L5" s="9"/>
      <c r="V5" s="13"/>
    </row>
    <row r="6" ht="16.5">
      <c r="A6" s="5" t="s">
        <v>297</v>
      </c>
      <c r="B6" s="5" t="s">
        <v>130</v>
      </c>
      <c r="C6" s="31">
        <v>48.100000000000001</v>
      </c>
      <c r="D6" s="27">
        <v>9.4100000000000001</v>
      </c>
      <c r="E6" s="27">
        <v>0.089999999999999997</v>
      </c>
      <c r="F6" s="27">
        <v>0.13</v>
      </c>
      <c r="G6" s="27">
        <v>9.1899999999999995</v>
      </c>
      <c r="H6" s="27">
        <v>0</v>
      </c>
      <c r="I6" s="13"/>
      <c r="J6" s="13"/>
      <c r="K6" s="31">
        <f t="shared" si="6"/>
        <v>48.100000000000001</v>
      </c>
      <c r="L6" s="9"/>
      <c r="V6" s="13"/>
    </row>
    <row r="7" ht="16.5">
      <c r="B7" s="5" t="s">
        <v>298</v>
      </c>
      <c r="C7" s="31">
        <v>640.05999999999995</v>
      </c>
      <c r="D7" s="27">
        <v>524.13999999999999</v>
      </c>
      <c r="E7" s="27">
        <v>488.74000000000001</v>
      </c>
      <c r="F7" s="27">
        <v>1648.3699999999999</v>
      </c>
      <c r="G7" s="27">
        <v>739.78999999999996</v>
      </c>
      <c r="H7" s="27">
        <v>554.88</v>
      </c>
      <c r="I7" s="13"/>
      <c r="J7" s="13"/>
      <c r="K7" s="31">
        <f t="shared" si="6"/>
        <v>640.05999999999995</v>
      </c>
      <c r="L7" s="9"/>
      <c r="V7" s="13"/>
    </row>
    <row r="8" ht="16.5">
      <c r="B8" s="5" t="s">
        <v>163</v>
      </c>
      <c r="C8" s="31">
        <v>1723.3399999999999</v>
      </c>
      <c r="D8" s="27">
        <v>1403.1199999999999</v>
      </c>
      <c r="E8" s="27">
        <v>847.74000000000001</v>
      </c>
      <c r="F8" s="27">
        <v>487.93000000000001</v>
      </c>
      <c r="G8" s="27">
        <v>779.29999999999995</v>
      </c>
      <c r="H8" s="27">
        <v>118.51000000000001</v>
      </c>
      <c r="I8" s="13"/>
      <c r="J8" s="13"/>
      <c r="K8" s="31">
        <f t="shared" si="6"/>
        <v>1723.3399999999999</v>
      </c>
      <c r="L8" s="9"/>
      <c r="V8" s="13"/>
    </row>
    <row r="9" ht="16.5">
      <c r="A9" s="5" t="s">
        <v>299</v>
      </c>
      <c r="B9" s="5" t="s">
        <v>300</v>
      </c>
      <c r="C9" s="31">
        <v>88.870000000000005</v>
      </c>
      <c r="D9" s="27">
        <v>90.700000000000003</v>
      </c>
      <c r="E9" s="27">
        <v>139.69</v>
      </c>
      <c r="F9" s="27">
        <v>120.33</v>
      </c>
      <c r="G9" s="27">
        <v>191.13999999999999</v>
      </c>
      <c r="H9" s="27">
        <v>229.50999999999999</v>
      </c>
      <c r="I9" s="13"/>
      <c r="J9" s="13"/>
      <c r="K9" s="31">
        <f t="shared" si="6"/>
        <v>88.870000000000005</v>
      </c>
      <c r="L9" s="9"/>
      <c r="V9" s="13"/>
    </row>
    <row r="10" ht="16.5">
      <c r="A10" s="5"/>
      <c r="B10" s="5" t="s">
        <v>301</v>
      </c>
      <c r="C10" s="32">
        <v>2659.1900000000001</v>
      </c>
      <c r="D10" s="27">
        <v>1393.9100000000001</v>
      </c>
      <c r="E10" s="27">
        <v>1121.3099999999999</v>
      </c>
      <c r="F10" s="27">
        <v>986.08000000000004</v>
      </c>
      <c r="G10" s="27">
        <v>943.01999999999998</v>
      </c>
      <c r="H10" s="27">
        <v>881.32000000000005</v>
      </c>
      <c r="I10" s="13"/>
      <c r="J10" s="13"/>
      <c r="K10" s="31">
        <f t="shared" ref="K10:K47" si="7">C10</f>
        <v>2659.1900000000001</v>
      </c>
      <c r="L10" s="9"/>
      <c r="V10" s="13"/>
    </row>
    <row r="11" s="6" customFormat="1" ht="16.5">
      <c r="A11" s="6"/>
      <c r="B11" s="6" t="s">
        <v>302</v>
      </c>
      <c r="C11" s="33">
        <f>SUM(C5:C10)</f>
        <v>150616.57000000001</v>
      </c>
      <c r="D11" s="30">
        <f>SUM(D5:D10)</f>
        <v>118976.63</v>
      </c>
      <c r="E11" s="30">
        <f>SUM(E5:E10)</f>
        <v>121849.09000000001</v>
      </c>
      <c r="F11" s="30">
        <f>SUM(F5:F10)</f>
        <v>115345.62999999999</v>
      </c>
      <c r="G11" s="30">
        <f>SUM(G5:G10)</f>
        <v>96839.800000000003</v>
      </c>
      <c r="H11" s="30">
        <f>SUM(H5:H10)</f>
        <v>75944.320000000007</v>
      </c>
      <c r="I11" s="34">
        <v>66075</v>
      </c>
      <c r="J11" s="34">
        <v>59108</v>
      </c>
      <c r="K11" s="31">
        <f t="shared" si="7"/>
        <v>150616.57000000001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6"/>
    </row>
    <row r="12" s="6" customFormat="1" ht="16.5">
      <c r="A12" s="6"/>
      <c r="B12" s="5" t="s">
        <v>303</v>
      </c>
      <c r="C12" s="33">
        <f>C5+C9+C10</f>
        <v>148205.07000000001</v>
      </c>
      <c r="D12" s="33">
        <f>D5+D9+D10</f>
        <v>117039.96000000001</v>
      </c>
      <c r="E12" s="33">
        <f>E5+E9+E10</f>
        <v>120512.52</v>
      </c>
      <c r="F12" s="33">
        <f>F5+F9+F10</f>
        <v>113209.2</v>
      </c>
      <c r="G12" s="33">
        <f>G5+G9+G10</f>
        <v>95311.520000000004</v>
      </c>
      <c r="H12" s="33">
        <f>H5+H9+H10</f>
        <v>75270.930000000008</v>
      </c>
      <c r="I12" s="34">
        <v>66075</v>
      </c>
      <c r="J12" s="34">
        <v>59108</v>
      </c>
      <c r="K12" s="31">
        <f t="shared" si="7"/>
        <v>148205.07000000001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6"/>
    </row>
    <row r="13" ht="16.5">
      <c r="B13" s="5" t="s">
        <v>135</v>
      </c>
      <c r="C13" s="9">
        <v>1010.85</v>
      </c>
      <c r="D13" s="9">
        <v>773.41999999999996</v>
      </c>
      <c r="E13" s="9">
        <v>525.53999999999996</v>
      </c>
      <c r="F13" s="9">
        <v>356.32999999999998</v>
      </c>
      <c r="G13" s="9">
        <v>232.87</v>
      </c>
      <c r="H13" s="9">
        <v>66.170000000000002</v>
      </c>
      <c r="I13" s="37">
        <v>973.57000000000005</v>
      </c>
      <c r="J13" s="34">
        <v>275.90199999999999</v>
      </c>
      <c r="K13" s="31">
        <f t="shared" si="7"/>
        <v>1010.85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37"/>
    </row>
    <row r="14" s="6" customFormat="1" ht="16.5">
      <c r="A14" s="6"/>
      <c r="B14" s="6" t="s">
        <v>304</v>
      </c>
      <c r="C14" s="35">
        <f>C11+C13</f>
        <v>151627.42000000001</v>
      </c>
      <c r="D14" s="35">
        <f>D11+D13</f>
        <v>119750.05</v>
      </c>
      <c r="E14" s="35">
        <f>E11+E13</f>
        <v>122374.63</v>
      </c>
      <c r="F14" s="35">
        <f>F11+F13</f>
        <v>115701.95999999999</v>
      </c>
      <c r="G14" s="35">
        <f>G11+G13</f>
        <v>97072.669999999998</v>
      </c>
      <c r="H14" s="35">
        <f>H11+H13</f>
        <v>76010.490000000005</v>
      </c>
      <c r="I14" s="36">
        <f>I11+I13</f>
        <v>67048.570000000007</v>
      </c>
      <c r="J14" s="36">
        <f>J11+J13</f>
        <v>59383.902000000002</v>
      </c>
      <c r="K14" s="31">
        <f t="shared" si="7"/>
        <v>151627.42000000001</v>
      </c>
      <c r="L14" s="38">
        <f>K14*1.1</f>
        <v>166790.16200000004</v>
      </c>
      <c r="M14" s="38">
        <f>L14*1.1</f>
        <v>183469.17820000005</v>
      </c>
      <c r="N14" s="38">
        <f>M14*1.1</f>
        <v>201816.09602000008</v>
      </c>
      <c r="O14" s="38">
        <f>N14*1.1</f>
        <v>221997.70562200013</v>
      </c>
      <c r="P14" s="38">
        <f>O14*1.1</f>
        <v>244197.47618420015</v>
      </c>
      <c r="Q14" s="38">
        <f>P14*1.1</f>
        <v>268617.2238026202</v>
      </c>
      <c r="R14" s="35">
        <f>Q14*1.08</f>
        <v>290106.60170682985</v>
      </c>
      <c r="S14" s="35">
        <f>R14*1.08</f>
        <v>313315.12984337629</v>
      </c>
      <c r="T14" s="35">
        <f>S14*1.08</f>
        <v>338380.34023084643</v>
      </c>
      <c r="U14" s="35">
        <f>T14*1.08</f>
        <v>365450.76744931418</v>
      </c>
      <c r="V14" s="36">
        <f>U14*1.08</f>
        <v>394686.82884525933</v>
      </c>
    </row>
    <row r="15" s="6" customFormat="1" ht="16.5">
      <c r="A15" s="6"/>
      <c r="B15" s="6" t="s">
        <v>305</v>
      </c>
      <c r="C15" s="35">
        <f>C64</f>
        <v>682609.71999999997</v>
      </c>
      <c r="D15" s="35">
        <f>D64</f>
        <v>557881.68000000005</v>
      </c>
      <c r="E15" s="35">
        <f>E64</f>
        <v>545526.17999999993</v>
      </c>
      <c r="F15" s="35">
        <f>F64</f>
        <v>409208.94</v>
      </c>
      <c r="G15" s="35">
        <f>G64</f>
        <v>405502.04999999999</v>
      </c>
      <c r="H15" s="35">
        <f>H64</f>
        <v>375613.03000000003</v>
      </c>
      <c r="I15" s="36">
        <f>I64</f>
        <v>307669.04000000004</v>
      </c>
      <c r="J15" s="36">
        <f>J64</f>
        <v>307669.04000000004</v>
      </c>
      <c r="K15" s="31">
        <f t="shared" si="7"/>
        <v>682609.71999999997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6"/>
    </row>
    <row r="16" ht="16.5">
      <c r="C16" s="9"/>
      <c r="D16" s="9"/>
      <c r="E16" s="9"/>
      <c r="F16" s="9"/>
      <c r="G16" s="9"/>
      <c r="H16" s="9"/>
      <c r="I16" s="37"/>
      <c r="J16" s="37"/>
      <c r="K16" s="31">
        <f t="shared" si="7"/>
        <v>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37"/>
    </row>
    <row r="17" ht="16.5">
      <c r="A17" s="5" t="s">
        <v>306</v>
      </c>
      <c r="B17" s="5" t="s">
        <v>307</v>
      </c>
      <c r="C17" s="9">
        <v>54300.779999999999</v>
      </c>
      <c r="D17" s="9">
        <v>42091.779999999999</v>
      </c>
      <c r="E17" s="9">
        <v>42558.519999999997</v>
      </c>
      <c r="F17" s="9">
        <v>40999.290000000001</v>
      </c>
      <c r="G17" s="9">
        <v>31728.400000000001</v>
      </c>
      <c r="H17" s="9">
        <v>25354.650000000001</v>
      </c>
      <c r="I17" s="37">
        <v>21323.75</v>
      </c>
      <c r="J17" s="37">
        <v>23685.924999999999</v>
      </c>
      <c r="K17" s="31">
        <f t="shared" si="7"/>
        <v>54300.779999999999</v>
      </c>
      <c r="L17" s="35">
        <f>L14*0.35</f>
        <v>58376.556700000008</v>
      </c>
      <c r="M17" s="35">
        <f>M14*0.35</f>
        <v>64214.212370000016</v>
      </c>
      <c r="N17" s="35">
        <f>N14*0.35</f>
        <v>70635.633607000025</v>
      </c>
      <c r="O17" s="35">
        <f>O14*0.35</f>
        <v>77699.196967700045</v>
      </c>
      <c r="P17" s="35">
        <f>P14*0.35</f>
        <v>85469.116664470042</v>
      </c>
      <c r="Q17" s="35">
        <f>Q14*0.35</f>
        <v>94016.028330917063</v>
      </c>
      <c r="R17" s="35">
        <f>R14*0.35</f>
        <v>101537.31059739045</v>
      </c>
      <c r="S17" s="35">
        <f>S14*0.35</f>
        <v>109660.29544518169</v>
      </c>
      <c r="T17" s="35">
        <f>T14*0.35</f>
        <v>118433.11908079624</v>
      </c>
      <c r="U17" s="35">
        <f>U14*0.35</f>
        <v>127907.76860725996</v>
      </c>
      <c r="V17" s="36">
        <f>V14*0.35</f>
        <v>138140.39009584076</v>
      </c>
    </row>
    <row r="18" ht="16.5">
      <c r="A18" s="5" t="s">
        <v>308</v>
      </c>
      <c r="B18" s="5" t="s">
        <v>309</v>
      </c>
      <c r="C18" s="9">
        <v>5538.21</v>
      </c>
      <c r="D18" s="9">
        <v>2432.2199999999998</v>
      </c>
      <c r="E18" s="9">
        <f>3835.21+35.19</f>
        <v>3870.4000000000001</v>
      </c>
      <c r="F18" s="9">
        <f>2552.15+32.48</f>
        <v>2584.6300000000001</v>
      </c>
      <c r="G18" s="9">
        <v>1870.8</v>
      </c>
      <c r="H18" s="9">
        <v>678.50999999999999</v>
      </c>
      <c r="I18" s="37">
        <v>0</v>
      </c>
      <c r="J18" s="37">
        <v>0</v>
      </c>
      <c r="K18" s="31">
        <f t="shared" si="7"/>
        <v>5538.21</v>
      </c>
      <c r="L18" s="9">
        <v>2000</v>
      </c>
      <c r="M18" s="9">
        <f>L18*1.06</f>
        <v>2120</v>
      </c>
      <c r="N18" s="9">
        <f>M18*1.06</f>
        <v>2247.2000000000003</v>
      </c>
      <c r="O18" s="9">
        <f>N18*1.06</f>
        <v>2382.0320000000006</v>
      </c>
      <c r="P18" s="9">
        <f>O18*1.06</f>
        <v>2524.9539200000008</v>
      </c>
      <c r="Q18" s="9">
        <f>P18*1.06</f>
        <v>2676.4511552000008</v>
      </c>
      <c r="R18" s="9">
        <f t="shared" ref="R18:R19" si="8">Q18*1.06</f>
        <v>2837.0382245120009</v>
      </c>
      <c r="S18" s="9">
        <f t="shared" ref="S18:S19" si="9">R18*1.06</f>
        <v>3007.260517982721</v>
      </c>
      <c r="T18" s="9">
        <f t="shared" ref="T18:T19" si="10">S18*1.06</f>
        <v>3187.6961490616845</v>
      </c>
      <c r="U18" s="9">
        <f t="shared" ref="U18:U19" si="11">T18*1.06</f>
        <v>3378.9579180053856</v>
      </c>
      <c r="V18" s="37">
        <f t="shared" ref="V18:V19" si="12">U18*1.06</f>
        <v>3581.6953930857089</v>
      </c>
    </row>
    <row r="19" ht="16.5">
      <c r="A19" s="5" t="s">
        <v>310</v>
      </c>
      <c r="B19" s="5" t="s">
        <v>139</v>
      </c>
      <c r="C19" s="9">
        <v>18282.060000000001</v>
      </c>
      <c r="D19" s="9">
        <v>14882.68</v>
      </c>
      <c r="E19" s="9">
        <v>12394.799999999999</v>
      </c>
      <c r="F19" s="9">
        <v>11892.719999999999</v>
      </c>
      <c r="G19" s="9">
        <v>12084.9</v>
      </c>
      <c r="H19" s="9">
        <v>10133.43</v>
      </c>
      <c r="I19" s="37">
        <v>8334.7399999999998</v>
      </c>
      <c r="J19" s="37">
        <v>7603.6199999999999</v>
      </c>
      <c r="K19" s="31">
        <f t="shared" si="7"/>
        <v>18282.060000000001</v>
      </c>
      <c r="L19" s="9">
        <f>K19*1.14</f>
        <v>20841.5484</v>
      </c>
      <c r="M19" s="9">
        <f>L19*1.14</f>
        <v>23759.365175999999</v>
      </c>
      <c r="N19" s="9">
        <f>M19*1.14</f>
        <v>27085.676300639996</v>
      </c>
      <c r="O19" s="9">
        <f>N19*1.14</f>
        <v>30877.670982729593</v>
      </c>
      <c r="P19" s="9">
        <f>O19*1.14</f>
        <v>35200.544920311731</v>
      </c>
      <c r="Q19" s="9">
        <f>P19*1.14</f>
        <v>40128.621209155368</v>
      </c>
      <c r="R19" s="9">
        <f t="shared" si="8"/>
        <v>42536.33848170469</v>
      </c>
      <c r="S19" s="9">
        <f t="shared" si="9"/>
        <v>45088.518790606977</v>
      </c>
      <c r="T19" s="9">
        <f t="shared" si="10"/>
        <v>47793.829918043397</v>
      </c>
      <c r="U19" s="9">
        <f t="shared" si="11"/>
        <v>50661.459713126002</v>
      </c>
      <c r="V19" s="37">
        <f t="shared" si="12"/>
        <v>53701.147295913564</v>
      </c>
    </row>
    <row r="20" ht="16.5">
      <c r="B20" s="5" t="s">
        <v>140</v>
      </c>
      <c r="C20" s="9">
        <v>921.05999999999995</v>
      </c>
      <c r="D20" s="9">
        <v>781.61000000000001</v>
      </c>
      <c r="E20" s="9">
        <v>700.02999999999997</v>
      </c>
      <c r="F20" s="9">
        <v>673.60000000000002</v>
      </c>
      <c r="G20" s="9">
        <v>592.41999999999996</v>
      </c>
      <c r="H20" s="9">
        <v>516.92999999999995</v>
      </c>
      <c r="I20" s="37">
        <v>500.26999999999998</v>
      </c>
      <c r="J20" s="37">
        <v>519.20000000000005</v>
      </c>
      <c r="K20" s="31">
        <f t="shared" si="7"/>
        <v>921.05999999999995</v>
      </c>
      <c r="L20" s="9">
        <f>K20*1.07</f>
        <v>985.53420000000006</v>
      </c>
      <c r="M20" s="9">
        <f>L20*1.07</f>
        <v>1054.5215940000001</v>
      </c>
      <c r="N20" s="9">
        <f>M20*1.07</f>
        <v>1128.33810558</v>
      </c>
      <c r="O20" s="9">
        <f>N20*1.07</f>
        <v>1207.3217729706</v>
      </c>
      <c r="P20" s="9">
        <f>O20*1.07</f>
        <v>1291.834297078542</v>
      </c>
      <c r="Q20" s="9">
        <f>P20*1.07</f>
        <v>1382.26269787404</v>
      </c>
      <c r="R20" s="9">
        <f>Q20*1.07</f>
        <v>1479.0210867252229</v>
      </c>
      <c r="S20" s="9">
        <f>R20*1.07</f>
        <v>1582.5525627959885</v>
      </c>
      <c r="T20" s="9">
        <f>S20*1.07</f>
        <v>1693.3312421917078</v>
      </c>
      <c r="U20" s="9">
        <f>T20*1.07</f>
        <v>1811.8644291451274</v>
      </c>
      <c r="V20" s="37">
        <f>U20*1.07</f>
        <v>1938.6949391852863</v>
      </c>
      <c r="Y20" s="5" t="s">
        <v>311</v>
      </c>
    </row>
    <row r="21" ht="16.5">
      <c r="B21" s="5" t="s">
        <v>196</v>
      </c>
      <c r="C21" s="9">
        <v>12620.27</v>
      </c>
      <c r="D21" s="9">
        <v>10333.959999999999</v>
      </c>
      <c r="E21" s="9">
        <v>8749</v>
      </c>
      <c r="F21" s="9">
        <v>8236.9200000000001</v>
      </c>
      <c r="G21" s="9">
        <v>8192.2399999999998</v>
      </c>
      <c r="H21" s="9">
        <v>6731.6899999999996</v>
      </c>
      <c r="I21" s="37">
        <f>2711+5455</f>
        <v>8166</v>
      </c>
      <c r="J21" s="37">
        <f>5022.81+2966.49</f>
        <v>7989.3000000000002</v>
      </c>
      <c r="K21" s="31">
        <f t="shared" si="7"/>
        <v>12620.27</v>
      </c>
      <c r="L21" s="9">
        <f>L17/(K17/K21)</f>
        <v>13567.538205239576</v>
      </c>
      <c r="M21" s="9">
        <f>M17/(L17/L21)</f>
        <v>14924.292025763536</v>
      </c>
      <c r="N21" s="9">
        <f>N17/(M17/M21)</f>
        <v>16416.721228339891</v>
      </c>
      <c r="O21" s="9">
        <f>O17/(N17/N21)</f>
        <v>18058.393351173883</v>
      </c>
      <c r="P21" s="9">
        <f>P17/(O17/O21)</f>
        <v>19864.232686291271</v>
      </c>
      <c r="Q21" s="9">
        <f>Q17/(P17/P21)</f>
        <v>21850.655954920403</v>
      </c>
      <c r="R21" s="9">
        <f>R17/(Q17/Q21)</f>
        <v>23598.70843131404</v>
      </c>
      <c r="S21" s="9">
        <f>S17/(R17/R21)</f>
        <v>25486.605105819162</v>
      </c>
      <c r="T21" s="9">
        <f>T17/(S17/S21)</f>
        <v>27525.5335142847</v>
      </c>
      <c r="U21" s="9">
        <f>U17/(T17/T21)</f>
        <v>29727.576195427482</v>
      </c>
      <c r="V21" s="37">
        <f>V17/(U17/U21)</f>
        <v>32105.782291061681</v>
      </c>
    </row>
    <row r="22" s="6" customFormat="1" ht="16.5">
      <c r="A22" s="6"/>
      <c r="B22" s="6" t="s">
        <v>312</v>
      </c>
      <c r="C22" s="35">
        <f>SUM(C17:C21)</f>
        <v>91662.380000000005</v>
      </c>
      <c r="D22" s="35">
        <f>SUM(D17:D21)</f>
        <v>70522.25</v>
      </c>
      <c r="E22" s="35">
        <f>SUM(E17:E21)</f>
        <v>68272.75</v>
      </c>
      <c r="F22" s="35">
        <f>SUM(F17:F21)</f>
        <v>64387.159999999996</v>
      </c>
      <c r="G22" s="35">
        <f>SUM(G17:G21)</f>
        <v>54468.760000000002</v>
      </c>
      <c r="H22" s="35">
        <f>SUM(H17:H21)</f>
        <v>43415.209999999999</v>
      </c>
      <c r="I22" s="36">
        <f>SUM(I17:I21)</f>
        <v>38324.759999999995</v>
      </c>
      <c r="J22" s="36">
        <f>SUM(J17:J21)</f>
        <v>39798.044999999998</v>
      </c>
      <c r="K22" s="31">
        <f t="shared" si="7"/>
        <v>91662.380000000005</v>
      </c>
      <c r="L22" s="36">
        <f>SUM(L17:L21)</f>
        <v>95771.177505239582</v>
      </c>
      <c r="M22" s="36">
        <f>SUM(M17:M21)</f>
        <v>106072.39116576356</v>
      </c>
      <c r="N22" s="36">
        <f>SUM(N17:N21)</f>
        <v>117513.56924155992</v>
      </c>
      <c r="O22" s="36">
        <f>SUM(O17:O21)</f>
        <v>130224.61507457413</v>
      </c>
      <c r="P22" s="36">
        <f>SUM(P17:P21)</f>
        <v>144350.68248815159</v>
      </c>
      <c r="Q22" s="36">
        <f>SUM(Q17:Q21)</f>
        <v>160054.01934806688</v>
      </c>
      <c r="R22" s="36">
        <f>SUM(R17:R21)</f>
        <v>171988.41682164639</v>
      </c>
      <c r="S22" s="36">
        <f>SUM(S17:S21)</f>
        <v>184825.23242238653</v>
      </c>
      <c r="T22" s="36">
        <f>SUM(T17:T21)</f>
        <v>198633.50990437774</v>
      </c>
      <c r="U22" s="36">
        <f>SUM(U17:U21)</f>
        <v>213487.62686296395</v>
      </c>
      <c r="V22" s="36">
        <f>SUM(V17:V21)</f>
        <v>229467.71001508701</v>
      </c>
    </row>
    <row r="23" ht="16.5">
      <c r="B23" s="5" t="s">
        <v>145</v>
      </c>
      <c r="C23" s="9">
        <f>C14-C22</f>
        <v>59965.040000000008</v>
      </c>
      <c r="D23" s="9">
        <f>D14-D22</f>
        <v>49227.800000000003</v>
      </c>
      <c r="E23" s="9">
        <f>E14-E22</f>
        <v>54101.880000000005</v>
      </c>
      <c r="F23" s="9">
        <f>F14-F22</f>
        <v>51314.799999999996</v>
      </c>
      <c r="G23" s="9">
        <f>G14-G22</f>
        <v>42603.909999999996</v>
      </c>
      <c r="H23" s="9">
        <f>H14-H22</f>
        <v>32595.280000000006</v>
      </c>
      <c r="I23" s="37">
        <f>I14-I22</f>
        <v>28723.810000000012</v>
      </c>
      <c r="J23" s="37">
        <f>J14-J22</f>
        <v>19585.857000000004</v>
      </c>
      <c r="K23" s="31">
        <f t="shared" si="7"/>
        <v>59965.040000000008</v>
      </c>
      <c r="L23" s="37">
        <f>L14-L22</f>
        <v>71018.984494760458</v>
      </c>
      <c r="M23" s="37">
        <f>M14-M22</f>
        <v>77396.787034236491</v>
      </c>
      <c r="N23" s="37">
        <f>N14-N22</f>
        <v>84302.526778440166</v>
      </c>
      <c r="O23" s="37">
        <f>O14-O22</f>
        <v>91773.090547425993</v>
      </c>
      <c r="P23" s="37">
        <f>P14-P22</f>
        <v>99846.793696048553</v>
      </c>
      <c r="Q23" s="37">
        <f>Q14-Q22</f>
        <v>108563.20445455331</v>
      </c>
      <c r="R23" s="37">
        <f>R14-R22</f>
        <v>118118.18488518347</v>
      </c>
      <c r="S23" s="37">
        <f>S14-S22</f>
        <v>128489.89742098976</v>
      </c>
      <c r="T23" s="37">
        <f>T14-T22</f>
        <v>139746.83032646868</v>
      </c>
      <c r="U23" s="37">
        <f>U14-U22</f>
        <v>151963.14058635023</v>
      </c>
      <c r="V23" s="37">
        <f>V14-V22</f>
        <v>165219.11883017232</v>
      </c>
    </row>
    <row r="24" ht="16.5">
      <c r="B24" s="5" t="s">
        <v>198</v>
      </c>
      <c r="C24" s="9">
        <f>512.3+5.84-15807.24</f>
        <v>-15289.1</v>
      </c>
      <c r="D24" s="9">
        <f>-294.47+105.52-12341.19</f>
        <v>-12530.140000000001</v>
      </c>
      <c r="E24" s="9">
        <f>-14110.96+315.12+7.2</f>
        <v>-13788.639999999998</v>
      </c>
      <c r="F24" s="9">
        <f>-13359.62+225.02+8.05</f>
        <v>-13126.550000000001</v>
      </c>
      <c r="G24" s="9">
        <f>-10779.28-137.32-0.5</f>
        <v>-10917.1</v>
      </c>
      <c r="H24" s="9">
        <f>-11466.73+138.82-237.76</f>
        <v>-11565.67</v>
      </c>
      <c r="I24" s="37">
        <f>-10414.38-219-101</f>
        <v>-10734.379999999999</v>
      </c>
      <c r="J24" s="37">
        <f>-7569.92+54.94+1.74</f>
        <v>-7513.2400000000007</v>
      </c>
      <c r="K24" s="31">
        <f t="shared" si="7"/>
        <v>-15289.1</v>
      </c>
      <c r="L24" s="35">
        <f>C24*1.12</f>
        <v>-17123.792000000001</v>
      </c>
      <c r="M24" s="35">
        <f>D24*1.12</f>
        <v>-14033.756800000003</v>
      </c>
      <c r="N24" s="35">
        <f>E24*1.12</f>
        <v>-15443.2768</v>
      </c>
      <c r="O24" s="35">
        <f>F24*1.12</f>
        <v>-14701.736000000003</v>
      </c>
      <c r="P24" s="35">
        <f>G24*1.12</f>
        <v>-12227.152000000002</v>
      </c>
      <c r="Q24" s="35">
        <f>H24*1.12</f>
        <v>-12953.550400000002</v>
      </c>
      <c r="R24" s="35">
        <f>I24*1.12</f>
        <v>-12022.5056</v>
      </c>
      <c r="S24" s="35">
        <f>J24*1.12</f>
        <v>-8414.8288000000011</v>
      </c>
      <c r="T24" s="35">
        <f>K24*1.12</f>
        <v>-17123.792000000001</v>
      </c>
      <c r="U24" s="35">
        <f>L24*1.12</f>
        <v>-19178.647040000003</v>
      </c>
      <c r="V24" s="36">
        <f>M24*1.12</f>
        <v>-15717.807616000006</v>
      </c>
    </row>
    <row r="25" s="6" customFormat="1" ht="16.5">
      <c r="A25" s="6"/>
      <c r="B25" s="6" t="s">
        <v>147</v>
      </c>
      <c r="C25" s="35">
        <f>C23+C24</f>
        <v>44675.94000000001</v>
      </c>
      <c r="D25" s="35">
        <f>D23+D24</f>
        <v>36697.660000000003</v>
      </c>
      <c r="E25" s="35">
        <f>E23+E24</f>
        <v>40313.240000000005</v>
      </c>
      <c r="F25" s="35">
        <f>F23+F24</f>
        <v>38188.249999999993</v>
      </c>
      <c r="G25" s="35">
        <f>G23+G24</f>
        <v>31686.809999999998</v>
      </c>
      <c r="H25" s="35">
        <f>H23+H24</f>
        <v>21029.610000000008</v>
      </c>
      <c r="I25" s="36">
        <f>I23+I24</f>
        <v>17989.430000000015</v>
      </c>
      <c r="J25" s="36">
        <f>J23+J24</f>
        <v>12072.617000000002</v>
      </c>
      <c r="K25" s="31">
        <f t="shared" si="7"/>
        <v>44675.94000000001</v>
      </c>
      <c r="L25" s="36">
        <f>L23+L24</f>
        <v>53895.192494760457</v>
      </c>
      <c r="M25" s="36">
        <f>M23+M24</f>
        <v>63363.030234236488</v>
      </c>
      <c r="N25" s="36">
        <f>N23+N24</f>
        <v>68859.249978440173</v>
      </c>
      <c r="O25" s="36">
        <f>O23+O24</f>
        <v>77071.354547425988</v>
      </c>
      <c r="P25" s="36">
        <f>P23+P24</f>
        <v>87619.641696048551</v>
      </c>
      <c r="Q25" s="36">
        <f>Q23+Q24</f>
        <v>95609.654054553306</v>
      </c>
      <c r="R25" s="36">
        <f>R23+R24</f>
        <v>106095.67928518346</v>
      </c>
      <c r="S25" s="36">
        <f>S23+S24</f>
        <v>120075.06862098975</v>
      </c>
      <c r="T25" s="36">
        <f>T23+T24</f>
        <v>122623.03832646868</v>
      </c>
      <c r="U25" s="36">
        <f>U23+U24</f>
        <v>132784.49354635022</v>
      </c>
      <c r="V25" s="36">
        <f>V23+V24</f>
        <v>149501.31121417231</v>
      </c>
    </row>
    <row r="26" ht="16.5">
      <c r="A26" s="5" t="s">
        <v>313</v>
      </c>
      <c r="B26" s="5" t="s">
        <v>149</v>
      </c>
      <c r="C26" s="9">
        <v>704.13</v>
      </c>
      <c r="D26" s="9">
        <v>428.67000000000002</v>
      </c>
      <c r="E26" s="9">
        <v>-784.79999999999995</v>
      </c>
      <c r="F26" s="9">
        <f>-621.44</f>
        <v>-621.44000000000005</v>
      </c>
      <c r="G26" s="9">
        <v>586.36000000000001</v>
      </c>
      <c r="H26" s="9">
        <v>-24.23</v>
      </c>
      <c r="I26" s="37">
        <v>-24.23</v>
      </c>
      <c r="J26" s="37">
        <v>-24.23</v>
      </c>
      <c r="K26" s="31">
        <f t="shared" si="7"/>
        <v>704.13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/>
      <c r="S26" s="9"/>
      <c r="T26" s="9"/>
      <c r="U26" s="9"/>
      <c r="V26" s="37"/>
    </row>
    <row r="27" ht="16.5">
      <c r="A27" s="5"/>
      <c r="B27" s="5" t="s">
        <v>314</v>
      </c>
      <c r="C27" s="9">
        <f>C28/10</f>
        <v>4538.0070000000005</v>
      </c>
      <c r="D27" s="9">
        <f>D28/10</f>
        <v>3712.6330000000003</v>
      </c>
      <c r="E27" s="9">
        <f>E28/10</f>
        <v>3952.8440000000001</v>
      </c>
      <c r="F27" s="9">
        <f>F28/10</f>
        <v>3756.6809999999991</v>
      </c>
      <c r="G27" s="9">
        <f>G28/10</f>
        <v>3227.317</v>
      </c>
      <c r="H27" s="9">
        <f>H28/10</f>
        <v>2100.5380000000009</v>
      </c>
      <c r="I27" s="37">
        <f>I28/10</f>
        <v>1784</v>
      </c>
      <c r="J27" s="37">
        <f>J28/10</f>
        <v>1199.7850000000001</v>
      </c>
      <c r="K27" s="9">
        <f>K28</f>
        <v>45380.070000000007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37"/>
    </row>
    <row r="28" s="6" customFormat="1" ht="16.5">
      <c r="A28" s="6"/>
      <c r="B28" s="6" t="s">
        <v>315</v>
      </c>
      <c r="C28" s="39">
        <f>SUM(C25:C26)</f>
        <v>45380.070000000007</v>
      </c>
      <c r="D28" s="39">
        <f>SUM(D25:D26)</f>
        <v>37126.330000000002</v>
      </c>
      <c r="E28" s="39">
        <f>SUM(E25:E26)</f>
        <v>39528.440000000002</v>
      </c>
      <c r="F28" s="39">
        <f>SUM(F25:F26)</f>
        <v>37566.80999999999</v>
      </c>
      <c r="G28" s="39">
        <f>SUM(G25:G26)</f>
        <v>32273.169999999998</v>
      </c>
      <c r="H28" s="39">
        <f>SUM(H25:H26)</f>
        <v>21005.380000000008</v>
      </c>
      <c r="I28" s="40">
        <v>17840</v>
      </c>
      <c r="J28" s="41">
        <v>11997.85</v>
      </c>
      <c r="K28" s="31">
        <f t="shared" si="7"/>
        <v>45380.070000000007</v>
      </c>
      <c r="L28" s="35">
        <f>L25</f>
        <v>53895.192494760457</v>
      </c>
      <c r="M28" s="35">
        <f>M25</f>
        <v>63363.030234236488</v>
      </c>
      <c r="N28" s="35">
        <f>N25</f>
        <v>68859.249978440173</v>
      </c>
      <c r="O28" s="35">
        <f>O25</f>
        <v>77071.354547425988</v>
      </c>
      <c r="P28" s="35">
        <f>P25</f>
        <v>87619.641696048551</v>
      </c>
      <c r="Q28" s="35">
        <f>Q25</f>
        <v>95609.654054553306</v>
      </c>
      <c r="R28" s="35">
        <f>R25</f>
        <v>106095.67928518346</v>
      </c>
      <c r="S28" s="35">
        <f>S25</f>
        <v>120075.06862098975</v>
      </c>
      <c r="T28" s="35">
        <f>T25</f>
        <v>122623.03832646868</v>
      </c>
      <c r="U28" s="35">
        <f>U25</f>
        <v>132784.49354635022</v>
      </c>
      <c r="V28" s="36">
        <f>V25</f>
        <v>149501.31121417231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</row>
    <row r="29" ht="16.5">
      <c r="B29" s="5" t="s">
        <v>316</v>
      </c>
      <c r="C29" s="42">
        <v>43242.879999999997</v>
      </c>
      <c r="D29" s="42">
        <v>36122.980000000003</v>
      </c>
      <c r="E29" s="42">
        <v>39468.040000000001</v>
      </c>
      <c r="F29" s="42">
        <v>37436.18</v>
      </c>
      <c r="G29" s="42">
        <v>31973.650000000001</v>
      </c>
      <c r="H29" s="42">
        <v>20769.02</v>
      </c>
      <c r="I29" s="40">
        <v>17840</v>
      </c>
      <c r="J29" s="41">
        <v>11997.85</v>
      </c>
      <c r="K29" s="31">
        <f t="shared" si="7"/>
        <v>43242.879999999997</v>
      </c>
      <c r="L29" s="35">
        <f>L28*0.98</f>
        <v>52817.28864486525</v>
      </c>
      <c r="M29" s="35">
        <f>M28*0.98</f>
        <v>62095.76962955176</v>
      </c>
      <c r="N29" s="35">
        <f>N28*0.98</f>
        <v>67482.064978871364</v>
      </c>
      <c r="O29" s="35">
        <f>O28*0.98</f>
        <v>75529.927456477468</v>
      </c>
      <c r="P29" s="35">
        <f>P28*0.98</f>
        <v>85867.248862127584</v>
      </c>
      <c r="Q29" s="35">
        <f>Q28*0.98</f>
        <v>93697.460973462235</v>
      </c>
      <c r="R29" s="35">
        <f>R28*0.98</f>
        <v>103973.76569947979</v>
      </c>
      <c r="S29" s="35">
        <f>S28*0.98</f>
        <v>117673.56724856996</v>
      </c>
      <c r="T29" s="35">
        <f>T28*0.98</f>
        <v>120170.57755993931</v>
      </c>
      <c r="U29" s="35">
        <f>U28*0.98</f>
        <v>130128.80367542322</v>
      </c>
      <c r="V29" s="36">
        <f>V28*0.98</f>
        <v>146511.28498988887</v>
      </c>
      <c r="W29" s="42">
        <f>V29*$V$40+V29</f>
        <v>149441.51068968663</v>
      </c>
      <c r="X29" s="42">
        <f>W29*$V$40+W29</f>
        <v>152430.34090348036</v>
      </c>
      <c r="Y29" s="42">
        <f>X29*$V$40+X29</f>
        <v>155478.94772154998</v>
      </c>
      <c r="Z29" s="42">
        <f>Y29*$V$40+Y29</f>
        <v>158588.52667598097</v>
      </c>
      <c r="AA29" s="42">
        <f>Z29*$V$40+Z29</f>
        <v>161760.2972095006</v>
      </c>
      <c r="AB29" s="42">
        <f>AA29*$V$40+AA29</f>
        <v>164995.5031536906</v>
      </c>
      <c r="AC29" s="42">
        <f>AB29*$V$40+AB29</f>
        <v>168295.41321676443</v>
      </c>
      <c r="AD29" s="42">
        <f>AC29*$V$40+AC29</f>
        <v>171661.3214810997</v>
      </c>
      <c r="AE29" s="42">
        <f>AD29*$V$40+AD29</f>
        <v>175094.54791072168</v>
      </c>
      <c r="AF29" s="42">
        <f>AE29*$V$40+AE29</f>
        <v>178596.43886893612</v>
      </c>
      <c r="AG29" s="42">
        <f>AF29*$V$40+AF29</f>
        <v>182168.36764631484</v>
      </c>
      <c r="AH29" s="42">
        <f>AG29*$V$40+AG29</f>
        <v>185811.73499924113</v>
      </c>
      <c r="AI29" s="42">
        <f>AH29*$V$40+AH29</f>
        <v>189527.96969922594</v>
      </c>
      <c r="AJ29" s="42">
        <f>AI29*$V$40+AI29</f>
        <v>193318.52909321047</v>
      </c>
      <c r="AK29" s="42">
        <f>AJ29*$V$40+AJ29</f>
        <v>197184.89967507467</v>
      </c>
      <c r="AL29" s="42">
        <f>AK29*$V$40+AK29</f>
        <v>201128.59766857617</v>
      </c>
      <c r="AM29" s="42">
        <f>AL29*$V$40+AL29</f>
        <v>205151.16962194769</v>
      </c>
      <c r="AN29" s="42">
        <f>AM29*$V$40+AM29</f>
        <v>209254.19301438663</v>
      </c>
      <c r="AO29" s="42">
        <f>AN29*$V$40+AN29</f>
        <v>213439.27687467437</v>
      </c>
      <c r="AP29" s="42">
        <f>AO29*$V$40+AO29</f>
        <v>217708.06241216784</v>
      </c>
      <c r="AQ29" s="42">
        <f>AP29*$V$40+AP29</f>
        <v>222062.2236604112</v>
      </c>
      <c r="AR29" s="42">
        <f>AQ29*$V$40+AQ29</f>
        <v>226503.46813361943</v>
      </c>
      <c r="AS29" s="42">
        <f>AR29*$V$40+AR29</f>
        <v>231033.53749629183</v>
      </c>
      <c r="AT29" s="42">
        <f>AS29*$V$40+AS29</f>
        <v>235654.20824621766</v>
      </c>
      <c r="AU29" s="42">
        <f>AT29*$V$40+AT29</f>
        <v>240367.29241114203</v>
      </c>
      <c r="AV29" s="42">
        <f>AU29*$V$40+AU29</f>
        <v>245174.63825936487</v>
      </c>
      <c r="AW29" s="42">
        <f>AV29*$V$40+AV29</f>
        <v>250078.13102455216</v>
      </c>
      <c r="AX29" s="42">
        <f>AW29*$V$40+AW29</f>
        <v>255079.69364504321</v>
      </c>
      <c r="AY29" s="42">
        <f>AX29*$V$40+AX29</f>
        <v>260181.28751794409</v>
      </c>
      <c r="AZ29" s="42">
        <f>AY29*$V$40+AY29</f>
        <v>265384.91326830297</v>
      </c>
      <c r="BA29" s="42">
        <f>AZ29*$V$40+AZ29</f>
        <v>270692.61153366906</v>
      </c>
      <c r="BB29" s="42">
        <f>BA29*$V$40+BA29</f>
        <v>276106.46376434242</v>
      </c>
      <c r="BC29" s="42">
        <f>BB29*$V$40+BB29</f>
        <v>281628.59303962928</v>
      </c>
      <c r="BD29" s="42">
        <f>BC29*$V$40+BC29</f>
        <v>287261.16490042186</v>
      </c>
      <c r="BE29" s="42">
        <f>BD29*$V$40+BD29</f>
        <v>293006.3881984303</v>
      </c>
      <c r="BF29" s="42">
        <f>BE29*$V$40+BE29</f>
        <v>298866.5159623989</v>
      </c>
      <c r="BG29" s="42">
        <f>BF29*$V$40+BF29</f>
        <v>304843.84628164687</v>
      </c>
      <c r="BH29" s="42">
        <f>BG29*$V$40+BG29</f>
        <v>310940.72320727981</v>
      </c>
      <c r="BI29" s="42">
        <f>BH29*$V$40+BH29</f>
        <v>317159.53767142538</v>
      </c>
      <c r="BJ29" s="42">
        <f>BI29*$V$40+BI29</f>
        <v>323502.72842485388</v>
      </c>
      <c r="BK29" s="42">
        <f>BJ29*$V$40+BJ29</f>
        <v>329972.78299335093</v>
      </c>
      <c r="BL29" s="42">
        <f>BK29*$V$40+BK29</f>
        <v>336572.23865321797</v>
      </c>
      <c r="BM29" s="42">
        <f>BL29*$V$40+BL29</f>
        <v>343303.68342628231</v>
      </c>
      <c r="BN29" s="42">
        <f>BM29*$V$40+BM29</f>
        <v>350169.75709480798</v>
      </c>
      <c r="BO29" s="42">
        <f>BN29*$V$40+BN29</f>
        <v>357173.15223670413</v>
      </c>
      <c r="BP29" s="42">
        <f>BO29*$V$40+BO29</f>
        <v>364316.61528143822</v>
      </c>
      <c r="BQ29" s="42">
        <f>BP29*$V$40+BP29</f>
        <v>371602.94758706697</v>
      </c>
      <c r="BR29" s="42">
        <f>BQ29*$V$40+BQ29</f>
        <v>379035.00653880829</v>
      </c>
      <c r="BS29" s="42">
        <f>BR29*$V$40+BR29</f>
        <v>386615.70666958444</v>
      </c>
      <c r="BT29" s="42">
        <f>BS29*$V$40+BS29</f>
        <v>394348.02080297616</v>
      </c>
      <c r="BU29" s="42">
        <f>BT29*$V$40+BT29</f>
        <v>402234.98121903569</v>
      </c>
      <c r="BV29" s="42">
        <f>BU29*$V$40+BU29</f>
        <v>410279.68084341643</v>
      </c>
      <c r="BW29" s="42">
        <f>BV29*$V$40+BV29</f>
        <v>418485.27446028474</v>
      </c>
      <c r="BX29" s="42">
        <f>BW29*$V$40+BW29</f>
        <v>426854.97994949046</v>
      </c>
      <c r="BY29" s="42">
        <f>BX29*$V$40+BX29</f>
        <v>435392.07954848028</v>
      </c>
      <c r="BZ29" s="42">
        <f>BY29*$V$40+BY29</f>
        <v>444099.92113944987</v>
      </c>
      <c r="CA29" s="42">
        <f>BZ29*$V$40+BZ29</f>
        <v>452981.91956223885</v>
      </c>
      <c r="CB29" s="42">
        <f>CA29*$V$40+CA29</f>
        <v>462041.5579534836</v>
      </c>
      <c r="CC29" s="42">
        <f>CB29*$V$40+CB29</f>
        <v>471282.38911255327</v>
      </c>
      <c r="CD29" s="42">
        <f>CC29*$V$40+CC29</f>
        <v>480708.03689480433</v>
      </c>
      <c r="CE29" s="42">
        <f>CD29*$V$40+CD29</f>
        <v>490322.19763270044</v>
      </c>
      <c r="CF29" s="42">
        <f>CE29*$V$40+CE29</f>
        <v>500128.64158535446</v>
      </c>
      <c r="CG29" s="42">
        <f>CF29*$V$40+CF29</f>
        <v>510131.21441706154</v>
      </c>
      <c r="CH29" s="42">
        <f>CG29*$V$40+CG29</f>
        <v>520333.83870540274</v>
      </c>
      <c r="CI29" s="42">
        <f>CH29*$V$40+CH29</f>
        <v>530740.51547951077</v>
      </c>
      <c r="CJ29" s="42">
        <f>CI29*$V$40+CI29</f>
        <v>541355.32578910096</v>
      </c>
    </row>
    <row r="30" ht="16.5">
      <c r="B30" s="5" t="s">
        <v>317</v>
      </c>
      <c r="C30" s="8">
        <f>C28/C29-1</f>
        <v>0.049422933902645072</v>
      </c>
      <c r="D30" s="8">
        <f>D28/D29-1</f>
        <v>0.027775947610080953</v>
      </c>
      <c r="E30" s="8">
        <f>E28/E29-1</f>
        <v>0.0015303521532865627</v>
      </c>
      <c r="F30" s="8">
        <f>F28/F29-1</f>
        <v>0.0034894051690099737</v>
      </c>
      <c r="G30" s="8">
        <f>G28/G29-1</f>
        <v>0.0093677137267718091</v>
      </c>
      <c r="H30" s="8">
        <f>H28/H29-1</f>
        <v>0.011380411786401368</v>
      </c>
      <c r="I30" s="40"/>
      <c r="J30" s="40"/>
      <c r="K30" s="31">
        <f t="shared" si="7"/>
        <v>0.049422933902645072</v>
      </c>
      <c r="L30" s="35"/>
      <c r="M30" s="35"/>
      <c r="N30" s="35"/>
      <c r="O30" s="35"/>
      <c r="P30" s="35"/>
      <c r="Q30" s="35"/>
      <c r="R30" s="35"/>
      <c r="S30" s="35"/>
      <c r="T30" s="35"/>
      <c r="V30" s="13"/>
    </row>
    <row r="31" ht="16.5">
      <c r="B31" s="5"/>
      <c r="C31" s="42"/>
      <c r="D31" s="42"/>
      <c r="E31" s="42"/>
      <c r="F31" s="42"/>
      <c r="G31" s="42"/>
      <c r="H31" s="42"/>
      <c r="I31" s="40"/>
      <c r="J31" s="40"/>
      <c r="K31" s="31">
        <f t="shared" si="7"/>
        <v>0</v>
      </c>
      <c r="V31" s="13"/>
      <c r="Z31" s="24"/>
    </row>
    <row r="32" ht="16.5">
      <c r="B32" s="5" t="s">
        <v>318</v>
      </c>
      <c r="C32" s="42">
        <v>251072.07000000001</v>
      </c>
      <c r="D32" s="11">
        <v>216657.51999999999</v>
      </c>
      <c r="E32" s="11">
        <v>216657.51999999999</v>
      </c>
      <c r="F32" s="11">
        <v>216657.51999999999</v>
      </c>
      <c r="G32" s="11">
        <v>216657.51999999999</v>
      </c>
      <c r="H32" s="11">
        <v>216657.51999999999</v>
      </c>
      <c r="I32" s="17">
        <v>216657.51999999999</v>
      </c>
      <c r="J32" s="17">
        <v>216657.51999999999</v>
      </c>
      <c r="K32" s="31">
        <f t="shared" si="7"/>
        <v>251072.07000000001</v>
      </c>
      <c r="V32" s="13"/>
      <c r="Y32" s="5"/>
    </row>
    <row r="33" ht="16.5">
      <c r="B33" s="5" t="s">
        <v>204</v>
      </c>
      <c r="C33" s="9">
        <v>401453679</v>
      </c>
      <c r="D33" s="9">
        <v>401397883</v>
      </c>
      <c r="E33" s="9">
        <v>401397883</v>
      </c>
      <c r="F33" s="9">
        <v>401397883</v>
      </c>
      <c r="G33" s="9">
        <v>401397883</v>
      </c>
      <c r="H33" s="9">
        <v>401397883</v>
      </c>
      <c r="I33" s="37">
        <v>400041239</v>
      </c>
      <c r="J33" s="37">
        <v>400041239</v>
      </c>
      <c r="K33" s="31">
        <f t="shared" si="7"/>
        <v>401453679</v>
      </c>
      <c r="V33" s="13"/>
    </row>
    <row r="34" ht="16.5">
      <c r="A34" s="5"/>
      <c r="B34" s="5" t="s">
        <v>319</v>
      </c>
      <c r="C34" s="5">
        <f>C29*1000000/D33</f>
        <v>107.73071267045023</v>
      </c>
      <c r="D34" s="5">
        <f>D29*1000000/C33</f>
        <v>89.980443297917816</v>
      </c>
      <c r="E34" s="5">
        <f>E29*1000000/D33</f>
        <v>98.326477720860325</v>
      </c>
      <c r="F34" s="5">
        <f>F29*1000000/E33</f>
        <v>93.264517790194716</v>
      </c>
      <c r="G34" s="5">
        <f>G29*1000000/F33</f>
        <v>79.65575144799655</v>
      </c>
      <c r="H34" s="5">
        <f>H29*1000000/G33</f>
        <v>51.741727795809027</v>
      </c>
      <c r="I34" s="13">
        <f>I29*1000000/H33</f>
        <v>44.444678847496562</v>
      </c>
      <c r="J34" s="13">
        <f>J29*1000000/I33</f>
        <v>29.991532947931901</v>
      </c>
      <c r="K34" s="31">
        <f t="shared" si="7"/>
        <v>107.73071267045023</v>
      </c>
      <c r="V34" s="13"/>
    </row>
    <row r="35" ht="16.5">
      <c r="A35" s="5" t="s">
        <v>293</v>
      </c>
      <c r="B35" s="5"/>
      <c r="C35" s="5"/>
      <c r="D35" s="5"/>
      <c r="E35" s="5"/>
      <c r="F35" s="5"/>
      <c r="G35" s="5"/>
      <c r="H35" s="5"/>
      <c r="I35" s="13"/>
      <c r="J35" s="13"/>
      <c r="K35" s="31">
        <f t="shared" si="7"/>
        <v>0</v>
      </c>
      <c r="V35" s="13"/>
    </row>
    <row r="36" ht="16.5">
      <c r="A36" s="5"/>
      <c r="B36" s="20" t="s">
        <v>320</v>
      </c>
      <c r="C36" s="18">
        <f>C11/D11-1</f>
        <v>0.26593407461616625</v>
      </c>
      <c r="D36" s="18">
        <f>D11/E11-1</f>
        <v>-0.023573914257381867</v>
      </c>
      <c r="E36" s="18">
        <f>E11/F11-1</f>
        <v>0.056382370099326895</v>
      </c>
      <c r="F36" s="18">
        <f>F11/G11-1</f>
        <v>0.19109735873060441</v>
      </c>
      <c r="G36" s="18">
        <f>G11/H11-1</f>
        <v>0.27514210410995843</v>
      </c>
      <c r="H36" s="18">
        <f>H11/I11-1</f>
        <v>0.14936541808550907</v>
      </c>
      <c r="I36" s="19">
        <f>I11/J11-1</f>
        <v>0.11786898558570758</v>
      </c>
      <c r="J36" s="13"/>
      <c r="K36" s="43">
        <f t="shared" si="7"/>
        <v>0.26593407461616625</v>
      </c>
      <c r="U36" s="5" t="s">
        <v>321</v>
      </c>
      <c r="V36" s="44">
        <v>0.11</v>
      </c>
    </row>
    <row r="37" ht="16.5">
      <c r="B37" s="20" t="s">
        <v>322</v>
      </c>
      <c r="C37" s="18">
        <f>C14/D14-1</f>
        <v>0.26619922079364478</v>
      </c>
      <c r="D37" s="18">
        <f>D14/E14-1</f>
        <v>-0.021447092424303982</v>
      </c>
      <c r="E37" s="18">
        <f>E14/F14-1</f>
        <v>0.057671192432695362</v>
      </c>
      <c r="F37" s="18">
        <f>F14/G14-1</f>
        <v>0.19191076128842433</v>
      </c>
      <c r="G37" s="18">
        <f>G14/H14-1</f>
        <v>0.27709570086970881</v>
      </c>
      <c r="H37" s="18">
        <f>H14/I14-1</f>
        <v>0.13366310422429595</v>
      </c>
      <c r="I37" s="19">
        <f>I14/J14-1</f>
        <v>0.129069794032733</v>
      </c>
      <c r="J37" s="19">
        <f>J14/K14-1</f>
        <v>-0.60835644370919195</v>
      </c>
      <c r="K37" s="43">
        <f t="shared" si="7"/>
        <v>0.26619922079364478</v>
      </c>
      <c r="U37" s="5" t="s">
        <v>323</v>
      </c>
      <c r="V37" s="17">
        <f>NPV(V36,L29:CJ29)</f>
        <v>1063414.9765110707</v>
      </c>
      <c r="W37" s="5" t="s">
        <v>324</v>
      </c>
    </row>
    <row r="38" ht="16.5">
      <c r="B38" s="20" t="s">
        <v>325</v>
      </c>
      <c r="C38" s="42">
        <f>C14-C17</f>
        <v>97326.640000000014</v>
      </c>
      <c r="D38" s="42">
        <f>D14-D17</f>
        <v>77658.270000000004</v>
      </c>
      <c r="E38" s="42">
        <f>E14-E17</f>
        <v>79816.110000000015</v>
      </c>
      <c r="F38" s="42">
        <f>F14-F17</f>
        <v>74702.669999999984</v>
      </c>
      <c r="G38" s="42">
        <f>G14-G17</f>
        <v>65344.269999999997</v>
      </c>
      <c r="H38" s="42">
        <f>H14-H17</f>
        <v>50655.840000000004</v>
      </c>
      <c r="I38" s="40">
        <f>I14-I17</f>
        <v>45724.820000000007</v>
      </c>
      <c r="J38" s="40">
        <f>J14-J17</f>
        <v>35697.976999999999</v>
      </c>
      <c r="K38" s="31">
        <f t="shared" si="7"/>
        <v>97326.640000000014</v>
      </c>
      <c r="U38" s="6" t="s">
        <v>326</v>
      </c>
      <c r="V38" s="45">
        <v>2228.0999999999999</v>
      </c>
    </row>
    <row r="39" ht="16.5">
      <c r="A39" s="5" t="s">
        <v>327</v>
      </c>
      <c r="B39" s="20" t="s">
        <v>328</v>
      </c>
      <c r="C39" s="18">
        <f>C17/C14</f>
        <v>0.35811979126202897</v>
      </c>
      <c r="D39" s="18">
        <f>D17/D14</f>
        <v>0.35149697223508464</v>
      </c>
      <c r="E39" s="18">
        <f>E17/E14</f>
        <v>0.34777241001668396</v>
      </c>
      <c r="F39" s="18">
        <f>F17/F14</f>
        <v>0.35435259696551386</v>
      </c>
      <c r="G39" s="18">
        <f>G17/G14</f>
        <v>0.32685203775686816</v>
      </c>
      <c r="H39" s="18">
        <f>H17/H14</f>
        <v>0.33356777465847148</v>
      </c>
      <c r="I39" s="19">
        <f>I17/I14</f>
        <v>0.31803437418575814</v>
      </c>
      <c r="J39" s="19">
        <f>J17/J14</f>
        <v>0.39886104149909174</v>
      </c>
      <c r="K39" s="43">
        <f t="shared" si="7"/>
        <v>0.35811979126202897</v>
      </c>
      <c r="L39" s="19"/>
      <c r="M39" s="19"/>
      <c r="U39" s="5" t="s">
        <v>329</v>
      </c>
      <c r="V39" s="46">
        <v>401452876</v>
      </c>
    </row>
    <row r="40" ht="16.5">
      <c r="B40" s="20" t="s">
        <v>330</v>
      </c>
      <c r="C40" s="18">
        <f>C29/D29-1</f>
        <v>0.19710167876515161</v>
      </c>
      <c r="D40" s="18">
        <f>D29/E29-1</f>
        <v>-0.084753638640276963</v>
      </c>
      <c r="E40" s="18">
        <f>E29/F29-1</f>
        <v>0.054275302661756619</v>
      </c>
      <c r="F40" s="18">
        <f>F29/G29-1</f>
        <v>0.1708447424676256</v>
      </c>
      <c r="G40" s="18">
        <f>G29/H29-1</f>
        <v>0.53948765998588288</v>
      </c>
      <c r="H40" s="18">
        <f>H29/I29-1</f>
        <v>0.16418273542600903</v>
      </c>
      <c r="I40" s="19">
        <f>I29/J29-1</f>
        <v>0.48693307550936216</v>
      </c>
      <c r="J40" s="19">
        <f>J29/K29-1</f>
        <v>-0.72254738814806041</v>
      </c>
      <c r="K40" s="43">
        <f t="shared" si="7"/>
        <v>0.19710167876515161</v>
      </c>
      <c r="U40" s="5" t="s">
        <v>331</v>
      </c>
      <c r="V40" s="44">
        <v>0.02</v>
      </c>
    </row>
    <row r="41" ht="16.5">
      <c r="B41" s="20" t="s">
        <v>332</v>
      </c>
      <c r="C41" s="18">
        <f>(C24-D24)/D24</f>
        <v>0.220185887787367</v>
      </c>
      <c r="D41" s="18">
        <f>(D24-E24)/E24</f>
        <v>-0.091270785226098924</v>
      </c>
      <c r="E41" s="18">
        <f>(E24-F24)/F24</f>
        <v>0.050438995775736691</v>
      </c>
      <c r="F41" s="18">
        <f>(F24-G24)/G24</f>
        <v>0.20238433283564322</v>
      </c>
      <c r="G41" s="18">
        <f>(G24-H24)/H24</f>
        <v>-0.056077166303378854</v>
      </c>
      <c r="H41" s="18">
        <f>(H24-I24)/I24</f>
        <v>0.077441827101332447</v>
      </c>
      <c r="I41" s="18">
        <f>(I24-J24)/J24</f>
        <v>0.42872848464843372</v>
      </c>
      <c r="J41" s="18">
        <f>(J24-K24)/K24</f>
        <v>-0.50858847152546582</v>
      </c>
      <c r="K41" s="43">
        <f t="shared" si="7"/>
        <v>0.220185887787367</v>
      </c>
      <c r="U41" s="6" t="s">
        <v>333</v>
      </c>
      <c r="V41" s="47">
        <f>V37*1000000/V39</f>
        <v>2648.916074799949</v>
      </c>
    </row>
    <row r="42" ht="16.5">
      <c r="B42" s="20" t="s">
        <v>334</v>
      </c>
      <c r="C42" s="18">
        <f>(C22-D22)/D22</f>
        <v>0.29976539319151052</v>
      </c>
      <c r="D42" s="18">
        <f>(D22-E22)/E22</f>
        <v>0.032948724051689728</v>
      </c>
      <c r="E42" s="18">
        <f>(E22-F22)/F22</f>
        <v>0.060347280420506265</v>
      </c>
      <c r="F42" s="18">
        <f>(F22-G22)/G22</f>
        <v>0.18209336874935272</v>
      </c>
      <c r="G42" s="18">
        <f>(G22-H22)/H22</f>
        <v>0.25460086453572384</v>
      </c>
      <c r="H42" s="18">
        <f>(H22-I22)/I22</f>
        <v>0.13282405421456012</v>
      </c>
      <c r="I42" s="18">
        <f>(I22-J22)/J22</f>
        <v>-0.037019029452326199</v>
      </c>
      <c r="J42" s="18">
        <f>(J22-K22)/K22</f>
        <v>-0.56581920521810591</v>
      </c>
      <c r="K42" s="43">
        <f t="shared" si="7"/>
        <v>0.29976539319151052</v>
      </c>
      <c r="U42" s="5"/>
    </row>
    <row r="43" ht="16.5">
      <c r="B43" s="20" t="s">
        <v>335</v>
      </c>
      <c r="C43" s="18">
        <f>C17/D17-1</f>
        <v>0.29005663338542576</v>
      </c>
      <c r="D43" s="18">
        <f>D17/E17-1</f>
        <v>-0.010967016710167532</v>
      </c>
      <c r="E43" s="18">
        <f>E17/F17-1</f>
        <v>0.03803065857969723</v>
      </c>
      <c r="F43" s="18">
        <f>F17/G17-1</f>
        <v>0.29219532028088402</v>
      </c>
      <c r="G43" s="18">
        <f>G17/H17-1</f>
        <v>0.25138386844227778</v>
      </c>
      <c r="H43" s="18">
        <f>H17/I17-1</f>
        <v>0.18903335482736394</v>
      </c>
      <c r="I43" s="18">
        <f>I17/J17-1</f>
        <v>-0.099729058502042833</v>
      </c>
      <c r="J43" s="18">
        <f>J17/K17-1</f>
        <v>-0.56380138554179149</v>
      </c>
      <c r="K43" s="43">
        <f t="shared" si="7"/>
        <v>0.29005663338542576</v>
      </c>
      <c r="U43" s="5" t="s">
        <v>90</v>
      </c>
    </row>
    <row r="44" ht="16.5">
      <c r="A44" s="5" t="s">
        <v>336</v>
      </c>
      <c r="B44" s="20" t="s">
        <v>160</v>
      </c>
      <c r="C44" s="18">
        <f>C28/D28-1</f>
        <v>0.22231499854685355</v>
      </c>
      <c r="D44" s="18">
        <f>D28/E28-1</f>
        <v>-0.060769157598933865</v>
      </c>
      <c r="E44" s="18">
        <f>E28/F28-1</f>
        <v>0.052217103342019566</v>
      </c>
      <c r="F44" s="18">
        <f>F28/G28-1</f>
        <v>0.16402603153021511</v>
      </c>
      <c r="G44" s="18">
        <f>G28/H28-1</f>
        <v>0.53642400185095362</v>
      </c>
      <c r="H44" s="18">
        <f>H28/I28-1</f>
        <v>0.17743161434977628</v>
      </c>
      <c r="I44" s="18">
        <f>I28/J28-1</f>
        <v>0.48693307550936216</v>
      </c>
      <c r="J44" s="18">
        <f>J28/K28-1</f>
        <v>-0.73561411430171875</v>
      </c>
      <c r="K44" s="43">
        <f t="shared" si="7"/>
        <v>0.22231499854685355</v>
      </c>
      <c r="U44" s="5" t="s">
        <v>93</v>
      </c>
    </row>
    <row r="45" ht="16.5">
      <c r="B45" s="20" t="s">
        <v>337</v>
      </c>
      <c r="C45" s="18">
        <f>C34/D34-1</f>
        <v>0.19726808095135451</v>
      </c>
      <c r="D45" s="18">
        <f>D34/E34-1</f>
        <v>-0.084880844065584493</v>
      </c>
      <c r="E45" s="18">
        <f>E34/F34-1</f>
        <v>0.054275302661756619</v>
      </c>
      <c r="F45" s="18">
        <f>F34/G34-1</f>
        <v>0.1708447424676256</v>
      </c>
      <c r="G45" s="18">
        <f>G34/H34-1</f>
        <v>0.53948765998588288</v>
      </c>
      <c r="H45" s="18">
        <f>H34/I34-1</f>
        <v>0.16418273542600903</v>
      </c>
      <c r="I45" s="18">
        <f>I34/J34-1</f>
        <v>0.48190754119359847</v>
      </c>
      <c r="J45" s="18">
        <f>J34/K34-1</f>
        <v>-0.72160647410106327</v>
      </c>
      <c r="K45" s="43">
        <f t="shared" si="7"/>
        <v>0.19726808095135451</v>
      </c>
      <c r="U45" s="5" t="s">
        <v>338</v>
      </c>
    </row>
    <row r="46" ht="16.5">
      <c r="B46" s="20" t="s">
        <v>339</v>
      </c>
      <c r="C46" s="18">
        <f>C26/D26-1</f>
        <v>0.64259220379312754</v>
      </c>
      <c r="D46" s="18">
        <f>D26/E26-1</f>
        <v>-1.5462155963302753</v>
      </c>
      <c r="E46" s="18">
        <f>E26/F26-1</f>
        <v>0.26287332646755912</v>
      </c>
      <c r="F46" s="18">
        <f>F26/G26-1</f>
        <v>-2.0598267276076134</v>
      </c>
      <c r="G46" s="18">
        <f>G26/H26-1</f>
        <v>-25.199752373091208</v>
      </c>
      <c r="H46" s="18">
        <f>H26/I26-1</f>
        <v>0</v>
      </c>
      <c r="I46" s="18">
        <f>I26/J26-1</f>
        <v>0</v>
      </c>
      <c r="J46" s="18"/>
      <c r="K46" s="43">
        <f t="shared" si="7"/>
        <v>0.64259220379312754</v>
      </c>
    </row>
    <row r="47" ht="16.5">
      <c r="B47" s="20" t="s">
        <v>340</v>
      </c>
      <c r="C47" s="18">
        <f>C29/D29-1</f>
        <v>0.19710167876515161</v>
      </c>
      <c r="D47" s="18">
        <f>D29/E29-1</f>
        <v>-0.084753638640276963</v>
      </c>
      <c r="E47" s="18">
        <f>E29/F29-1</f>
        <v>0.054275302661756619</v>
      </c>
      <c r="F47" s="18">
        <f>F29/G29-1</f>
        <v>0.1708447424676256</v>
      </c>
      <c r="G47" s="18">
        <f>G29/H29-1</f>
        <v>0.53948765998588288</v>
      </c>
      <c r="H47" s="18">
        <f>H29/I29-1</f>
        <v>0.16418273542600903</v>
      </c>
      <c r="I47" s="18">
        <f>I29/J29-1</f>
        <v>0.48693307550936216</v>
      </c>
      <c r="J47" s="18"/>
      <c r="K47" s="43">
        <f t="shared" si="7"/>
        <v>0.19710167876515161</v>
      </c>
    </row>
    <row r="48" ht="16.5">
      <c r="B48" s="20" t="s">
        <v>212</v>
      </c>
      <c r="C48" s="18">
        <f t="shared" ref="C48:C49" si="13">C19/D19-1</f>
        <v>0.22841181830154245</v>
      </c>
      <c r="D48" s="18">
        <f t="shared" ref="D48:D49" si="14">D19/E19-1</f>
        <v>0.20071965663019986</v>
      </c>
      <c r="E48" s="18">
        <f t="shared" ref="E48:E49" si="15">E19/F19-1</f>
        <v>0.042217423768490248</v>
      </c>
      <c r="F48" s="18">
        <f t="shared" ref="F48:F49" si="16">F19/G19-1</f>
        <v>-0.015902489884070281</v>
      </c>
      <c r="G48" s="18">
        <f t="shared" ref="G48:G49" si="17">G19/H19-1</f>
        <v>0.19257743922837567</v>
      </c>
      <c r="H48" s="18">
        <f t="shared" ref="H48:H49" si="18">H19/I19-1</f>
        <v>0.21580637188442608</v>
      </c>
      <c r="I48" s="18">
        <f t="shared" ref="I48:I49" si="19">I19/J19-1</f>
        <v>0.096154200236203247</v>
      </c>
      <c r="J48" s="18">
        <f t="shared" ref="J48:J49" si="20">J19/K19-1</f>
        <v>-0.58409391501832952</v>
      </c>
      <c r="K48" s="18">
        <f t="shared" ref="K48:K49" si="21">K19/L19-1</f>
        <v>-0.12280701754385959</v>
      </c>
    </row>
    <row r="49" ht="16.5">
      <c r="B49" s="20" t="s">
        <v>213</v>
      </c>
      <c r="C49" s="18">
        <f t="shared" si="13"/>
        <v>0.17841378692698395</v>
      </c>
      <c r="D49" s="18">
        <f t="shared" si="14"/>
        <v>0.11653786266302868</v>
      </c>
      <c r="E49" s="18">
        <f t="shared" si="15"/>
        <v>0.039236935866983291</v>
      </c>
      <c r="F49" s="18">
        <f t="shared" si="16"/>
        <v>0.13703116032544482</v>
      </c>
      <c r="G49" s="18">
        <f t="shared" si="17"/>
        <v>0.14603524655175759</v>
      </c>
      <c r="H49" s="18">
        <f t="shared" si="18"/>
        <v>0.033302016910867982</v>
      </c>
      <c r="I49" s="18">
        <f t="shared" si="19"/>
        <v>-0.036459938366718125</v>
      </c>
      <c r="J49" s="18">
        <f t="shared" si="20"/>
        <v>-0.43630165244392327</v>
      </c>
      <c r="K49" s="18">
        <f t="shared" si="21"/>
        <v>-0.06542056074766367</v>
      </c>
    </row>
    <row r="50" ht="16.5">
      <c r="B50" s="5" t="s">
        <v>341</v>
      </c>
      <c r="C50" s="8">
        <f>C17/C15</f>
        <v>0.079548794001937151</v>
      </c>
      <c r="D50" s="8">
        <f>D17/D15</f>
        <v>0.075449295986919657</v>
      </c>
      <c r="E50" s="8">
        <f>E17/E15</f>
        <v>0.078013707793088874</v>
      </c>
      <c r="F50" s="8">
        <f>F17/F15</f>
        <v>0.10019157939218043</v>
      </c>
      <c r="G50" s="8">
        <f>G17/G15</f>
        <v>0.078244733904551167</v>
      </c>
      <c r="H50" s="8">
        <f>H17/H15</f>
        <v>0.06750205124673124</v>
      </c>
      <c r="I50" s="8">
        <f>I17/I15</f>
        <v>0.069307428527745255</v>
      </c>
      <c r="J50" s="8">
        <f>J17/J15</f>
        <v>0.076985077861587883</v>
      </c>
      <c r="K50" s="43">
        <f t="shared" ref="K50:K51" si="22">C50</f>
        <v>0.079548794001937151</v>
      </c>
    </row>
    <row r="51" ht="16.5">
      <c r="B51" s="5" t="s">
        <v>342</v>
      </c>
      <c r="C51" s="8">
        <f>C5/C15</f>
        <v>0.21308956749106944</v>
      </c>
      <c r="D51" s="8">
        <f>D5/D15</f>
        <v>0.20713236182984177</v>
      </c>
      <c r="E51" s="8">
        <f>E5/E15</f>
        <v>0.21859907804974643</v>
      </c>
      <c r="F51" s="8">
        <f>F5/F15</f>
        <v>0.2739500021675968</v>
      </c>
      <c r="G51" s="8">
        <f>G5/G15</f>
        <v>0.23224878887788608</v>
      </c>
      <c r="H51" s="8">
        <f>H5/H15</f>
        <v>0.19743750636126761</v>
      </c>
      <c r="I51" s="8">
        <f>I5/I15</f>
        <v>0</v>
      </c>
      <c r="J51" s="8">
        <f>J5/J15</f>
        <v>0</v>
      </c>
      <c r="K51" s="43">
        <f t="shared" si="22"/>
        <v>0.21308956749106944</v>
      </c>
    </row>
    <row r="52" ht="14.25">
      <c r="B52" s="5"/>
      <c r="G52" s="5"/>
      <c r="I52" s="5"/>
      <c r="J52" s="5"/>
    </row>
    <row r="53" ht="16.5">
      <c r="A53" s="28" t="s">
        <v>343</v>
      </c>
      <c r="B53" s="5"/>
      <c r="C53" s="5"/>
      <c r="D53" s="5"/>
      <c r="E53" s="5"/>
      <c r="F53" s="5"/>
      <c r="G53" s="5"/>
      <c r="H53" s="5"/>
      <c r="I53" s="5"/>
      <c r="J53" s="5"/>
    </row>
    <row r="54" ht="14.25">
      <c r="B54" s="5"/>
      <c r="C54" s="5"/>
      <c r="D54" s="5"/>
      <c r="E54" s="5"/>
      <c r="F54" s="5"/>
      <c r="G54" s="5"/>
      <c r="H54" s="5"/>
      <c r="I54" s="5"/>
      <c r="J54" s="5"/>
    </row>
    <row r="55" ht="16.5">
      <c r="A55" s="6" t="s">
        <v>344</v>
      </c>
      <c r="B55" s="5"/>
      <c r="C55" s="5"/>
      <c r="D55" s="5"/>
      <c r="E55" s="5"/>
      <c r="F55" s="5"/>
      <c r="G55" s="5"/>
      <c r="H55" s="5"/>
      <c r="I55" s="5"/>
      <c r="J55" s="5"/>
    </row>
    <row r="56" ht="16.5">
      <c r="A56" s="5"/>
      <c r="B56" s="5" t="s">
        <v>345</v>
      </c>
      <c r="C56" s="9">
        <v>4014.6199999999999</v>
      </c>
      <c r="D56" s="9">
        <v>4014.48</v>
      </c>
      <c r="E56" s="9">
        <v>4013.4499999999998</v>
      </c>
      <c r="F56" s="9">
        <v>4011.96</v>
      </c>
      <c r="G56" s="9">
        <f>4010.37</f>
        <v>4010.3699999999999</v>
      </c>
      <c r="H56" s="9">
        <v>4006.6100000000001</v>
      </c>
      <c r="I56" s="9">
        <v>4000.4119999999998</v>
      </c>
      <c r="J56" s="9">
        <v>4000.4119999999998</v>
      </c>
    </row>
    <row r="57" ht="16.5">
      <c r="B57" s="5" t="s">
        <v>346</v>
      </c>
      <c r="C57" s="9">
        <v>247057.45000000001</v>
      </c>
      <c r="D57" s="9">
        <v>212643.04000000001</v>
      </c>
      <c r="E57" s="9">
        <v>183843.79000000001</v>
      </c>
      <c r="F57" s="9">
        <v>151738.29000000001</v>
      </c>
      <c r="G57" s="9">
        <f>114281.73</f>
        <v>114281.73</v>
      </c>
      <c r="H57" s="9">
        <v>95305.389999999999</v>
      </c>
      <c r="I57" s="9">
        <v>74422.869999999995</v>
      </c>
      <c r="J57" s="9">
        <v>74422.869999999995</v>
      </c>
    </row>
    <row r="58" ht="16.5">
      <c r="B58" s="5" t="s">
        <v>347</v>
      </c>
      <c r="C58" s="9">
        <f>C57+C56</f>
        <v>251072.07000000001</v>
      </c>
      <c r="D58" s="9">
        <f>D57+D56</f>
        <v>216657.52000000002</v>
      </c>
      <c r="E58" s="9">
        <f>E57+E56</f>
        <v>187857.24000000002</v>
      </c>
      <c r="F58" s="9">
        <f>F57+F56</f>
        <v>155750.25</v>
      </c>
      <c r="G58" s="9">
        <f>G57+G56</f>
        <v>118292.09999999999</v>
      </c>
      <c r="H58" s="9">
        <f>H57+H56</f>
        <v>99312</v>
      </c>
      <c r="I58" s="9">
        <f>I57+I56</f>
        <v>78423.281999999992</v>
      </c>
      <c r="J58" s="9">
        <f>J57+J56</f>
        <v>78423.281999999992</v>
      </c>
    </row>
    <row r="59" ht="16.5">
      <c r="A59" s="6" t="s">
        <v>348</v>
      </c>
      <c r="B59" s="5"/>
      <c r="C59" s="5"/>
      <c r="D59" s="5"/>
      <c r="E59" s="5"/>
      <c r="F59" s="5"/>
      <c r="G59" s="9"/>
      <c r="H59" s="9"/>
      <c r="I59" s="9"/>
      <c r="J59" s="9"/>
    </row>
    <row r="60" ht="16.5">
      <c r="B60" s="5" t="s">
        <v>349</v>
      </c>
      <c r="C60" s="9">
        <v>174762.20000000001</v>
      </c>
      <c r="D60" s="9">
        <v>146045.79000000001</v>
      </c>
      <c r="E60" s="9">
        <v>131740.35000000001</v>
      </c>
      <c r="F60" s="9">
        <v>102826.55</v>
      </c>
      <c r="G60" s="9">
        <v>102826.55</v>
      </c>
      <c r="H60" s="9">
        <v>82149.410000000003</v>
      </c>
      <c r="I60" s="9">
        <v>82149.410000000003</v>
      </c>
      <c r="J60" s="9">
        <v>82149.410000000003</v>
      </c>
    </row>
    <row r="61" ht="16.5">
      <c r="B61" s="5" t="s">
        <v>350</v>
      </c>
      <c r="C61" s="9">
        <v>500519.53000000003</v>
      </c>
      <c r="D61" s="9">
        <v>405974.58000000002</v>
      </c>
      <c r="E61" s="9">
        <v>408553.23999999999</v>
      </c>
      <c r="F61" s="9">
        <v>300115.44</v>
      </c>
      <c r="G61" s="9">
        <v>300115.44</v>
      </c>
      <c r="H61" s="9">
        <v>211314.20999999999</v>
      </c>
      <c r="I61" s="9">
        <v>143370.22</v>
      </c>
      <c r="J61" s="9">
        <v>143370.22</v>
      </c>
    </row>
    <row r="62" ht="16.5">
      <c r="B62" s="5" t="s">
        <v>277</v>
      </c>
      <c r="C62" s="9">
        <v>4018.2600000000002</v>
      </c>
      <c r="D62" s="9">
        <v>3314.7600000000002</v>
      </c>
      <c r="E62" s="9">
        <v>2235.2600000000002</v>
      </c>
      <c r="F62" s="9">
        <v>2560.0599999999999</v>
      </c>
      <c r="G62" s="9">
        <v>2560.0599999999999</v>
      </c>
      <c r="H62" s="9">
        <v>82149.410000000003</v>
      </c>
      <c r="I62" s="9">
        <v>82149.410000000003</v>
      </c>
      <c r="J62" s="9">
        <v>82149.410000000003</v>
      </c>
    </row>
    <row r="63" ht="16.5">
      <c r="B63" s="5" t="s">
        <v>351</v>
      </c>
      <c r="C63" s="9">
        <v>3309.73</v>
      </c>
      <c r="D63" s="9">
        <v>2546.5500000000002</v>
      </c>
      <c r="E63" s="9">
        <v>2997.3299999999999</v>
      </c>
      <c r="F63" s="9">
        <v>3706.8899999999999</v>
      </c>
      <c r="G63" s="9"/>
      <c r="H63" s="9"/>
      <c r="I63" s="9"/>
      <c r="J63" s="9"/>
    </row>
    <row r="64" ht="16.5">
      <c r="B64" s="5" t="s">
        <v>352</v>
      </c>
      <c r="C64" s="9">
        <f>SUM(C60:C63)</f>
        <v>682609.71999999997</v>
      </c>
      <c r="D64" s="9">
        <f>SUM(D60:D63)</f>
        <v>557881.68000000005</v>
      </c>
      <c r="E64" s="9">
        <f>SUM(E60:E63)</f>
        <v>545526.17999999993</v>
      </c>
      <c r="F64" s="9">
        <f>SUM(F60:F63)</f>
        <v>409208.94</v>
      </c>
      <c r="G64" s="9">
        <f>SUM(G60:G63)</f>
        <v>405502.04999999999</v>
      </c>
      <c r="H64" s="9">
        <f>SUM(H60:H63)</f>
        <v>375613.03000000003</v>
      </c>
      <c r="I64" s="9">
        <f>SUM(I60:I63)</f>
        <v>307669.04000000004</v>
      </c>
      <c r="J64" s="9">
        <f>SUM(J60:J63)</f>
        <v>307669.04000000004</v>
      </c>
    </row>
    <row r="65" s="6" customFormat="1" ht="16.5">
      <c r="A65" s="6"/>
      <c r="B65" s="6" t="s">
        <v>353</v>
      </c>
      <c r="C65" s="35">
        <f>C64+C58</f>
        <v>933681.79000000004</v>
      </c>
      <c r="D65" s="35">
        <f>D64+D58</f>
        <v>774539.20000000007</v>
      </c>
      <c r="E65" s="35">
        <f>E64+E58</f>
        <v>733383.41999999993</v>
      </c>
      <c r="F65" s="35">
        <f>F64+F58</f>
        <v>564959.18999999994</v>
      </c>
      <c r="G65" s="35">
        <f>G64+G58</f>
        <v>523794.14999999997</v>
      </c>
      <c r="H65" s="35">
        <f>H64+H58</f>
        <v>474925.03000000003</v>
      </c>
      <c r="I65" s="35">
        <f>I64+I58</f>
        <v>386092.32200000004</v>
      </c>
      <c r="J65" s="35">
        <f>J64+J58</f>
        <v>386092.32200000004</v>
      </c>
    </row>
    <row r="66" ht="14.25">
      <c r="B66" s="5"/>
      <c r="C66" s="5"/>
      <c r="D66" s="5"/>
    </row>
    <row r="67" ht="16.5">
      <c r="A67" s="28" t="s">
        <v>354</v>
      </c>
      <c r="C67" s="5"/>
      <c r="D67" s="5"/>
    </row>
    <row r="68" ht="16.5">
      <c r="A68" s="6" t="s">
        <v>355</v>
      </c>
      <c r="C68" s="5"/>
      <c r="D68" s="5"/>
    </row>
    <row r="69" ht="16.5">
      <c r="B69" s="5" t="s">
        <v>356</v>
      </c>
      <c r="C69" s="42">
        <f>C23</f>
        <v>59965.040000000008</v>
      </c>
      <c r="D69" s="42">
        <f>D23</f>
        <v>49227.800000000003</v>
      </c>
    </row>
    <row r="70" ht="16.5">
      <c r="A70" s="5" t="s">
        <v>357</v>
      </c>
      <c r="B70" s="5" t="s">
        <v>140</v>
      </c>
      <c r="C70" s="42">
        <f>C20</f>
        <v>921.05999999999995</v>
      </c>
    </row>
    <row r="71" ht="16.5">
      <c r="A71" s="5" t="s">
        <v>358</v>
      </c>
      <c r="B71" s="5" t="s">
        <v>138</v>
      </c>
      <c r="C71" s="42">
        <f>C18</f>
        <v>5538.21</v>
      </c>
    </row>
    <row r="72" ht="16.5">
      <c r="A72" s="5" t="s">
        <v>359</v>
      </c>
      <c r="B72" s="5" t="s">
        <v>360</v>
      </c>
      <c r="C72" s="42">
        <f>C17</f>
        <v>54300.779999999999</v>
      </c>
    </row>
    <row r="73" ht="16.5">
      <c r="A73" s="5" t="s">
        <v>361</v>
      </c>
      <c r="B73" s="5" t="s">
        <v>362</v>
      </c>
      <c r="C73" s="5">
        <v>-6.3899999999999997</v>
      </c>
    </row>
    <row r="74" ht="16.5">
      <c r="B74" s="5" t="s">
        <v>363</v>
      </c>
      <c r="C74" s="5">
        <v>161.02000000000001</v>
      </c>
    </row>
    <row r="75" ht="16.5">
      <c r="A75" s="5" t="s">
        <v>364</v>
      </c>
      <c r="B75" s="5" t="s">
        <v>365</v>
      </c>
      <c r="C75" s="5">
        <v>-13.550000000000001</v>
      </c>
    </row>
    <row r="76" ht="16.5">
      <c r="A76" s="5" t="s">
        <v>366</v>
      </c>
      <c r="B76" s="5" t="s">
        <v>367</v>
      </c>
      <c r="C76" s="5">
        <v>-3369.0799999999999</v>
      </c>
    </row>
    <row r="77" ht="16.5">
      <c r="A77" s="5" t="s">
        <v>366</v>
      </c>
      <c r="B77" s="5" t="s">
        <v>130</v>
      </c>
      <c r="C77" s="5">
        <v>-48.100000000000001</v>
      </c>
    </row>
    <row r="78" ht="16.5">
      <c r="B78" s="5" t="s">
        <v>368</v>
      </c>
      <c r="C78" s="5">
        <v>-1022.58</v>
      </c>
    </row>
    <row r="79" ht="16.5">
      <c r="B79" s="5" t="s">
        <v>369</v>
      </c>
      <c r="C79" s="5">
        <v>388.77999999999997</v>
      </c>
    </row>
    <row r="80" s="6" customFormat="1" ht="16.5">
      <c r="A80" s="6"/>
      <c r="B80" s="6" t="s">
        <v>370</v>
      </c>
      <c r="C80" s="39">
        <f>SUM(C69:C79)</f>
        <v>116815.19</v>
      </c>
      <c r="D80" s="6"/>
    </row>
    <row r="81" s="6" customFormat="1" ht="16.5">
      <c r="A81" s="6"/>
      <c r="B81" s="6"/>
      <c r="C81" s="39"/>
      <c r="D81" s="6"/>
    </row>
    <row r="82" ht="14.25">
      <c r="A82" s="5"/>
      <c r="B82" s="5" t="s">
        <v>371</v>
      </c>
      <c r="C82" s="5"/>
    </row>
    <row r="83" ht="14.25">
      <c r="A83" s="5" t="s">
        <v>372</v>
      </c>
      <c r="B83" s="5" t="s">
        <v>235</v>
      </c>
      <c r="C83" s="5">
        <v>-79.409999999999997</v>
      </c>
    </row>
    <row r="84" ht="14.25">
      <c r="A84" s="5" t="s">
        <v>357</v>
      </c>
      <c r="B84" s="5" t="s">
        <v>373</v>
      </c>
      <c r="C84" s="5">
        <v>307.81</v>
      </c>
    </row>
    <row r="85" ht="14.25">
      <c r="B85" s="5" t="s">
        <v>374</v>
      </c>
      <c r="C85" s="5">
        <v>-179256.51000000001</v>
      </c>
    </row>
    <row r="86" ht="14.25">
      <c r="B86" s="5" t="s">
        <v>375</v>
      </c>
    </row>
    <row r="87" ht="14.25">
      <c r="B87" s="5" t="s">
        <v>376</v>
      </c>
    </row>
    <row r="88" ht="14.25">
      <c r="B88" s="5" t="s">
        <v>377</v>
      </c>
    </row>
    <row r="89" ht="14.25">
      <c r="B89" s="5" t="s">
        <v>378</v>
      </c>
    </row>
    <row r="90" ht="14.25">
      <c r="B90" s="5" t="s">
        <v>379</v>
      </c>
    </row>
    <row r="91" ht="14.25">
      <c r="B91" s="5"/>
    </row>
    <row r="92" ht="14.25">
      <c r="A92" s="5"/>
      <c r="B92" s="5"/>
    </row>
    <row r="93" ht="14.25">
      <c r="A93" s="5" t="s">
        <v>380</v>
      </c>
      <c r="B93" s="5" t="s">
        <v>360</v>
      </c>
    </row>
    <row r="97" ht="14.25">
      <c r="A97" s="6" t="s">
        <v>381</v>
      </c>
    </row>
    <row r="98" ht="14.25">
      <c r="A98" s="5"/>
    </row>
    <row r="103" ht="14.25">
      <c r="A103" s="6" t="s">
        <v>382</v>
      </c>
    </row>
  </sheetData>
  <hyperlinks>
    <hyperlink r:id="rId1" ref="C2"/>
    <hyperlink r:id="rId2" ref="E2"/>
    <hyperlink r:id="rId3" ref="G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5" width="9.140625"/>
    <col customWidth="1" min="2" max="2" style="5" width="50.421875"/>
    <col customWidth="1" min="3" max="3" style="5" width="24.00390625"/>
    <col min="4" max="16384" style="5" width="9.140625"/>
  </cols>
  <sheetData>
    <row r="2" ht="14.25">
      <c r="B2" s="7" t="s">
        <v>383</v>
      </c>
    </row>
    <row r="3" ht="14.25">
      <c r="B3" s="5"/>
    </row>
    <row r="5" ht="16.5">
      <c r="A5" s="5" t="s">
        <v>384</v>
      </c>
      <c r="B5" s="6" t="s">
        <v>385</v>
      </c>
    </row>
    <row r="7" ht="16.5">
      <c r="A7" s="5" t="s">
        <v>386</v>
      </c>
      <c r="B7" s="5" t="s">
        <v>387</v>
      </c>
      <c r="C7" s="48">
        <v>0.39000000000000001</v>
      </c>
    </row>
    <row r="8" ht="16.5">
      <c r="A8" s="5" t="s">
        <v>386</v>
      </c>
      <c r="B8" s="5" t="s">
        <v>388</v>
      </c>
      <c r="C8" s="8">
        <v>0.34000000000000002</v>
      </c>
    </row>
    <row r="9" ht="16.5">
      <c r="A9" s="5" t="s">
        <v>386</v>
      </c>
      <c r="B9" s="5" t="s">
        <v>389</v>
      </c>
      <c r="C9" s="8">
        <v>0.51000000000000001</v>
      </c>
    </row>
    <row r="10" ht="14.25">
      <c r="C10" s="8"/>
    </row>
    <row r="11" ht="14.25">
      <c r="C11" s="8"/>
    </row>
    <row r="12" ht="14.25">
      <c r="C12" s="8"/>
    </row>
    <row r="13" ht="16.5">
      <c r="B13" s="6" t="str">
        <f>B7</f>
        <v xml:space="preserve">Bajaj finserv ltd</v>
      </c>
      <c r="C13" s="8"/>
    </row>
    <row r="14" ht="16.5">
      <c r="A14" s="5" t="s">
        <v>384</v>
      </c>
      <c r="B14" s="5" t="s">
        <v>390</v>
      </c>
      <c r="C14" s="8">
        <v>0.51390000000000002</v>
      </c>
    </row>
    <row r="15" ht="16.5">
      <c r="A15" s="5"/>
      <c r="B15" s="5" t="s">
        <v>391</v>
      </c>
      <c r="C15" s="8">
        <v>0.73999999999999999</v>
      </c>
    </row>
    <row r="16" ht="16.5">
      <c r="B16" s="5" t="s">
        <v>392</v>
      </c>
      <c r="C16" s="8">
        <v>0.73999999999999999</v>
      </c>
    </row>
    <row r="17" ht="16.5">
      <c r="B17" s="5" t="s">
        <v>393</v>
      </c>
      <c r="C17" s="8">
        <v>0.80100000000000005</v>
      </c>
    </row>
    <row r="18" ht="16.5">
      <c r="B18" s="5" t="s">
        <v>394</v>
      </c>
      <c r="C18" s="8">
        <v>1</v>
      </c>
    </row>
    <row r="19" ht="14.25">
      <c r="C19" s="8"/>
    </row>
    <row r="20" ht="14.25">
      <c r="C20" s="8"/>
    </row>
    <row r="21" ht="16.5">
      <c r="B21" s="6" t="str">
        <f>B14</f>
        <v xml:space="preserve">Bajaj Finance Ltd</v>
      </c>
      <c r="C21" s="8"/>
    </row>
    <row r="22" ht="16.5">
      <c r="A22" s="5" t="s">
        <v>384</v>
      </c>
      <c r="B22" s="5" t="s">
        <v>395</v>
      </c>
      <c r="C22" s="8">
        <v>0.88749999999999996</v>
      </c>
    </row>
    <row r="23" ht="16.5">
      <c r="B23" s="5" t="s">
        <v>396</v>
      </c>
      <c r="C23" s="8">
        <v>1</v>
      </c>
    </row>
    <row r="24" ht="14.25">
      <c r="C24" s="48"/>
    </row>
    <row r="27" ht="16.5">
      <c r="B27" s="6" t="s">
        <v>397</v>
      </c>
    </row>
    <row r="29" ht="16.5">
      <c r="B29" s="5" t="s">
        <v>398</v>
      </c>
      <c r="C29" s="49">
        <v>49500</v>
      </c>
    </row>
    <row r="30" ht="16.5">
      <c r="A30" s="5" t="s">
        <v>399</v>
      </c>
      <c r="B30" s="5" t="s">
        <v>400</v>
      </c>
      <c r="C30" s="49">
        <v>62700</v>
      </c>
    </row>
    <row r="31" ht="16.5">
      <c r="B31" s="5" t="s">
        <v>401</v>
      </c>
      <c r="C31" s="49">
        <v>46250</v>
      </c>
    </row>
    <row r="32" ht="16.5">
      <c r="B32" s="5" t="s">
        <v>402</v>
      </c>
      <c r="C32" s="49">
        <v>21250</v>
      </c>
    </row>
    <row r="33" ht="16.5">
      <c r="B33" s="5" t="s">
        <v>403</v>
      </c>
      <c r="C33" s="49">
        <v>30700</v>
      </c>
    </row>
    <row r="34" ht="16.5">
      <c r="B34" s="5" t="s">
        <v>404</v>
      </c>
      <c r="C34" s="49">
        <v>550</v>
      </c>
    </row>
    <row r="35" ht="16.5">
      <c r="B35" s="5" t="s">
        <v>405</v>
      </c>
      <c r="C35" s="49">
        <v>8900</v>
      </c>
    </row>
    <row r="36" ht="16.5">
      <c r="B36" s="5" t="s">
        <v>406</v>
      </c>
      <c r="C36" s="49">
        <v>2300</v>
      </c>
    </row>
    <row r="37" ht="16.5">
      <c r="B37" s="5" t="s">
        <v>407</v>
      </c>
      <c r="C37" s="49">
        <v>100</v>
      </c>
    </row>
    <row r="38" ht="16.5">
      <c r="B38" s="5" t="s">
        <v>408</v>
      </c>
      <c r="C38" s="49">
        <v>850</v>
      </c>
    </row>
    <row r="39" ht="16.5">
      <c r="B39" s="5" t="s">
        <v>409</v>
      </c>
      <c r="C39" s="49">
        <v>9200</v>
      </c>
    </row>
    <row r="40" ht="16.5">
      <c r="B40" s="5" t="s">
        <v>410</v>
      </c>
      <c r="C40" s="49">
        <v>232200</v>
      </c>
    </row>
    <row r="41" ht="16.5">
      <c r="B41" s="5" t="s">
        <v>411</v>
      </c>
      <c r="C41" s="49">
        <v>7500</v>
      </c>
    </row>
    <row r="44" ht="16.5">
      <c r="B44" s="6" t="s">
        <v>412</v>
      </c>
    </row>
    <row r="45" ht="16.5">
      <c r="B45" s="5" t="s">
        <v>413</v>
      </c>
      <c r="C45" s="49">
        <v>17319</v>
      </c>
    </row>
    <row r="46" ht="16.5">
      <c r="B46" s="5" t="s">
        <v>414</v>
      </c>
      <c r="C46" s="49">
        <v>29109</v>
      </c>
    </row>
    <row r="47" ht="16.5">
      <c r="B47" s="5" t="s">
        <v>415</v>
      </c>
      <c r="C47" s="49">
        <v>87696</v>
      </c>
    </row>
    <row r="48" ht="16.5">
      <c r="B48" s="5" t="s">
        <v>416</v>
      </c>
      <c r="C48" s="49">
        <v>7944</v>
      </c>
    </row>
    <row r="49" ht="16.5">
      <c r="A49" s="5"/>
      <c r="B49" s="5" t="s">
        <v>417</v>
      </c>
      <c r="C49" s="49">
        <v>21467</v>
      </c>
    </row>
    <row r="50" ht="16.5">
      <c r="B50" s="5" t="s">
        <v>418</v>
      </c>
      <c r="C50" s="49">
        <v>8307</v>
      </c>
    </row>
    <row r="51" ht="16.5">
      <c r="B51" s="5" t="s">
        <v>419</v>
      </c>
      <c r="C51" s="49">
        <v>50345</v>
      </c>
    </row>
    <row r="52" ht="16.5">
      <c r="B52" s="5" t="s">
        <v>420</v>
      </c>
      <c r="C52" s="49">
        <v>11876</v>
      </c>
    </row>
    <row r="53" ht="16.5">
      <c r="B53" s="5" t="s">
        <v>421</v>
      </c>
      <c r="C53" s="49">
        <v>27760</v>
      </c>
    </row>
    <row r="54" ht="16.5">
      <c r="B54" s="5" t="s">
        <v>422</v>
      </c>
      <c r="C54" s="49">
        <v>25377</v>
      </c>
    </row>
    <row r="55" ht="16.5">
      <c r="B55" s="5" t="s">
        <v>423</v>
      </c>
      <c r="C55" s="49">
        <v>129461</v>
      </c>
    </row>
    <row r="56" ht="16.5">
      <c r="B56" s="6" t="s">
        <v>424</v>
      </c>
      <c r="C56" s="50">
        <f>SUM(C45:C55)</f>
        <v>416661</v>
      </c>
    </row>
    <row r="57" ht="16.5">
      <c r="B57" s="5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4.140625"/>
    <col customWidth="1" min="2" max="2" width="22.28125"/>
    <col customWidth="1" min="3" max="16384" width="17.7109375"/>
  </cols>
  <sheetData>
    <row r="1">
      <c r="A1" t="s">
        <v>425</v>
      </c>
      <c r="B1" t="s">
        <v>426</v>
      </c>
      <c r="I1" s="7" t="s">
        <v>427</v>
      </c>
      <c r="J1" s="7" t="s">
        <v>428</v>
      </c>
    </row>
    <row r="2">
      <c r="C2" t="s">
        <v>295</v>
      </c>
      <c r="D2" t="s">
        <v>184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s="1" t="s">
        <v>429</v>
      </c>
      <c r="K2">
        <v>2025</v>
      </c>
      <c r="L2">
        <f>K2+1</f>
        <v>2026</v>
      </c>
      <c r="M2" s="51">
        <f>L2+1</f>
        <v>2027</v>
      </c>
      <c r="N2" s="51">
        <f>M2+1</f>
        <v>2028</v>
      </c>
      <c r="O2" s="51">
        <f>N2+1</f>
        <v>2029</v>
      </c>
      <c r="P2" s="51">
        <f>O2+1</f>
        <v>2030</v>
      </c>
      <c r="Q2" s="51">
        <f>P2+1</f>
        <v>2031</v>
      </c>
      <c r="R2" s="51">
        <f>Q2+1</f>
        <v>2032</v>
      </c>
      <c r="S2" s="51">
        <f>R2+1</f>
        <v>2033</v>
      </c>
      <c r="T2" s="51">
        <f>S2+1</f>
        <v>2034</v>
      </c>
      <c r="U2" s="52">
        <f>T2+1</f>
        <v>2035</v>
      </c>
      <c r="V2" s="52">
        <f>U2+1</f>
        <v>2036</v>
      </c>
      <c r="W2" s="52">
        <f>V2+1</f>
        <v>2037</v>
      </c>
      <c r="X2" s="52">
        <f>W2+1</f>
        <v>2038</v>
      </c>
      <c r="Y2" s="52">
        <f>X2+1</f>
        <v>2039</v>
      </c>
      <c r="Z2" s="52">
        <f>Y2+1</f>
        <v>2040</v>
      </c>
      <c r="AA2" s="52">
        <f>Z2+1</f>
        <v>2041</v>
      </c>
      <c r="AB2" s="52">
        <f>AA2+1</f>
        <v>2042</v>
      </c>
      <c r="AC2" s="52">
        <f>AB2+1</f>
        <v>2043</v>
      </c>
      <c r="AD2" s="52">
        <f>AC2+1</f>
        <v>2044</v>
      </c>
      <c r="AE2" s="52">
        <f>AD2+1</f>
        <v>2045</v>
      </c>
      <c r="AF2" s="52">
        <f>AE2+1</f>
        <v>2046</v>
      </c>
      <c r="AG2" s="52">
        <f>AF2+1</f>
        <v>2047</v>
      </c>
      <c r="AH2" s="52">
        <f>AG2+1</f>
        <v>2048</v>
      </c>
      <c r="AI2" s="52">
        <f>AH2+1</f>
        <v>2049</v>
      </c>
      <c r="AJ2" s="52">
        <f>AI2+1</f>
        <v>2050</v>
      </c>
      <c r="AK2" s="52">
        <f>AJ2+1</f>
        <v>2051</v>
      </c>
      <c r="AL2" s="52">
        <f>AK2+1</f>
        <v>2052</v>
      </c>
      <c r="AM2" s="52">
        <f>AL2+1</f>
        <v>2053</v>
      </c>
      <c r="AN2" s="52">
        <f>AM2+1</f>
        <v>2054</v>
      </c>
      <c r="AO2" s="52">
        <f>AN2+1</f>
        <v>2055</v>
      </c>
      <c r="AP2" s="52">
        <f>AO2+1</f>
        <v>2056</v>
      </c>
      <c r="AQ2" s="52">
        <f>AP2+1</f>
        <v>2057</v>
      </c>
      <c r="AR2" s="52">
        <f>AQ2+1</f>
        <v>2058</v>
      </c>
      <c r="AS2" s="52">
        <f>AR2+1</f>
        <v>2059</v>
      </c>
      <c r="AT2" s="52">
        <f>AS2+1</f>
        <v>2060</v>
      </c>
      <c r="AU2" s="52">
        <f>AT2+1</f>
        <v>2061</v>
      </c>
      <c r="AV2" s="52">
        <f>AU2+1</f>
        <v>2062</v>
      </c>
      <c r="AW2" s="52">
        <f>AV2+1</f>
        <v>2063</v>
      </c>
      <c r="AX2" s="52">
        <f>AW2+1</f>
        <v>2064</v>
      </c>
      <c r="AY2" s="52">
        <f>AX2+1</f>
        <v>2065</v>
      </c>
      <c r="AZ2" s="52">
        <f>AY2+1</f>
        <v>2066</v>
      </c>
      <c r="BA2" s="52">
        <f>AZ2+1</f>
        <v>2067</v>
      </c>
      <c r="BB2" s="52">
        <f>BA2+1</f>
        <v>2068</v>
      </c>
      <c r="BC2" s="52">
        <f>BB2+1</f>
        <v>2069</v>
      </c>
      <c r="BD2" s="52">
        <f>BC2+1</f>
        <v>2070</v>
      </c>
      <c r="BE2" s="52">
        <f>BD2+1</f>
        <v>2071</v>
      </c>
      <c r="BF2" s="52">
        <f>BE2+1</f>
        <v>2072</v>
      </c>
      <c r="BG2" s="52">
        <f>BF2+1</f>
        <v>2073</v>
      </c>
      <c r="BH2" s="52">
        <f>BG2+1</f>
        <v>2074</v>
      </c>
      <c r="BI2" s="52">
        <f>BH2+1</f>
        <v>2075</v>
      </c>
      <c r="BJ2" s="52">
        <f>BI2+1</f>
        <v>2076</v>
      </c>
      <c r="BK2" s="52">
        <f>BJ2+1</f>
        <v>2077</v>
      </c>
      <c r="BL2" s="52">
        <f>BK2+1</f>
        <v>2078</v>
      </c>
      <c r="BM2" s="52">
        <f>BL2+1</f>
        <v>2079</v>
      </c>
      <c r="BN2" s="52">
        <f>BM2+1</f>
        <v>2080</v>
      </c>
      <c r="BO2" s="52">
        <f>BN2+1</f>
        <v>2081</v>
      </c>
      <c r="BP2" s="52">
        <f>BO2+1</f>
        <v>2082</v>
      </c>
      <c r="BQ2" s="52">
        <f>BP2+1</f>
        <v>2083</v>
      </c>
      <c r="BR2" s="52">
        <f>BQ2+1</f>
        <v>2084</v>
      </c>
      <c r="BS2" s="52">
        <f>BR2+1</f>
        <v>2085</v>
      </c>
      <c r="BT2" s="52">
        <f>BS2+1</f>
        <v>2086</v>
      </c>
      <c r="BU2" s="52">
        <f>BT2+1</f>
        <v>2087</v>
      </c>
      <c r="BV2" s="52">
        <f>BU2+1</f>
        <v>2088</v>
      </c>
      <c r="BW2" s="52">
        <f>BV2+1</f>
        <v>2089</v>
      </c>
      <c r="BX2" s="52">
        <f>BW2+1</f>
        <v>2090</v>
      </c>
      <c r="BY2" s="52">
        <f>BX2+1</f>
        <v>2091</v>
      </c>
      <c r="BZ2" s="52">
        <f>BY2+1</f>
        <v>2092</v>
      </c>
      <c r="CA2" s="52">
        <f>BZ2+1</f>
        <v>2093</v>
      </c>
      <c r="CB2" s="52">
        <f>CA2+1</f>
        <v>2094</v>
      </c>
      <c r="CC2" s="52">
        <f>CB2+1</f>
        <v>2095</v>
      </c>
      <c r="CD2" s="52">
        <f>CC2+1</f>
        <v>2096</v>
      </c>
      <c r="CE2" s="52">
        <f>CD2+1</f>
        <v>2097</v>
      </c>
      <c r="CF2" s="52">
        <f>CE2+1</f>
        <v>2098</v>
      </c>
      <c r="CG2" s="52">
        <f>CF2+1</f>
        <v>2099</v>
      </c>
      <c r="CH2" s="52">
        <f>CG2+1</f>
        <v>2100</v>
      </c>
      <c r="CI2" s="52">
        <f>CH2+1</f>
        <v>2101</v>
      </c>
      <c r="CJ2" s="52">
        <f>CI2+1</f>
        <v>2102</v>
      </c>
      <c r="CK2" s="52">
        <f>CJ2+1</f>
        <v>2103</v>
      </c>
      <c r="CL2" s="52">
        <f>CK2+1</f>
        <v>2104</v>
      </c>
      <c r="CM2" s="52">
        <f>CL2+1</f>
        <v>2105</v>
      </c>
      <c r="CN2" s="52">
        <f>CM2+1</f>
        <v>2106</v>
      </c>
      <c r="CO2" s="52">
        <f>CN2+1</f>
        <v>2107</v>
      </c>
      <c r="CP2" s="52">
        <f>CO2+1</f>
        <v>2108</v>
      </c>
      <c r="CQ2" s="52">
        <f>CP2+1</f>
        <v>2109</v>
      </c>
      <c r="CR2" s="52">
        <f>CQ2+1</f>
        <v>2110</v>
      </c>
      <c r="CS2" s="52">
        <f>CR2+1</f>
        <v>2111</v>
      </c>
      <c r="CT2" s="52">
        <f>CS2+1</f>
        <v>2112</v>
      </c>
      <c r="CU2" s="52">
        <f>CT2+1</f>
        <v>2113</v>
      </c>
      <c r="CV2" s="52">
        <f>CU2+1</f>
        <v>2114</v>
      </c>
      <c r="CW2" s="52">
        <f>CV2+1</f>
        <v>2115</v>
      </c>
      <c r="CX2" s="52">
        <f>CW2+1</f>
        <v>2116</v>
      </c>
      <c r="CY2" s="52">
        <f>CX2+1</f>
        <v>2117</v>
      </c>
      <c r="CZ2" s="52">
        <f>CY2+1</f>
        <v>2118</v>
      </c>
      <c r="DA2" s="52">
        <f>CZ2+1</f>
        <v>2119</v>
      </c>
      <c r="DB2" s="52">
        <f>DA2+1</f>
        <v>2120</v>
      </c>
      <c r="DC2" s="52">
        <f>DB2+1</f>
        <v>2121</v>
      </c>
      <c r="DD2" s="52">
        <f>DC2+1</f>
        <v>2122</v>
      </c>
      <c r="DE2" s="52">
        <f>DD2+1</f>
        <v>2123</v>
      </c>
      <c r="DF2" s="52">
        <f>DE2+1</f>
        <v>2124</v>
      </c>
      <c r="DG2" s="52">
        <f>DF2+1</f>
        <v>2125</v>
      </c>
    </row>
    <row r="3">
      <c r="B3" t="s">
        <v>430</v>
      </c>
      <c r="C3" s="53"/>
      <c r="D3" s="53"/>
      <c r="E3" s="53"/>
      <c r="F3" s="54">
        <v>23303.380000000001</v>
      </c>
      <c r="G3" s="54">
        <v>27269.759999999998</v>
      </c>
      <c r="H3" s="54">
        <v>35548.57</v>
      </c>
      <c r="I3" s="54">
        <v>48306.599999999999</v>
      </c>
      <c r="J3" s="55">
        <f t="shared" ref="J3:J9" si="23">I3</f>
        <v>48306.599999999999</v>
      </c>
      <c r="P3" s="56"/>
      <c r="U3" s="56"/>
    </row>
    <row r="4">
      <c r="B4" t="s">
        <v>431</v>
      </c>
      <c r="C4" s="53"/>
      <c r="D4" s="53"/>
      <c r="E4" s="53"/>
      <c r="F4" s="54">
        <v>2452.3899999999999</v>
      </c>
      <c r="G4" s="54">
        <v>3066.6900000000001</v>
      </c>
      <c r="H4" s="54">
        <v>4355.6300000000001</v>
      </c>
      <c r="I4" s="54">
        <v>5267.1700000000001</v>
      </c>
      <c r="J4" s="55">
        <f t="shared" si="23"/>
        <v>5267.1700000000001</v>
      </c>
      <c r="P4" s="56"/>
      <c r="U4" s="56"/>
    </row>
    <row r="5" s="1" customFormat="1">
      <c r="B5" s="2" t="s">
        <v>432</v>
      </c>
      <c r="C5" s="57"/>
      <c r="D5" s="57"/>
      <c r="E5" s="57"/>
      <c r="F5" s="54">
        <v>591.20000000000005</v>
      </c>
      <c r="G5" s="54">
        <v>327.74000000000001</v>
      </c>
      <c r="H5" s="54">
        <v>334.31999999999999</v>
      </c>
      <c r="I5" s="54">
        <v>308.29000000000002</v>
      </c>
      <c r="J5" s="55">
        <f t="shared" si="23"/>
        <v>308.29000000000002</v>
      </c>
      <c r="P5" s="58"/>
      <c r="U5" s="58"/>
    </row>
    <row r="6">
      <c r="B6" t="s">
        <v>300</v>
      </c>
      <c r="C6" s="53"/>
      <c r="D6" s="53"/>
      <c r="E6" s="53"/>
      <c r="F6" s="54">
        <v>157.53</v>
      </c>
      <c r="G6" s="54">
        <v>74.959999999999994</v>
      </c>
      <c r="H6" s="54">
        <v>38.18</v>
      </c>
      <c r="I6" s="54">
        <v>49.969999999999999</v>
      </c>
      <c r="J6" s="55">
        <f t="shared" si="23"/>
        <v>49.969999999999999</v>
      </c>
      <c r="P6" s="56"/>
      <c r="U6" s="56"/>
    </row>
    <row r="7" s="1" customFormat="1">
      <c r="A7" s="1"/>
      <c r="B7" s="2" t="s">
        <v>433</v>
      </c>
      <c r="C7" s="57"/>
      <c r="D7" s="57"/>
      <c r="E7" s="57"/>
      <c r="F7" s="54">
        <v>0</v>
      </c>
      <c r="G7" s="54">
        <v>0</v>
      </c>
      <c r="H7" s="54">
        <v>23.170000000000002</v>
      </c>
      <c r="I7" s="54">
        <v>13.33</v>
      </c>
      <c r="J7" s="55">
        <f t="shared" si="23"/>
        <v>13.33</v>
      </c>
      <c r="P7" s="58"/>
      <c r="U7" s="58"/>
    </row>
    <row r="8">
      <c r="B8" t="s">
        <v>434</v>
      </c>
      <c r="C8" s="53"/>
      <c r="D8" s="53"/>
      <c r="E8" s="53"/>
      <c r="F8" s="54">
        <v>163.58000000000001</v>
      </c>
      <c r="G8" s="54">
        <v>893.26999999999998</v>
      </c>
      <c r="H8" s="54">
        <v>1110.29</v>
      </c>
      <c r="I8" s="54">
        <v>1024.1300000000001</v>
      </c>
      <c r="J8" s="55">
        <f t="shared" si="23"/>
        <v>1024.1300000000001</v>
      </c>
      <c r="P8" s="56"/>
      <c r="U8" s="56"/>
    </row>
    <row r="9" s="1" customFormat="1">
      <c r="B9" s="1" t="s">
        <v>435</v>
      </c>
      <c r="C9" s="57"/>
      <c r="D9" s="59"/>
      <c r="E9" s="59"/>
      <c r="F9" s="60">
        <f>SUM(F3:F8)</f>
        <v>26668.080000000002</v>
      </c>
      <c r="G9" s="60">
        <f>SUM(G3:G8)</f>
        <v>31632.419999999998</v>
      </c>
      <c r="H9" s="60">
        <f>SUM(H3:H8)</f>
        <v>41410.159999999996</v>
      </c>
      <c r="I9" s="60">
        <f>SUM(I3:I8)</f>
        <v>54969.489999999998</v>
      </c>
      <c r="J9" s="55">
        <f t="shared" si="23"/>
        <v>54969.489999999998</v>
      </c>
      <c r="K9" s="1"/>
      <c r="L9" s="1"/>
      <c r="M9" s="1"/>
      <c r="N9" s="1"/>
      <c r="O9" s="1"/>
      <c r="P9" s="58"/>
      <c r="Q9" s="1"/>
      <c r="R9" s="1"/>
      <c r="S9" s="1"/>
      <c r="T9" s="1"/>
      <c r="U9" s="58"/>
    </row>
    <row r="10">
      <c r="B10" t="s">
        <v>135</v>
      </c>
      <c r="C10" s="53"/>
      <c r="D10" s="53"/>
      <c r="E10" s="53"/>
      <c r="F10" s="54">
        <v>14.949999999999999</v>
      </c>
      <c r="G10" s="54">
        <v>7.9900000000000002</v>
      </c>
      <c r="H10" s="54">
        <v>8.0999999999999996</v>
      </c>
      <c r="I10" s="54">
        <v>13.02</v>
      </c>
      <c r="J10" s="55">
        <f t="shared" ref="J10:J49" si="24">I10</f>
        <v>13.02</v>
      </c>
      <c r="P10" s="56"/>
      <c r="U10" s="56"/>
    </row>
    <row r="11">
      <c r="B11" t="s">
        <v>304</v>
      </c>
      <c r="C11" s="53"/>
      <c r="D11" s="61"/>
      <c r="E11" s="61"/>
      <c r="F11" s="62">
        <f>F9+F10</f>
        <v>26683.030000000002</v>
      </c>
      <c r="G11" s="62">
        <f>G9+G10</f>
        <v>31640.41</v>
      </c>
      <c r="H11" s="62">
        <f>H9+H10</f>
        <v>41418.259999999995</v>
      </c>
      <c r="I11" s="62">
        <f>I9+I10</f>
        <v>54982.509999999995</v>
      </c>
      <c r="J11" s="55">
        <f t="shared" si="24"/>
        <v>54982.509999999995</v>
      </c>
      <c r="K11" s="63">
        <f>J11*(1+$L$40)</f>
        <v>63779.711599999988</v>
      </c>
      <c r="L11" s="63">
        <f>K11*(1+$L$40)</f>
        <v>73984.465455999976</v>
      </c>
      <c r="M11" s="63">
        <f>L11*(1+$L$40)</f>
        <v>85821.979928959961</v>
      </c>
      <c r="N11" s="63">
        <f>M11*(1+$L$40)</f>
        <v>99553.496717593545</v>
      </c>
      <c r="O11" s="63">
        <f>N11*(1+$L$40)</f>
        <v>115482.05619240851</v>
      </c>
      <c r="P11" s="64">
        <f>O11*(1+$L$40)</f>
        <v>133959.18518319385</v>
      </c>
      <c r="Q11" s="63">
        <f>P11*(1+$Q$40)</f>
        <v>150034.28740517714</v>
      </c>
      <c r="R11" s="63">
        <f>Q11*(1+$Q$40)</f>
        <v>168038.40189379841</v>
      </c>
      <c r="S11" s="63">
        <f>R11*(1+$Q$40)</f>
        <v>188203.01012105422</v>
      </c>
      <c r="T11" s="63">
        <f>S11*(1+$Q$40)</f>
        <v>210787.37133558074</v>
      </c>
      <c r="U11" s="64">
        <f>T11*(1+$Q$40)</f>
        <v>236081.85589585046</v>
      </c>
      <c r="DH11" s="1"/>
    </row>
    <row r="12">
      <c r="B12" s="2" t="s">
        <v>305</v>
      </c>
      <c r="C12" s="53"/>
      <c r="D12" s="61"/>
      <c r="E12" s="61"/>
      <c r="F12" s="62"/>
      <c r="G12" s="62"/>
      <c r="H12" s="62"/>
      <c r="I12" s="62"/>
      <c r="J12" s="55"/>
      <c r="P12" s="56"/>
      <c r="U12" s="56"/>
    </row>
    <row r="13">
      <c r="C13" s="53"/>
      <c r="D13" s="61"/>
      <c r="E13" s="61"/>
      <c r="F13" s="62"/>
      <c r="G13" s="62"/>
      <c r="H13" s="62"/>
      <c r="I13" s="62"/>
      <c r="J13" s="55"/>
      <c r="P13" s="56"/>
      <c r="U13" s="56"/>
    </row>
    <row r="14" s="1" customFormat="1">
      <c r="B14" s="2" t="s">
        <v>360</v>
      </c>
      <c r="C14" s="57"/>
      <c r="D14" s="57"/>
      <c r="E14" s="57"/>
      <c r="F14" s="65">
        <v>9414</v>
      </c>
      <c r="G14" s="65">
        <v>9748.2399999999998</v>
      </c>
      <c r="H14" s="65">
        <v>12559.889999999999</v>
      </c>
      <c r="I14" s="65">
        <v>18724.689999999999</v>
      </c>
      <c r="J14" s="55">
        <f t="shared" si="24"/>
        <v>18724.689999999999</v>
      </c>
      <c r="K14" s="65">
        <f>K11*0.35</f>
        <v>22322.899059999996</v>
      </c>
      <c r="L14" s="65">
        <f>L11*0.35</f>
        <v>25894.56290959999</v>
      </c>
      <c r="M14" s="65">
        <f>M11*0.35</f>
        <v>30037.692975135986</v>
      </c>
      <c r="N14" s="65">
        <f>N11*0.35</f>
        <v>34843.723851157738</v>
      </c>
      <c r="O14" s="65">
        <f>O11*0.35</f>
        <v>40418.719667342972</v>
      </c>
      <c r="P14" s="66">
        <f>P11*0.35</f>
        <v>46885.714814117848</v>
      </c>
      <c r="Q14" s="65">
        <f>Q11*0.35</f>
        <v>52512.000591811993</v>
      </c>
      <c r="R14" s="65">
        <f>R11*0.35</f>
        <v>58813.440662829438</v>
      </c>
      <c r="S14" s="65">
        <f>S11*0.35</f>
        <v>65871.053542368973</v>
      </c>
      <c r="T14" s="65">
        <f>T11*0.35</f>
        <v>73775.579967453261</v>
      </c>
      <c r="U14" s="66">
        <f>U11*0.35</f>
        <v>82628.64956354766</v>
      </c>
      <c r="DI14" s="67">
        <f>DI11*0.35</f>
        <v>0</v>
      </c>
    </row>
    <row r="15">
      <c r="B15" t="s">
        <v>436</v>
      </c>
      <c r="F15" s="54">
        <v>1246.48</v>
      </c>
      <c r="G15" s="54">
        <v>1745.55</v>
      </c>
      <c r="H15" s="54">
        <v>1891.47</v>
      </c>
      <c r="I15" s="54">
        <v>1931.5</v>
      </c>
      <c r="J15" s="55">
        <f t="shared" si="24"/>
        <v>1931.5</v>
      </c>
      <c r="K15" s="54">
        <f>J15*1.06</f>
        <v>2047.3900000000001</v>
      </c>
      <c r="L15" s="62">
        <f>K15*1.06</f>
        <v>2170.2334000000001</v>
      </c>
      <c r="M15" s="62">
        <f>L15*1.06</f>
        <v>2300.447404</v>
      </c>
      <c r="N15" s="62">
        <f>M15*1.06</f>
        <v>2438.4742482400002</v>
      </c>
      <c r="O15" s="62">
        <f>N15*1.06</f>
        <v>2584.7827031344004</v>
      </c>
      <c r="P15" s="68">
        <f>O15*1.06</f>
        <v>2739.8696653224647</v>
      </c>
      <c r="Q15" s="69">
        <f>P15*1.05</f>
        <v>2876.863148588588</v>
      </c>
      <c r="R15" s="69">
        <f>Q15*1.05</f>
        <v>3020.7063060180176</v>
      </c>
      <c r="S15" s="69">
        <f>R15*1.05</f>
        <v>3171.7416213189185</v>
      </c>
      <c r="T15" s="69">
        <f>S15*1.05</f>
        <v>3330.3287023848648</v>
      </c>
      <c r="U15" s="70">
        <f>T15*1.05</f>
        <v>3496.8451375041082</v>
      </c>
      <c r="DI15" s="71">
        <f>DH15*1.06</f>
        <v>0</v>
      </c>
    </row>
    <row r="16" ht="14.25">
      <c r="A16" t="s">
        <v>437</v>
      </c>
      <c r="B16" t="s">
        <v>438</v>
      </c>
      <c r="F16" s="54">
        <v>5968.5799999999999</v>
      </c>
      <c r="G16" s="54">
        <v>4803.3999999999996</v>
      </c>
      <c r="H16" s="54">
        <v>3189.6500000000001</v>
      </c>
      <c r="I16" s="54">
        <v>4630.6999999999998</v>
      </c>
      <c r="J16" s="55">
        <f t="shared" si="24"/>
        <v>4630.6999999999998</v>
      </c>
      <c r="K16" s="69">
        <f>J16*1.1</f>
        <v>5093.7700000000004</v>
      </c>
      <c r="L16" s="72">
        <f>K16*1.1</f>
        <v>5603.1470000000008</v>
      </c>
      <c r="M16" s="72">
        <f>L16*1.1</f>
        <v>6163.4617000000017</v>
      </c>
      <c r="N16" s="72">
        <f>M16*1.1</f>
        <v>6779.8078700000024</v>
      </c>
      <c r="O16" s="72">
        <f>N16*1.1</f>
        <v>7457.7886570000028</v>
      </c>
      <c r="P16" s="73">
        <f>O16*1.1</f>
        <v>8203.5675227000029</v>
      </c>
      <c r="Q16" s="69">
        <f>P16*1.08</f>
        <v>8859.8529245160044</v>
      </c>
      <c r="R16" s="69">
        <f>Q16*1.08</f>
        <v>9568.641158477285</v>
      </c>
      <c r="S16" s="69">
        <f>R16*1.08</f>
        <v>10334.132451155469</v>
      </c>
      <c r="T16" s="69">
        <f>S16*1.08</f>
        <v>11160.863047247907</v>
      </c>
      <c r="U16" s="70">
        <f>T16*1.08</f>
        <v>12053.732091027741</v>
      </c>
    </row>
    <row r="17" ht="14.25">
      <c r="B17" t="s">
        <v>139</v>
      </c>
      <c r="F17" s="54">
        <v>2498.6700000000001</v>
      </c>
      <c r="G17" s="54">
        <v>3589.6599999999999</v>
      </c>
      <c r="H17" s="54">
        <v>5100.1899999999996</v>
      </c>
      <c r="I17" s="54">
        <v>6396.0100000000002</v>
      </c>
      <c r="J17" s="55">
        <f t="shared" si="24"/>
        <v>6396.0100000000002</v>
      </c>
      <c r="K17" s="69">
        <f t="shared" ref="K17:K18" si="25">J17*1.15</f>
        <v>7355.4114999999993</v>
      </c>
      <c r="L17" s="72">
        <f t="shared" ref="L17:L18" si="26">K17*1.15</f>
        <v>8458.7232249999979</v>
      </c>
      <c r="M17" s="72">
        <f t="shared" ref="M17:M18" si="27">L17*1.15</f>
        <v>9727.5317087499971</v>
      </c>
      <c r="N17" s="72">
        <f t="shared" ref="N17:N18" si="28">M17*1.15</f>
        <v>11186.661465062496</v>
      </c>
      <c r="O17" s="72">
        <f t="shared" ref="O17:O18" si="29">N17*1.15</f>
        <v>12864.660684821869</v>
      </c>
      <c r="P17" s="73">
        <f t="shared" ref="P17:P18" si="30">O17*1.15</f>
        <v>14794.359787545149</v>
      </c>
      <c r="Q17" s="69">
        <f>P17*1.06</f>
        <v>15682.021374797858</v>
      </c>
      <c r="R17" s="69">
        <f>Q17*1.06</f>
        <v>16622.94265728573</v>
      </c>
      <c r="S17" s="69">
        <f>R17*1.06</f>
        <v>17620.319216722874</v>
      </c>
      <c r="T17" s="69">
        <f>S17*1.06</f>
        <v>18677.538369726248</v>
      </c>
      <c r="U17" s="70">
        <f>T17*1.06</f>
        <v>19798.190671909822</v>
      </c>
    </row>
    <row r="18">
      <c r="B18" t="s">
        <v>140</v>
      </c>
      <c r="D18" s="74"/>
      <c r="E18" s="74"/>
      <c r="F18" s="54">
        <v>325.26999999999998</v>
      </c>
      <c r="G18" s="54">
        <v>384.56999999999999</v>
      </c>
      <c r="H18" s="54">
        <v>485.38</v>
      </c>
      <c r="I18" s="54">
        <v>683.32000000000005</v>
      </c>
      <c r="J18" s="55">
        <f t="shared" si="24"/>
        <v>683.32000000000005</v>
      </c>
      <c r="K18" s="69">
        <f t="shared" si="25"/>
        <v>785.81799999999998</v>
      </c>
      <c r="L18" s="72">
        <f t="shared" si="26"/>
        <v>903.69069999999988</v>
      </c>
      <c r="M18" s="72">
        <f t="shared" si="27"/>
        <v>1039.2443049999997</v>
      </c>
      <c r="N18" s="72">
        <f t="shared" si="28"/>
        <v>1195.1309507499996</v>
      </c>
      <c r="O18" s="72">
        <f t="shared" si="29"/>
        <v>1374.4005933624994</v>
      </c>
      <c r="P18" s="73">
        <f t="shared" si="30"/>
        <v>1580.5606823668743</v>
      </c>
      <c r="Q18" s="69">
        <f>P18*1.1</f>
        <v>1738.616750603562</v>
      </c>
      <c r="R18" s="69">
        <f>Q18*1.1</f>
        <v>1912.4784256639184</v>
      </c>
      <c r="S18" s="69">
        <f>R18*1.1</f>
        <v>2103.7262682303103</v>
      </c>
      <c r="T18" s="69">
        <f>S18*1.1</f>
        <v>2314.0988950533415</v>
      </c>
      <c r="U18" s="70">
        <f>T18*1.1</f>
        <v>2545.5087845586759</v>
      </c>
    </row>
    <row r="19">
      <c r="B19" t="s">
        <v>141</v>
      </c>
      <c r="D19" s="74"/>
      <c r="E19" s="74"/>
      <c r="F19" s="54">
        <v>1237.79</v>
      </c>
      <c r="G19" s="54">
        <v>1865.21</v>
      </c>
      <c r="H19" s="54">
        <v>2665.4899999999998</v>
      </c>
      <c r="I19" s="54">
        <v>3314.3600000000001</v>
      </c>
      <c r="J19" s="55">
        <f t="shared" si="24"/>
        <v>3314.3600000000001</v>
      </c>
      <c r="K19" s="69">
        <f>J19*1.2</f>
        <v>3977.232</v>
      </c>
      <c r="L19" s="72">
        <f>K19*1.2</f>
        <v>4772.6783999999998</v>
      </c>
      <c r="M19" s="72">
        <f>L19*1.2</f>
        <v>5727.2140799999997</v>
      </c>
      <c r="N19" s="72">
        <f>M19*1.2</f>
        <v>6872.6568959999995</v>
      </c>
      <c r="O19" s="72">
        <f>N19*1.2</f>
        <v>8247.1882751999983</v>
      </c>
      <c r="P19" s="73">
        <f>O19*1.2</f>
        <v>9896.6259302399976</v>
      </c>
      <c r="Q19" s="69">
        <f>P19*1.14</f>
        <v>11282.153560473596</v>
      </c>
      <c r="R19" s="69">
        <f>Q19*1.14</f>
        <v>12861.655058939899</v>
      </c>
      <c r="S19" s="69">
        <f>R19*1.14</f>
        <v>14662.286767191485</v>
      </c>
      <c r="T19" s="69">
        <f>S19*1.14</f>
        <v>16715.006914598292</v>
      </c>
      <c r="U19" s="70">
        <f>T19*1.14</f>
        <v>19055.107882642053</v>
      </c>
    </row>
    <row r="20" s="1" customFormat="1">
      <c r="B20" s="1" t="s">
        <v>439</v>
      </c>
      <c r="D20" s="75"/>
      <c r="E20" s="75"/>
      <c r="F20" s="65">
        <f>SUM(F14:F19)</f>
        <v>20690.789999999997</v>
      </c>
      <c r="G20" s="65">
        <f>SUM(G14:G19)</f>
        <v>22136.629999999997</v>
      </c>
      <c r="H20" s="65">
        <f>SUM(H14:H19)</f>
        <v>25892.07</v>
      </c>
      <c r="I20" s="65">
        <f>SUM(I14:I19)</f>
        <v>35680.580000000002</v>
      </c>
      <c r="J20" s="55">
        <f t="shared" si="24"/>
        <v>35680.580000000002</v>
      </c>
      <c r="K20" s="65">
        <f>SUM(K14:K19)</f>
        <v>41582.52055999999</v>
      </c>
      <c r="L20" s="65">
        <f>SUM(L14:L19)</f>
        <v>47803.03563459999</v>
      </c>
      <c r="M20" s="65">
        <f>SUM(M14:M19)</f>
        <v>54995.592172885976</v>
      </c>
      <c r="N20" s="65">
        <f>SUM(N14:N19)</f>
        <v>63316.455281210241</v>
      </c>
      <c r="O20" s="65">
        <f>SUM(O14:O19)</f>
        <v>72947.540580861736</v>
      </c>
      <c r="P20" s="66">
        <f>SUM(P14:P19)</f>
        <v>84100.698402292343</v>
      </c>
      <c r="Q20" s="65">
        <f>SUM(Q14:Q19)</f>
        <v>92951.508350791599</v>
      </c>
      <c r="R20" s="65">
        <f>SUM(R14:R19)</f>
        <v>102799.86426921429</v>
      </c>
      <c r="S20" s="65">
        <f>SUM(S14:S19)</f>
        <v>113763.25986698802</v>
      </c>
      <c r="T20" s="65">
        <f>SUM(T14:T19)</f>
        <v>125973.41589646391</v>
      </c>
      <c r="U20" s="66">
        <f>SUM(U14:U19)</f>
        <v>139578.03413119007</v>
      </c>
    </row>
    <row r="21">
      <c r="D21" s="74"/>
      <c r="E21" s="74"/>
      <c r="F21" s="54"/>
      <c r="G21" s="54"/>
      <c r="H21" s="54"/>
      <c r="I21" s="54"/>
      <c r="J21" s="55"/>
      <c r="K21" s="69"/>
      <c r="L21" s="69"/>
      <c r="M21" s="69"/>
      <c r="N21" s="69"/>
      <c r="O21" s="69"/>
      <c r="P21" s="70"/>
      <c r="Q21" s="69"/>
      <c r="R21" s="69"/>
      <c r="S21" s="69"/>
      <c r="T21" s="69"/>
      <c r="U21" s="70"/>
    </row>
    <row r="22">
      <c r="B22" t="s">
        <v>440</v>
      </c>
      <c r="D22" s="74"/>
      <c r="E22" s="74"/>
      <c r="F22" s="54">
        <v>0</v>
      </c>
      <c r="G22" s="54">
        <v>0</v>
      </c>
      <c r="H22" s="54">
        <v>1.6699999999999999</v>
      </c>
      <c r="I22" s="54">
        <v>7.6399999999999997</v>
      </c>
      <c r="J22" s="55">
        <f t="shared" si="24"/>
        <v>7.6399999999999997</v>
      </c>
      <c r="K22" s="69">
        <v>0</v>
      </c>
      <c r="L22" s="72">
        <v>0</v>
      </c>
      <c r="M22" s="72">
        <v>0</v>
      </c>
      <c r="N22" s="72">
        <v>0</v>
      </c>
      <c r="O22" s="72">
        <v>0</v>
      </c>
      <c r="P22" s="70"/>
      <c r="Q22" s="69"/>
      <c r="R22" s="69"/>
      <c r="S22" s="69"/>
      <c r="T22" s="69"/>
      <c r="U22" s="70"/>
    </row>
    <row r="23" ht="14.25">
      <c r="B23" t="s">
        <v>145</v>
      </c>
      <c r="F23" s="54">
        <f>F11-F20+F22</f>
        <v>5992.2400000000052</v>
      </c>
      <c r="G23" s="54">
        <f>G11-G20+G22</f>
        <v>9503.7800000000025</v>
      </c>
      <c r="H23" s="54">
        <f>H11-H20+H22</f>
        <v>15527.859999999995</v>
      </c>
      <c r="I23" s="54">
        <f>I11-I20+I22</f>
        <v>19309.569999999992</v>
      </c>
      <c r="J23" s="55">
        <f t="shared" si="24"/>
        <v>19309.569999999992</v>
      </c>
      <c r="K23" s="54">
        <f>K11-K20+K22</f>
        <v>22197.191039999998</v>
      </c>
      <c r="L23" s="54">
        <f>L11-L20+L22</f>
        <v>26181.429821399986</v>
      </c>
      <c r="M23" s="54">
        <f>M11-M20+M22</f>
        <v>30826.387756073986</v>
      </c>
      <c r="N23" s="54">
        <f>N11-N20+N22</f>
        <v>36237.041436383304</v>
      </c>
      <c r="O23" s="54">
        <f>O11-O20+O22</f>
        <v>42534.515611546769</v>
      </c>
      <c r="P23" s="76">
        <f>P11-P20+P22</f>
        <v>49858.486780901512</v>
      </c>
      <c r="Q23" s="54">
        <f>Q11-Q20+Q22</f>
        <v>57082.779054385537</v>
      </c>
      <c r="R23" s="54">
        <f>R11-R20+R22</f>
        <v>65238.537624584118</v>
      </c>
      <c r="S23" s="54">
        <f>S11-S20+S22</f>
        <v>74439.750254066195</v>
      </c>
      <c r="T23" s="54">
        <f>T11-T20+T22</f>
        <v>84813.955439116835</v>
      </c>
      <c r="U23" s="76">
        <f>U11-U20+U22</f>
        <v>96503.821764660388</v>
      </c>
    </row>
    <row r="24" ht="14.25">
      <c r="B24" t="s">
        <v>198</v>
      </c>
      <c r="F24" s="54">
        <f>-1660.26+87.82</f>
        <v>-1572.4400000000001</v>
      </c>
      <c r="G24" s="54">
        <f>-2497.45+21.9</f>
        <v>-2475.5499999999997</v>
      </c>
      <c r="H24" s="54">
        <f>-3998.18-21.99</f>
        <v>-4020.1699999999996</v>
      </c>
      <c r="I24" s="54">
        <f>-4957.72+99.32</f>
        <v>-4858.4000000000005</v>
      </c>
      <c r="J24" s="55">
        <f t="shared" si="24"/>
        <v>-4858.4000000000005</v>
      </c>
      <c r="K24" s="69">
        <f ca="1">-K23*$L$49</f>
        <v>-5549.2977599999995</v>
      </c>
      <c r="L24" s="69">
        <f>-L23*$L$49</f>
        <v>-6545.3574553499966</v>
      </c>
      <c r="M24" s="69">
        <f>-M23*$L$49</f>
        <v>-7706.5969390184964</v>
      </c>
      <c r="N24" s="69">
        <f>-N23*$L$49</f>
        <v>-9059.2603590958261</v>
      </c>
      <c r="O24" s="69">
        <f>-O23*$L$49</f>
        <v>-10633.628902886692</v>
      </c>
      <c r="P24" s="70">
        <f>-P23*$L$49</f>
        <v>-12464.621695225378</v>
      </c>
      <c r="Q24" s="69">
        <f ca="1">-Q23*$L$49</f>
        <v>-14270.694763596384</v>
      </c>
      <c r="R24" s="69">
        <f>-R23*$L$49</f>
        <v>-16309.63440614603</v>
      </c>
      <c r="S24" s="69">
        <f>-S23*$L$49</f>
        <v>-18609.937563516549</v>
      </c>
      <c r="T24" s="69">
        <f>-T23*$L$49</f>
        <v>-21203.488859779209</v>
      </c>
      <c r="U24" s="70">
        <f>-U23*$L$49</f>
        <v>-24125.955441165097</v>
      </c>
    </row>
    <row r="25" s="1" customFormat="1" ht="14.25">
      <c r="B25" s="1" t="s">
        <v>147</v>
      </c>
      <c r="F25" s="65">
        <f>F23+F24</f>
        <v>4419.8000000000047</v>
      </c>
      <c r="G25" s="65">
        <f>G23+G24</f>
        <v>7028.2300000000032</v>
      </c>
      <c r="H25" s="65">
        <f>H23+H24</f>
        <v>11507.689999999995</v>
      </c>
      <c r="I25" s="65">
        <f>I23+I24</f>
        <v>14451.169999999991</v>
      </c>
      <c r="J25" s="55">
        <f t="shared" si="24"/>
        <v>14451.169999999991</v>
      </c>
      <c r="K25" s="65">
        <f>K23+K24</f>
        <v>16647.893279999997</v>
      </c>
      <c r="L25" s="65">
        <f>L23+L24</f>
        <v>19636.07236604999</v>
      </c>
      <c r="M25" s="65">
        <f>M23+M24</f>
        <v>23119.790817055487</v>
      </c>
      <c r="N25" s="65">
        <f>N23+N24</f>
        <v>27177.78107728748</v>
      </c>
      <c r="O25" s="65">
        <f>O23+O24</f>
        <v>31900.886708660077</v>
      </c>
      <c r="P25" s="66">
        <f>P23+P24</f>
        <v>37393.865085676138</v>
      </c>
      <c r="Q25" s="65">
        <f>Q23+Q24</f>
        <v>42812.084290789149</v>
      </c>
      <c r="R25" s="65">
        <f>R23+R24</f>
        <v>48928.903218438092</v>
      </c>
      <c r="S25" s="65">
        <f>S23+S24</f>
        <v>55829.812690549647</v>
      </c>
      <c r="T25" s="65">
        <f>T23+T24</f>
        <v>63610.466579337626</v>
      </c>
      <c r="U25" s="66">
        <f>U23+U24</f>
        <v>72377.866323495284</v>
      </c>
    </row>
    <row r="26" ht="14.25">
      <c r="B26" t="s">
        <v>201</v>
      </c>
      <c r="F26" s="54">
        <v>0</v>
      </c>
      <c r="G26" s="54">
        <v>34.270000000000003</v>
      </c>
      <c r="H26" s="54">
        <v>-22.84</v>
      </c>
      <c r="I26" s="54">
        <v>89.540000000000006</v>
      </c>
      <c r="J26" s="55">
        <f t="shared" si="24"/>
        <v>89.540000000000006</v>
      </c>
      <c r="P26" s="56"/>
      <c r="Q26" s="51"/>
      <c r="R26" s="51"/>
      <c r="S26" s="51"/>
      <c r="T26" s="51"/>
      <c r="U26" s="52"/>
    </row>
    <row r="27" ht="14.25">
      <c r="F27" s="54"/>
      <c r="G27" s="54"/>
      <c r="H27" s="54"/>
      <c r="I27" s="54"/>
      <c r="J27" s="55">
        <f t="shared" si="24"/>
        <v>0</v>
      </c>
      <c r="P27" s="56"/>
      <c r="Q27" s="51"/>
      <c r="R27" s="51"/>
      <c r="S27" s="51"/>
      <c r="T27" s="51"/>
      <c r="U27" s="52"/>
    </row>
    <row r="28" s="1" customFormat="1" ht="14.25">
      <c r="B28" s="1" t="s">
        <v>441</v>
      </c>
      <c r="E28" s="77"/>
      <c r="F28" s="65">
        <f>F25+F26</f>
        <v>4419.8000000000047</v>
      </c>
      <c r="G28" s="65">
        <f>G25+G26</f>
        <v>7062.5000000000036</v>
      </c>
      <c r="H28" s="65">
        <f>H25+H26</f>
        <v>11484.849999999995</v>
      </c>
      <c r="I28" s="65">
        <f>I25+I26</f>
        <v>14540.709999999992</v>
      </c>
      <c r="J28" s="55">
        <f t="shared" si="24"/>
        <v>14540.709999999992</v>
      </c>
      <c r="K28" s="78">
        <f>K25</f>
        <v>16647.893279999997</v>
      </c>
      <c r="L28" s="78">
        <f>L25</f>
        <v>19636.07236604999</v>
      </c>
      <c r="M28" s="78">
        <f>M25</f>
        <v>23119.790817055487</v>
      </c>
      <c r="N28" s="78">
        <f>N25</f>
        <v>27177.78107728748</v>
      </c>
      <c r="O28" s="78">
        <f>O25</f>
        <v>31900.886708660077</v>
      </c>
      <c r="P28" s="79">
        <f>P25</f>
        <v>37393.865085676138</v>
      </c>
      <c r="Q28" s="78">
        <f>Q25</f>
        <v>42812.084290789149</v>
      </c>
      <c r="R28" s="78">
        <f>R25</f>
        <v>48928.903218438092</v>
      </c>
      <c r="S28" s="78">
        <f>S25</f>
        <v>55829.812690549647</v>
      </c>
      <c r="T28" s="78">
        <f>T25</f>
        <v>63610.466579337626</v>
      </c>
      <c r="U28" s="79">
        <f>U25</f>
        <v>72377.866323495284</v>
      </c>
      <c r="V28" s="78">
        <f>U28+U28*$W$32</f>
        <v>73825.423649965189</v>
      </c>
      <c r="W28" s="78">
        <f>V28+V28*$W$32</f>
        <v>75301.932122964499</v>
      </c>
      <c r="X28" s="78">
        <f>W28+W28*$W$32</f>
        <v>76807.970765423786</v>
      </c>
      <c r="Y28" s="78">
        <f>X28+X28*$W$32</f>
        <v>78344.13018073226</v>
      </c>
      <c r="Z28" s="78">
        <f>Y28+Y28*$W$32</f>
        <v>79911.012784346909</v>
      </c>
      <c r="AA28" s="78">
        <f>Z28+Z28*$W$32</f>
        <v>81509.233040033854</v>
      </c>
      <c r="AB28" s="78">
        <f>AA28+AA28*$W$32</f>
        <v>83139.417700834529</v>
      </c>
      <c r="AC28" s="78">
        <f>AB28+AB28*$W$32</f>
        <v>84802.206054851224</v>
      </c>
      <c r="AD28" s="78">
        <f>AC28+AC28*$W$32</f>
        <v>86498.250175948255</v>
      </c>
      <c r="AE28" s="78">
        <f>AD28+AD28*$W$32</f>
        <v>88228.215179467225</v>
      </c>
      <c r="AF28" s="78">
        <f>AE28+AE28*$W$32</f>
        <v>89992.779483056569</v>
      </c>
      <c r="AG28" s="78">
        <f>AF28+AF28*$W$32</f>
        <v>91792.635072717705</v>
      </c>
      <c r="AH28" s="78">
        <f>AG28+AG28*$W$32</f>
        <v>93628.487774172056</v>
      </c>
      <c r="AI28" s="78">
        <f>AH28+AH28*$W$32</f>
        <v>95501.057529655503</v>
      </c>
      <c r="AJ28" s="78">
        <f>AI28+AI28*$W$32</f>
        <v>97411.078680248611</v>
      </c>
      <c r="AK28" s="78">
        <f>AJ28+AJ28*$W$32</f>
        <v>99359.30025385358</v>
      </c>
      <c r="AL28" s="78">
        <f>AK28+AK28*$W$32</f>
        <v>101346.48625893066</v>
      </c>
      <c r="AM28" s="78">
        <f>AL28+AL28*$W$32</f>
        <v>103373.41598410928</v>
      </c>
      <c r="AN28" s="78">
        <f>AM28+AM28*$W$32</f>
        <v>105440.88430379146</v>
      </c>
      <c r="AO28" s="78">
        <f>AN28+AN28*$W$32</f>
        <v>107549.70198986729</v>
      </c>
      <c r="AP28" s="78">
        <f>AO28+AO28*$W$32</f>
        <v>109700.69602966463</v>
      </c>
      <c r="AQ28" s="78">
        <f>AP28+AP28*$W$32</f>
        <v>111894.70995025792</v>
      </c>
      <c r="AR28" s="78">
        <f>AQ28+AQ28*$W$32</f>
        <v>114132.60414926308</v>
      </c>
      <c r="AS28" s="78">
        <f>AR28+AR28*$W$32</f>
        <v>116415.25623224834</v>
      </c>
      <c r="AT28" s="78">
        <f>AS28+AS28*$W$32</f>
        <v>118743.5613568933</v>
      </c>
      <c r="AU28" s="78">
        <f>AT28+AT28*$W$32</f>
        <v>121118.43258403116</v>
      </c>
      <c r="AV28" s="78">
        <f>AU28+AU28*$W$32</f>
        <v>123540.80123571178</v>
      </c>
      <c r="AW28" s="78">
        <f>AV28+AV28*$W$32</f>
        <v>126011.61726042602</v>
      </c>
      <c r="AX28" s="78">
        <f>AW28+AW28*$W$32</f>
        <v>128531.84960563455</v>
      </c>
      <c r="AY28" s="78">
        <f>AX28+AX28*$W$32</f>
        <v>131102.48659774725</v>
      </c>
      <c r="AZ28" s="78">
        <f>AY28+AY28*$W$32</f>
        <v>133724.53632970218</v>
      </c>
      <c r="BA28" s="78">
        <f>AZ28+AZ28*$W$32</f>
        <v>136399.02705629624</v>
      </c>
      <c r="BB28" s="78">
        <f>BA28+BA28*$W$32</f>
        <v>139127.00759742217</v>
      </c>
      <c r="BC28" s="78">
        <f>BB28+BB28*$W$32</f>
        <v>141909.5477493706</v>
      </c>
      <c r="BD28" s="78">
        <f>BC28+BC28*$W$32</f>
        <v>144747.73870435802</v>
      </c>
      <c r="BE28" s="78">
        <f>BD28+BD28*$W$32</f>
        <v>147642.69347844517</v>
      </c>
      <c r="BF28" s="78">
        <f>BE28+BE28*$W$32</f>
        <v>150595.54734801408</v>
      </c>
      <c r="BG28" s="78">
        <f>BF28+BF28*$W$32</f>
        <v>153607.45829497435</v>
      </c>
      <c r="BH28" s="78">
        <f>BG28+BG28*$W$32</f>
        <v>156679.60746087384</v>
      </c>
      <c r="BI28" s="78">
        <f>BH28+BH28*$W$32</f>
        <v>159813.19961009131</v>
      </c>
      <c r="BJ28" s="78">
        <f>BI28+BI28*$W$32</f>
        <v>163009.46360229314</v>
      </c>
      <c r="BK28" s="78">
        <f>BJ28+BJ28*$W$32</f>
        <v>166269.65287433899</v>
      </c>
      <c r="BL28" s="78">
        <f>BK28+BK28*$W$32</f>
        <v>169595.04593182576</v>
      </c>
      <c r="BM28" s="78">
        <f>BL28+BL28*$W$32</f>
        <v>172986.94685046229</v>
      </c>
      <c r="BN28" s="78">
        <f>BM28+BM28*$W$32</f>
        <v>176446.68578747154</v>
      </c>
      <c r="BO28" s="78">
        <f>BN28+BN28*$W$32</f>
        <v>179975.61950322098</v>
      </c>
      <c r="BP28" s="78">
        <f>BO28+BO28*$W$32</f>
        <v>183575.1318932854</v>
      </c>
      <c r="BQ28" s="78">
        <f>BP28+BP28*$W$32</f>
        <v>187246.63453115112</v>
      </c>
      <c r="BR28" s="78">
        <f>BQ28+BQ28*$W$32</f>
        <v>190991.56722177414</v>
      </c>
      <c r="BS28" s="78">
        <f>BR28+BR28*$W$32</f>
        <v>194811.39856620962</v>
      </c>
      <c r="BT28" s="78">
        <f>BS28+BS28*$W$32</f>
        <v>198707.62653753383</v>
      </c>
      <c r="BU28" s="78">
        <f>BT28+BT28*$W$32</f>
        <v>202681.77906828449</v>
      </c>
      <c r="BV28" s="78">
        <f>BU28+BU28*$W$32</f>
        <v>206735.41464965019</v>
      </c>
      <c r="BW28" s="78">
        <f>BV28+BV28*$W$32</f>
        <v>210870.12294264318</v>
      </c>
      <c r="BX28" s="78">
        <f>BW28+BW28*$W$32</f>
        <v>215087.52540149604</v>
      </c>
      <c r="BY28" s="78">
        <f>BX28+BX28*$W$32</f>
        <v>219389.27590952595</v>
      </c>
      <c r="BZ28" s="78">
        <f>BY28+BY28*$W$32</f>
        <v>223777.06142771649</v>
      </c>
      <c r="CA28" s="78">
        <f>BZ28+BZ28*$W$32</f>
        <v>228252.60265627081</v>
      </c>
      <c r="CB28" s="78">
        <f>CA28+CA28*$W$32</f>
        <v>232817.65470939624</v>
      </c>
      <c r="CC28" s="78">
        <f>CB28+CB28*$W$32</f>
        <v>237474.00780358416</v>
      </c>
      <c r="CD28" s="78">
        <f>CC28+CC28*$W$32</f>
        <v>242223.48795965585</v>
      </c>
      <c r="CE28" s="78">
        <f>CD28+CD28*$W$32</f>
        <v>247067.95771884895</v>
      </c>
      <c r="CF28" s="78">
        <f>CE28+CE28*$W$32</f>
        <v>252009.31687322594</v>
      </c>
      <c r="CG28" s="78">
        <f>CF28+CF28*$W$32</f>
        <v>257049.50321069045</v>
      </c>
      <c r="CH28" s="78">
        <f>CG28+CG28*$W$32</f>
        <v>262190.49327490426</v>
      </c>
      <c r="CI28" s="78">
        <f>CH28+CH28*$W$32</f>
        <v>267434.30314040236</v>
      </c>
      <c r="CJ28" s="78">
        <f>CI28+CI28*$W$32</f>
        <v>272782.9892032104</v>
      </c>
      <c r="CK28" s="78">
        <f>CJ28+CJ28*$W$32</f>
        <v>278238.64898727462</v>
      </c>
      <c r="CL28" s="78">
        <f>CK28+CK28*$W$32</f>
        <v>283803.42196702008</v>
      </c>
      <c r="CM28" s="78">
        <f>CL28+CL28*$W$32</f>
        <v>289479.49040636048</v>
      </c>
      <c r="CN28" s="78">
        <f>CM28+CM28*$W$32</f>
        <v>295269.08021448768</v>
      </c>
      <c r="CO28" s="78">
        <f>CN28+CN28*$W$32</f>
        <v>301174.46181877743</v>
      </c>
      <c r="CP28" s="78">
        <f>CO28+CO28*$W$32</f>
        <v>307197.95105515298</v>
      </c>
      <c r="CQ28" s="78">
        <f>CP28+CP28*$W$32</f>
        <v>313341.91007625603</v>
      </c>
      <c r="CR28" s="78">
        <f>CQ28+CQ28*$W$32</f>
        <v>319608.74827778112</v>
      </c>
      <c r="CS28" s="78">
        <f>CR28+CR28*$W$32</f>
        <v>326000.92324333673</v>
      </c>
      <c r="CT28" s="78">
        <f>CS28+CS28*$W$32</f>
        <v>332520.94170820346</v>
      </c>
      <c r="CU28" s="78">
        <f>CT28+CT28*$W$32</f>
        <v>339171.36054236756</v>
      </c>
      <c r="CV28" s="78">
        <f>CU28+CU28*$W$32</f>
        <v>345954.78775321489</v>
      </c>
      <c r="CW28" s="78">
        <f>CV28+CV28*$W$32</f>
        <v>352873.88350827916</v>
      </c>
      <c r="CX28" s="78">
        <f>CW28+CW28*$W$32</f>
        <v>359931.36117844476</v>
      </c>
      <c r="CY28" s="78">
        <f>CX28+CX28*$W$32</f>
        <v>367129.98840201367</v>
      </c>
      <c r="CZ28" s="78">
        <f>CY28+CY28*$W$32</f>
        <v>374472.58817005396</v>
      </c>
      <c r="DA28" s="78">
        <f>CZ28+CZ28*$W$32</f>
        <v>381962.03993345506</v>
      </c>
      <c r="DB28" s="78">
        <f>DA28+DA28*$W$32</f>
        <v>389601.28073212417</v>
      </c>
      <c r="DC28" s="78">
        <f>DB28+DB28*$W$32</f>
        <v>397393.30634676665</v>
      </c>
      <c r="DD28" s="78">
        <f>DC28+DC28*$W$32</f>
        <v>405341.172473702</v>
      </c>
      <c r="DE28" s="78">
        <f>DD28+DD28*$W$32</f>
        <v>413447.99592317606</v>
      </c>
      <c r="DF28" s="78">
        <f>DE28+DE28*$W$32</f>
        <v>421716.9558416396</v>
      </c>
      <c r="DG28" s="78">
        <f>DF28+DF28*$W$32</f>
        <v>430151.29495847237</v>
      </c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</row>
    <row r="29" ht="14.25">
      <c r="B29" t="s">
        <v>442</v>
      </c>
      <c r="E29" s="80"/>
      <c r="F29">
        <v>4419.8199999999997</v>
      </c>
      <c r="G29">
        <v>7028.2299999999996</v>
      </c>
      <c r="H29">
        <v>10289.74</v>
      </c>
      <c r="I29" s="80">
        <v>12644.110000000001</v>
      </c>
      <c r="J29" s="55">
        <f t="shared" si="24"/>
        <v>12644.110000000001</v>
      </c>
      <c r="P29" s="56"/>
      <c r="U29" s="56"/>
    </row>
    <row r="30" ht="14.25">
      <c r="B30" s="2" t="s">
        <v>443</v>
      </c>
      <c r="E30" s="80"/>
      <c r="F30" s="81">
        <f>F28/F29-1</f>
        <v>-4.5250711555588907e-06</v>
      </c>
      <c r="G30" s="81">
        <f>G28/G29-1</f>
        <v>0.0048760498731550417</v>
      </c>
      <c r="H30" s="81">
        <f>H28/H29-1</f>
        <v>0.116145791827587</v>
      </c>
      <c r="I30" s="81">
        <f>I28/I29-1</f>
        <v>0.14999869504456953</v>
      </c>
      <c r="J30" s="55">
        <f t="shared" si="24"/>
        <v>0.14999869504456953</v>
      </c>
      <c r="K30" s="2"/>
      <c r="P30" s="56"/>
      <c r="U30" s="56"/>
    </row>
    <row r="31" s="5" customFormat="1" ht="14.25">
      <c r="A31" s="5"/>
      <c r="B31" s="5"/>
      <c r="E31" s="24"/>
      <c r="G31" s="5"/>
      <c r="H31" s="5"/>
      <c r="I31" s="24"/>
      <c r="J31" s="55">
        <f t="shared" si="24"/>
        <v>0</v>
      </c>
      <c r="P31" s="13"/>
      <c r="U31" s="13"/>
    </row>
    <row r="32" s="5" customFormat="1" ht="16.5">
      <c r="A32" s="5" t="s">
        <v>444</v>
      </c>
      <c r="B32" s="5" t="s">
        <v>445</v>
      </c>
      <c r="E32" s="24"/>
      <c r="F32" s="5"/>
      <c r="G32" s="49">
        <v>605429233</v>
      </c>
      <c r="H32" s="49">
        <v>605429233</v>
      </c>
      <c r="I32" s="49">
        <v>618996320</v>
      </c>
      <c r="J32" s="55">
        <f t="shared" si="24"/>
        <v>618996320</v>
      </c>
      <c r="P32" s="13"/>
      <c r="U32" s="13"/>
      <c r="V32" s="5" t="s">
        <v>331</v>
      </c>
      <c r="W32" s="82">
        <v>0.02</v>
      </c>
    </row>
    <row r="33" ht="14.25">
      <c r="B33" t="s">
        <v>204</v>
      </c>
      <c r="E33" s="80"/>
      <c r="F33">
        <v>600670592</v>
      </c>
      <c r="G33">
        <v>602574303</v>
      </c>
      <c r="H33" s="53">
        <v>603976750</v>
      </c>
      <c r="I33" s="53">
        <v>610032743</v>
      </c>
      <c r="J33" s="55">
        <f t="shared" si="24"/>
        <v>610032743</v>
      </c>
      <c r="P33" s="56"/>
      <c r="U33" s="56"/>
      <c r="V33" t="s">
        <v>446</v>
      </c>
      <c r="W33" s="83">
        <v>0.10000000000000001</v>
      </c>
    </row>
    <row r="34" ht="14.25">
      <c r="A34" t="s">
        <v>447</v>
      </c>
      <c r="B34" t="s">
        <v>448</v>
      </c>
      <c r="E34" s="80"/>
      <c r="F34">
        <v>5149.8500000000004</v>
      </c>
      <c r="G34">
        <v>7259.9499999999998</v>
      </c>
      <c r="H34" s="53">
        <v>5616.75</v>
      </c>
      <c r="I34" s="53">
        <v>7110</v>
      </c>
      <c r="J34" s="55">
        <f t="shared" si="24"/>
        <v>7110</v>
      </c>
      <c r="P34" s="56"/>
      <c r="U34" s="56"/>
      <c r="V34" t="s">
        <v>323</v>
      </c>
      <c r="W34">
        <f>NPV(W33,K28:DG28)</f>
        <v>549656.5904968126</v>
      </c>
    </row>
    <row r="35" ht="14.25">
      <c r="A35" t="s">
        <v>449</v>
      </c>
      <c r="B35" t="s">
        <v>155</v>
      </c>
      <c r="E35" s="80"/>
      <c r="F35" s="55">
        <f>F29*10000000/F33</f>
        <v>73.581428138236546</v>
      </c>
      <c r="G35" s="55">
        <f>G29*10000000/G33</f>
        <v>116.63673616695866</v>
      </c>
      <c r="H35" s="55">
        <f>H29*10000000/H33</f>
        <v>170.36649175651215</v>
      </c>
      <c r="I35" s="55">
        <f>I29*10000000/I33</f>
        <v>207.26936619531585</v>
      </c>
      <c r="J35" s="55">
        <f t="shared" si="24"/>
        <v>207.26936619531585</v>
      </c>
      <c r="P35" s="56"/>
      <c r="U35" s="56"/>
    </row>
    <row r="36" ht="14.25">
      <c r="B36" s="2" t="s">
        <v>450</v>
      </c>
      <c r="E36" s="80"/>
      <c r="F36" s="55">
        <f>F34/F35</f>
        <v>69.988448584132385</v>
      </c>
      <c r="G36" s="55">
        <f>G34/G35</f>
        <v>62.244111405927946</v>
      </c>
      <c r="H36" s="55">
        <f>H34/H35</f>
        <v>32.968630991283554</v>
      </c>
      <c r="I36" s="55">
        <f>I34/I35</f>
        <v>34.30318782998566</v>
      </c>
      <c r="J36" s="55">
        <f t="shared" si="24"/>
        <v>34.30318782998566</v>
      </c>
      <c r="P36" s="56"/>
      <c r="U36" s="56"/>
      <c r="V36" t="s">
        <v>451</v>
      </c>
      <c r="W36" s="84">
        <f>J32</f>
        <v>618996320</v>
      </c>
    </row>
    <row r="37" ht="14.25">
      <c r="J37" s="55">
        <f t="shared" si="24"/>
        <v>0</v>
      </c>
      <c r="P37" s="56"/>
      <c r="U37" s="56"/>
      <c r="V37" t="s">
        <v>452</v>
      </c>
      <c r="W37">
        <v>8994.5</v>
      </c>
    </row>
    <row r="38" ht="14.25">
      <c r="A38" t="s">
        <v>453</v>
      </c>
      <c r="B38" t="s">
        <v>46</v>
      </c>
      <c r="J38" s="55">
        <f t="shared" si="24"/>
        <v>0</v>
      </c>
      <c r="P38" s="56"/>
      <c r="U38" s="56"/>
      <c r="V38" t="s">
        <v>454</v>
      </c>
      <c r="W38" s="54">
        <f>W34*10000000/W36</f>
        <v>8879.8038491862535</v>
      </c>
    </row>
    <row r="39" ht="14.25">
      <c r="J39" s="55">
        <f t="shared" si="24"/>
        <v>0</v>
      </c>
      <c r="P39" s="56"/>
      <c r="U39" s="56"/>
    </row>
    <row r="40" ht="14.25">
      <c r="B40" t="s">
        <v>160</v>
      </c>
      <c r="F40" s="85">
        <f>G11/F11-1</f>
        <v>0.18578774599436398</v>
      </c>
      <c r="G40" s="85">
        <f>H11/G11-1</f>
        <v>0.30903044555996573</v>
      </c>
      <c r="H40" s="85">
        <f>I11/H11-1</f>
        <v>0.32749444327212207</v>
      </c>
      <c r="I40" s="85"/>
      <c r="J40" s="55">
        <f t="shared" si="24"/>
        <v>0</v>
      </c>
      <c r="K40" t="s">
        <v>455</v>
      </c>
      <c r="L40" s="83">
        <v>0.16</v>
      </c>
      <c r="P40" s="56"/>
      <c r="Q40" s="83">
        <v>0.12</v>
      </c>
      <c r="U40" s="56"/>
    </row>
    <row r="41" ht="14.25">
      <c r="B41" t="s">
        <v>456</v>
      </c>
      <c r="F41" s="81">
        <f>G14/F14-1</f>
        <v>0.035504567665179509</v>
      </c>
      <c r="G41" s="81">
        <f>H14/G14-1</f>
        <v>0.28842642364160098</v>
      </c>
      <c r="H41" s="81">
        <f>I14/H14-1</f>
        <v>0.49083232416844402</v>
      </c>
      <c r="J41" s="55">
        <f t="shared" si="24"/>
        <v>0</v>
      </c>
      <c r="P41" s="56"/>
      <c r="U41" s="56"/>
    </row>
    <row r="42" ht="14.25">
      <c r="B42" t="s">
        <v>457</v>
      </c>
      <c r="F42" s="85">
        <f>F14/F11</f>
        <v>0.35280850787935247</v>
      </c>
      <c r="G42" s="85">
        <f>G14/G11</f>
        <v>0.3080946169787307</v>
      </c>
      <c r="H42" s="85">
        <f>H14/H11</f>
        <v>0.30324523531408615</v>
      </c>
      <c r="I42" s="85">
        <f>I14/I11</f>
        <v>0.34055720628250696</v>
      </c>
      <c r="J42" s="55">
        <f t="shared" si="24"/>
        <v>0.34055720628250696</v>
      </c>
      <c r="L42" s="83">
        <f>35%</f>
        <v>0.34999999999999998</v>
      </c>
      <c r="P42" s="56"/>
      <c r="U42" s="56"/>
    </row>
    <row r="43" ht="14.25">
      <c r="B43" t="s">
        <v>458</v>
      </c>
      <c r="F43" s="85">
        <f t="shared" ref="F43:F47" si="31">G15/F15-1</f>
        <v>0.4003834798793402</v>
      </c>
      <c r="G43" s="85">
        <f t="shared" ref="G43:G47" si="32">H15/G15-1</f>
        <v>0.083595428375010883</v>
      </c>
      <c r="H43" s="85">
        <f t="shared" ref="H43:H47" si="33">I15/H15-1</f>
        <v>0.021163433731436365</v>
      </c>
      <c r="J43" s="55">
        <f t="shared" si="24"/>
        <v>0</v>
      </c>
      <c r="L43" s="83">
        <v>0.059999999999999998</v>
      </c>
      <c r="Q43" s="83">
        <v>0.050000000000000003</v>
      </c>
    </row>
    <row r="44" ht="14.25">
      <c r="B44" t="s">
        <v>459</v>
      </c>
      <c r="F44" s="85">
        <f t="shared" si="31"/>
        <v>-0.19521896330450461</v>
      </c>
      <c r="G44" s="85">
        <f t="shared" si="32"/>
        <v>-0.33595994503893067</v>
      </c>
      <c r="H44" s="85">
        <f t="shared" si="33"/>
        <v>0.45178938128007773</v>
      </c>
      <c r="J44" s="55">
        <f t="shared" si="24"/>
        <v>0</v>
      </c>
      <c r="L44" s="83">
        <v>0.10000000000000001</v>
      </c>
      <c r="Q44" s="83">
        <v>0.080000000000000002</v>
      </c>
    </row>
    <row r="45" ht="14.25">
      <c r="B45" t="s">
        <v>460</v>
      </c>
      <c r="F45" s="85">
        <f t="shared" si="31"/>
        <v>0.43662828624828398</v>
      </c>
      <c r="G45" s="85">
        <f t="shared" si="32"/>
        <v>0.42080029863552526</v>
      </c>
      <c r="H45" s="85">
        <f t="shared" si="33"/>
        <v>0.25407288748066259</v>
      </c>
      <c r="J45" s="55">
        <f t="shared" si="24"/>
        <v>0</v>
      </c>
      <c r="L45" s="83">
        <v>0.14999999999999999</v>
      </c>
      <c r="Q45" s="83">
        <v>0.059999999999999998</v>
      </c>
    </row>
    <row r="46" ht="14.25">
      <c r="B46" t="s">
        <v>461</v>
      </c>
      <c r="F46" s="85">
        <f t="shared" si="31"/>
        <v>0.18231008085590439</v>
      </c>
      <c r="G46" s="85">
        <f t="shared" si="32"/>
        <v>0.26213693215799472</v>
      </c>
      <c r="H46" s="85">
        <f t="shared" si="33"/>
        <v>0.40780419465161333</v>
      </c>
      <c r="J46" s="55">
        <f t="shared" si="24"/>
        <v>0</v>
      </c>
      <c r="L46" s="83">
        <v>0.14999999999999999</v>
      </c>
      <c r="Q46" s="83">
        <v>0.10000000000000001</v>
      </c>
    </row>
    <row r="47" ht="14.25">
      <c r="B47" t="s">
        <v>462</v>
      </c>
      <c r="F47" s="85">
        <f t="shared" si="31"/>
        <v>0.50688727490123542</v>
      </c>
      <c r="G47" s="85">
        <f t="shared" si="32"/>
        <v>0.42905624567743028</v>
      </c>
      <c r="H47" s="85">
        <f t="shared" si="33"/>
        <v>0.24343366510472753</v>
      </c>
      <c r="J47" s="55">
        <f t="shared" si="24"/>
        <v>0</v>
      </c>
      <c r="L47" s="83">
        <v>0.20000000000000001</v>
      </c>
      <c r="Q47" s="83">
        <v>0.14000000000000001</v>
      </c>
    </row>
    <row r="48" s="86" customFormat="1" ht="14.25">
      <c r="A48" s="86"/>
      <c r="B48" s="86" t="s">
        <v>463</v>
      </c>
      <c r="F48" s="87">
        <f>G24/F24-1</f>
        <v>0.57433669965149692</v>
      </c>
      <c r="G48" s="87">
        <f>H24/G24-1</f>
        <v>0.62395023328149302</v>
      </c>
      <c r="H48" s="87">
        <f>I24/H24-1</f>
        <v>0.20850610795065916</v>
      </c>
      <c r="J48" s="55">
        <f t="shared" si="24"/>
        <v>0</v>
      </c>
    </row>
    <row r="49" ht="14.25">
      <c r="B49" t="s">
        <v>464</v>
      </c>
      <c r="F49" s="85">
        <f>-F24/F23</f>
        <v>0.2624127204517841</v>
      </c>
      <c r="G49" s="85">
        <f>-G24/G23</f>
        <v>0.26048056667978414</v>
      </c>
      <c r="H49" s="85">
        <f>-H24/H23</f>
        <v>0.25890045376503917</v>
      </c>
      <c r="I49" s="85">
        <f>-I24/I23</f>
        <v>0.25160580996883941</v>
      </c>
      <c r="J49" s="55">
        <f t="shared" si="24"/>
        <v>0.25160580996883941</v>
      </c>
      <c r="L49" s="83">
        <v>0.25</v>
      </c>
      <c r="Q49" s="83">
        <v>0.25</v>
      </c>
    </row>
    <row r="50" ht="14.25">
      <c r="B50" t="s">
        <v>465</v>
      </c>
      <c r="F50" s="74">
        <f>F16/F11</f>
        <v>0.22368449160383957</v>
      </c>
      <c r="G50" s="88">
        <f>G16/G11</f>
        <v>0.15181219206704336</v>
      </c>
      <c r="H50" s="88">
        <f>H16/H11</f>
        <v>0.077010719426649027</v>
      </c>
      <c r="I50" s="88">
        <f>I16/I11</f>
        <v>0.08422132783679756</v>
      </c>
    </row>
    <row r="51" ht="14.25">
      <c r="A51" t="s">
        <v>466</v>
      </c>
    </row>
    <row r="52" ht="14.25"/>
    <row r="53" ht="14.25">
      <c r="B53" t="s">
        <v>467</v>
      </c>
      <c r="H53" s="54">
        <v>120.89</v>
      </c>
      <c r="I53" s="54">
        <v>123.59999999999999</v>
      </c>
    </row>
    <row r="54" ht="14.25">
      <c r="B54" t="s">
        <v>22</v>
      </c>
      <c r="H54" s="54">
        <v>51372.239999999998</v>
      </c>
      <c r="I54" s="54">
        <v>71886.929999999993</v>
      </c>
    </row>
    <row r="55" ht="14.25">
      <c r="B55" t="s">
        <v>468</v>
      </c>
      <c r="H55" s="54">
        <f>H54+H53</f>
        <v>51493.129999999997</v>
      </c>
      <c r="I55" s="62">
        <f>I54+I53</f>
        <v>72010.529999999999</v>
      </c>
    </row>
    <row r="56" ht="14.25"/>
    <row r="57" ht="14.25">
      <c r="B57" t="s">
        <v>469</v>
      </c>
      <c r="H57" s="54">
        <v>87596.089999999997</v>
      </c>
      <c r="I57" s="54">
        <v>65669.850000000006</v>
      </c>
    </row>
    <row r="58" ht="14.25">
      <c r="B58" t="s">
        <v>470</v>
      </c>
      <c r="H58" s="54">
        <v>69238</v>
      </c>
      <c r="I58" s="54">
        <v>47894.699999999997</v>
      </c>
    </row>
    <row r="59" ht="14.25">
      <c r="B59" t="s">
        <v>277</v>
      </c>
      <c r="H59" s="54">
        <v>59966.660000000003</v>
      </c>
      <c r="I59" s="54">
        <v>44489.790000000001</v>
      </c>
    </row>
    <row r="60" ht="14.25">
      <c r="B60" t="s">
        <v>471</v>
      </c>
      <c r="H60" s="54">
        <v>3577.9000000000001</v>
      </c>
      <c r="I60" s="54">
        <v>3630.29</v>
      </c>
    </row>
    <row r="61" ht="14.25">
      <c r="B61" t="s">
        <v>472</v>
      </c>
      <c r="H61" s="54">
        <f>SUM(H57:H60)</f>
        <v>220378.64999999999</v>
      </c>
      <c r="I61" s="62">
        <f>SUM(I57:I60)</f>
        <v>161684.63</v>
      </c>
    </row>
  </sheetData>
  <hyperlinks>
    <hyperlink r:id="rId1" ref="I1"/>
    <hyperlink r:id="rId2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19</cp:revision>
  <dcterms:modified xsi:type="dcterms:W3CDTF">2025-06-11T06:32:13Z</dcterms:modified>
</cp:coreProperties>
</file>