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2"/>
  </bookViews>
  <sheets>
    <sheet name="Business" sheetId="1" state="visible" r:id="rId1"/>
    <sheet name="HUL main" sheetId="2" state="visible" r:id="rId2"/>
    <sheet name="HUL" sheetId="3" state="visible" r:id="rId3"/>
    <sheet name="Nestle main" sheetId="4" state="visible" r:id="rId4"/>
    <sheet name="Nestle" sheetId="5" state="visible" r:id="rId5"/>
    <sheet name="Britannia main" sheetId="6" state="visible" r:id="rId6"/>
    <sheet name="Britannia" sheetId="7" state="visible" r:id="rId7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<sst xmlns="http://schemas.openxmlformats.org/spreadsheetml/2006/main" count="114" uniqueCount="114">
  <si>
    <t xml:space="preserve">HUL </t>
  </si>
  <si>
    <t xml:space="preserve">ITC limited</t>
  </si>
  <si>
    <t>Nestle</t>
  </si>
  <si>
    <t>Britannia</t>
  </si>
  <si>
    <t>Dabur</t>
  </si>
  <si>
    <t>Marico</t>
  </si>
  <si>
    <t xml:space="preserve">Godrej  CP</t>
  </si>
  <si>
    <t xml:space="preserve">Patanjali Ayurved</t>
  </si>
  <si>
    <t xml:space="preserve">Income Statement</t>
  </si>
  <si>
    <t xml:space="preserve">(in Crore)</t>
  </si>
  <si>
    <t xml:space="preserve">Revenue from Operations</t>
  </si>
  <si>
    <t xml:space="preserve">Other Income</t>
  </si>
  <si>
    <t xml:space="preserve">Total Revenue</t>
  </si>
  <si>
    <t xml:space="preserve">CORM </t>
  </si>
  <si>
    <t xml:space="preserve">Purchase of stock in trade</t>
  </si>
  <si>
    <t xml:space="preserve">Change in inventory</t>
  </si>
  <si>
    <t>EBE</t>
  </si>
  <si>
    <t xml:space="preserve">Finance Cost</t>
  </si>
  <si>
    <t>D&amp;A</t>
  </si>
  <si>
    <t xml:space="preserve">Other Expense</t>
  </si>
  <si>
    <t xml:space="preserve">Total Expenses</t>
  </si>
  <si>
    <t xml:space="preserve">Operational Income</t>
  </si>
  <si>
    <t xml:space="preserve">Share of profit from JV / Ass</t>
  </si>
  <si>
    <t xml:space="preserve">Exceptional Items</t>
  </si>
  <si>
    <t>PBT</t>
  </si>
  <si>
    <t>Tax</t>
  </si>
  <si>
    <t>PAT</t>
  </si>
  <si>
    <t xml:space="preserve">Its listed in US , so the financial year ends at 31 st dec, so for indian standards we need to take quarterly results that mean , take 3 quarters from last year and 1 from the next year ( for which you are analysing it ) </t>
  </si>
  <si>
    <t xml:space="preserve">(in crores)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</si>
  <si>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</si>
  <si>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</si>
  <si>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</si>
  <si>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</si>
  <si>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</si>
  <si>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</si>
  <si>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</si>
  <si>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</si>
  <si>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</si>
  <si>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Q225</t>
  </si>
  <si>
    <t>Q325</t>
  </si>
  <si>
    <t>Q425</t>
  </si>
  <si>
    <t>Q126</t>
  </si>
  <si>
    <t>Q226</t>
  </si>
  <si>
    <t>Q326</t>
  </si>
  <si>
    <t>Q426</t>
  </si>
  <si>
    <t xml:space="preserve">Sales of products</t>
  </si>
  <si>
    <t xml:space="preserve">Other Operating Revenue</t>
  </si>
  <si>
    <t xml:space="preserve">Op. revenue</t>
  </si>
  <si>
    <t xml:space="preserve">Other income</t>
  </si>
  <si>
    <t xml:space="preserve">Total Income</t>
  </si>
  <si>
    <t>CORM</t>
  </si>
  <si>
    <t xml:space="preserve">Purchase of stock-in-trade</t>
  </si>
  <si>
    <t xml:space="preserve">Changes in inventories</t>
  </si>
  <si>
    <t>CSRE</t>
  </si>
  <si>
    <t xml:space="preserve">Total Expense</t>
  </si>
  <si>
    <t xml:space="preserve">Share of P/L of JV / Associate</t>
  </si>
  <si>
    <t xml:space="preserve">Exceptional items </t>
  </si>
  <si>
    <t xml:space="preserve">Income  y/y</t>
  </si>
  <si>
    <t xml:space="preserve">Gross margin </t>
  </si>
  <si>
    <t xml:space="preserve">Gross Profit</t>
  </si>
  <si>
    <t xml:space="preserve">EBE y/y</t>
  </si>
  <si>
    <t xml:space="preserve">Finance cost y/y</t>
  </si>
  <si>
    <t xml:space="preserve">D&amp;A y/y</t>
  </si>
  <si>
    <t xml:space="preserve">Other expenses y/y</t>
  </si>
  <si>
    <t xml:space="preserve">Tax Rate</t>
  </si>
  <si>
    <t xml:space="preserve">Distribution and Marketing</t>
  </si>
  <si>
    <t xml:space="preserve">Innovation </t>
  </si>
  <si>
    <t xml:space="preserve">Adjacent business Growth</t>
  </si>
  <si>
    <t xml:space="preserve">Cost Efficiencies</t>
  </si>
  <si>
    <t>Sustainability</t>
  </si>
  <si>
    <t>https://media.britannia.co.in/Analyst_Call_Transcript_Q3_2024_25_07f1736776.pdf</t>
  </si>
  <si>
    <t>https://media.britannia.co.in/Transcript_Q4_25_V1_33b645914f_e084b50fea.pdf</t>
  </si>
  <si>
    <t xml:space="preserve">FMCG in fy 25 and fy24 had many false start so same signal is this year .. will it be able to maintain ? </t>
  </si>
  <si>
    <t xml:space="preserve">If one company in FMCG shows high quarterly growth rest of the companies also show it then  .. </t>
  </si>
  <si>
    <t>ESG</t>
  </si>
  <si>
    <t xml:space="preserve">Environment Social and guidelines</t>
  </si>
  <si>
    <t xml:space="preserve">FY23 has been the 15% revenue growth year</t>
  </si>
  <si>
    <t xml:space="preserve">Confident that growth revenue the trends will continue to the next year as well</t>
  </si>
  <si>
    <t xml:space="preserve">Volume good better than last 2 year</t>
  </si>
  <si>
    <t xml:space="preserve">Growth can be volume based and revenue base d</t>
  </si>
  <si>
    <t xml:space="preserve">5.5% more from revenue growth , compared to volume growth </t>
  </si>
  <si>
    <t xml:space="preserve">10 yrs ago laid out vision to become a total food industry</t>
  </si>
  <si>
    <t xml:space="preserve">Raw  materials</t>
  </si>
  <si>
    <t>Wheat</t>
  </si>
  <si>
    <t>Sugar</t>
  </si>
  <si>
    <t>Oil</t>
  </si>
  <si>
    <t xml:space="preserve">They are confident for Q126 sales lets see for other fmcg companies also and lets see which dip we can capture for it </t>
  </si>
  <si>
    <t xml:space="preserve">Sale of goods</t>
  </si>
  <si>
    <t xml:space="preserve">Other operaing revenue</t>
  </si>
  <si>
    <t xml:space="preserve">Total revenue ops</t>
  </si>
  <si>
    <t xml:space="preserve">Cost of material consumed</t>
  </si>
  <si>
    <t xml:space="preserve">Purchases of stock-in-trade</t>
  </si>
  <si>
    <t xml:space="preserve">Other Expenses</t>
  </si>
  <si>
    <t xml:space="preserve">Op. Profits</t>
  </si>
  <si>
    <t xml:space="preserve">Share of loss in associate</t>
  </si>
  <si>
    <t xml:space="preserve">Exceptional item </t>
  </si>
  <si>
    <t>Taxes</t>
  </si>
  <si>
    <t>EPS</t>
  </si>
  <si>
    <t>AVERAGE</t>
  </si>
  <si>
    <t>MEDIAN</t>
  </si>
  <si>
    <t xml:space="preserve">FOR NEXT 5 YEARS</t>
  </si>
  <si>
    <t xml:space="preserve">FURTHER NEXT 5 YEARS</t>
  </si>
  <si>
    <t xml:space="preserve">Terminal Value </t>
  </si>
  <si>
    <t xml:space="preserve">Income y/y</t>
  </si>
  <si>
    <t xml:space="preserve">Discount Rate</t>
  </si>
  <si>
    <t xml:space="preserve">Total no. of shares</t>
  </si>
  <si>
    <t xml:space="preserve">Gross Margin</t>
  </si>
  <si>
    <t xml:space="preserve">NPV </t>
  </si>
  <si>
    <t xml:space="preserve">Current Share price</t>
  </si>
  <si>
    <t xml:space="preserve">Predicted Share price</t>
  </si>
  <si>
    <t xml:space="preserve">Finance Cost y/y</t>
  </si>
  <si>
    <t xml:space="preserve">Other expense y/y</t>
  </si>
  <si>
    <t xml:space="preserve">PAT / Income</t>
  </si>
  <si>
    <t xml:space="preserve">PAT y/y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</si>
</sst>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u/>
      <sz val="11.000000"/>
      <color theme="1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 style="none"/>
      <right style="none"/>
      <top style="none"/>
      <bottom style="none"/>
      <diagonal style="none"/>
    </border>
    <border>
      <left style="none"/>
      <right style="thin">
        <color theme="1"/>
      </right>
      <top style="none"/>
      <bottom style="none"/>
      <diagonal style="none"/>
    </border>
  </borders>
  <cellStyleXfs count="2">
    <xf fontId="0" fillId="0" borderId="0" numFmtId="0" applyNumberFormat="1" applyFont="1" applyFill="1" applyBorder="1"/>
    <xf fontId="0" fillId="2" borderId="0" numFmtId="9" applyNumberFormat="1" applyFont="0" applyFill="0" applyBorder="0"/>
  </cellStyleXfs>
  <cellXfs count="20">
    <xf fontId="0" fillId="0" borderId="0" numFmtId="0" xfId="0"/>
    <xf fontId="1" fillId="0" borderId="0" numFmtId="0" xfId="0" applyFont="1"/>
    <xf fontId="0" fillId="0" borderId="0" numFmtId="0" xfId="0"/>
    <xf fontId="0" fillId="0" borderId="0" numFmtId="0" xfId="0">
      <protection hidden="0" locked="1"/>
    </xf>
    <xf fontId="0" fillId="0" borderId="0" numFmtId="0" xfId="0">
      <protection hidden="0" locked="1"/>
    </xf>
    <xf fontId="0" fillId="0" borderId="0" numFmtId="0" xfId="0"/>
    <xf fontId="1" fillId="0" borderId="1" numFmtId="0" xfId="0" applyFont="1" applyBorder="1"/>
    <xf fontId="1" fillId="0" borderId="0" numFmtId="0" xfId="0" applyFont="1"/>
    <xf fontId="1" fillId="0" borderId="0" numFmtId="0" xfId="0" applyFont="1">
      <protection hidden="0" locked="1"/>
    </xf>
    <xf fontId="0" fillId="0" borderId="1" numFmtId="0" xfId="0" applyBorder="1"/>
    <xf fontId="2" fillId="0" borderId="0" numFmtId="0" xfId="0" applyFont="1"/>
    <xf fontId="0" fillId="0" borderId="0" numFmtId="0" xfId="0"/>
    <xf fontId="1" fillId="0" borderId="0" numFmtId="2" xfId="0" applyNumberFormat="1" applyFont="1"/>
    <xf fontId="0" fillId="0" borderId="0" numFmtId="2" xfId="0" applyNumberFormat="1"/>
    <xf fontId="0" fillId="0" borderId="0" numFmtId="2" xfId="0" applyNumberFormat="1">
      <protection hidden="0" locked="1"/>
    </xf>
    <xf fontId="0" fillId="0" borderId="0" numFmtId="9" xfId="0" applyNumberFormat="1"/>
    <xf fontId="0" fillId="0" borderId="0" numFmtId="10" xfId="1" applyNumberFormat="1"/>
    <xf fontId="0" fillId="0" borderId="0" numFmtId="10" xfId="0" applyNumberFormat="1"/>
    <xf fontId="0" fillId="0" borderId="0" numFmtId="9" xfId="1" applyNumberFormat="1"/>
    <xf fontId="0" fillId="0" borderId="0" numFmtId="164" xfId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styles" Target="styles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theme" Target="theme/theme1.xml"/><Relationship  Id="rId9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19</xdr:col>
      <xdr:colOff>59531</xdr:colOff>
      <xdr:row>0</xdr:row>
      <xdr:rowOff>0</xdr:rowOff>
    </xdr:from>
    <xdr:to>
      <xdr:col>19</xdr:col>
      <xdr:colOff>59531</xdr:colOff>
      <xdr:row>42</xdr:row>
      <xdr:rowOff>142874</xdr:rowOff>
    </xdr:to>
    <xdr:cxnSp>
      <xdr:nvCxnSpPr>
        <xdr:cNvPr id="0" name=""/>
        <xdr:cNvCxnSpPr>
          <a:cxnSpLocks/>
        </xdr:cNvCxnSpPr>
        <xdr:nvPr/>
      </xdr:nvCxnSpPr>
      <xdr:spPr bwMode="auto">
        <a:xfrm flipH="0" flipV="0">
          <a:off x="20633531" y="0"/>
          <a:ext cx="0" cy="7743824"/>
        </a:xfrm>
        <a:prstGeom prst="line">
          <a:avLst/>
        </a:prstGeom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6.xml.rels><?xml version="1.0" encoding="UTF-8" standalone="yes"?><Relationships xmlns="http://schemas.openxmlformats.org/package/2006/relationships"><Relationship  Id="rId1" Type="http://schemas.openxmlformats.org/officeDocument/2006/relationships/hyperlink" Target="https://media.britannia.co.in/Analyst_Call_Transcript_Q3_2024_25_07f1736776.pdf" TargetMode="External"/><Relationship  Id="rId2" Type="http://schemas.openxmlformats.org/officeDocument/2006/relationships/hyperlink" Target="https://media.britannia.co.in/Transcript_Q4_25_V1_33b645914f_e084b50fea.pdf" TargetMode="External"/></Relationships>
</file>

<file path=xl/worksheets/_rels/sheet7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2" width="16.28125"/>
  </cols>
  <sheetData>
    <row r="3" ht="14.25">
      <c r="B3" s="1" t="s">
        <v>0</v>
      </c>
    </row>
    <row r="4" ht="14.25">
      <c r="B4" s="1" t="s">
        <v>1</v>
      </c>
    </row>
    <row r="5" ht="14.25">
      <c r="B5" s="1" t="s">
        <v>2</v>
      </c>
    </row>
    <row r="6" ht="14.25">
      <c r="B6" s="1" t="s">
        <v>3</v>
      </c>
    </row>
    <row r="7" ht="14.25">
      <c r="B7" s="1" t="s">
        <v>4</v>
      </c>
    </row>
    <row r="8" ht="14.25">
      <c r="B8" s="1" t="s">
        <v>5</v>
      </c>
    </row>
    <row r="9" ht="14.25">
      <c r="B9" s="1" t="s">
        <v>6</v>
      </c>
    </row>
    <row r="10" ht="14.25">
      <c r="B10" s="1" t="s">
        <v>7</v>
      </c>
    </row>
  </sheetData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/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2" topLeftCell="C3" activePane="bottomRight" state="frozen"/>
      <selection activeCell="A1" activeCellId="0" sqref="A1"/>
    </sheetView>
  </sheetViews>
  <sheetFormatPr defaultRowHeight="14.25"/>
  <cols>
    <col customWidth="1" min="1" max="1" width="14.7109375"/>
    <col customWidth="1" min="2" max="10" width="14.7109375"/>
    <col customWidth="1" min="11" max="16384" width="14.7109375"/>
  </cols>
  <sheetData>
    <row r="1" ht="14.25">
      <c r="A1" t="s">
        <v>8</v>
      </c>
      <c r="B1" t="s">
        <v>9</v>
      </c>
      <c r="C1" s="2"/>
      <c r="D1" s="2"/>
      <c r="E1" s="2"/>
      <c r="F1" s="2"/>
      <c r="G1" s="2"/>
      <c r="H1" s="2"/>
      <c r="I1" s="2"/>
    </row>
    <row r="2" s="1" customFormat="1" ht="14.25">
      <c r="C2" s="1">
        <f>D2-1</f>
        <v>2015</v>
      </c>
      <c r="D2" s="1">
        <f>E2-1</f>
        <v>2016</v>
      </c>
      <c r="E2" s="1">
        <f>F2-1</f>
        <v>2017</v>
      </c>
      <c r="F2" s="1">
        <f>G2-1</f>
        <v>2018</v>
      </c>
      <c r="G2" s="1">
        <f>H2-1</f>
        <v>2019</v>
      </c>
      <c r="H2" s="1">
        <f>I2-1</f>
        <v>2020</v>
      </c>
      <c r="I2" s="1">
        <f>J2-1</f>
        <v>2021</v>
      </c>
      <c r="J2" s="1">
        <v>2022</v>
      </c>
      <c r="K2" s="1">
        <v>2023</v>
      </c>
      <c r="L2" s="1">
        <v>2024</v>
      </c>
      <c r="M2" s="1">
        <v>2025</v>
      </c>
    </row>
    <row r="3" ht="14.25">
      <c r="B3" t="s">
        <v>10</v>
      </c>
      <c r="C3" s="2"/>
      <c r="D3" s="2"/>
      <c r="E3" s="2"/>
      <c r="F3" s="2">
        <v>39310</v>
      </c>
      <c r="G3" s="2">
        <v>39310</v>
      </c>
      <c r="H3" s="3">
        <v>39783</v>
      </c>
      <c r="I3" s="3">
        <v>47028</v>
      </c>
      <c r="J3" s="4">
        <v>52446</v>
      </c>
      <c r="K3" s="4">
        <v>60580</v>
      </c>
      <c r="L3">
        <v>61896</v>
      </c>
      <c r="M3">
        <v>63121</v>
      </c>
    </row>
    <row r="4" ht="14.25">
      <c r="B4" t="s">
        <v>11</v>
      </c>
      <c r="C4" s="2"/>
      <c r="D4" s="2"/>
      <c r="E4" s="2"/>
      <c r="F4" s="2">
        <v>550</v>
      </c>
      <c r="G4" s="2">
        <v>550</v>
      </c>
      <c r="H4" s="3">
        <v>632</v>
      </c>
      <c r="I4" s="3">
        <v>410</v>
      </c>
      <c r="J4" s="4">
        <v>258</v>
      </c>
      <c r="K4" s="4">
        <v>512</v>
      </c>
      <c r="L4">
        <v>811</v>
      </c>
      <c r="M4">
        <v>1017</v>
      </c>
    </row>
    <row r="5" s="1" customFormat="1" ht="14.25">
      <c r="B5" s="1" t="s">
        <v>12</v>
      </c>
      <c r="C5" s="1"/>
      <c r="D5" s="1"/>
      <c r="E5" s="1"/>
      <c r="F5" s="1">
        <f>F3+F4</f>
        <v>39860</v>
      </c>
      <c r="G5" s="1">
        <f>G3+G4</f>
        <v>39860</v>
      </c>
      <c r="H5" s="1">
        <f>H3+H4</f>
        <v>40415</v>
      </c>
      <c r="I5" s="1">
        <f>I3+I4</f>
        <v>47438</v>
      </c>
      <c r="J5" s="1">
        <f>J3+J4</f>
        <v>52704</v>
      </c>
      <c r="K5" s="1">
        <f>K3+K4</f>
        <v>61092</v>
      </c>
      <c r="L5" s="1">
        <f>L3+L4</f>
        <v>62707</v>
      </c>
      <c r="M5" s="1">
        <f>M3+M4</f>
        <v>64138</v>
      </c>
    </row>
    <row r="6" ht="14.25">
      <c r="F6" s="4"/>
      <c r="G6" s="4"/>
      <c r="H6" s="4"/>
      <c r="I6" s="4"/>
      <c r="J6" s="4"/>
      <c r="K6" s="4"/>
      <c r="L6" s="4"/>
    </row>
    <row r="7" ht="14.25">
      <c r="B7" t="s">
        <v>13</v>
      </c>
      <c r="C7" s="2"/>
      <c r="D7" s="2"/>
      <c r="E7" s="2"/>
      <c r="F7" s="3">
        <v>13707</v>
      </c>
      <c r="G7" s="3">
        <v>13707</v>
      </c>
      <c r="H7" s="3">
        <v>11976</v>
      </c>
      <c r="I7" s="3">
        <v>15432</v>
      </c>
      <c r="J7" s="4">
        <v>16446</v>
      </c>
      <c r="K7" s="4">
        <v>20212</v>
      </c>
      <c r="L7" s="4">
        <v>19257</v>
      </c>
      <c r="M7">
        <v>19458</v>
      </c>
    </row>
    <row r="8" ht="14.25">
      <c r="B8" t="s">
        <v>14</v>
      </c>
      <c r="C8" s="2"/>
      <c r="D8" s="2"/>
      <c r="E8" s="2"/>
      <c r="F8" s="3">
        <v>4755</v>
      </c>
      <c r="G8" s="3">
        <v>4755</v>
      </c>
      <c r="H8" s="3">
        <v>6391</v>
      </c>
      <c r="I8" s="3">
        <v>7121</v>
      </c>
      <c r="J8" s="4">
        <v>9311</v>
      </c>
      <c r="K8" s="4">
        <v>11579</v>
      </c>
      <c r="L8" s="4">
        <v>10514</v>
      </c>
      <c r="M8">
        <v>11273</v>
      </c>
    </row>
    <row r="9" ht="14.25">
      <c r="B9" t="s">
        <v>15</v>
      </c>
      <c r="C9" s="2"/>
      <c r="D9" s="2"/>
      <c r="E9" s="2"/>
      <c r="F9" s="3">
        <v>12</v>
      </c>
      <c r="G9" s="3">
        <v>12</v>
      </c>
      <c r="H9" s="3">
        <v>-108</v>
      </c>
      <c r="I9" s="3">
        <v>-405</v>
      </c>
      <c r="J9" s="4">
        <v>-22</v>
      </c>
      <c r="K9" s="4">
        <v>-75</v>
      </c>
      <c r="L9" s="4">
        <v>-11</v>
      </c>
      <c r="M9">
        <v>-153</v>
      </c>
    </row>
    <row r="10" ht="14.25">
      <c r="B10" t="s">
        <v>16</v>
      </c>
      <c r="C10" s="2"/>
      <c r="D10" s="2"/>
      <c r="E10" s="2"/>
      <c r="F10" s="3">
        <v>1875</v>
      </c>
      <c r="G10" s="3">
        <v>1875</v>
      </c>
      <c r="H10" s="3">
        <v>1820</v>
      </c>
      <c r="I10" s="3">
        <v>2358</v>
      </c>
      <c r="J10" s="4">
        <v>2545</v>
      </c>
      <c r="K10" s="4">
        <v>2854</v>
      </c>
      <c r="L10" s="4">
        <v>3009</v>
      </c>
      <c r="M10">
        <v>3077</v>
      </c>
    </row>
    <row r="11" ht="14.25">
      <c r="B11" t="s">
        <v>17</v>
      </c>
      <c r="C11" s="2"/>
      <c r="D11" s="2"/>
      <c r="E11" s="2"/>
      <c r="F11" s="3">
        <v>33</v>
      </c>
      <c r="G11" s="3">
        <v>33</v>
      </c>
      <c r="H11" s="3">
        <v>118</v>
      </c>
      <c r="I11" s="3">
        <v>117</v>
      </c>
      <c r="J11" s="4">
        <v>106</v>
      </c>
      <c r="K11" s="4">
        <v>114</v>
      </c>
      <c r="L11" s="4">
        <v>334</v>
      </c>
      <c r="M11">
        <v>395</v>
      </c>
    </row>
    <row r="12" ht="14.25">
      <c r="B12" s="2" t="s">
        <v>18</v>
      </c>
      <c r="C12" s="2"/>
      <c r="D12" s="2"/>
      <c r="E12" s="2"/>
      <c r="F12" s="3">
        <v>565</v>
      </c>
      <c r="G12" s="3">
        <v>565</v>
      </c>
      <c r="H12" s="3">
        <v>1002</v>
      </c>
      <c r="I12" s="3">
        <v>1074</v>
      </c>
      <c r="J12" s="4">
        <v>1091</v>
      </c>
      <c r="K12" s="4">
        <v>1137</v>
      </c>
      <c r="L12">
        <v>1216</v>
      </c>
      <c r="M12" s="2">
        <v>1355</v>
      </c>
    </row>
    <row r="13" ht="14.25">
      <c r="B13" t="s">
        <v>19</v>
      </c>
      <c r="C13" s="2"/>
      <c r="D13" s="2"/>
      <c r="E13" s="2"/>
      <c r="F13" s="3">
        <v>10081</v>
      </c>
      <c r="G13" s="3">
        <v>10081</v>
      </c>
      <c r="H13" s="3">
        <v>9843</v>
      </c>
      <c r="I13" s="3">
        <v>10896</v>
      </c>
      <c r="J13" s="4">
        <v>11309</v>
      </c>
      <c r="K13" s="4">
        <v>11861</v>
      </c>
      <c r="L13" s="4">
        <v>14464</v>
      </c>
      <c r="M13">
        <v>14615</v>
      </c>
    </row>
    <row r="14" s="1" customFormat="1" ht="14.25">
      <c r="B14" s="1" t="s">
        <v>20</v>
      </c>
      <c r="C14" s="1"/>
      <c r="D14" s="1"/>
      <c r="E14" s="1"/>
      <c r="F14" s="1">
        <f>SUM(F7:F13)</f>
        <v>31028</v>
      </c>
      <c r="G14" s="1">
        <f>SUM(G7:G13)</f>
        <v>31028</v>
      </c>
      <c r="H14" s="1">
        <f>SUM(H7:H13)</f>
        <v>31042</v>
      </c>
      <c r="I14" s="1">
        <f>SUM(I7:I13)</f>
        <v>36593</v>
      </c>
      <c r="J14" s="1">
        <f>SUM(J7:J13)</f>
        <v>40786</v>
      </c>
      <c r="K14" s="1">
        <f>SUM(K7:K13)</f>
        <v>47682</v>
      </c>
      <c r="L14" s="1">
        <f>SUM(L7:L13)</f>
        <v>48783</v>
      </c>
      <c r="M14" s="1">
        <f>SUM(M7:M13)</f>
        <v>50020</v>
      </c>
    </row>
    <row r="15" ht="14.25">
      <c r="B15" t="s">
        <v>21</v>
      </c>
      <c r="C15" s="2"/>
      <c r="D15" s="2"/>
      <c r="E15" s="2"/>
      <c r="F15" s="3">
        <f>F5-F14</f>
        <v>8832</v>
      </c>
      <c r="G15" s="3">
        <f>G5-G14</f>
        <v>8832</v>
      </c>
      <c r="H15" s="3">
        <f>H5-H14</f>
        <v>9373</v>
      </c>
      <c r="I15" s="3">
        <f>I5-I14</f>
        <v>10845</v>
      </c>
      <c r="J15" s="4">
        <f>J5-J14</f>
        <v>11918</v>
      </c>
      <c r="K15" s="4">
        <f>K5-K14</f>
        <v>13410</v>
      </c>
      <c r="L15" s="4">
        <f>L5-L14</f>
        <v>13924</v>
      </c>
      <c r="M15">
        <f>M5-M14</f>
        <v>14118</v>
      </c>
    </row>
    <row r="16" ht="14.25">
      <c r="B16" t="s">
        <v>22</v>
      </c>
      <c r="C16" s="2"/>
      <c r="D16" s="2"/>
      <c r="E16" s="2"/>
      <c r="F16" s="3">
        <v>0</v>
      </c>
      <c r="G16" s="3">
        <v>0</v>
      </c>
      <c r="H16" s="3">
        <v>0</v>
      </c>
      <c r="I16" s="3">
        <v>0</v>
      </c>
      <c r="J16" s="4">
        <v>0</v>
      </c>
      <c r="K16" s="4">
        <v>-1</v>
      </c>
      <c r="L16" s="4">
        <v>-4</v>
      </c>
      <c r="M16">
        <v>-8</v>
      </c>
    </row>
    <row r="17" ht="14.25">
      <c r="B17" t="s">
        <v>23</v>
      </c>
      <c r="C17" s="2"/>
      <c r="D17" s="2"/>
      <c r="E17" s="2"/>
      <c r="F17" s="3">
        <v>-228</v>
      </c>
      <c r="G17" s="3">
        <v>-228</v>
      </c>
      <c r="H17" s="3">
        <v>-200</v>
      </c>
      <c r="I17" s="3">
        <v>-239</v>
      </c>
      <c r="J17" s="4">
        <v>-44</v>
      </c>
      <c r="K17" s="4">
        <v>-64</v>
      </c>
      <c r="L17" s="4">
        <v>6</v>
      </c>
      <c r="M17">
        <v>305</v>
      </c>
    </row>
    <row r="18" s="1" customFormat="1" ht="14.25">
      <c r="B18" s="1" t="s">
        <v>24</v>
      </c>
      <c r="C18" s="1"/>
      <c r="D18" s="1"/>
      <c r="E18" s="1"/>
      <c r="F18" s="1">
        <f>F15+F16+F17</f>
        <v>8604</v>
      </c>
      <c r="G18" s="1">
        <f>G15+G16+G17</f>
        <v>8604</v>
      </c>
      <c r="H18" s="1">
        <f>H15+H16+H17</f>
        <v>9173</v>
      </c>
      <c r="I18" s="1">
        <f>I15+I16+I17</f>
        <v>10606</v>
      </c>
      <c r="J18" s="1">
        <f>J15+J16+J17</f>
        <v>11874</v>
      </c>
      <c r="K18" s="1">
        <f>K15+K16+K17</f>
        <v>13345</v>
      </c>
      <c r="L18" s="1">
        <f>L15+L16+L17</f>
        <v>13926</v>
      </c>
      <c r="M18" s="1">
        <f>M15+M16+M17</f>
        <v>14415</v>
      </c>
    </row>
    <row r="19" ht="14.25">
      <c r="B19" t="s">
        <v>25</v>
      </c>
      <c r="C19" s="2"/>
      <c r="D19" s="2"/>
      <c r="E19" s="2"/>
      <c r="F19" s="2">
        <f>-2610+66</f>
        <v>-2544</v>
      </c>
      <c r="G19" s="2">
        <f>-2610+66</f>
        <v>-2544</v>
      </c>
      <c r="H19" s="2">
        <f>-2243-166</f>
        <v>-2409</v>
      </c>
      <c r="I19" s="2">
        <f>-2520-86</f>
        <v>-2606</v>
      </c>
      <c r="J19" s="5">
        <f>-2840-147</f>
        <v>-2987</v>
      </c>
      <c r="K19" s="5">
        <f>-3001-200</f>
        <v>-3201</v>
      </c>
      <c r="L19" s="5">
        <f>-3521-123</f>
        <v>-3644</v>
      </c>
      <c r="M19">
        <f>-3620-124</f>
        <v>-3744</v>
      </c>
    </row>
    <row r="20" s="1" customFormat="1" ht="14.25">
      <c r="B20" s="1" t="s">
        <v>26</v>
      </c>
      <c r="C20" s="1"/>
      <c r="D20" s="1"/>
      <c r="E20" s="1"/>
      <c r="F20" s="1">
        <f>F18+F19</f>
        <v>6060</v>
      </c>
      <c r="G20" s="1">
        <f>G18+G19</f>
        <v>6060</v>
      </c>
      <c r="H20" s="1">
        <f>H18+H19</f>
        <v>6764</v>
      </c>
      <c r="I20" s="1">
        <f>I18+I19</f>
        <v>8000</v>
      </c>
      <c r="J20" s="1">
        <f>J18+J19</f>
        <v>8887</v>
      </c>
      <c r="K20" s="1">
        <f>K18+K19</f>
        <v>10144</v>
      </c>
      <c r="L20" s="1">
        <f>L18+L19</f>
        <v>10282</v>
      </c>
      <c r="M20" s="1">
        <f>M18+M19</f>
        <v>10671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 ht="15">
      <c r="A1" t="s">
        <v>27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2" topLeftCell="C3" activePane="bottomRight" state="frozen"/>
      <selection activeCell="A1" activeCellId="0" sqref="A1"/>
    </sheetView>
  </sheetViews>
  <sheetFormatPr defaultRowHeight="14.25"/>
  <cols>
    <col customWidth="1" min="1" max="2" width="13.7109375"/>
    <col customWidth="1" min="3" max="18" width="13.7109375"/>
    <col customWidth="1" min="19" max="16384" width="13.7109375"/>
  </cols>
  <sheetData>
    <row r="1" ht="14.25">
      <c r="A1" t="s">
        <v>8</v>
      </c>
      <c r="B1" t="s">
        <v>28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="1" customFormat="1" ht="14.25">
      <c r="C2" s="1" t="s">
        <v>29</v>
      </c>
      <c r="D2" s="1" t="s">
        <v>30</v>
      </c>
      <c r="E2" s="1" t="s">
        <v>31</v>
      </c>
      <c r="F2" s="6" t="s">
        <v>32</v>
      </c>
      <c r="G2" s="1" t="s">
        <v>33</v>
      </c>
      <c r="H2" s="1" t="s">
        <v>34</v>
      </c>
      <c r="I2" s="1" t="s">
        <v>35</v>
      </c>
      <c r="J2" s="6" t="s">
        <v>36</v>
      </c>
      <c r="K2" s="7" t="s">
        <v>37</v>
      </c>
      <c r="L2" s="7" t="s">
        <v>38</v>
      </c>
      <c r="M2" s="7" t="s">
        <v>39</v>
      </c>
      <c r="N2" s="6" t="s">
        <v>40</v>
      </c>
      <c r="O2" s="7" t="s">
        <v>41</v>
      </c>
      <c r="P2" s="7" t="s">
        <v>42</v>
      </c>
      <c r="Q2" s="7" t="s">
        <v>43</v>
      </c>
      <c r="R2" s="1" t="s">
        <v>44</v>
      </c>
      <c r="S2" s="1">
        <v>2022</v>
      </c>
      <c r="T2" s="1">
        <f>S2+1</f>
        <v>2023</v>
      </c>
      <c r="U2" s="8">
        <f>T2+1</f>
        <v>2024</v>
      </c>
      <c r="V2" s="8">
        <f>U2+1</f>
        <v>2025</v>
      </c>
    </row>
    <row r="3" ht="14.25">
      <c r="B3" t="s">
        <v>45</v>
      </c>
      <c r="C3" s="2"/>
      <c r="D3" s="2"/>
      <c r="E3" s="2"/>
      <c r="F3" s="9"/>
      <c r="G3" s="2"/>
      <c r="H3" s="2"/>
      <c r="I3" s="2"/>
      <c r="J3" s="9"/>
      <c r="K3" s="2"/>
      <c r="L3" s="2"/>
      <c r="M3" s="2"/>
      <c r="N3" s="9"/>
      <c r="O3" s="2"/>
      <c r="P3" s="2"/>
      <c r="Q3" s="2"/>
      <c r="R3" s="2"/>
      <c r="S3" s="4">
        <v>20077.5</v>
      </c>
      <c r="T3" s="4"/>
      <c r="U3" s="4">
        <v>24275.48</v>
      </c>
      <c r="V3">
        <v>20077.5</v>
      </c>
    </row>
    <row r="4" ht="14.25">
      <c r="B4" t="s">
        <v>46</v>
      </c>
      <c r="C4" s="2"/>
      <c r="D4" s="2"/>
      <c r="E4" s="2"/>
      <c r="F4" s="9"/>
      <c r="G4" s="2"/>
      <c r="H4" s="2"/>
      <c r="I4" s="2"/>
      <c r="J4" s="9"/>
      <c r="K4" s="2"/>
      <c r="L4" s="2"/>
      <c r="M4" s="2"/>
      <c r="N4" s="9"/>
      <c r="O4" s="2"/>
      <c r="P4" s="2"/>
      <c r="Q4" s="2"/>
      <c r="R4" s="2"/>
      <c r="S4" s="4">
        <v>124.06</v>
      </c>
      <c r="T4" s="4"/>
      <c r="U4" s="4">
        <v>118.41</v>
      </c>
      <c r="V4">
        <v>124.06</v>
      </c>
    </row>
    <row r="5" s="1" customFormat="1" ht="14.25">
      <c r="B5" s="1" t="s">
        <v>47</v>
      </c>
      <c r="C5" s="1"/>
      <c r="D5" s="1"/>
      <c r="E5" s="1"/>
      <c r="F5" s="6"/>
      <c r="G5" s="1"/>
      <c r="H5" s="1"/>
      <c r="I5" s="1"/>
      <c r="J5" s="6"/>
      <c r="K5" s="1"/>
      <c r="L5" s="1"/>
      <c r="M5" s="1"/>
      <c r="N5" s="6"/>
      <c r="O5" s="1"/>
      <c r="P5" s="1"/>
      <c r="Q5" s="1"/>
      <c r="R5" s="1"/>
      <c r="S5" s="8">
        <f>S3+S4</f>
        <v>20201.560000000001</v>
      </c>
      <c r="T5" s="8"/>
      <c r="U5" s="8">
        <f>U3+U4</f>
        <v>24393.889999999999</v>
      </c>
      <c r="V5" s="1">
        <f>V3+V4</f>
        <v>20201.560000000001</v>
      </c>
    </row>
    <row r="6" ht="14.25">
      <c r="B6" t="s">
        <v>48</v>
      </c>
      <c r="C6" s="2"/>
      <c r="D6" s="2"/>
      <c r="E6" s="2"/>
      <c r="F6" s="9"/>
      <c r="G6" s="2"/>
      <c r="H6" s="2"/>
      <c r="I6" s="2"/>
      <c r="J6" s="9"/>
      <c r="K6" s="2"/>
      <c r="L6" s="2"/>
      <c r="M6" s="2"/>
      <c r="N6" s="9"/>
      <c r="O6" s="2"/>
      <c r="P6" s="2"/>
      <c r="Q6" s="2"/>
      <c r="R6" s="2"/>
      <c r="S6" s="4">
        <v>58.859999999999999</v>
      </c>
      <c r="T6" s="4"/>
      <c r="U6" s="4">
        <v>147.96000000000001</v>
      </c>
      <c r="V6">
        <v>58.859999999999999</v>
      </c>
    </row>
    <row r="7" s="1" customFormat="1" ht="14.25">
      <c r="B7" s="1" t="s">
        <v>49</v>
      </c>
      <c r="C7" s="1"/>
      <c r="D7" s="1"/>
      <c r="E7" s="1"/>
      <c r="F7" s="6"/>
      <c r="G7" s="1"/>
      <c r="H7" s="1"/>
      <c r="I7" s="1"/>
      <c r="J7" s="6"/>
      <c r="K7" s="1"/>
      <c r="L7" s="1"/>
      <c r="M7" s="1"/>
      <c r="N7" s="6"/>
      <c r="O7" s="1"/>
      <c r="P7" s="1"/>
      <c r="Q7" s="1"/>
      <c r="R7" s="1"/>
      <c r="S7" s="1">
        <f>S5+S6</f>
        <v>20260.420000000002</v>
      </c>
      <c r="T7" s="1"/>
      <c r="U7" s="1">
        <f>U5+U6</f>
        <v>24541.849999999999</v>
      </c>
      <c r="V7" s="1">
        <f>V5+V6</f>
        <v>20260.420000000002</v>
      </c>
    </row>
    <row r="8" ht="14.25">
      <c r="F8" s="9"/>
      <c r="J8" s="9"/>
      <c r="N8" s="9"/>
      <c r="S8" s="4"/>
      <c r="T8" s="4"/>
      <c r="U8" s="4"/>
    </row>
    <row r="9" ht="14.25">
      <c r="B9" t="s">
        <v>50</v>
      </c>
      <c r="C9" s="2"/>
      <c r="D9" s="2"/>
      <c r="E9" s="2"/>
      <c r="F9" s="9"/>
      <c r="G9" s="2"/>
      <c r="H9" s="2"/>
      <c r="I9" s="2"/>
      <c r="J9" s="9"/>
      <c r="K9" s="2"/>
      <c r="L9" s="2"/>
      <c r="M9" s="2"/>
      <c r="N9" s="9"/>
      <c r="O9" s="2"/>
      <c r="P9" s="2"/>
      <c r="Q9" s="2"/>
      <c r="R9" s="2"/>
      <c r="S9" s="4">
        <v>8390.1499999999996</v>
      </c>
      <c r="T9" s="4"/>
      <c r="U9" s="4">
        <v>10216.879999999999</v>
      </c>
      <c r="V9">
        <v>8390.1499999999996</v>
      </c>
    </row>
    <row r="10" ht="14.25">
      <c r="B10" t="s">
        <v>51</v>
      </c>
      <c r="C10" s="2"/>
      <c r="D10" s="2"/>
      <c r="E10" s="2"/>
      <c r="F10" s="9"/>
      <c r="G10" s="2"/>
      <c r="H10" s="2"/>
      <c r="I10" s="2"/>
      <c r="J10" s="9"/>
      <c r="K10" s="2"/>
      <c r="L10" s="2"/>
      <c r="M10" s="2"/>
      <c r="N10" s="9"/>
      <c r="O10" s="2"/>
      <c r="P10" s="2"/>
      <c r="Q10" s="2"/>
      <c r="R10" s="2"/>
      <c r="S10" s="4">
        <v>499.31</v>
      </c>
      <c r="T10" s="4"/>
      <c r="U10" s="4">
        <v>537.37</v>
      </c>
      <c r="V10">
        <v>499.31</v>
      </c>
    </row>
    <row r="11" ht="14.25">
      <c r="B11" t="s">
        <v>52</v>
      </c>
      <c r="C11" s="2"/>
      <c r="D11" s="2"/>
      <c r="E11" s="2"/>
      <c r="F11" s="9"/>
      <c r="G11" s="2"/>
      <c r="H11" s="2"/>
      <c r="I11" s="2"/>
      <c r="J11" s="9"/>
      <c r="K11" s="2"/>
      <c r="L11" s="2"/>
      <c r="M11" s="2"/>
      <c r="N11" s="9"/>
      <c r="O11" s="2"/>
      <c r="P11" s="2"/>
      <c r="Q11" s="2"/>
      <c r="R11" s="2"/>
      <c r="S11" s="4">
        <v>-139.66</v>
      </c>
      <c r="T11" s="4"/>
      <c r="U11" s="4">
        <v>-45.68</v>
      </c>
      <c r="V11">
        <v>-139.66</v>
      </c>
    </row>
    <row r="12" ht="14.25">
      <c r="B12" t="s">
        <v>16</v>
      </c>
      <c r="C12" s="2"/>
      <c r="D12" s="2"/>
      <c r="E12" s="2"/>
      <c r="F12" s="9"/>
      <c r="G12" s="2"/>
      <c r="H12" s="2"/>
      <c r="I12" s="2"/>
      <c r="J12" s="9"/>
      <c r="K12" s="2"/>
      <c r="L12" s="2"/>
      <c r="M12" s="2"/>
      <c r="N12" s="9"/>
      <c r="O12" s="2"/>
      <c r="P12" s="2"/>
      <c r="Q12" s="2"/>
      <c r="R12" s="2"/>
      <c r="S12" s="4">
        <v>2023.71</v>
      </c>
      <c r="T12" s="4"/>
      <c r="U12" s="4">
        <v>2336.0599999999999</v>
      </c>
      <c r="V12">
        <v>2023.71</v>
      </c>
    </row>
    <row r="13" ht="14.25">
      <c r="B13" t="s">
        <v>17</v>
      </c>
      <c r="C13" s="2"/>
      <c r="D13" s="2"/>
      <c r="E13" s="2"/>
      <c r="F13" s="9"/>
      <c r="G13" s="2"/>
      <c r="H13" s="2"/>
      <c r="I13" s="2"/>
      <c r="J13" s="9"/>
      <c r="K13" s="2"/>
      <c r="L13" s="2"/>
      <c r="M13" s="2"/>
      <c r="N13" s="9"/>
      <c r="O13" s="2"/>
      <c r="P13" s="2"/>
      <c r="Q13" s="2"/>
      <c r="R13" s="2"/>
      <c r="S13" s="4">
        <v>136</v>
      </c>
      <c r="T13" s="4"/>
      <c r="U13" s="4">
        <v>145.49000000000001</v>
      </c>
      <c r="V13">
        <v>136</v>
      </c>
    </row>
    <row r="14" ht="14.25">
      <c r="B14" t="s">
        <v>18</v>
      </c>
      <c r="C14" s="2"/>
      <c r="D14" s="2"/>
      <c r="E14" s="2"/>
      <c r="F14" s="9"/>
      <c r="G14" s="2"/>
      <c r="H14" s="2"/>
      <c r="I14" s="2"/>
      <c r="J14" s="9"/>
      <c r="K14" s="2"/>
      <c r="L14" s="2"/>
      <c r="M14" s="2"/>
      <c r="N14" s="9"/>
      <c r="O14" s="2"/>
      <c r="P14" s="2"/>
      <c r="Q14" s="2"/>
      <c r="R14" s="2"/>
      <c r="S14" s="4">
        <v>539.91999999999996</v>
      </c>
      <c r="T14" s="4"/>
      <c r="U14" s="4">
        <v>567.75</v>
      </c>
      <c r="V14">
        <v>539.91999999999996</v>
      </c>
    </row>
    <row r="15" ht="14.25">
      <c r="B15" t="s">
        <v>19</v>
      </c>
      <c r="C15" s="2"/>
      <c r="D15" s="2"/>
      <c r="E15" s="2"/>
      <c r="F15" s="9"/>
      <c r="G15" s="2"/>
      <c r="H15" s="2"/>
      <c r="I15" s="2"/>
      <c r="J15" s="9"/>
      <c r="K15" s="2"/>
      <c r="L15" s="2"/>
      <c r="M15" s="2"/>
      <c r="N15" s="9"/>
      <c r="O15" s="2"/>
      <c r="P15" s="2"/>
      <c r="Q15" s="2"/>
      <c r="R15" s="2"/>
      <c r="S15" s="4">
        <v>4577.7200000000003</v>
      </c>
      <c r="T15" s="4"/>
      <c r="U15" s="4">
        <v>5439.7200000000003</v>
      </c>
      <c r="V15">
        <v>4577.7200000000003</v>
      </c>
    </row>
    <row r="16" ht="14.25">
      <c r="B16" t="s">
        <v>53</v>
      </c>
      <c r="C16" s="2"/>
      <c r="D16" s="2"/>
      <c r="E16" s="2"/>
      <c r="F16" s="9"/>
      <c r="G16" s="2"/>
      <c r="H16" s="2"/>
      <c r="I16" s="2"/>
      <c r="J16" s="9"/>
      <c r="K16" s="2"/>
      <c r="L16" s="2"/>
      <c r="M16" s="2"/>
      <c r="N16" s="9"/>
      <c r="O16" s="2"/>
      <c r="P16" s="2"/>
      <c r="Q16" s="2"/>
      <c r="R16" s="2"/>
      <c r="S16" s="4">
        <v>76.620000000000005</v>
      </c>
      <c r="T16" s="4"/>
      <c r="U16" s="4">
        <v>59.759999999999998</v>
      </c>
      <c r="V16">
        <v>76.620000000000005</v>
      </c>
    </row>
    <row r="17" s="1" customFormat="1" ht="14.25">
      <c r="B17" s="1" t="s">
        <v>54</v>
      </c>
      <c r="C17" s="1"/>
      <c r="D17" s="1"/>
      <c r="E17" s="1"/>
      <c r="F17" s="6"/>
      <c r="G17" s="1"/>
      <c r="H17" s="1"/>
      <c r="I17" s="1"/>
      <c r="J17" s="6"/>
      <c r="K17" s="1"/>
      <c r="L17" s="1"/>
      <c r="M17" s="1"/>
      <c r="N17" s="6"/>
      <c r="O17" s="1"/>
      <c r="P17" s="1"/>
      <c r="Q17" s="1"/>
      <c r="R17" s="1"/>
      <c r="S17" s="1">
        <f>SUM(S9:S16)</f>
        <v>16103.769999999999</v>
      </c>
      <c r="T17" s="1"/>
      <c r="U17" s="1">
        <f>SUM(U9:U16)</f>
        <v>19257.349999999999</v>
      </c>
      <c r="V17" s="1">
        <f>SUM(V9:V16)</f>
        <v>16103.769999999999</v>
      </c>
    </row>
    <row r="18" s="1" customFormat="1" ht="14.25">
      <c r="B18" s="1" t="s">
        <v>21</v>
      </c>
      <c r="C18" s="1"/>
      <c r="D18" s="1"/>
      <c r="E18" s="1"/>
      <c r="F18" s="6"/>
      <c r="G18" s="1"/>
      <c r="H18" s="1"/>
      <c r="I18" s="1"/>
      <c r="J18" s="6"/>
      <c r="K18" s="1"/>
      <c r="L18" s="1"/>
      <c r="M18" s="1"/>
      <c r="N18" s="6"/>
      <c r="O18" s="1"/>
      <c r="P18" s="1"/>
      <c r="Q18" s="1"/>
      <c r="R18" s="1"/>
      <c r="S18" s="1">
        <f>S7-S17</f>
        <v>4156.6500000000033</v>
      </c>
      <c r="T18" s="1"/>
      <c r="U18" s="1">
        <f>U7-U17</f>
        <v>5284.5</v>
      </c>
      <c r="V18" s="1">
        <f>V7-V17</f>
        <v>4156.6500000000033</v>
      </c>
    </row>
    <row r="19" ht="14.25">
      <c r="B19" t="s">
        <v>55</v>
      </c>
      <c r="C19" s="2"/>
      <c r="D19" s="2"/>
      <c r="E19" s="2"/>
      <c r="F19" s="9"/>
      <c r="G19" s="2"/>
      <c r="H19" s="2"/>
      <c r="I19" s="2"/>
      <c r="J19" s="9"/>
      <c r="K19" s="2"/>
      <c r="L19" s="2"/>
      <c r="M19" s="2"/>
      <c r="N19" s="9"/>
      <c r="O19" s="2"/>
      <c r="P19" s="2"/>
      <c r="Q19" s="2"/>
      <c r="R19" s="2"/>
      <c r="S19">
        <v>-23.949999999999999</v>
      </c>
      <c r="U19">
        <v>0</v>
      </c>
      <c r="V19">
        <v>-23.949999999999999</v>
      </c>
    </row>
    <row r="20" ht="14.25">
      <c r="B20" t="s">
        <v>56</v>
      </c>
      <c r="C20" s="2"/>
      <c r="D20" s="2"/>
      <c r="E20" s="2"/>
      <c r="F20" s="9"/>
      <c r="G20" s="2"/>
      <c r="H20" s="2"/>
      <c r="I20" s="2"/>
      <c r="J20" s="9"/>
      <c r="K20" s="2"/>
      <c r="L20" s="2"/>
      <c r="M20" s="2"/>
      <c r="N20" s="9"/>
      <c r="O20" s="2"/>
      <c r="P20" s="2"/>
      <c r="Q20" s="2"/>
      <c r="R20" s="2"/>
      <c r="S20" s="4">
        <v>-183.41999999999999</v>
      </c>
      <c r="T20" s="4"/>
      <c r="U20" s="4">
        <v>-4.3700000000000001</v>
      </c>
      <c r="V20">
        <v>-183.41999999999999</v>
      </c>
    </row>
    <row r="21" ht="14.25">
      <c r="B21" t="s">
        <v>24</v>
      </c>
      <c r="C21" s="2"/>
      <c r="D21" s="2"/>
      <c r="E21" s="2"/>
      <c r="F21" s="9"/>
      <c r="G21" s="2"/>
      <c r="H21" s="2"/>
      <c r="I21" s="2"/>
      <c r="J21" s="9"/>
      <c r="K21" s="2"/>
      <c r="L21" s="2"/>
      <c r="M21" s="2"/>
      <c r="N21" s="9"/>
      <c r="O21" s="2"/>
      <c r="P21" s="2"/>
      <c r="Q21" s="2"/>
      <c r="R21" s="2"/>
      <c r="S21" s="4">
        <f>S18+S19-S20</f>
        <v>4316.1200000000035</v>
      </c>
      <c r="T21" s="4"/>
      <c r="U21" s="4">
        <f>U18+U19-U20</f>
        <v>5288.8699999999999</v>
      </c>
      <c r="V21">
        <f>V18+V19-V20</f>
        <v>4316.1200000000035</v>
      </c>
    </row>
    <row r="22" ht="14.25">
      <c r="B22" t="s">
        <v>25</v>
      </c>
      <c r="C22" s="2"/>
      <c r="D22" s="2"/>
      <c r="E22" s="2"/>
      <c r="F22" s="9"/>
      <c r="G22" s="2"/>
      <c r="H22" s="2"/>
      <c r="I22" s="2"/>
      <c r="J22" s="9"/>
      <c r="K22" s="2"/>
      <c r="L22" s="2"/>
      <c r="M22" s="2"/>
      <c r="N22" s="9"/>
      <c r="O22" s="2"/>
      <c r="P22" s="2"/>
      <c r="Q22" s="2"/>
      <c r="R22" s="2"/>
      <c r="S22">
        <f>1095.18+13.35</f>
        <v>1108.53</v>
      </c>
      <c r="U22">
        <f>1315.68+40.35</f>
        <v>1356.03</v>
      </c>
      <c r="V22">
        <f>1095.18+13.35</f>
        <v>1108.53</v>
      </c>
    </row>
    <row r="23" s="1" customFormat="1" ht="14.25">
      <c r="B23" s="1" t="s">
        <v>26</v>
      </c>
      <c r="C23" s="1"/>
      <c r="D23" s="1"/>
      <c r="E23" s="1"/>
      <c r="F23" s="6"/>
      <c r="G23" s="1"/>
      <c r="H23" s="1"/>
      <c r="I23" s="1"/>
      <c r="J23" s="6"/>
      <c r="K23" s="1"/>
      <c r="L23" s="1"/>
      <c r="M23" s="1"/>
      <c r="N23" s="6"/>
      <c r="O23" s="1"/>
      <c r="P23" s="1"/>
      <c r="Q23" s="1"/>
      <c r="R23" s="1"/>
      <c r="S23" s="1">
        <f>S21-S22</f>
        <v>3207.5900000000038</v>
      </c>
      <c r="T23" s="1"/>
      <c r="U23" s="1">
        <f>U21-U22</f>
        <v>3932.8400000000001</v>
      </c>
      <c r="V23" s="1">
        <f>V21-V22</f>
        <v>3207.5900000000038</v>
      </c>
    </row>
    <row r="24" ht="14.25">
      <c r="F24" s="9"/>
      <c r="J24" s="9"/>
      <c r="N24" s="9"/>
    </row>
    <row r="25" ht="14.25">
      <c r="B25" t="s">
        <v>57</v>
      </c>
      <c r="C25" s="2"/>
      <c r="D25" s="2"/>
      <c r="E25" s="2"/>
      <c r="F25" s="9"/>
      <c r="G25" s="2"/>
      <c r="H25" s="2"/>
      <c r="I25" s="2"/>
      <c r="J25" s="9"/>
      <c r="K25" s="2"/>
      <c r="L25" s="2"/>
      <c r="M25" s="2"/>
      <c r="N25" s="9"/>
      <c r="O25" s="2"/>
      <c r="P25" s="2"/>
      <c r="Q25" s="2"/>
      <c r="R25" s="2"/>
      <c r="V25">
        <f>V7/U7-1</f>
        <v>-0.17445424855909386</v>
      </c>
    </row>
    <row r="26" ht="14.25">
      <c r="B26" t="s">
        <v>58</v>
      </c>
      <c r="C26" s="2"/>
      <c r="D26" s="2"/>
      <c r="E26" s="2"/>
      <c r="F26" s="9"/>
      <c r="G26" s="2"/>
      <c r="H26" s="2"/>
      <c r="I26" s="2"/>
      <c r="J26" s="9"/>
      <c r="K26" s="2"/>
      <c r="L26" s="2"/>
      <c r="M26" s="2"/>
      <c r="N26" s="9"/>
      <c r="O26" s="2"/>
      <c r="P26" s="2"/>
      <c r="Q26" s="2"/>
      <c r="R26" s="2"/>
      <c r="V26">
        <f>V7-V9</f>
        <v>11870.270000000002</v>
      </c>
    </row>
    <row r="27" ht="14.25">
      <c r="B27" t="s">
        <v>59</v>
      </c>
      <c r="C27" s="2"/>
      <c r="D27" s="2"/>
      <c r="E27" s="2"/>
      <c r="F27" s="9"/>
      <c r="G27" s="2"/>
      <c r="H27" s="2"/>
      <c r="I27" s="2"/>
      <c r="J27" s="9"/>
      <c r="K27" s="2"/>
      <c r="L27" s="2"/>
      <c r="M27" s="2"/>
      <c r="N27" s="9"/>
      <c r="O27" s="2"/>
      <c r="P27" s="2"/>
      <c r="Q27" s="2"/>
      <c r="R27" s="2"/>
      <c r="V27">
        <f>V26/V7</f>
        <v>0.58588469538143839</v>
      </c>
    </row>
    <row r="28" ht="14.25">
      <c r="B28" t="s">
        <v>60</v>
      </c>
      <c r="C28" s="2"/>
      <c r="D28" s="2"/>
      <c r="E28" s="2"/>
      <c r="F28" s="9"/>
      <c r="G28" s="2"/>
      <c r="H28" s="2"/>
      <c r="I28" s="2"/>
      <c r="J28" s="9"/>
      <c r="K28" s="2"/>
      <c r="L28" s="2"/>
      <c r="M28" s="2"/>
      <c r="N28" s="9"/>
      <c r="O28" s="2"/>
      <c r="P28" s="2"/>
      <c r="Q28" s="2"/>
      <c r="R28" s="2"/>
      <c r="V28">
        <f>V12/U12-1</f>
        <v>-0.13370803832093348</v>
      </c>
    </row>
    <row r="29" ht="14.25">
      <c r="B29" t="s">
        <v>61</v>
      </c>
      <c r="C29" s="2"/>
      <c r="D29" s="2"/>
      <c r="E29" s="2"/>
      <c r="F29" s="9"/>
      <c r="G29" s="2"/>
      <c r="H29" s="2"/>
      <c r="I29" s="2"/>
      <c r="J29" s="9"/>
      <c r="K29" s="2"/>
      <c r="L29" s="2"/>
      <c r="M29" s="2"/>
      <c r="N29" s="9"/>
      <c r="O29" s="2"/>
      <c r="P29" s="2"/>
      <c r="Q29" s="2"/>
      <c r="R29" s="2"/>
      <c r="V29">
        <f>V13/U13-1</f>
        <v>-0.065227850711389146</v>
      </c>
    </row>
    <row r="30" ht="14.25">
      <c r="B30" t="s">
        <v>62</v>
      </c>
      <c r="C30" s="2"/>
      <c r="D30" s="2"/>
      <c r="E30" s="2"/>
      <c r="F30" s="9"/>
      <c r="G30" s="2"/>
      <c r="H30" s="2"/>
      <c r="I30" s="2"/>
      <c r="J30" s="9"/>
      <c r="K30" s="2"/>
      <c r="L30" s="2"/>
      <c r="M30" s="2"/>
      <c r="N30" s="9"/>
      <c r="O30" s="2"/>
      <c r="P30" s="2"/>
      <c r="Q30" s="2"/>
      <c r="R30" s="2"/>
      <c r="V30">
        <f>V14/U14-1</f>
        <v>-0.049018053720827903</v>
      </c>
    </row>
    <row r="31" ht="14.25">
      <c r="B31" t="s">
        <v>63</v>
      </c>
      <c r="C31" s="2"/>
      <c r="D31" s="2"/>
      <c r="E31" s="2"/>
      <c r="F31" s="9"/>
      <c r="G31" s="2"/>
      <c r="H31" s="2"/>
      <c r="I31" s="2"/>
      <c r="J31" s="9"/>
      <c r="K31" s="2"/>
      <c r="L31" s="2"/>
      <c r="M31" s="2"/>
      <c r="N31" s="9"/>
      <c r="O31" s="2"/>
      <c r="P31" s="2"/>
      <c r="Q31" s="2"/>
      <c r="R31" s="2"/>
      <c r="V31">
        <f>V15/U15-1</f>
        <v>-0.15846403859022151</v>
      </c>
    </row>
    <row r="32" ht="14.25">
      <c r="B32" t="s">
        <v>64</v>
      </c>
      <c r="C32" s="2"/>
      <c r="D32" s="2"/>
      <c r="E32" s="2"/>
      <c r="F32" s="9"/>
      <c r="G32" s="2"/>
      <c r="H32" s="2"/>
      <c r="I32" s="2"/>
      <c r="J32" s="9"/>
      <c r="K32" s="2"/>
      <c r="L32" s="2"/>
      <c r="M32" s="2"/>
      <c r="N32" s="9"/>
      <c r="O32" s="2"/>
      <c r="P32" s="2"/>
      <c r="Q32" s="2"/>
      <c r="R32" s="2"/>
      <c r="V32">
        <f>V22/V21</f>
        <v>0.25683484240475218</v>
      </c>
    </row>
    <row r="33" ht="14.25">
      <c r="F33" s="9"/>
      <c r="J33" s="9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2">
      <c r="B2" t="s">
        <v>65</v>
      </c>
    </row>
    <row r="3">
      <c r="B3" t="s">
        <v>66</v>
      </c>
    </row>
    <row r="4">
      <c r="B4" t="s">
        <v>67</v>
      </c>
    </row>
    <row r="5">
      <c r="B5" t="s">
        <v>68</v>
      </c>
    </row>
    <row r="6">
      <c r="B6" t="s">
        <v>69</v>
      </c>
    </row>
    <row r="8">
      <c r="A8" t="s">
        <v>36</v>
      </c>
      <c r="B8" s="10" t="s">
        <v>70</v>
      </c>
    </row>
    <row r="9">
      <c r="A9" t="s">
        <v>40</v>
      </c>
      <c r="B9" s="10" t="s">
        <v>71</v>
      </c>
    </row>
    <row r="10">
      <c r="B10" t="s">
        <v>72</v>
      </c>
    </row>
    <row r="11">
      <c r="B11" t="s">
        <v>73</v>
      </c>
    </row>
    <row r="13" ht="14.25">
      <c r="B13" t="s">
        <v>74</v>
      </c>
      <c r="C13" t="s">
        <v>75</v>
      </c>
    </row>
    <row r="15" ht="14.25">
      <c r="B15" t="s">
        <v>76</v>
      </c>
    </row>
    <row r="17" ht="14.25">
      <c r="B17" t="s">
        <v>77</v>
      </c>
    </row>
    <row r="19" ht="14.25">
      <c r="B19" t="s">
        <v>78</v>
      </c>
    </row>
    <row r="21" ht="14.25">
      <c r="B21" t="s">
        <v>79</v>
      </c>
    </row>
    <row r="23" ht="14.25">
      <c r="B23" t="s">
        <v>80</v>
      </c>
    </row>
    <row r="25" ht="14.25">
      <c r="B25" t="s">
        <v>81</v>
      </c>
    </row>
    <row r="27" ht="14.25">
      <c r="A27" t="s">
        <v>82</v>
      </c>
      <c r="B27" t="s">
        <v>83</v>
      </c>
    </row>
    <row r="28" ht="14.25">
      <c r="B28" t="s">
        <v>84</v>
      </c>
    </row>
    <row r="29" ht="14.25">
      <c r="B29" t="s">
        <v>85</v>
      </c>
    </row>
    <row r="31" ht="14.25">
      <c r="A31" t="s">
        <v>86</v>
      </c>
    </row>
  </sheetData>
  <hyperlinks>
    <hyperlink r:id="rId1" ref="B8"/>
    <hyperlink r:id="rId2" ref="B9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2" topLeftCell="C3" activePane="bottomRight" state="frozen"/>
      <selection activeCell="A1" activeCellId="0" sqref="A1"/>
    </sheetView>
  </sheetViews>
  <sheetFormatPr defaultRowHeight="14.25"/>
  <cols>
    <col customWidth="1" min="1" max="1" width="13.7109375"/>
    <col customWidth="1" min="2" max="11" width="17.7109375"/>
    <col customWidth="1" min="12" max="16384" width="14.7109375"/>
  </cols>
  <sheetData>
    <row r="1">
      <c r="A1" t="s">
        <v>8</v>
      </c>
      <c r="B1" t="s">
        <v>9</v>
      </c>
      <c r="C1" s="11"/>
      <c r="D1" s="11"/>
      <c r="E1" s="11"/>
      <c r="F1" s="11"/>
      <c r="G1" s="11"/>
      <c r="H1" s="11"/>
      <c r="I1" s="11"/>
      <c r="J1" s="11"/>
      <c r="K1" s="11"/>
    </row>
    <row r="2" s="1" customFormat="1">
      <c r="C2" s="1">
        <f>D2-1</f>
        <v>2014</v>
      </c>
      <c r="D2" s="1">
        <f>E2-1</f>
        <v>2015</v>
      </c>
      <c r="E2" s="1">
        <f>F2-1</f>
        <v>2016</v>
      </c>
      <c r="F2" s="1">
        <f>G2-1</f>
        <v>2017</v>
      </c>
      <c r="G2" s="1">
        <f>H2-1</f>
        <v>2018</v>
      </c>
      <c r="H2" s="1">
        <v>2019</v>
      </c>
      <c r="I2" s="1">
        <v>2020</v>
      </c>
      <c r="J2" s="1">
        <v>2021</v>
      </c>
      <c r="K2" s="1">
        <v>2022</v>
      </c>
      <c r="L2" s="1">
        <v>2023</v>
      </c>
      <c r="M2" s="1">
        <v>2024</v>
      </c>
      <c r="N2" s="1">
        <v>2025</v>
      </c>
      <c r="S2" s="1">
        <v>2025</v>
      </c>
      <c r="T2" s="1">
        <f>S2+1</f>
        <v>2026</v>
      </c>
      <c r="U2" s="1">
        <f>T2+1</f>
        <v>2027</v>
      </c>
      <c r="V2" s="1">
        <f>U2+1</f>
        <v>2028</v>
      </c>
      <c r="W2" s="1">
        <f>V2+1</f>
        <v>2029</v>
      </c>
      <c r="X2" s="1">
        <f>W2+1</f>
        <v>2030</v>
      </c>
      <c r="Y2" s="1">
        <f>X2+1</f>
        <v>2031</v>
      </c>
      <c r="Z2" s="1">
        <f>Y2+1</f>
        <v>2032</v>
      </c>
      <c r="AA2" s="1">
        <f>Z2+1</f>
        <v>2033</v>
      </c>
      <c r="AB2" s="1">
        <f>AA2+1</f>
        <v>2034</v>
      </c>
      <c r="AC2" s="1">
        <f>AB2+1</f>
        <v>2035</v>
      </c>
    </row>
    <row r="3">
      <c r="B3" t="s">
        <v>87</v>
      </c>
      <c r="C3" s="11">
        <f>6945.52-116.2</f>
        <v>6829.3200000000006</v>
      </c>
      <c r="D3" s="11">
        <f>7944.18-169.09</f>
        <v>7775.0900000000001</v>
      </c>
      <c r="E3" s="11">
        <v>8554.3600000000006</v>
      </c>
      <c r="F3" s="11">
        <v>9232.2999999999993</v>
      </c>
      <c r="G3" s="11">
        <v>9905.6299999999992</v>
      </c>
      <c r="H3" s="11">
        <v>10973.459999999999</v>
      </c>
      <c r="I3" s="11">
        <v>11443.99</v>
      </c>
      <c r="J3" s="11">
        <v>12883.040000000001</v>
      </c>
      <c r="K3" s="4">
        <v>13944.67</v>
      </c>
      <c r="L3">
        <v>15984.9</v>
      </c>
      <c r="M3">
        <v>16546.209999999999</v>
      </c>
      <c r="N3">
        <v>17535.02</v>
      </c>
      <c r="S3" s="4">
        <v>17535.02</v>
      </c>
    </row>
    <row r="4">
      <c r="B4" t="s">
        <v>88</v>
      </c>
      <c r="C4" s="11">
        <v>83.390000000000001</v>
      </c>
      <c r="D4" s="11">
        <v>83.329999999999998</v>
      </c>
      <c r="E4" s="4">
        <v>71.790000000000006</v>
      </c>
      <c r="F4" s="4">
        <v>91.810000000000002</v>
      </c>
      <c r="G4" s="4">
        <v>84.469999999999999</v>
      </c>
      <c r="H4" s="4">
        <v>81.209999999999994</v>
      </c>
      <c r="I4" s="4">
        <v>155.56</v>
      </c>
      <c r="J4" s="4">
        <v>253.09999999999999</v>
      </c>
      <c r="K4" s="4">
        <v>191.59</v>
      </c>
      <c r="L4">
        <v>315.64999999999998</v>
      </c>
      <c r="M4">
        <v>223.06</v>
      </c>
      <c r="N4">
        <v>407.64999999999998</v>
      </c>
      <c r="S4" s="4">
        <v>407.64999999999998</v>
      </c>
    </row>
    <row r="5" s="1" customFormat="1">
      <c r="B5" s="1" t="s">
        <v>89</v>
      </c>
      <c r="C5" s="1">
        <f>SUM(C3:C4)</f>
        <v>6912.7100000000009</v>
      </c>
      <c r="D5" s="1">
        <f>SUM(D3:D4)</f>
        <v>7858.4200000000001</v>
      </c>
      <c r="E5" s="1">
        <f>SUM(E3:E4)</f>
        <v>8626.1500000000015</v>
      </c>
      <c r="F5" s="1">
        <f>SUM(F3:F4)</f>
        <v>9324.1099999999988</v>
      </c>
      <c r="G5" s="1">
        <f>SUM(G3:G4)</f>
        <v>9990.0999999999985</v>
      </c>
      <c r="H5" s="1">
        <f>SUM(H3:H4)</f>
        <v>11054.669999999998</v>
      </c>
      <c r="I5" s="1">
        <f>SUM(I3:I4)</f>
        <v>11599.549999999999</v>
      </c>
      <c r="J5" s="1">
        <f>SUM(J3:J4)</f>
        <v>13136.140000000001</v>
      </c>
      <c r="K5" s="1">
        <f>SUM(K3:K4)</f>
        <v>14136.26</v>
      </c>
      <c r="L5" s="1">
        <f>SUM(L3:L4)</f>
        <v>16300.549999999999</v>
      </c>
      <c r="M5" s="1">
        <f>SUM(M3:M4)</f>
        <v>16769.27</v>
      </c>
      <c r="N5" s="1">
        <f>SUM(N3:N4)</f>
        <v>17942.670000000002</v>
      </c>
      <c r="S5" s="1">
        <f>SUM(S3:S4)</f>
        <v>17942.670000000002</v>
      </c>
    </row>
    <row r="6">
      <c r="B6" t="s">
        <v>48</v>
      </c>
      <c r="C6" s="4">
        <v>33.590000000000003</v>
      </c>
      <c r="D6" s="4">
        <v>87.959999999999994</v>
      </c>
      <c r="E6" s="4">
        <v>124.34999999999999</v>
      </c>
      <c r="F6" s="4">
        <v>150.53999999999999</v>
      </c>
      <c r="G6" s="4">
        <v>166.37</v>
      </c>
      <c r="H6" s="4">
        <v>206.44999999999999</v>
      </c>
      <c r="I6" s="4">
        <v>279.39999999999998</v>
      </c>
      <c r="J6" s="4">
        <v>312.87</v>
      </c>
      <c r="K6" s="4">
        <v>222.83000000000001</v>
      </c>
      <c r="L6" s="4">
        <v>215.86000000000001</v>
      </c>
      <c r="M6" s="4">
        <v>214.18000000000001</v>
      </c>
      <c r="N6">
        <v>227.09</v>
      </c>
      <c r="S6" s="4">
        <v>227.09</v>
      </c>
    </row>
    <row r="7" s="1" customFormat="1">
      <c r="B7" s="1" t="s">
        <v>49</v>
      </c>
      <c r="C7" s="1">
        <f>C5+C6</f>
        <v>6946.3000000000011</v>
      </c>
      <c r="D7" s="1">
        <f>D5+D6</f>
        <v>7946.3800000000001</v>
      </c>
      <c r="E7" s="1">
        <f>E5+E6</f>
        <v>8750.5000000000018</v>
      </c>
      <c r="F7" s="1">
        <f>F5+F6</f>
        <v>9474.6499999999996</v>
      </c>
      <c r="G7" s="1">
        <f>G5+G6</f>
        <v>10156.469999999999</v>
      </c>
      <c r="H7" s="1">
        <f>H5+H6</f>
        <v>11261.119999999999</v>
      </c>
      <c r="I7" s="1">
        <f>I5+I6</f>
        <v>11878.949999999999</v>
      </c>
      <c r="J7" s="1">
        <f>J5+J6</f>
        <v>13449.010000000002</v>
      </c>
      <c r="K7" s="1">
        <f>K5+K6</f>
        <v>14359.09</v>
      </c>
      <c r="L7" s="1">
        <f>L5+L6</f>
        <v>16516.41</v>
      </c>
      <c r="M7" s="1">
        <f>M5+M6</f>
        <v>16983.450000000001</v>
      </c>
      <c r="N7" s="1">
        <f>N5+N6</f>
        <v>18169.760000000002</v>
      </c>
      <c r="S7" s="1">
        <f>S5+S6</f>
        <v>18169.760000000002</v>
      </c>
      <c r="T7" s="12">
        <f>S7*($Q$28+1)</f>
        <v>20168.433600000004</v>
      </c>
      <c r="U7" s="12">
        <f>T7*($Q$28+1)</f>
        <v>22386.961296000005</v>
      </c>
      <c r="V7" s="12">
        <f>U7*($Q$28+1)</f>
        <v>24849.527038560009</v>
      </c>
      <c r="W7" s="12">
        <f>V7*($Q$28+1)</f>
        <v>27582.975012801613</v>
      </c>
      <c r="X7" s="12">
        <f>W7*($Q$28+1)</f>
        <v>30617.102264209792</v>
      </c>
      <c r="Y7" s="12">
        <f>X7*($R$28+1)</f>
        <v>33372.641467988673</v>
      </c>
      <c r="Z7" s="12">
        <f>Y7*($R$28+1)</f>
        <v>36376.179200107654</v>
      </c>
      <c r="AA7" s="12">
        <f>Z7*($R$28+1)</f>
        <v>39650.035328117345</v>
      </c>
      <c r="AB7" s="12">
        <f>AA7*($R$28+1)</f>
        <v>43218.538507647907</v>
      </c>
      <c r="AC7" s="12">
        <f>AB7*($R$28+1)</f>
        <v>47108.206973336222</v>
      </c>
    </row>
    <row r="8">
      <c r="C8" s="4"/>
      <c r="D8" s="4"/>
      <c r="E8" s="4"/>
      <c r="F8" s="4"/>
      <c r="G8" s="4"/>
      <c r="H8" s="4"/>
      <c r="I8" s="4"/>
      <c r="J8" s="4"/>
      <c r="K8" s="4"/>
      <c r="L8" s="4"/>
      <c r="M8" s="4"/>
      <c r="S8" s="4"/>
      <c r="T8" s="13"/>
      <c r="U8" s="13"/>
      <c r="V8" s="13"/>
      <c r="W8" s="13"/>
      <c r="X8" s="13"/>
      <c r="Y8" s="13"/>
      <c r="Z8" s="13"/>
      <c r="AA8" s="13"/>
      <c r="AB8" s="13"/>
      <c r="AC8" s="13"/>
    </row>
    <row r="9">
      <c r="B9" t="s">
        <v>90</v>
      </c>
      <c r="C9" s="4">
        <v>3657.4000000000001</v>
      </c>
      <c r="D9" s="4">
        <v>4119.9700000000003</v>
      </c>
      <c r="E9" s="4">
        <v>4331.4899999999998</v>
      </c>
      <c r="F9" s="4">
        <v>4839.5699999999997</v>
      </c>
      <c r="G9" s="4">
        <v>4906.0799999999999</v>
      </c>
      <c r="H9" s="4">
        <v>5513.0100000000002</v>
      </c>
      <c r="I9" s="4">
        <v>5684.9799999999996</v>
      </c>
      <c r="J9" s="4">
        <v>6502.3299999999999</v>
      </c>
      <c r="K9" s="4">
        <v>7473.9700000000003</v>
      </c>
      <c r="L9" s="4">
        <v>8326.7000000000007</v>
      </c>
      <c r="M9" s="4">
        <v>8546.8899999999994</v>
      </c>
      <c r="N9">
        <v>9859.4500000000007</v>
      </c>
      <c r="S9" s="4">
        <v>9859.4500000000007</v>
      </c>
      <c r="T9" s="13">
        <f>T7*(1-$Q$30)</f>
        <v>10084.216800000002</v>
      </c>
      <c r="U9" s="13">
        <f>U7*(1-$Q$30)</f>
        <v>11193.480648000002</v>
      </c>
      <c r="V9" s="13">
        <f>V7*(1-$Q$30)</f>
        <v>12424.763519280004</v>
      </c>
      <c r="W9" s="13">
        <f>W7*(1-$Q$30)</f>
        <v>13791.487506400807</v>
      </c>
      <c r="X9" s="13">
        <f>X7*(1-$Q$30)</f>
        <v>15308.551132104896</v>
      </c>
      <c r="Y9" s="13">
        <f>Y7*(1-$R$30)</f>
        <v>16686.320733994336</v>
      </c>
      <c r="Z9" s="13">
        <f>Z7*(1-$R$30)</f>
        <v>18188.089600053827</v>
      </c>
      <c r="AA9" s="13">
        <f>AA7*(1-$R$30)</f>
        <v>19825.017664058672</v>
      </c>
      <c r="AB9" s="13">
        <f>AB7*(1-$R$30)</f>
        <v>21609.269253823953</v>
      </c>
      <c r="AC9" s="13">
        <f>AC7*(1-$R$30)</f>
        <v>23554.103486668111</v>
      </c>
    </row>
    <row r="10">
      <c r="B10" t="s">
        <v>91</v>
      </c>
      <c r="C10" s="4">
        <v>525.13</v>
      </c>
      <c r="D10" s="4">
        <v>602.24000000000001</v>
      </c>
      <c r="E10" s="4">
        <v>685.5</v>
      </c>
      <c r="F10" s="4">
        <v>803.30999999999995</v>
      </c>
      <c r="G10" s="4">
        <v>1194.72</v>
      </c>
      <c r="H10" s="4">
        <v>1103.6300000000001</v>
      </c>
      <c r="I10" s="4">
        <v>1189.9200000000001</v>
      </c>
      <c r="J10" s="4">
        <v>1160.8900000000001</v>
      </c>
      <c r="K10" s="4">
        <v>1361.5899999999999</v>
      </c>
      <c r="L10" s="4">
        <v>1337.1300000000001</v>
      </c>
      <c r="M10" s="4">
        <v>941.48000000000002</v>
      </c>
      <c r="N10">
        <v>809.35000000000002</v>
      </c>
      <c r="S10" s="4">
        <v>809.35000000000002</v>
      </c>
      <c r="T10" s="13">
        <v>900</v>
      </c>
      <c r="U10" s="13">
        <v>900</v>
      </c>
      <c r="V10" s="13">
        <v>900</v>
      </c>
      <c r="W10" s="13">
        <v>900</v>
      </c>
      <c r="X10" s="13">
        <v>900</v>
      </c>
      <c r="Y10" s="13">
        <v>900</v>
      </c>
      <c r="Z10" s="13">
        <v>900</v>
      </c>
      <c r="AA10" s="13">
        <v>900</v>
      </c>
      <c r="AB10" s="13">
        <v>900</v>
      </c>
      <c r="AC10" s="13">
        <v>900</v>
      </c>
    </row>
    <row r="11">
      <c r="B11" t="s">
        <v>52</v>
      </c>
      <c r="C11" s="4">
        <v>-11.51</v>
      </c>
      <c r="D11" s="4">
        <v>-30.399999999999999</v>
      </c>
      <c r="E11" s="4">
        <v>-4.2699999999999996</v>
      </c>
      <c r="F11" s="4">
        <v>-54.200000000000003</v>
      </c>
      <c r="G11" s="4">
        <v>6.2999999999999998</v>
      </c>
      <c r="H11" s="4">
        <v>-55.18</v>
      </c>
      <c r="I11" s="4">
        <v>52.57</v>
      </c>
      <c r="J11" s="4">
        <v>-37.210000000000001</v>
      </c>
      <c r="K11" s="4">
        <v>-75.260000000000005</v>
      </c>
      <c r="L11" s="4">
        <v>-72.530000000000001</v>
      </c>
      <c r="M11" s="4">
        <v>3.6600000000000001</v>
      </c>
      <c r="N11">
        <v>-64.75</v>
      </c>
      <c r="S11" s="4">
        <v>-64.75</v>
      </c>
      <c r="T11" s="13">
        <v>40</v>
      </c>
      <c r="U11" s="13">
        <v>40</v>
      </c>
      <c r="V11" s="13">
        <v>40</v>
      </c>
      <c r="W11" s="13">
        <v>40</v>
      </c>
      <c r="X11" s="13">
        <v>40</v>
      </c>
      <c r="Y11" s="13">
        <v>40</v>
      </c>
      <c r="Z11" s="13">
        <v>40</v>
      </c>
      <c r="AA11" s="13">
        <v>40</v>
      </c>
      <c r="AB11" s="13">
        <v>40</v>
      </c>
      <c r="AC11" s="13">
        <v>40</v>
      </c>
    </row>
    <row r="12">
      <c r="B12" t="s">
        <v>16</v>
      </c>
      <c r="C12" s="4">
        <v>262.66000000000003</v>
      </c>
      <c r="D12" s="4">
        <v>280.57999999999998</v>
      </c>
      <c r="E12" s="4">
        <v>341.36000000000001</v>
      </c>
      <c r="F12" s="4">
        <v>352.61000000000001</v>
      </c>
      <c r="G12" s="4">
        <v>401.60000000000002</v>
      </c>
      <c r="H12" s="4">
        <v>441.81999999999999</v>
      </c>
      <c r="I12" s="4">
        <v>486.69</v>
      </c>
      <c r="J12" s="4">
        <v>527.38</v>
      </c>
      <c r="K12" s="4">
        <v>542.25999999999999</v>
      </c>
      <c r="L12" s="4">
        <v>658.38</v>
      </c>
      <c r="M12" s="4">
        <v>708.70000000000005</v>
      </c>
      <c r="N12">
        <v>704.59000000000003</v>
      </c>
      <c r="S12" s="4">
        <v>704.59000000000003</v>
      </c>
      <c r="T12" s="13">
        <f>S12*(1+$Q$31)</f>
        <v>768.00310000000013</v>
      </c>
      <c r="U12" s="13">
        <f>T12*(1+$Q$31)</f>
        <v>837.12337900000023</v>
      </c>
      <c r="V12" s="13">
        <f>U12*(1+$Q$31)</f>
        <v>912.46448311000029</v>
      </c>
      <c r="W12" s="13">
        <f>V12*(1+$Q$31)</f>
        <v>994.5862865899004</v>
      </c>
      <c r="X12" s="13">
        <f>W12*(1+$Q$31)</f>
        <v>1084.0990523829914</v>
      </c>
      <c r="Y12" s="13">
        <f>X12*(1+$R$31)</f>
        <v>1159.9859860498009</v>
      </c>
      <c r="Z12" s="13">
        <f>Y12*(1+$R$31)</f>
        <v>1241.1850050732871</v>
      </c>
      <c r="AA12" s="13">
        <f>Z12*(1+$R$31)</f>
        <v>1328.0679554284172</v>
      </c>
      <c r="AB12" s="13">
        <f>AA12*(1+$R$31)</f>
        <v>1421.0327123084064</v>
      </c>
      <c r="AC12" s="13">
        <f>AB12*(1+$R$31)</f>
        <v>1520.5050021699949</v>
      </c>
    </row>
    <row r="13">
      <c r="B13" t="s">
        <v>17</v>
      </c>
      <c r="C13" s="4">
        <v>8.2899999999999991</v>
      </c>
      <c r="D13" s="4">
        <v>3.8599999999999999</v>
      </c>
      <c r="E13" s="4">
        <v>4.8700000000000001</v>
      </c>
      <c r="F13" s="4">
        <v>5.4500000000000002</v>
      </c>
      <c r="G13" s="4">
        <v>7.5899999999999999</v>
      </c>
      <c r="H13" s="4">
        <v>9.0899999999999999</v>
      </c>
      <c r="I13" s="4">
        <v>76.900000000000006</v>
      </c>
      <c r="J13" s="4">
        <v>110.90000000000001</v>
      </c>
      <c r="K13" s="4">
        <v>144.28999999999999</v>
      </c>
      <c r="L13" s="4">
        <v>169.09999999999999</v>
      </c>
      <c r="M13" s="4">
        <v>164</v>
      </c>
      <c r="N13">
        <v>138.80000000000001</v>
      </c>
      <c r="S13" s="4">
        <v>138.80000000000001</v>
      </c>
      <c r="T13" s="13">
        <f>S13*($Q$33+1)</f>
        <v>155.45600000000002</v>
      </c>
      <c r="U13" s="13">
        <f>T13*($Q$33+1)</f>
        <v>174.11072000000004</v>
      </c>
      <c r="V13" s="13">
        <f>U13*($Q$33+1)</f>
        <v>195.00400640000007</v>
      </c>
      <c r="W13" s="13">
        <f>V13*($Q$33+1)</f>
        <v>218.40448716800009</v>
      </c>
      <c r="X13" s="13">
        <f>W13*($Q$33+1)</f>
        <v>244.61302562816013</v>
      </c>
      <c r="Y13" s="13">
        <f>X13*($R$33+1)</f>
        <v>266.62819793469458</v>
      </c>
      <c r="Z13" s="13">
        <f>Y13*($R$33+1)</f>
        <v>290.6247357488171</v>
      </c>
      <c r="AA13" s="13">
        <f>Z13*($R$33+1)</f>
        <v>316.78096196621067</v>
      </c>
      <c r="AB13" s="13">
        <f>AA13*($R$33+1)</f>
        <v>345.29124854316967</v>
      </c>
      <c r="AC13" s="13">
        <f>AB13*($R$33+1)</f>
        <v>376.36746091205498</v>
      </c>
    </row>
    <row r="14">
      <c r="B14" t="s">
        <v>18</v>
      </c>
      <c r="C14" s="4">
        <v>83.180000000000007</v>
      </c>
      <c r="D14" s="4">
        <v>144.47999999999999</v>
      </c>
      <c r="E14" s="4">
        <v>113.41</v>
      </c>
      <c r="F14" s="4">
        <v>119.27</v>
      </c>
      <c r="G14" s="4">
        <v>142.06999999999999</v>
      </c>
      <c r="H14" s="4">
        <v>161.88</v>
      </c>
      <c r="I14" s="4">
        <v>184.81</v>
      </c>
      <c r="J14" s="4">
        <v>197.84999999999999</v>
      </c>
      <c r="K14" s="4">
        <v>200.53999999999999</v>
      </c>
      <c r="L14" s="4">
        <v>225.91</v>
      </c>
      <c r="M14" s="4">
        <v>300.45999999999998</v>
      </c>
      <c r="N14">
        <v>313.33999999999997</v>
      </c>
      <c r="S14" s="4">
        <v>313.33999999999997</v>
      </c>
      <c r="T14" s="13">
        <f>S14*($Q$32+1)</f>
        <v>354.07419999999996</v>
      </c>
      <c r="U14" s="13">
        <f>T14*($Q$32+1)</f>
        <v>400.10384599999992</v>
      </c>
      <c r="V14" s="13">
        <f>U14*($Q$32+1)</f>
        <v>452.11734597999987</v>
      </c>
      <c r="W14" s="13">
        <f>V14*($Q$32+1)</f>
        <v>510.89260095739979</v>
      </c>
      <c r="X14" s="13">
        <f>W14*($Q$32+1)</f>
        <v>577.30863908186166</v>
      </c>
      <c r="Y14" s="13">
        <f>X14*($R$32+1)</f>
        <v>652.35876216250358</v>
      </c>
      <c r="Z14" s="13">
        <f>Y14*($R$32+1)</f>
        <v>737.16540124362893</v>
      </c>
      <c r="AA14" s="13">
        <f>Z14*($R$32+1)</f>
        <v>832.9969034053006</v>
      </c>
      <c r="AB14" s="13">
        <f>AA14*($R$32+1)</f>
        <v>941.2865008479896</v>
      </c>
      <c r="AC14" s="13">
        <f>AB14*($R$32+1)</f>
        <v>1063.6537459582282</v>
      </c>
    </row>
    <row r="15">
      <c r="B15" t="s">
        <v>92</v>
      </c>
      <c r="C15" s="4">
        <v>1851.8299999999999</v>
      </c>
      <c r="D15" s="4">
        <v>2022.1199999999999</v>
      </c>
      <c r="E15" s="4">
        <f>+1828.76+228.92</f>
        <v>2057.6799999999998</v>
      </c>
      <c r="F15" s="4">
        <f>1834.62+270.02</f>
        <v>2104.6399999999999</v>
      </c>
      <c r="G15" s="4">
        <f>1903.64+76.11</f>
        <v>1979.75</v>
      </c>
      <c r="H15" s="4">
        <v>2317.9699999999998</v>
      </c>
      <c r="I15" s="4">
        <v>2342.21</v>
      </c>
      <c r="J15" s="4">
        <v>2473.75</v>
      </c>
      <c r="K15" s="4">
        <v>2632.1900000000001</v>
      </c>
      <c r="L15" s="4">
        <v>3219.96</v>
      </c>
      <c r="M15" s="4">
        <v>3398.6999999999998</v>
      </c>
      <c r="N15">
        <v>3446.8800000000001</v>
      </c>
      <c r="S15" s="4">
        <v>3446.8800000000001</v>
      </c>
      <c r="T15" s="13">
        <f>S15*($Q$34+1)</f>
        <v>3619.2240000000002</v>
      </c>
      <c r="U15" s="13">
        <f>T15*($Q34+1)</f>
        <v>3800.1852000000003</v>
      </c>
      <c r="V15" s="13">
        <f>U15*($Q34+1)</f>
        <v>3990.1944600000006</v>
      </c>
      <c r="W15" s="13">
        <f>V15*($Q34+1)</f>
        <v>4189.7041830000007</v>
      </c>
      <c r="X15" s="13">
        <f>W15*($Q34+1)</f>
        <v>4399.1893921500014</v>
      </c>
      <c r="Y15" s="13">
        <f>X15*($R$34+1)</f>
        <v>4575.156967836002</v>
      </c>
      <c r="Z15" s="13">
        <f>Y15*($R$34+1)</f>
        <v>4758.1632465494422</v>
      </c>
      <c r="AA15" s="13">
        <f>Z15*($R$34+1)</f>
        <v>4948.4897764114203</v>
      </c>
      <c r="AB15" s="13">
        <f>AA15*($R$34+1)</f>
        <v>5146.4293674678775</v>
      </c>
      <c r="AC15" s="13">
        <f>AB15*($R$34+1)</f>
        <v>5352.2865421665929</v>
      </c>
    </row>
    <row r="16" s="1" customFormat="1">
      <c r="B16" s="1" t="s">
        <v>54</v>
      </c>
      <c r="C16" s="1">
        <f>SUM(C9:C15)</f>
        <v>6376.9799999999996</v>
      </c>
      <c r="D16" s="1">
        <f>SUM(D9:D15)</f>
        <v>7142.8499999999995</v>
      </c>
      <c r="E16" s="1">
        <f>SUM(E9:E15)</f>
        <v>7530.0399999999991</v>
      </c>
      <c r="F16" s="1">
        <f>SUM(F9:F15)</f>
        <v>8170.6499999999996</v>
      </c>
      <c r="G16" s="1">
        <f>SUM(G9:G15)</f>
        <v>8638.1100000000006</v>
      </c>
      <c r="H16" s="1">
        <f>SUM(H9:H15)</f>
        <v>9492.2199999999993</v>
      </c>
      <c r="I16" s="1">
        <f>SUM(I9:I15)</f>
        <v>10018.079999999998</v>
      </c>
      <c r="J16" s="1">
        <f>SUM(J9:J15)</f>
        <v>10935.890000000001</v>
      </c>
      <c r="K16" s="1">
        <f>SUM(K9:K15)</f>
        <v>12279.580000000002</v>
      </c>
      <c r="L16" s="1">
        <f>SUM(L9:L15)</f>
        <v>13864.650000000001</v>
      </c>
      <c r="M16" s="1">
        <f>SUM(M9:M15)</f>
        <v>14063.889999999999</v>
      </c>
      <c r="N16" s="1">
        <f>SUM(N9:N15)</f>
        <v>15207.66</v>
      </c>
      <c r="S16" s="1">
        <f>SUM(S9:S15)</f>
        <v>15207.66</v>
      </c>
      <c r="T16" s="12">
        <f>SUM(T9:T15)</f>
        <v>15920.974100000001</v>
      </c>
      <c r="U16" s="12">
        <f>SUM(U9:U15)</f>
        <v>17345.003793000003</v>
      </c>
      <c r="V16" s="12">
        <f>SUM(V9:V15)</f>
        <v>18914.543814770004</v>
      </c>
      <c r="W16" s="12">
        <f>SUM(W9:W15)</f>
        <v>20645.075064116107</v>
      </c>
      <c r="X16" s="12">
        <f>SUM(X9:X15)</f>
        <v>22553.761241347911</v>
      </c>
      <c r="Y16" s="12">
        <f>SUM(Y9:Y15)</f>
        <v>24280.450647977337</v>
      </c>
      <c r="Z16" s="12">
        <f>SUM(Z9:Z15)</f>
        <v>26155.227988669001</v>
      </c>
      <c r="AA16" s="12">
        <f>SUM(AA9:AA15)</f>
        <v>28191.353261270022</v>
      </c>
      <c r="AB16" s="12">
        <f>SUM(AB9:AB15)</f>
        <v>30403.309082991396</v>
      </c>
      <c r="AC16" s="12">
        <f>SUM(AC9:AC15)</f>
        <v>32806.916237874982</v>
      </c>
    </row>
    <row r="17">
      <c r="B17" t="s">
        <v>93</v>
      </c>
      <c r="C17" s="4">
        <f>C7-C16</f>
        <v>569.32000000000153</v>
      </c>
      <c r="D17" s="4">
        <f>D7-D16</f>
        <v>803.53000000000065</v>
      </c>
      <c r="E17" s="4">
        <f>E7-E16</f>
        <v>1220.4600000000028</v>
      </c>
      <c r="F17" s="4">
        <f>F7-F16</f>
        <v>1304</v>
      </c>
      <c r="G17" s="4">
        <f>G7-G16</f>
        <v>1518.3599999999988</v>
      </c>
      <c r="H17" s="4">
        <f>H7-H16</f>
        <v>1768.8999999999996</v>
      </c>
      <c r="I17" s="4">
        <f>I7-I16</f>
        <v>1860.8700000000008</v>
      </c>
      <c r="J17" s="4">
        <f>J7-J16</f>
        <v>2513.1200000000008</v>
      </c>
      <c r="K17" s="4">
        <f>K7-K16</f>
        <v>2079.5099999999984</v>
      </c>
      <c r="L17" s="4">
        <f>L7-L16</f>
        <v>2651.7599999999984</v>
      </c>
      <c r="M17" s="4">
        <f>M7-M16</f>
        <v>2919.5600000000013</v>
      </c>
      <c r="N17">
        <f>N7-N16</f>
        <v>2962.1000000000022</v>
      </c>
      <c r="S17" s="4">
        <f>S7-S16</f>
        <v>2962.1000000000022</v>
      </c>
      <c r="T17" s="14">
        <f>T7-T16</f>
        <v>4247.4595000000027</v>
      </c>
      <c r="U17" s="14">
        <f>U7-U16</f>
        <v>5041.9575030000015</v>
      </c>
      <c r="V17" s="14">
        <f>V7-V16</f>
        <v>5934.9832237900046</v>
      </c>
      <c r="W17" s="14">
        <f>W7-W16</f>
        <v>6937.8999486855064</v>
      </c>
      <c r="X17" s="14">
        <f>X7-X16</f>
        <v>8063.3410228618814</v>
      </c>
      <c r="Y17" s="14">
        <f>Y7-Y16</f>
        <v>9092.1908200113357</v>
      </c>
      <c r="Z17" s="14">
        <f>Z7-Z16</f>
        <v>10220.951211438653</v>
      </c>
      <c r="AA17" s="14">
        <f>AA7-AA16</f>
        <v>11458.682066847323</v>
      </c>
      <c r="AB17" s="14">
        <f>AB7-AB16</f>
        <v>12815.229424656511</v>
      </c>
      <c r="AC17" s="14">
        <f>AC7-AC16</f>
        <v>14301.29073546124</v>
      </c>
    </row>
    <row r="18">
      <c r="B18" t="s">
        <v>94</v>
      </c>
      <c r="C18" s="4">
        <f>-0.27-0.12</f>
        <v>-0.39000000000000001</v>
      </c>
      <c r="D18" s="4">
        <f>0.21-0.05</f>
        <v>0.15999999999999998</v>
      </c>
      <c r="E18" s="4">
        <v>0.22</v>
      </c>
      <c r="F18" s="4">
        <v>0.28000000000000003</v>
      </c>
      <c r="G18" s="4">
        <v>-0.17999999999999999</v>
      </c>
      <c r="H18" s="4">
        <v>-0.96999999999999997</v>
      </c>
      <c r="I18" s="4">
        <v>0.44</v>
      </c>
      <c r="J18" s="4">
        <v>0.81000000000000005</v>
      </c>
      <c r="K18" s="4">
        <v>-0.20000000000000001</v>
      </c>
      <c r="L18" s="4">
        <v>5.4100000000000001</v>
      </c>
      <c r="M18" s="4">
        <v>-3.1899999999999999</v>
      </c>
      <c r="N18">
        <v>-10.74</v>
      </c>
      <c r="S18" s="4">
        <v>-10.74</v>
      </c>
      <c r="T18" s="13">
        <v>-5</v>
      </c>
      <c r="U18" s="13">
        <v>-5</v>
      </c>
      <c r="V18" s="13">
        <v>-5</v>
      </c>
      <c r="W18" s="13">
        <v>-5</v>
      </c>
      <c r="X18" s="13">
        <v>-5</v>
      </c>
      <c r="Y18" s="13">
        <v>-5</v>
      </c>
      <c r="Z18" s="13">
        <v>-5</v>
      </c>
      <c r="AA18" s="13">
        <v>-5</v>
      </c>
      <c r="AB18" s="13">
        <v>-5</v>
      </c>
      <c r="AC18" s="13">
        <v>-5</v>
      </c>
    </row>
    <row r="19">
      <c r="B19" t="s">
        <v>95</v>
      </c>
      <c r="C19" s="4">
        <v>0</v>
      </c>
      <c r="D19" s="4">
        <v>146.06</v>
      </c>
      <c r="E19" s="4">
        <v>0</v>
      </c>
      <c r="F19" s="4">
        <v>0</v>
      </c>
      <c r="G19" s="4">
        <v>0</v>
      </c>
      <c r="H19" s="4">
        <v>0</v>
      </c>
      <c r="I19" s="4">
        <v>17.010000000000002</v>
      </c>
      <c r="J19" s="4">
        <v>0.60999999999999999</v>
      </c>
      <c r="K19" s="4">
        <v>0.97999999999999998</v>
      </c>
      <c r="L19" s="4">
        <v>-375.60000000000002</v>
      </c>
      <c r="M19" s="4">
        <v>2.8999999999999999</v>
      </c>
      <c r="N19">
        <v>24.789999999999999</v>
      </c>
      <c r="S19" s="4">
        <v>24.789999999999999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</row>
    <row r="20">
      <c r="B20" t="s">
        <v>24</v>
      </c>
      <c r="C20" s="4">
        <f>C17+C18+C19</f>
        <v>568.93000000000154</v>
      </c>
      <c r="D20" s="4">
        <f>D17+D18+D19</f>
        <v>949.75000000000068</v>
      </c>
      <c r="E20" s="4">
        <f>E17+E18-E19</f>
        <v>1220.6800000000028</v>
      </c>
      <c r="F20" s="4">
        <f>F17+F18-F19</f>
        <v>1304.28</v>
      </c>
      <c r="G20" s="4">
        <f>G17+G18-G19</f>
        <v>1518.1799999999987</v>
      </c>
      <c r="H20" s="4">
        <f>H17+H18-H19</f>
        <v>1767.9299999999996</v>
      </c>
      <c r="I20" s="4">
        <f>I17+I18-I19</f>
        <v>1844.3000000000009</v>
      </c>
      <c r="J20" s="4">
        <f>J17+J18-J19</f>
        <v>2513.3200000000006</v>
      </c>
      <c r="K20" s="4">
        <f>K17+K18-K19</f>
        <v>2078.3299999999986</v>
      </c>
      <c r="L20" s="4">
        <f>L17+L18-L19</f>
        <v>3032.7699999999982</v>
      </c>
      <c r="M20" s="4">
        <f>M17+M18-M19</f>
        <v>2913.4700000000012</v>
      </c>
      <c r="N20">
        <f>N17+N18-N19</f>
        <v>2926.5700000000024</v>
      </c>
      <c r="S20" s="4">
        <f>S17+S18-S19</f>
        <v>2926.5700000000024</v>
      </c>
      <c r="T20" s="14">
        <f>T17+T18-T19</f>
        <v>4242.4595000000027</v>
      </c>
      <c r="U20" s="14">
        <f>U17+U18-U19</f>
        <v>5036.9575030000015</v>
      </c>
      <c r="V20" s="14">
        <f>V17+V18-V19</f>
        <v>5929.9832237900046</v>
      </c>
      <c r="W20" s="14">
        <f>W17+W18-W19</f>
        <v>6932.8999486855064</v>
      </c>
      <c r="X20" s="14">
        <f>X17+X18-X19</f>
        <v>8058.3410228618814</v>
      </c>
      <c r="Y20" s="14">
        <f>Y17+Y18-Y19</f>
        <v>9087.1908200113357</v>
      </c>
      <c r="Z20" s="14">
        <f>Z17+Z18-Z19</f>
        <v>10215.951211438653</v>
      </c>
      <c r="AA20" s="14">
        <f>AA17+AA18-AA19</f>
        <v>11453.682066847323</v>
      </c>
      <c r="AB20" s="14">
        <f>AB17+AB18-AB19</f>
        <v>12810.229424656511</v>
      </c>
      <c r="AC20" s="14">
        <f>AC17+AC18-AC19</f>
        <v>14296.29073546124</v>
      </c>
    </row>
    <row r="21">
      <c r="B21" t="s">
        <v>96</v>
      </c>
      <c r="C21" s="4">
        <f>179.88-2.42-3.88</f>
        <v>173.58000000000001</v>
      </c>
      <c r="D21" s="4">
        <f>293.28-6.13-26.04</f>
        <v>261.10999999999996</v>
      </c>
      <c r="E21" s="4">
        <v>396.10000000000002</v>
      </c>
      <c r="F21" s="4">
        <v>419.67000000000002</v>
      </c>
      <c r="G21" s="4">
        <v>514.22000000000003</v>
      </c>
      <c r="H21" s="4">
        <v>612.47000000000003</v>
      </c>
      <c r="I21" s="4">
        <v>450.69999999999999</v>
      </c>
      <c r="J21" s="4">
        <v>663.01999999999998</v>
      </c>
      <c r="K21" s="4">
        <v>562.35000000000002</v>
      </c>
      <c r="L21" s="4">
        <v>716.45000000000005</v>
      </c>
      <c r="M21" s="4">
        <v>779.25</v>
      </c>
      <c r="N21">
        <v>748.71000000000004</v>
      </c>
      <c r="S21" s="4">
        <v>748.71000000000004</v>
      </c>
      <c r="T21" s="14">
        <f>T20*$Q$38</f>
        <v>1187.8886600000008</v>
      </c>
      <c r="U21" s="14">
        <f>U20*$Q$38</f>
        <v>1410.3481008400006</v>
      </c>
      <c r="V21" s="14">
        <f>V20*$Q$38</f>
        <v>1660.3953026612014</v>
      </c>
      <c r="W21" s="14">
        <f>W20*$Q$38</f>
        <v>1941.2119856319421</v>
      </c>
      <c r="X21" s="14">
        <f>X20*$Q$38</f>
        <v>2256.3354864013272</v>
      </c>
      <c r="Y21" s="14">
        <f>Y20*$Q$38</f>
        <v>2544.4134296031743</v>
      </c>
      <c r="Z21" s="14">
        <f>Z20*$Q$38</f>
        <v>2860.4663392028228</v>
      </c>
      <c r="AA21" s="14">
        <f>AA20*$Q$38</f>
        <v>3207.0309787172505</v>
      </c>
      <c r="AB21" s="14">
        <f>AB20*$Q$38</f>
        <v>3586.8642389038232</v>
      </c>
      <c r="AC21" s="14">
        <f>AC20*$Q$38</f>
        <v>4002.9614059291475</v>
      </c>
    </row>
    <row r="22" s="1" customFormat="1">
      <c r="B22" s="1" t="s">
        <v>26</v>
      </c>
      <c r="C22" s="1">
        <f>C20-C21</f>
        <v>395.3500000000015</v>
      </c>
      <c r="D22" s="1">
        <f>D20-D21</f>
        <v>688.64000000000078</v>
      </c>
      <c r="E22" s="1">
        <f>E20-E21</f>
        <v>824.58000000000277</v>
      </c>
      <c r="F22" s="1">
        <f>F20-F21</f>
        <v>884.6099999999999</v>
      </c>
      <c r="G22" s="1">
        <f>G20-G21</f>
        <v>1003.9599999999987</v>
      </c>
      <c r="H22" s="1">
        <f>H20-H21</f>
        <v>1155.4599999999996</v>
      </c>
      <c r="I22" s="1">
        <f>I20-I21</f>
        <v>1393.6000000000008</v>
      </c>
      <c r="J22" s="1">
        <f>J20-J21</f>
        <v>1850.3000000000006</v>
      </c>
      <c r="K22" s="1">
        <f>K20-K21</f>
        <v>1515.9799999999987</v>
      </c>
      <c r="L22" s="1">
        <f>L20-L21</f>
        <v>2316.3199999999979</v>
      </c>
      <c r="M22" s="1">
        <f>M20-M21</f>
        <v>2134.2200000000012</v>
      </c>
      <c r="N22" s="1">
        <f>N20-N21</f>
        <v>2177.8600000000024</v>
      </c>
      <c r="S22" s="1">
        <f>S20-S21</f>
        <v>2177.8600000000024</v>
      </c>
      <c r="T22" s="12">
        <f>T20-T21</f>
        <v>3054.5708400000021</v>
      </c>
      <c r="U22" s="12">
        <f>U20-U21</f>
        <v>3626.6094021600011</v>
      </c>
      <c r="V22" s="12">
        <f>V20-V21</f>
        <v>4269.5879211288029</v>
      </c>
      <c r="W22" s="12">
        <f>W20-W21</f>
        <v>4991.6879630535641</v>
      </c>
      <c r="X22" s="12">
        <f>X20-X21</f>
        <v>5802.0055364605541</v>
      </c>
      <c r="Y22" s="12">
        <f>Y20-Y21</f>
        <v>6542.7773904081614</v>
      </c>
      <c r="Z22" s="12">
        <f>Z20-Z21</f>
        <v>7355.4848722358292</v>
      </c>
      <c r="AA22" s="12">
        <f>AA20-AA21</f>
        <v>8246.6510881300728</v>
      </c>
      <c r="AB22" s="12">
        <f>AB20-AB21</f>
        <v>9223.3651857526875</v>
      </c>
      <c r="AC22" s="12">
        <f>AC20-AC21</f>
        <v>10293.329329532093</v>
      </c>
      <c r="AD22" s="12">
        <f>AC22*(1+$AE$27)</f>
        <v>10396.262622827413</v>
      </c>
      <c r="AE22" s="12">
        <f>AD22*(1+$AE$27)</f>
        <v>10500.225249055688</v>
      </c>
      <c r="AF22" s="12">
        <f>AE22*(1+$AE$27)</f>
        <v>10605.227501546244</v>
      </c>
      <c r="AG22" s="12">
        <f>AF22*(1+$AE$27)</f>
        <v>10711.279776561707</v>
      </c>
      <c r="AH22" s="12">
        <f>AG22*(1+$AE$27)</f>
        <v>10818.392574327325</v>
      </c>
      <c r="AI22" s="12">
        <f>AH22*(1+$AE$27)</f>
        <v>10926.576500070598</v>
      </c>
      <c r="AJ22" s="12">
        <f>AI22*(1+$AE$27)</f>
        <v>11035.842265071304</v>
      </c>
      <c r="AK22" s="12">
        <f>AJ22*(1+$AE$27)</f>
        <v>11146.200687722017</v>
      </c>
      <c r="AL22" s="12">
        <f>AK22*(1+$AE$27)</f>
        <v>11257.662694599238</v>
      </c>
      <c r="AM22" s="12">
        <f>AL22*(1+$AE$27)</f>
        <v>11370.23932154523</v>
      </c>
      <c r="AN22" s="12">
        <f>AM22*(1+$AE$27)</f>
        <v>11483.941714760682</v>
      </c>
      <c r="AO22" s="12">
        <f>AN22*(1+$AE$27)</f>
        <v>11598.781131908288</v>
      </c>
      <c r="AP22" s="12">
        <f>AO22*(1+$AE$27)</f>
        <v>11714.768943227371</v>
      </c>
      <c r="AQ22" s="12">
        <f>AP22*(1+$AE$27)</f>
        <v>11831.916632659644</v>
      </c>
      <c r="AR22" s="12">
        <f>AQ22*(1+$AE$27)</f>
        <v>11950.235798986241</v>
      </c>
      <c r="AS22" s="12">
        <f>AR22*(1+$AE$27)</f>
        <v>12069.738156976104</v>
      </c>
      <c r="AT22" s="12">
        <f>AS22*(1+$AE$27)</f>
        <v>12190.435538545866</v>
      </c>
      <c r="AU22" s="12">
        <f>AT22*(1+$AE$27)</f>
        <v>12312.339893931325</v>
      </c>
      <c r="AV22" s="12">
        <f>AU22*(1+$AE$27)</f>
        <v>12435.463292870638</v>
      </c>
      <c r="AW22" s="12">
        <f>AV22*(1+$AE$27)</f>
        <v>12559.817925799345</v>
      </c>
      <c r="AX22" s="12">
        <f>AW22*(1+$AE$27)</f>
        <v>12685.416105057338</v>
      </c>
      <c r="AY22" s="12">
        <f>AX22*(1+$AE$27)</f>
        <v>12812.270266107911</v>
      </c>
      <c r="AZ22" s="12">
        <f>AY22*(1+$AE$27)</f>
        <v>12940.392968768991</v>
      </c>
      <c r="BA22" s="12">
        <f>AZ22*(1+$AE$27)</f>
        <v>13069.796898456681</v>
      </c>
      <c r="BB22" s="12">
        <f>BA22*(1+$AE$27)</f>
        <v>13200.494867441248</v>
      </c>
      <c r="BC22" s="12">
        <f>BB22*(1+$AE$27)</f>
        <v>13332.49981611566</v>
      </c>
      <c r="BD22" s="12">
        <f>BC22*(1+$AE$27)</f>
        <v>13465.824814276817</v>
      </c>
      <c r="BE22" s="12">
        <f>BD22*(1+$AE$27)</f>
        <v>13600.483062419586</v>
      </c>
      <c r="BF22" s="12">
        <f>BE22*(1+$AE$27)</f>
        <v>13736.487893043781</v>
      </c>
      <c r="BG22" s="12">
        <f>BF22*(1+$AE$27)</f>
        <v>13873.852771974218</v>
      </c>
      <c r="BH22" s="12">
        <f>BG22*(1+$AE$27)</f>
        <v>14012.591299693961</v>
      </c>
      <c r="BI22" s="12">
        <f>BH22*(1+$AE$27)</f>
        <v>14152.717212690901</v>
      </c>
      <c r="BJ22" s="12">
        <f>BI22*(1+$AE$27)</f>
        <v>14294.24438481781</v>
      </c>
      <c r="BK22" s="12">
        <f>BJ22*(1+$AE$27)</f>
        <v>14437.186828665988</v>
      </c>
      <c r="BL22" s="12">
        <f>BK22*(1+$AE$27)</f>
        <v>14581.558696952648</v>
      </c>
      <c r="BM22" s="12">
        <f>BL22*(1+$AE$27)</f>
        <v>14727.374283922176</v>
      </c>
      <c r="BN22" s="12">
        <f>BM22*(1+$AE$27)</f>
        <v>14874.648026761397</v>
      </c>
      <c r="BO22" s="12">
        <f>BN22*(1+$AE$27)</f>
        <v>15023.394507029012</v>
      </c>
      <c r="BP22" s="12">
        <f>BO22*(1+$AE$27)</f>
        <v>15173.628452099303</v>
      </c>
      <c r="BQ22" s="12">
        <f>BP22*(1+$AE$27)</f>
        <v>15325.364736620297</v>
      </c>
    </row>
    <row r="23" ht="14.25">
      <c r="J23" s="4"/>
      <c r="K23" s="4"/>
      <c r="L23" s="4"/>
      <c r="S23" s="4"/>
    </row>
    <row r="24" ht="14.25">
      <c r="J24" s="4"/>
      <c r="K24" s="4"/>
      <c r="L24" s="4"/>
      <c r="S24" s="4"/>
    </row>
    <row r="25">
      <c r="B25" t="s">
        <v>97</v>
      </c>
      <c r="C25" s="11"/>
      <c r="D25" s="11"/>
      <c r="E25" s="11"/>
      <c r="F25" s="11"/>
      <c r="G25" s="11"/>
      <c r="H25" s="11"/>
      <c r="I25" s="11"/>
      <c r="J25" s="4">
        <v>63.310000000000002</v>
      </c>
      <c r="K25" s="4">
        <v>63.310000000000002</v>
      </c>
      <c r="L25" s="4">
        <v>96.390000000000001</v>
      </c>
      <c r="M25">
        <v>88.840000000000003</v>
      </c>
      <c r="N25">
        <v>90.450000000000003</v>
      </c>
      <c r="S25" s="4">
        <v>90.450000000000003</v>
      </c>
    </row>
    <row r="26"/>
    <row r="27">
      <c r="O27" s="1" t="s">
        <v>98</v>
      </c>
      <c r="P27" s="1" t="s">
        <v>99</v>
      </c>
      <c r="Q27" s="1" t="s">
        <v>100</v>
      </c>
      <c r="R27" s="1" t="s">
        <v>101</v>
      </c>
      <c r="AD27" t="s">
        <v>102</v>
      </c>
      <c r="AE27" s="15">
        <v>0.01</v>
      </c>
    </row>
    <row r="28">
      <c r="B28" t="s">
        <v>103</v>
      </c>
      <c r="C28" s="16" t="e">
        <f>C3/B3-1</f>
        <v>#VALUE!</v>
      </c>
      <c r="D28" s="16">
        <f>D3/C3-1</f>
        <v>0.13848670145783171</v>
      </c>
      <c r="E28" s="16">
        <f>E3/D3-1</f>
        <v>0.10022649255507021</v>
      </c>
      <c r="F28" s="16">
        <f>F3/E3-1</f>
        <v>0.079250814789183277</v>
      </c>
      <c r="G28" s="16">
        <f>G3/F3-1</f>
        <v>0.072931988778527579</v>
      </c>
      <c r="H28" s="16">
        <f>H3/G3-1</f>
        <v>0.10780031154000302</v>
      </c>
      <c r="I28" s="16">
        <f>I3/H3-1</f>
        <v>0.04287890966021668</v>
      </c>
      <c r="J28" s="16">
        <f>J3/I3-1</f>
        <v>0.12574722627335411</v>
      </c>
      <c r="K28" s="16">
        <f>K3/J3-1</f>
        <v>0.08240523975707581</v>
      </c>
      <c r="L28" s="16">
        <f>L3/K3-1</f>
        <v>0.14630894815008166</v>
      </c>
      <c r="M28" s="16">
        <f>M3/L3-1</f>
        <v>0.035115014795213062</v>
      </c>
      <c r="N28" s="16">
        <f>N3/M3-1</f>
        <v>0.059760513132614657</v>
      </c>
      <c r="O28" s="17">
        <f>AVERAGE(D28:N28)</f>
        <v>0.090082923717197436</v>
      </c>
      <c r="P28" s="17">
        <f>MEDIAN(D28:N28)</f>
        <v>0.08240523975707581</v>
      </c>
      <c r="Q28" s="18">
        <v>0.11</v>
      </c>
      <c r="R28" s="18">
        <v>0.089999999999999997</v>
      </c>
      <c r="AD28" t="s">
        <v>104</v>
      </c>
      <c r="AE28" s="15">
        <v>0.080000000000000002</v>
      </c>
    </row>
    <row r="29">
      <c r="B29" t="s">
        <v>59</v>
      </c>
      <c r="C29" s="4">
        <f>C7-C9</f>
        <v>3288.900000000001</v>
      </c>
      <c r="D29" s="4">
        <f>D7-D9</f>
        <v>3826.4099999999999</v>
      </c>
      <c r="E29" s="4">
        <f>E7-E9</f>
        <v>4419.010000000002</v>
      </c>
      <c r="F29" s="4">
        <f>F7-F9</f>
        <v>4635.0799999999999</v>
      </c>
      <c r="G29" s="4">
        <f>G7-G9</f>
        <v>5250.3899999999994</v>
      </c>
      <c r="H29" s="4">
        <f>H7-H9</f>
        <v>5748.1099999999988</v>
      </c>
      <c r="I29" s="4">
        <f>I7-I9</f>
        <v>6193.9699999999993</v>
      </c>
      <c r="J29" s="4">
        <f>J7-J9</f>
        <v>6946.6800000000021</v>
      </c>
      <c r="K29" s="4">
        <f>K7-K9</f>
        <v>6885.1199999999999</v>
      </c>
      <c r="L29" s="4">
        <f>L7-L9</f>
        <v>8189.7099999999991</v>
      </c>
      <c r="M29" s="4">
        <f>M7-M9</f>
        <v>8436.5600000000013</v>
      </c>
      <c r="N29">
        <f>N7-N9</f>
        <v>8310.3100000000013</v>
      </c>
      <c r="O29" s="17"/>
      <c r="P29" s="17"/>
      <c r="Q29" s="18"/>
      <c r="R29" s="18"/>
      <c r="AD29" t="s">
        <v>105</v>
      </c>
      <c r="AE29">
        <v>240870000</v>
      </c>
    </row>
    <row r="30">
      <c r="B30" t="s">
        <v>106</v>
      </c>
      <c r="C30" s="19">
        <f>C29/C7</f>
        <v>0.47347508745663164</v>
      </c>
      <c r="D30" s="19">
        <f>D29/D7</f>
        <v>0.48152869608551313</v>
      </c>
      <c r="E30" s="19">
        <f>E29/E7</f>
        <v>0.50500085709388043</v>
      </c>
      <c r="F30" s="19">
        <f>F29/F7</f>
        <v>0.48920857234831894</v>
      </c>
      <c r="G30" s="19">
        <f>G29/G7</f>
        <v>0.51695027898472601</v>
      </c>
      <c r="H30" s="19">
        <f>H29/H7</f>
        <v>0.51043857094143386</v>
      </c>
      <c r="I30" s="19">
        <f>I29/I7</f>
        <v>0.52142403158528317</v>
      </c>
      <c r="J30" s="19">
        <f>J29/J7</f>
        <v>0.51651980331637803</v>
      </c>
      <c r="K30" s="19">
        <f>K29/K7</f>
        <v>0.47949556691963069</v>
      </c>
      <c r="L30" s="19">
        <f>L29/L7</f>
        <v>0.49585291234596374</v>
      </c>
      <c r="M30" s="19">
        <f>M29/M7</f>
        <v>0.49675183781858229</v>
      </c>
      <c r="N30" s="19">
        <f>N29/N7</f>
        <v>0.45737037803471264</v>
      </c>
      <c r="O30" s="17">
        <f t="shared" ref="O30:O38" si="0">AVERAGE(D30:N30)</f>
        <v>0.49732195504312937</v>
      </c>
      <c r="P30" s="17">
        <f t="shared" ref="P30:P38" si="1">MEDIAN(D30:N30)</f>
        <v>0.49675183781858229</v>
      </c>
      <c r="Q30" s="18">
        <v>0.5</v>
      </c>
      <c r="R30" s="18">
        <v>0.5</v>
      </c>
      <c r="AD30" t="s">
        <v>107</v>
      </c>
      <c r="AE30" s="13">
        <f>NPV(AE28,T22:BQ22)</f>
        <v>103274.73966710745</v>
      </c>
    </row>
    <row r="31">
      <c r="B31" s="11" t="s">
        <v>60</v>
      </c>
      <c r="C31" s="19" t="e">
        <f>C12/B12-1</f>
        <v>#VALUE!</v>
      </c>
      <c r="D31" s="19">
        <f>D12/C12-1</f>
        <v>0.068225081854869307</v>
      </c>
      <c r="E31" s="19">
        <f>E12/D12-1</f>
        <v>0.21662271010050627</v>
      </c>
      <c r="F31" s="19">
        <f>F12/E12-1</f>
        <v>0.032956409655495733</v>
      </c>
      <c r="G31" s="19">
        <f>G12/F12-1</f>
        <v>0.13893536768667936</v>
      </c>
      <c r="H31" s="19">
        <f>H12/G12-1</f>
        <v>0.10014940239043812</v>
      </c>
      <c r="I31" s="19">
        <f>I12/H12-1</f>
        <v>0.10155719523787976</v>
      </c>
      <c r="J31" s="19">
        <f>J12/I12-1</f>
        <v>0.083605580554356962</v>
      </c>
      <c r="K31" s="19">
        <f>K12/J12-1</f>
        <v>0.028214949372369125</v>
      </c>
      <c r="L31" s="19">
        <f>L12/K12-1</f>
        <v>0.2141408180577582</v>
      </c>
      <c r="M31" s="19">
        <f>M12/L12-1</f>
        <v>0.076430025213402697</v>
      </c>
      <c r="N31" s="19">
        <f>N12/M12-1</f>
        <v>-0.0057993509242274532</v>
      </c>
      <c r="O31" s="17">
        <f t="shared" si="0"/>
        <v>0.095912562654502556</v>
      </c>
      <c r="P31" s="17">
        <f t="shared" si="1"/>
        <v>0.083605580554356962</v>
      </c>
      <c r="Q31" s="18">
        <v>0.089999999999999997</v>
      </c>
      <c r="R31" s="18">
        <v>0.070000000000000007</v>
      </c>
      <c r="AD31" t="s">
        <v>108</v>
      </c>
      <c r="AE31" s="13">
        <v>5693</v>
      </c>
    </row>
    <row r="32">
      <c r="B32" s="11" t="s">
        <v>62</v>
      </c>
      <c r="C32" s="19"/>
      <c r="D32" s="19">
        <f>D14/C14-1</f>
        <v>0.73695599903823017</v>
      </c>
      <c r="E32" s="19">
        <f>E14/D14-1</f>
        <v>-0.21504706533776297</v>
      </c>
      <c r="F32" s="19">
        <f>F14/E14-1</f>
        <v>0.051670928489551127</v>
      </c>
      <c r="G32" s="19">
        <f>G14/F14-1</f>
        <v>0.19116290768843802</v>
      </c>
      <c r="H32" s="19">
        <f>H14/G14-1</f>
        <v>0.13943830506088539</v>
      </c>
      <c r="I32" s="19">
        <f>I14/H14-1</f>
        <v>0.14164813442055846</v>
      </c>
      <c r="J32" s="19">
        <f>J14/I14-1</f>
        <v>0.070558952437638656</v>
      </c>
      <c r="K32" s="19">
        <f>K14/J14-1</f>
        <v>0.013596158706090433</v>
      </c>
      <c r="L32" s="19">
        <f>L14/K14-1</f>
        <v>0.12650842724643474</v>
      </c>
      <c r="M32" s="19">
        <f>M14/L14-1</f>
        <v>0.32999867203753697</v>
      </c>
      <c r="N32" s="19">
        <f>N14/M14-1</f>
        <v>0.042867603008720057</v>
      </c>
      <c r="O32" s="17">
        <f t="shared" si="0"/>
        <v>0.14812354752693827</v>
      </c>
      <c r="P32" s="17">
        <f t="shared" si="1"/>
        <v>0.12650842724643474</v>
      </c>
      <c r="Q32" s="18">
        <v>0.13</v>
      </c>
      <c r="R32" s="18">
        <v>0.13</v>
      </c>
      <c r="AD32" t="s">
        <v>109</v>
      </c>
      <c r="AE32" s="13">
        <f>AE30*10000000/AE29</f>
        <v>4287.5717053641993</v>
      </c>
    </row>
    <row r="33">
      <c r="B33" s="11" t="s">
        <v>110</v>
      </c>
      <c r="C33" s="19">
        <f>C13/C7</f>
        <v>0.0011934411125347304</v>
      </c>
      <c r="D33" s="19">
        <f>D13/C13-1</f>
        <v>-0.53437876960192998</v>
      </c>
      <c r="E33" s="19">
        <f>E13/D13-1</f>
        <v>0.26165803108808294</v>
      </c>
      <c r="F33" s="19">
        <f>F13/E13-1</f>
        <v>0.11909650924024651</v>
      </c>
      <c r="G33" s="19">
        <f>G13/F13-1</f>
        <v>0.39266055045871551</v>
      </c>
      <c r="H33" s="19">
        <f>H13/G13-1</f>
        <v>0.19762845849802368</v>
      </c>
      <c r="I33" s="19">
        <f>I13/H13-1</f>
        <v>7.459845984598461</v>
      </c>
      <c r="J33" s="19">
        <f>J13/I13-1</f>
        <v>0.44213263979193762</v>
      </c>
      <c r="K33" s="19">
        <f>K13/J13-1</f>
        <v>0.30108205590622172</v>
      </c>
      <c r="L33" s="19">
        <f>L13/K13-1</f>
        <v>0.17194538776075952</v>
      </c>
      <c r="M33" s="19">
        <f>M13/L13-1</f>
        <v>-0.030159668835008868</v>
      </c>
      <c r="N33" s="19">
        <f>N13/M13-1</f>
        <v>-0.15365853658536577</v>
      </c>
      <c r="O33" s="17">
        <f t="shared" si="0"/>
        <v>0.78435024021092203</v>
      </c>
      <c r="P33" s="17">
        <f t="shared" si="1"/>
        <v>0.19762845849802368</v>
      </c>
      <c r="Q33" s="18">
        <v>0.12</v>
      </c>
      <c r="R33" s="18">
        <v>0.089999999999999997</v>
      </c>
    </row>
    <row r="34">
      <c r="B34" s="11" t="s">
        <v>111</v>
      </c>
      <c r="C34" s="19"/>
      <c r="D34" s="19">
        <f>D15/C15-1</f>
        <v>0.09195768510068425</v>
      </c>
      <c r="E34" s="19">
        <f>E15/D15-1</f>
        <v>0.01758550432219641</v>
      </c>
      <c r="F34" s="19">
        <f>F15/E15-1</f>
        <v>0.022821818747327027</v>
      </c>
      <c r="G34" s="19">
        <f>G15/F15-1</f>
        <v>-0.059340314733160926</v>
      </c>
      <c r="H34" s="19">
        <f>H15/G15-1</f>
        <v>0.17083975249400174</v>
      </c>
      <c r="I34" s="19">
        <f>I15/H15-1</f>
        <v>0.010457426109915291</v>
      </c>
      <c r="J34" s="19">
        <f>J15/I15-1</f>
        <v>0.056160634614317306</v>
      </c>
      <c r="K34" s="19">
        <f>K15/J15-1</f>
        <v>0.064048509348155758</v>
      </c>
      <c r="L34" s="19">
        <f>L15/K15-1</f>
        <v>0.2233007495659507</v>
      </c>
      <c r="M34" s="19">
        <f>M15/L15-1</f>
        <v>0.055510006335482309</v>
      </c>
      <c r="N34" s="19">
        <f>N15/M15-1</f>
        <v>0.014176008473828272</v>
      </c>
      <c r="O34" s="17">
        <f t="shared" si="0"/>
        <v>0.060683434579881651</v>
      </c>
      <c r="P34" s="17">
        <f t="shared" si="1"/>
        <v>0.055510006335482309</v>
      </c>
      <c r="Q34" s="18">
        <v>0.050000000000000003</v>
      </c>
      <c r="R34" s="18">
        <v>0.040000000000000001</v>
      </c>
    </row>
    <row r="35">
      <c r="B35" t="s">
        <v>112</v>
      </c>
      <c r="C35" s="19">
        <f>C22/C7</f>
        <v>0.056915192260628168</v>
      </c>
      <c r="D35" s="19">
        <f>D22/D7</f>
        <v>0.086660844308981036</v>
      </c>
      <c r="E35" s="19">
        <f>E22/E7</f>
        <v>0.09423232958116709</v>
      </c>
      <c r="F35" s="19">
        <f>F22/F7</f>
        <v>0.093365981856849592</v>
      </c>
      <c r="G35" s="19">
        <f>G22/G7</f>
        <v>0.098849304925825485</v>
      </c>
      <c r="H35" s="19">
        <f>H22/H7</f>
        <v>0.10260613509135856</v>
      </c>
      <c r="I35" s="19">
        <f>I22/I7</f>
        <v>0.11731676621250203</v>
      </c>
      <c r="J35" s="19">
        <f>J22/J7</f>
        <v>0.13757889985954358</v>
      </c>
      <c r="K35" s="19">
        <f>K22/K7</f>
        <v>0.1055763283049273</v>
      </c>
      <c r="L35" s="19">
        <f>L22/L7</f>
        <v>0.14024355171614158</v>
      </c>
      <c r="M35" s="19">
        <f>M22/M7</f>
        <v>0.12566469121409379</v>
      </c>
      <c r="N35" s="19">
        <f>N22/N7</f>
        <v>0.11986179234068046</v>
      </c>
      <c r="O35" s="17">
        <f t="shared" si="0"/>
        <v>0.11108696594655186</v>
      </c>
      <c r="P35" s="17">
        <f t="shared" si="1"/>
        <v>0.1055763283049273</v>
      </c>
      <c r="Q35" s="18"/>
      <c r="R35" s="18"/>
    </row>
    <row r="36">
      <c r="B36" s="11" t="s">
        <v>113</v>
      </c>
      <c r="C36" s="19" t="e">
        <f>C22/B22-1</f>
        <v>#VALUE!</v>
      </c>
      <c r="D36" s="19">
        <f>D22/C22-1</f>
        <v>0.74184899456177611</v>
      </c>
      <c r="E36" s="19">
        <f>E22/D22-1</f>
        <v>0.19740357806691722</v>
      </c>
      <c r="F36" s="19">
        <f>F22/E22-1</f>
        <v>0.072800698537433428</v>
      </c>
      <c r="G36" s="19">
        <f>G22/F22-1</f>
        <v>0.13491821254564029</v>
      </c>
      <c r="H36" s="19">
        <f>H22/G22-1</f>
        <v>0.15090242639149087</v>
      </c>
      <c r="I36" s="19">
        <f>I22/H22-1</f>
        <v>0.20609973517040947</v>
      </c>
      <c r="J36" s="19">
        <f>J22/I22-1</f>
        <v>0.32771239954075737</v>
      </c>
      <c r="K36" s="19">
        <f>K22/J22-1</f>
        <v>-0.18068421337080576</v>
      </c>
      <c r="L36" s="19">
        <f>L22/K22-1</f>
        <v>0.52793572474570905</v>
      </c>
      <c r="M36" s="19">
        <f>M22/L22-1</f>
        <v>-0.078616080679697498</v>
      </c>
      <c r="N36" s="19">
        <f>N22/M22-1</f>
        <v>0.020447751403323666</v>
      </c>
      <c r="O36" s="17">
        <f t="shared" si="0"/>
        <v>0.1927972024466322</v>
      </c>
      <c r="P36" s="17">
        <f t="shared" si="1"/>
        <v>0.15090242639149087</v>
      </c>
      <c r="Q36" s="18"/>
      <c r="R36" s="18"/>
    </row>
    <row r="37">
      <c r="B37" s="11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7"/>
      <c r="P37" s="17"/>
      <c r="Q37" s="18"/>
      <c r="R37" s="18"/>
    </row>
    <row r="38">
      <c r="B38" t="s">
        <v>64</v>
      </c>
      <c r="C38" s="19">
        <f>C21/C20</f>
        <v>0.30509904557678369</v>
      </c>
      <c r="D38" s="19">
        <f>D21/D20</f>
        <v>0.27492498025796236</v>
      </c>
      <c r="E38" s="19">
        <f>E21/E20</f>
        <v>0.32449126716256438</v>
      </c>
      <c r="F38" s="19">
        <f>F21/F20</f>
        <v>0.32176373171404915</v>
      </c>
      <c r="G38" s="19">
        <f>G21/G20</f>
        <v>0.338708190069689</v>
      </c>
      <c r="H38" s="19">
        <f>H21/H20</f>
        <v>0.34643339951242424</v>
      </c>
      <c r="I38" s="19">
        <f>I21/I20</f>
        <v>0.24437455945345105</v>
      </c>
      <c r="J38" s="19">
        <f>J21/J20</f>
        <v>0.26380246049050649</v>
      </c>
      <c r="K38" s="19">
        <f>K21/K20</f>
        <v>0.27057781969177197</v>
      </c>
      <c r="L38" s="19">
        <f>L21/L20</f>
        <v>0.23623618012575978</v>
      </c>
      <c r="M38" s="19">
        <f>M21/M20</f>
        <v>0.26746456973986338</v>
      </c>
      <c r="N38" s="19">
        <f>N21/N20</f>
        <v>0.25583191244357711</v>
      </c>
      <c r="O38" s="17">
        <f t="shared" si="0"/>
        <v>0.28587355187832902</v>
      </c>
      <c r="P38" s="17">
        <f t="shared" si="1"/>
        <v>0.27057781969177197</v>
      </c>
      <c r="Q38" s="18">
        <v>0.28000000000000003</v>
      </c>
      <c r="R38" s="18">
        <v>0.28000000000000003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2025-06-25T22:11:04Z</dcterms:modified>
</cp:coreProperties>
</file>