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0"/>
  </bookViews>
  <sheets>
    <sheet name="Business" sheetId="1" state="visible" r:id="rId1"/>
    <sheet name="HDB main" sheetId="2" state="visible" r:id="rId2"/>
    <sheet name="HDB Financials" sheetId="3" state="visible" r:id="rId3"/>
    <sheet name="Jio financial - main" sheetId="4" state="visible" r:id="rId4"/>
    <sheet name="Jio Financial " sheetId="5" state="visible" r:id="rId5"/>
    <sheet name="cholamandalam" sheetId="6" state="visible" r:id="rId6"/>
    <sheet name="cholamandalam-main" sheetId="7" state="visible" r:id="rId7"/>
    <sheet name="muthoot-main" sheetId="8" state="visible" r:id="rId8"/>
    <sheet name="muthoot-finance" sheetId="9" state="visible" r:id="rId9"/>
    <sheet name="bajaj-main" sheetId="10" state="visible" r:id="rId10"/>
    <sheet name="bajaj-finance" sheetId="11" state="visible" r:id="rId11"/>
    <sheet name="birla-main" sheetId="12" state="visible" r:id="rId12"/>
    <sheet name="birla finance" sheetId="13" state="visible" r:id="rId1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<sst xmlns="http://schemas.openxmlformats.org/spreadsheetml/2006/main" count="558" uniqueCount="558">
  <si>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</si>
  <si>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</si>
  <si>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</si>
  <si>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</si>
  <si>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</si>
  <si>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</si>
  <si>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</si>
  <si>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</si>
  <si>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</si>
  <si>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</si>
  <si>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</si>
  <si>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</si>
  <si>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</si>
  <si>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</si>
  <si>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</si>
  <si>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</si>
  <si>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</si>
  <si>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</si>
  <si>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</si>
  <si>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</si>
  <si>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</si>
  <si>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</si>
  <si>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Other Equity</t>
  </si>
  <si>
    <t xml:space="preserve">Security premium reserve , retained earnings, general reserve , capital reserve</t>
  </si>
  <si>
    <t xml:space="preserve">CRAR  (capital adequacy)</t>
  </si>
  <si>
    <t xml:space="preserve">How's strong is the company's own capital compared to the risks it takes ( own assets [that include equity + prev profits] / weighted debt [weighted based on the riskiness]) </t>
  </si>
  <si>
    <t xml:space="preserve">Tier-1 capital </t>
  </si>
  <si>
    <t xml:space="preserve">High-quality own money  (equity , profits, reinvestments)  , this is represented in terms of % to the total debt raised </t>
  </si>
  <si>
    <t xml:space="preserve">Tier-2 capital </t>
  </si>
  <si>
    <t xml:space="preserve">Extra backup capital (like reserves , some debt .. etc ) </t>
  </si>
  <si>
    <t xml:space="preserve">TTM  , this is used PE</t>
  </si>
  <si>
    <t xml:space="preserve">Trailing twelve months , current date se last 12 months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</si>
  <si>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</si>
  <si>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</si>
  <si>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</si>
  <si>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</si>
  <si>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 xml:space="preserve">Provision Coverage Ratio</t>
  </si>
  <si>
    <t xml:space="preserve">How much NPA / bad-debts are covered from provision funds</t>
  </si>
  <si>
    <t xml:space="preserve">Standard Asset Coverage Ratio</t>
  </si>
  <si>
    <t xml:space="preserve">Own money / good loans </t>
  </si>
  <si>
    <t xml:space="preserve">weighted average no of shares </t>
  </si>
  <si>
    <t xml:space="preserve">lets suppose for first six months company had 1,00,000 shares and in the next 6 months they released 50,000 more shares ... so when we calculate total no of shares in a year it would be (12*1,00,000  +  6*50,000) / 12 , no. of shares </t>
  </si>
  <si>
    <t xml:space="preserve">Total No of shares</t>
  </si>
  <si>
    <t xml:space="preserve">The total no. of shares that are in the market</t>
  </si>
  <si>
    <t xml:space="preserve">LTV (Loan to Value) </t>
  </si>
  <si>
    <t xml:space="preserve">How much loan will be given for 100 rupee of gold ... earlier the  rate was 75%, so that is 75 rupee will be lended for 100  rupee of gold and now its been increased to 85% for small loans</t>
  </si>
  <si>
    <t xml:space="preserve"> </t>
  </si>
  <si>
    <t xml:space="preserve">IFRS (International financial reporting system) </t>
  </si>
  <si>
    <t xml:space="preserve">Credit risk profile and how companies maintain their record and report their expenses and income </t>
  </si>
  <si>
    <t xml:space="preserve">Stage - 1 </t>
  </si>
  <si>
    <t xml:space="preserve">Loans in which the credit profile hasn't increased much .. they are not risky </t>
  </si>
  <si>
    <t xml:space="preserve">Stage - 2 </t>
  </si>
  <si>
    <t xml:space="preserve">Potential to default , underperforming loans, the people involved might default</t>
  </si>
  <si>
    <t>Stage-3</t>
  </si>
  <si>
    <t xml:space="preserve">NPA ( this money is not going to come back ) </t>
  </si>
  <si>
    <t>LIST</t>
  </si>
  <si>
    <t xml:space="preserve">Aditya Birla Finance</t>
  </si>
  <si>
    <t>DONE</t>
  </si>
  <si>
    <t xml:space="preserve">bajaj finance limited</t>
  </si>
  <si>
    <t xml:space="preserve">Jio financial serviced</t>
  </si>
  <si>
    <t xml:space="preserve">Cholamandalam investment and finance company limited</t>
  </si>
  <si>
    <t xml:space="preserve">Muthoot finance</t>
  </si>
  <si>
    <t xml:space="preserve">Shriram finance </t>
  </si>
  <si>
    <t xml:space="preserve">Mahindra finance</t>
  </si>
  <si>
    <t xml:space="preserve">Share price</t>
  </si>
  <si>
    <t xml:space="preserve">Total No. of shares </t>
  </si>
  <si>
    <t xml:space="preserve">Jio Financials</t>
  </si>
  <si>
    <t xml:space="preserve">Cholamandalam </t>
  </si>
  <si>
    <t xml:space="preserve">Muthoot Finance</t>
  </si>
  <si>
    <t xml:space="preserve">Bajaj Finance</t>
  </si>
  <si>
    <t xml:space="preserve">Aditya Birla</t>
  </si>
  <si>
    <t xml:space="preserve">HDB Financials</t>
  </si>
  <si>
    <t xml:space="preserve">L&amp;T financials</t>
  </si>
  <si>
    <t xml:space="preserve">Sundaram Financials </t>
  </si>
  <si>
    <t xml:space="preserve">Income Statement </t>
  </si>
  <si>
    <t xml:space="preserve">(in crore)</t>
  </si>
  <si>
    <t xml:space="preserve">Interest Income</t>
  </si>
  <si>
    <t xml:space="preserve">Sale of service</t>
  </si>
  <si>
    <t xml:space="preserve">Other financial charges</t>
  </si>
  <si>
    <t xml:space="preserve">Net gain on fair value changes</t>
  </si>
  <si>
    <t xml:space="preserve">Net gain on derecognition of FI</t>
  </si>
  <si>
    <t xml:space="preserve">Total Revenue from Operations</t>
  </si>
  <si>
    <t>Debt</t>
  </si>
  <si>
    <t>Equity</t>
  </si>
  <si>
    <t xml:space="preserve">Finance cost</t>
  </si>
  <si>
    <t xml:space="preserve">Impairment on financial instruments</t>
  </si>
  <si>
    <t>EBE</t>
  </si>
  <si>
    <t xml:space="preserve">D&amp;A </t>
  </si>
  <si>
    <t xml:space="preserve">Other Expenses</t>
  </si>
  <si>
    <t xml:space="preserve">Total Expenses</t>
  </si>
  <si>
    <t>PBT</t>
  </si>
  <si>
    <t>Tax</t>
  </si>
  <si>
    <t>PAT</t>
  </si>
  <si>
    <t>EPS</t>
  </si>
  <si>
    <t xml:space="preserve">COMING 5 YEARS</t>
  </si>
  <si>
    <t xml:space="preserve">NEXT 5 YEARS</t>
  </si>
  <si>
    <t xml:space="preserve">Terminal Rate</t>
  </si>
  <si>
    <t xml:space="preserve">Gross margin</t>
  </si>
  <si>
    <t xml:space="preserve">Discount Rate</t>
  </si>
  <si>
    <t xml:space="preserve">Gross profit</t>
  </si>
  <si>
    <t xml:space="preserve">NPV </t>
  </si>
  <si>
    <t xml:space="preserve">Impairment y/y</t>
  </si>
  <si>
    <t xml:space="preserve">Total no. of shares</t>
  </si>
  <si>
    <t xml:space="preserve">EBE y/y</t>
  </si>
  <si>
    <t xml:space="preserve">Current Share Price</t>
  </si>
  <si>
    <t xml:space="preserve">revenue y/y</t>
  </si>
  <si>
    <t xml:space="preserve">Predicted Share Price</t>
  </si>
  <si>
    <t xml:space="preserve">D&amp;A y/y</t>
  </si>
  <si>
    <t xml:space="preserve">Other Expense y/y</t>
  </si>
  <si>
    <t xml:space="preserve">Tax Rate</t>
  </si>
  <si>
    <t xml:space="preserve">Private limited company</t>
  </si>
  <si>
    <t xml:space="preserve">Limited no. of shareholders , usually with a max of 200 </t>
  </si>
  <si>
    <t xml:space="preserve">Jio financial services Ltd</t>
  </si>
  <si>
    <t xml:space="preserve">Consumer Lending , Corporate and MSME lending </t>
  </si>
  <si>
    <t>JIOFIN</t>
  </si>
  <si>
    <t>https://jep-asset.akamaized.net/cms/assets/jfs/investor-relations/financials/annual-reports/fy2023-2024/annual-report-2023-2024.pdf</t>
  </si>
  <si>
    <t>JV</t>
  </si>
  <si>
    <t xml:space="preserve">Joint Ventures</t>
  </si>
  <si>
    <t xml:space="preserve">Reliance strategic investments private limited</t>
  </si>
  <si>
    <t xml:space="preserve">Reliance strategic investments limited</t>
  </si>
  <si>
    <t>JFSL</t>
  </si>
  <si>
    <t xml:space="preserve">Jio financial services limited</t>
  </si>
  <si>
    <t xml:space="preserve">Before listing it was a part of RIL  and we can get Standalone financials from there  </t>
  </si>
  <si>
    <t xml:space="preserve">FY 24</t>
  </si>
  <si>
    <t>JFL</t>
  </si>
  <si>
    <t xml:space="preserve">Jio finance limited </t>
  </si>
  <si>
    <t>JLSL</t>
  </si>
  <si>
    <t xml:space="preserve">Jio leasing services limited </t>
  </si>
  <si>
    <t xml:space="preserve">Consumer and businesses through a device as a service (DAAS)</t>
  </si>
  <si>
    <t xml:space="preserve">No of shares</t>
  </si>
  <si>
    <t>JIBL</t>
  </si>
  <si>
    <t xml:space="preserve">Jio insurance broking limited</t>
  </si>
  <si>
    <t xml:space="preserve">Market Cap</t>
  </si>
  <si>
    <t>JPSL</t>
  </si>
  <si>
    <t xml:space="preserve">Jio payment solutions limited</t>
  </si>
  <si>
    <t xml:space="preserve">Cash </t>
  </si>
  <si>
    <t>RIIHL</t>
  </si>
  <si>
    <t xml:space="preserve">Reliance industrial investments and holding limited</t>
  </si>
  <si>
    <t xml:space="preserve">Debt </t>
  </si>
  <si>
    <t>JVBR</t>
  </si>
  <si>
    <t xml:space="preserve">JVs with BlackRock</t>
  </si>
  <si>
    <t xml:space="preserve">Strategic partnership, 50:50, consumer access to top-tier investment solutions across india, shared vision , shared investments </t>
  </si>
  <si>
    <t xml:space="preserve">EV (enterprise valuation)</t>
  </si>
  <si>
    <t>JBPL</t>
  </si>
  <si>
    <t xml:space="preserve">Jio Payment Bank limited</t>
  </si>
  <si>
    <t xml:space="preserve">JFL </t>
  </si>
  <si>
    <t xml:space="preserve">Jio finance limited</t>
  </si>
  <si>
    <t xml:space="preserve">consumer lendings , corporates , MSME lending </t>
  </si>
  <si>
    <t xml:space="preserve">JPBL </t>
  </si>
  <si>
    <t xml:space="preserve">jio payment bank limited</t>
  </si>
  <si>
    <t xml:space="preserve">JV btw company and SBI</t>
  </si>
  <si>
    <t xml:space="preserve">digital banking solutions to consumers and small businesses</t>
  </si>
  <si>
    <t xml:space="preserve">Jio Payment Solution Limited </t>
  </si>
  <si>
    <t xml:space="preserve">Payment gateway and UPI ( unified payment gateway ) </t>
  </si>
  <si>
    <t xml:space="preserve">Insurance broking, direct broker license from IRDAI </t>
  </si>
  <si>
    <t xml:space="preserve">Jio Blackrock combined strength and scale </t>
  </si>
  <si>
    <t xml:space="preserve">rising affluences , favourable demographics and digital transformation </t>
  </si>
  <si>
    <t xml:space="preserve">Income Statement</t>
  </si>
  <si>
    <t>in-crore</t>
  </si>
  <si>
    <t>standalone</t>
  </si>
  <si>
    <t>https://www.ril.com/sites/default/files/2023-02/Reliance%20Strategic%20Investments%20Limited1.pdf</t>
  </si>
  <si>
    <t>Consolidated</t>
  </si>
  <si>
    <t>https://jiofinance.cdn.jio.com/cms/assets/jfs/investor-relations/financials/quarterly-results/q4-report-2024-25.pdf</t>
  </si>
  <si>
    <t>FY20</t>
  </si>
  <si>
    <t>FY21</t>
  </si>
  <si>
    <t>FY22</t>
  </si>
  <si>
    <t>FY23</t>
  </si>
  <si>
    <t>FY24</t>
  </si>
  <si>
    <t>FY25</t>
  </si>
  <si>
    <t>Q126</t>
  </si>
  <si>
    <t>Q225</t>
  </si>
  <si>
    <t>Q325</t>
  </si>
  <si>
    <t>Q425</t>
  </si>
  <si>
    <t>oprt</t>
  </si>
  <si>
    <t xml:space="preserve">Interest income </t>
  </si>
  <si>
    <t xml:space="preserve">Dividend income</t>
  </si>
  <si>
    <t xml:space="preserve">Fees , commission and other services</t>
  </si>
  <si>
    <t xml:space="preserve">thought invested extra money , gained some interest so yes this is operational income </t>
  </si>
  <si>
    <t xml:space="preserve">Net Gain on fair value changes</t>
  </si>
  <si>
    <t xml:space="preserve">Operational income</t>
  </si>
  <si>
    <t xml:space="preserve">Other income</t>
  </si>
  <si>
    <t xml:space="preserve">Total income </t>
  </si>
  <si>
    <t xml:space="preserve">Finance Cost</t>
  </si>
  <si>
    <t xml:space="preserve">Impairement on financial instruments</t>
  </si>
  <si>
    <t>D&amp;A</t>
  </si>
  <si>
    <t xml:space="preserve">Other expenses</t>
  </si>
  <si>
    <t xml:space="preserve">Profit Before share in profit in JV</t>
  </si>
  <si>
    <t xml:space="preserve">Share of profit of associates and JV</t>
  </si>
  <si>
    <t xml:space="preserve">Tax expense</t>
  </si>
  <si>
    <t xml:space="preserve">fair value through other comprehensive income</t>
  </si>
  <si>
    <t>OCI</t>
  </si>
  <si>
    <t xml:space="preserve">Total income</t>
  </si>
  <si>
    <t xml:space="preserve">Should be full as we dont have any borrowings / finance costs</t>
  </si>
  <si>
    <t xml:space="preserve">Attributable to equity investor</t>
  </si>
  <si>
    <t xml:space="preserve">Equity share capital </t>
  </si>
  <si>
    <t xml:space="preserve">weighted no of shares</t>
  </si>
  <si>
    <t xml:space="preserve">Finance cost / Interest Income</t>
  </si>
  <si>
    <t>ROI</t>
  </si>
  <si>
    <t xml:space="preserve">PAT YoY</t>
  </si>
  <si>
    <t xml:space="preserve">Expenses YoY</t>
  </si>
  <si>
    <t xml:space="preserve">Income YoY</t>
  </si>
  <si>
    <t>Standalone</t>
  </si>
  <si>
    <t xml:space="preserve">(in crores)</t>
  </si>
  <si>
    <t xml:space="preserve">Net gain on derecognition of financial instruments</t>
  </si>
  <si>
    <t xml:space="preserve">Sale of products</t>
  </si>
  <si>
    <t xml:space="preserve">Sales of services</t>
  </si>
  <si>
    <t xml:space="preserve">Equity </t>
  </si>
  <si>
    <t xml:space="preserve">paid up capital </t>
  </si>
  <si>
    <t xml:space="preserve">Face value </t>
  </si>
  <si>
    <t xml:space="preserve">weighted no. of shares issued </t>
  </si>
  <si>
    <t xml:space="preserve">in CR</t>
  </si>
  <si>
    <t>FY15</t>
  </si>
  <si>
    <t>FY16</t>
  </si>
  <si>
    <t>FY17</t>
  </si>
  <si>
    <t>FY18</t>
  </si>
  <si>
    <t>FY19</t>
  </si>
  <si>
    <t xml:space="preserve">Net gain on decognition</t>
  </si>
  <si>
    <t xml:space="preserve">Fee and commision </t>
  </si>
  <si>
    <t xml:space="preserve">Net gain on FV Change </t>
  </si>
  <si>
    <t xml:space="preserve">Sale of servies</t>
  </si>
  <si>
    <t xml:space="preserve">Total revs from opr</t>
  </si>
  <si>
    <t xml:space="preserve">other income</t>
  </si>
  <si>
    <t>BS</t>
  </si>
  <si>
    <t xml:space="preserve">Debt raised</t>
  </si>
  <si>
    <t xml:space="preserve">Equity raised</t>
  </si>
  <si>
    <t>impairment</t>
  </si>
  <si>
    <t xml:space="preserve">Other expense</t>
  </si>
  <si>
    <t xml:space="preserve">Total Expense</t>
  </si>
  <si>
    <t xml:space="preserve">Share of loss from associate</t>
  </si>
  <si>
    <t xml:space="preserve">Profit for the period</t>
  </si>
  <si>
    <t xml:space="preserve">OCI </t>
  </si>
  <si>
    <t xml:space="preserve">operational Profit to equity holders</t>
  </si>
  <si>
    <t xml:space="preserve">OP + OCI  profit</t>
  </si>
  <si>
    <t xml:space="preserve">Weighted no. of shares</t>
  </si>
  <si>
    <t>ReporteedEPS</t>
  </si>
  <si>
    <t xml:space="preserve">Calculated EPS</t>
  </si>
  <si>
    <t>Ratio's</t>
  </si>
  <si>
    <t>AVERAGE</t>
  </si>
  <si>
    <t>MEDIAN</t>
  </si>
  <si>
    <t xml:space="preserve">NTN 5 YEARS</t>
  </si>
  <si>
    <t xml:space="preserve">Terminal Value</t>
  </si>
  <si>
    <t>NICE</t>
  </si>
  <si>
    <t xml:space="preserve">Gross Margin</t>
  </si>
  <si>
    <t xml:space="preserve">income y/y</t>
  </si>
  <si>
    <t xml:space="preserve">Op Profit YoY</t>
  </si>
  <si>
    <t xml:space="preserve">Total no. of share</t>
  </si>
  <si>
    <t xml:space="preserve">EBE YoY</t>
  </si>
  <si>
    <t xml:space="preserve">Current share price</t>
  </si>
  <si>
    <t xml:space="preserve">D&amp;A YoY</t>
  </si>
  <si>
    <t xml:space="preserve">Predicted Share price</t>
  </si>
  <si>
    <t xml:space="preserve">Gives loans to this </t>
  </si>
  <si>
    <t xml:space="preserve">Commercial vehicle loans</t>
  </si>
  <si>
    <t xml:space="preserve">Passenger vehicle loans</t>
  </si>
  <si>
    <t xml:space="preserve">2 wheeler loan</t>
  </si>
  <si>
    <t xml:space="preserve">tracktor loans</t>
  </si>
  <si>
    <t xml:space="preserve">construction eq loan</t>
  </si>
  <si>
    <t xml:space="preserve">home equity</t>
  </si>
  <si>
    <t xml:space="preserve">borrow against the value of an existing home , after building equity in the home ,</t>
  </si>
  <si>
    <t xml:space="preserve">home loans</t>
  </si>
  <si>
    <t xml:space="preserve">SME loans </t>
  </si>
  <si>
    <t xml:space="preserve">Chola wealth</t>
  </si>
  <si>
    <t xml:space="preserve">Loans are financed using : debt + equity raised + other equity</t>
  </si>
  <si>
    <t xml:space="preserve">Other Equity is a term that includes a lot so take up securities premium + share capital raised + paid up capital </t>
  </si>
  <si>
    <t xml:space="preserve">Top player in gold finance loans </t>
  </si>
  <si>
    <t xml:space="preserve">so it is one of the largest reserve of gold , so when the gold price increase .. the total collateral increases + more people come to pledge gold and get loan</t>
  </si>
  <si>
    <t xml:space="preserve">Takes deposits from muthooth capital and part of that gets invested in muthooth finance as deposits</t>
  </si>
  <si>
    <t xml:space="preserve">LTV </t>
  </si>
  <si>
    <t xml:space="preserve">Loan to value</t>
  </si>
  <si>
    <t xml:space="preserve">current values</t>
  </si>
  <si>
    <t xml:space="preserve">upto 2.5 lakh </t>
  </si>
  <si>
    <t xml:space="preserve">2.5 to 5 lakh </t>
  </si>
  <si>
    <t xml:space="preserve">above 5 lakh </t>
  </si>
  <si>
    <t xml:space="preserve">Cash Inputs </t>
  </si>
  <si>
    <t xml:space="preserve">Capital funding for lending anf operations </t>
  </si>
  <si>
    <t xml:space="preserve">Total No of Shares</t>
  </si>
  <si>
    <t xml:space="preserve">Muthooth finance </t>
  </si>
  <si>
    <t>Cash</t>
  </si>
  <si>
    <t xml:space="preserve">Enterprise Valuation </t>
  </si>
  <si>
    <t xml:space="preserve">Consolidated Balance Sheet</t>
  </si>
  <si>
    <t>https://cdn.muthootfinance.com/sites/default/files/files/2024-09/ANNUAL+REPORT+FOR+FY+2023-24.pdf</t>
  </si>
  <si>
    <t>ASSETS</t>
  </si>
  <si>
    <t xml:space="preserve">Loans Breakdown</t>
  </si>
  <si>
    <t xml:space="preserve">Found in notes for balance sheet </t>
  </si>
  <si>
    <t xml:space="preserve">Cash and cash eq</t>
  </si>
  <si>
    <t xml:space="preserve">laon amount </t>
  </si>
  <si>
    <t xml:space="preserve">Tangible Collateral amount categorized</t>
  </si>
  <si>
    <t xml:space="preserve">Add. Bank Balance</t>
  </si>
  <si>
    <t xml:space="preserve">Gold loan</t>
  </si>
  <si>
    <t xml:space="preserve">to be received</t>
  </si>
  <si>
    <t xml:space="preserve">Trade receivables</t>
  </si>
  <si>
    <t xml:space="preserve">coporate laon </t>
  </si>
  <si>
    <t xml:space="preserve">Other receivables</t>
  </si>
  <si>
    <t xml:space="preserve">personal loan </t>
  </si>
  <si>
    <t xml:space="preserve">given to others</t>
  </si>
  <si>
    <t xml:space="preserve">loans </t>
  </si>
  <si>
    <t xml:space="preserve">staff loan</t>
  </si>
  <si>
    <t>IPO</t>
  </si>
  <si>
    <t>Investments</t>
  </si>
  <si>
    <t xml:space="preserve">housing loan</t>
  </si>
  <si>
    <t xml:space="preserve">other financial assets</t>
  </si>
  <si>
    <t xml:space="preserve">project financing loan</t>
  </si>
  <si>
    <t xml:space="preserve">mortgage loan</t>
  </si>
  <si>
    <t xml:space="preserve">Current tax assets</t>
  </si>
  <si>
    <t xml:space="preserve">pledge loan </t>
  </si>
  <si>
    <t xml:space="preserve">Deferred tax assets</t>
  </si>
  <si>
    <t xml:space="preserve">business loan </t>
  </si>
  <si>
    <t xml:space="preserve">Investment property</t>
  </si>
  <si>
    <t xml:space="preserve">vehicle loan</t>
  </si>
  <si>
    <t>PPE</t>
  </si>
  <si>
    <t xml:space="preserve">includes unsecured loans</t>
  </si>
  <si>
    <t xml:space="preserve">micro-financing loan</t>
  </si>
  <si>
    <t xml:space="preserve">Right to use Assets</t>
  </si>
  <si>
    <t xml:space="preserve">other loan</t>
  </si>
  <si>
    <t xml:space="preserve">Capital work in progress</t>
  </si>
  <si>
    <t xml:space="preserve">Goodwill </t>
  </si>
  <si>
    <t xml:space="preserve">Other intangible assets</t>
  </si>
  <si>
    <t xml:space="preserve">Intangible assets under development </t>
  </si>
  <si>
    <t xml:space="preserve">leases, tax </t>
  </si>
  <si>
    <t xml:space="preserve">Other non-financial assets</t>
  </si>
  <si>
    <t xml:space="preserve">Total Assets</t>
  </si>
  <si>
    <t xml:space="preserve">cant determine .. </t>
  </si>
  <si>
    <t>CA</t>
  </si>
  <si>
    <t>NCA</t>
  </si>
  <si>
    <t>LIABILITIES</t>
  </si>
  <si>
    <t xml:space="preserve">derivatives , futures </t>
  </si>
  <si>
    <t xml:space="preserve">Derivative financial instruments </t>
  </si>
  <si>
    <t xml:space="preserve">outstanding  money to pay to creditros </t>
  </si>
  <si>
    <t xml:space="preserve">Trade payables</t>
  </si>
  <si>
    <t xml:space="preserve">Other payables</t>
  </si>
  <si>
    <t xml:space="preserve">Debt securities </t>
  </si>
  <si>
    <t xml:space="preserve">Borrowing </t>
  </si>
  <si>
    <t>Deposits</t>
  </si>
  <si>
    <t xml:space="preserve">subordinated liabilities</t>
  </si>
  <si>
    <t xml:space="preserve">lease liabilities</t>
  </si>
  <si>
    <t xml:space="preserve">Other financial liabilities</t>
  </si>
  <si>
    <t xml:space="preserve">Current tax liabilities</t>
  </si>
  <si>
    <t>Provisions</t>
  </si>
  <si>
    <t xml:space="preserve">Deferred tax liabilities</t>
  </si>
  <si>
    <t xml:space="preserve">Other non-financial liabilities</t>
  </si>
  <si>
    <t xml:space="preserve">Total liabilities</t>
  </si>
  <si>
    <t>EQUITY</t>
  </si>
  <si>
    <t xml:space="preserve">Share holders</t>
  </si>
  <si>
    <t xml:space="preserve">Equity for owners</t>
  </si>
  <si>
    <t xml:space="preserve">Total equity + liability</t>
  </si>
  <si>
    <t xml:space="preserve">Consolidated in Rs Million</t>
  </si>
  <si>
    <t>https://cdn.muthootfinance.com/sites/default/files/files/2022-07/ANNUAL%20REPORT%20FOR%20FY%202021-22.pdf</t>
  </si>
  <si>
    <t>https://cdn.muthootfinance.com/sites/default/files/files/2023-10/Muthoot-AR-2019-20.pdf</t>
  </si>
  <si>
    <t xml:space="preserve">Forecasting </t>
  </si>
  <si>
    <t xml:space="preserve">FY21 </t>
  </si>
  <si>
    <t xml:space="preserve">not an operating expense ( but curious to know , aisa kaha paisa lga diya )</t>
  </si>
  <si>
    <t xml:space="preserve">Net gain on fair value changes </t>
  </si>
  <si>
    <t xml:space="preserve">After sales? (extended warranty)</t>
  </si>
  <si>
    <t xml:space="preserve">Sale of services</t>
  </si>
  <si>
    <t xml:space="preserve">Service charge</t>
  </si>
  <si>
    <t xml:space="preserve">Total revenue from operations</t>
  </si>
  <si>
    <t xml:space="preserve">Operating income</t>
  </si>
  <si>
    <t xml:space="preserve">Total Income</t>
  </si>
  <si>
    <t xml:space="preserve">Debt Raised</t>
  </si>
  <si>
    <t xml:space="preserve">Debt COGS / ( against what amount ? what amount of money are we giving this much in  financing ) ? </t>
  </si>
  <si>
    <t xml:space="preserve">Finance costs</t>
  </si>
  <si>
    <t>NPA</t>
  </si>
  <si>
    <t xml:space="preserve">Impairment on financial instruments </t>
  </si>
  <si>
    <t xml:space="preserve">benefits + salary</t>
  </si>
  <si>
    <t xml:space="preserve">future income = current-income / Discount-rarte</t>
  </si>
  <si>
    <t xml:space="preserve">Total expenses</t>
  </si>
  <si>
    <t xml:space="preserve">not operating cost</t>
  </si>
  <si>
    <t xml:space="preserve">Net profit (in CR)</t>
  </si>
  <si>
    <t xml:space="preserve">Net profit </t>
  </si>
  <si>
    <t xml:space="preserve">Profit attributed to owners</t>
  </si>
  <si>
    <t xml:space="preserve">%profit attributed</t>
  </si>
  <si>
    <t xml:space="preserve">Book value </t>
  </si>
  <si>
    <t>EPS(basic)</t>
  </si>
  <si>
    <t xml:space="preserve">Revenue YoY</t>
  </si>
  <si>
    <t xml:space="preserve">Discount rate</t>
  </si>
  <si>
    <t xml:space="preserve">Total Income YoY</t>
  </si>
  <si>
    <t>NPV</t>
  </si>
  <si>
    <t xml:space="preserve">Millions rupee</t>
  </si>
  <si>
    <t xml:space="preserve">Gross Profit</t>
  </si>
  <si>
    <t xml:space="preserve">Current Share price </t>
  </si>
  <si>
    <t xml:space="preserve">Gross margin ratio</t>
  </si>
  <si>
    <t xml:space="preserve">Total no of shares </t>
  </si>
  <si>
    <t xml:space="preserve">Profit YoY</t>
  </si>
  <si>
    <t xml:space="preserve">Terminal value </t>
  </si>
  <si>
    <t xml:space="preserve">OpEx YoY</t>
  </si>
  <si>
    <t xml:space="preserve">Predicted share price</t>
  </si>
  <si>
    <t xml:space="preserve">COGS YoY</t>
  </si>
  <si>
    <t xml:space="preserve">ML / regression / core-ml</t>
  </si>
  <si>
    <t xml:space="preserve">EPS YoY</t>
  </si>
  <si>
    <t>EV</t>
  </si>
  <si>
    <t xml:space="preserve">OCI YoY</t>
  </si>
  <si>
    <t xml:space="preserve">Profit attributable YoY</t>
  </si>
  <si>
    <t xml:space="preserve">Cost of debt </t>
  </si>
  <si>
    <t xml:space="preserve">Interest yield </t>
  </si>
  <si>
    <t xml:space="preserve">Balance Sheet </t>
  </si>
  <si>
    <t xml:space="preserve">EQUITY </t>
  </si>
  <si>
    <t xml:space="preserve">Share capital </t>
  </si>
  <si>
    <t xml:space="preserve">Other capital </t>
  </si>
  <si>
    <t xml:space="preserve">Equity money</t>
  </si>
  <si>
    <t>LIABILITY</t>
  </si>
  <si>
    <t xml:space="preserve">Debt security</t>
  </si>
  <si>
    <t xml:space="preserve">more Borrowings </t>
  </si>
  <si>
    <t xml:space="preserve">Subordinated Liabilities</t>
  </si>
  <si>
    <t xml:space="preserve">Debt Money</t>
  </si>
  <si>
    <t xml:space="preserve">Total money deployed </t>
  </si>
  <si>
    <t xml:space="preserve">CASH FLOWS</t>
  </si>
  <si>
    <t>operating</t>
  </si>
  <si>
    <t xml:space="preserve">Profit before tax </t>
  </si>
  <si>
    <t xml:space="preserve">non-cash </t>
  </si>
  <si>
    <t xml:space="preserve">NPA -&gt; (not got this money back  )</t>
  </si>
  <si>
    <t xml:space="preserve">in reality this amount didnt got out .. ? </t>
  </si>
  <si>
    <t xml:space="preserve">Finance cost </t>
  </si>
  <si>
    <t xml:space="preserve">not an operating income </t>
  </si>
  <si>
    <t xml:space="preserve">profit on sale of PPE</t>
  </si>
  <si>
    <t xml:space="preserve">Provision for gratuity</t>
  </si>
  <si>
    <t xml:space="preserve">paid compensation for leaves</t>
  </si>
  <si>
    <t xml:space="preserve">Provision for compensated absence </t>
  </si>
  <si>
    <t xml:space="preserve">non-operating </t>
  </si>
  <si>
    <t xml:space="preserve">Interest income on investments</t>
  </si>
  <si>
    <t xml:space="preserve">Profit on sale of mutual fund </t>
  </si>
  <si>
    <t xml:space="preserve">U Gain / Loss on investment</t>
  </si>
  <si>
    <t xml:space="preserve">Operating profit</t>
  </si>
  <si>
    <t xml:space="preserve">Adjust for working capital </t>
  </si>
  <si>
    <t>non-cash</t>
  </si>
  <si>
    <t xml:space="preserve">Bank balance other than cash and cash eq</t>
  </si>
  <si>
    <t xml:space="preserve">ID loans</t>
  </si>
  <si>
    <t xml:space="preserve">ID other financial assets</t>
  </si>
  <si>
    <t xml:space="preserve">ID other non financial asssets</t>
  </si>
  <si>
    <t xml:space="preserve">ID trade payables</t>
  </si>
  <si>
    <t xml:space="preserve">ID other payables</t>
  </si>
  <si>
    <t xml:space="preserve">ID in provisions</t>
  </si>
  <si>
    <t xml:space="preserve">The difference between the finance cost above and below is due to cash accounting and accural accountinng</t>
  </si>
  <si>
    <t xml:space="preserve">FINANCING </t>
  </si>
  <si>
    <t xml:space="preserve">INVESTING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</si>
  <si>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</si>
  <si>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</si>
  <si>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</si>
  <si>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</si>
  <si>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</si>
  <si>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</si>
  <si>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</si>
  <si>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</si>
  <si>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</si>
  <si>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</si>
  <si>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</si>
  <si>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</si>
  <si>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</si>
  <si>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</si>
  <si>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</si>
  <si>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</si>
  <si>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</si>
  <si>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</si>
  <si>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</si>
  <si>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</si>
  <si>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</si>
  <si>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</si>
  <si>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</si>
  <si>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</si>
  <si>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</si>
  <si>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</si>
  <si>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</si>
  <si>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</si>
  <si>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</si>
  <si>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</si>
  <si>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</si>
  <si>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</si>
  <si>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</si>
  <si>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</si>
  <si>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</si>
  <si>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</si>
  <si>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</si>
  <si>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</si>
  <si>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</si>
  <si>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</si>
  <si>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</si>
  <si>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</si>
  <si>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Bajaj finance</t>
  </si>
  <si>
    <t xml:space="preserve">in crore</t>
  </si>
  <si>
    <t>https://www.bajajfinserv.in/finance-digital-annual-report-fy24/bajaj-finance-ltd-ar-2023-24-assets/pdf/annual-report-fy2024.pdf</t>
  </si>
  <si>
    <t>https://cms-assets.bajajfinserv.in/is/content/bajajfinance/bajaj-finance-q4-fy-25-earnings-conference-call-transcriptpdf?scl=1&amp;fmt=pdf</t>
  </si>
  <si>
    <t xml:space="preserve">Interest income</t>
  </si>
  <si>
    <t xml:space="preserve">Fees and commission income</t>
  </si>
  <si>
    <t xml:space="preserve">Income on derecognised loans</t>
  </si>
  <si>
    <t xml:space="preserve">Other operating income</t>
  </si>
  <si>
    <t xml:space="preserve">Revenue from operatiosn</t>
  </si>
  <si>
    <t xml:space="preserve">fees and commission cost</t>
  </si>
  <si>
    <t xml:space="preserve">bad debts</t>
  </si>
  <si>
    <t xml:space="preserve">impairment of financial instruments</t>
  </si>
  <si>
    <t xml:space="preserve">Total expense</t>
  </si>
  <si>
    <t xml:space="preserve">Share from Associates</t>
  </si>
  <si>
    <t xml:space="preserve">Total Profit </t>
  </si>
  <si>
    <t xml:space="preserve">Total profit to Shareholders </t>
  </si>
  <si>
    <t xml:space="preserve">% to shareholder</t>
  </si>
  <si>
    <t xml:space="preserve">Share capital</t>
  </si>
  <si>
    <t xml:space="preserve">Total no of shares</t>
  </si>
  <si>
    <t xml:space="preserve">Discount Value </t>
  </si>
  <si>
    <t xml:space="preserve">31st march resp year</t>
  </si>
  <si>
    <t xml:space="preserve">Share price </t>
  </si>
  <si>
    <t xml:space="preserve">Earnings per equity share</t>
  </si>
  <si>
    <t>PE</t>
  </si>
  <si>
    <t xml:space="preserve">Total no of Share s</t>
  </si>
  <si>
    <t xml:space="preserve">current Share price</t>
  </si>
  <si>
    <t xml:space="preserve">Financial ratios</t>
  </si>
  <si>
    <t xml:space="preserve">Forecasted share price</t>
  </si>
  <si>
    <t>Average</t>
  </si>
  <si>
    <t xml:space="preserve">Gross margin Yoy</t>
  </si>
  <si>
    <t xml:space="preserve">fee and mainitaince yoy</t>
  </si>
  <si>
    <t xml:space="preserve">impairment yoy</t>
  </si>
  <si>
    <t xml:space="preserve">ebe yoy</t>
  </si>
  <si>
    <t xml:space="preserve">d&amp;A yoy</t>
  </si>
  <si>
    <t xml:space="preserve">Other expenses yoy</t>
  </si>
  <si>
    <t xml:space="preserve">Tax % </t>
  </si>
  <si>
    <t xml:space="preserve">impairement %</t>
  </si>
  <si>
    <t xml:space="preserve">Balance sheeet </t>
  </si>
  <si>
    <t xml:space="preserve">Share capital Equity</t>
  </si>
  <si>
    <t xml:space="preserve">Total Equity</t>
  </si>
  <si>
    <t xml:space="preserve">Debt securities</t>
  </si>
  <si>
    <t xml:space="preserve">Borrowings other than debt securiteies</t>
  </si>
  <si>
    <t xml:space="preserve">Subordinated debt</t>
  </si>
  <si>
    <t xml:space="preserve">Total debt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</si>
  <si>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</si>
  <si>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</si>
  <si>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</si>
  <si>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</si>
  <si>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</si>
  <si>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</si>
  <si>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</si>
  <si>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</si>
  <si>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</si>
  <si>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</si>
  <si>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</si>
  <si>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</si>
  <si>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</si>
  <si>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</si>
  <si>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</si>
  <si>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</si>
  <si>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</si>
  <si>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</si>
  <si>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</si>
  <si>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</si>
  <si>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</si>
  <si>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</si>
  <si>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</si>
  <si>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</si>
  <si>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</si>
  <si>
    <t xml:space="preserve">Aditya birla finance NBFC</t>
  </si>
  <si>
    <t xml:space="preserve">Net interest income</t>
  </si>
  <si>
    <t>Op-ex</t>
  </si>
  <si>
    <t xml:space="preserve">funds set aside for bad-debts</t>
  </si>
  <si>
    <t xml:space="preserve">credit provisioning</t>
  </si>
  <si>
    <t xml:space="preserve">Profit after tax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</si>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</sst>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0">
    <numFmt numFmtId="164" formatCode="0.0%"/>
    <numFmt numFmtId="165" formatCode="_(* #,##0.0_);_(* &quot;(&quot;#,##0.0&quot;)&quot;;_(* &quot;-&quot;??_);_(@_)"/>
    <numFmt numFmtId="166" formatCode="[$INR]\ #,##0.00"/>
    <numFmt numFmtId="167" formatCode="_(* #,##0.00_);_(* \(#,##0.00\);_(* &quot;-&quot;??_);_(@_)"/>
    <numFmt numFmtId="168" formatCode="0.000"/>
    <numFmt numFmtId="169" formatCode="_(* #,##0.00_);_(* &quot;(&quot;#,##0.00&quot;)&quot;;_(* &quot;-&quot;??.0_);_(@_)"/>
    <numFmt numFmtId="170" formatCode="0.0"/>
    <numFmt numFmtId="171" formatCode="_(* #,##0_);_(* &quot;(&quot;#,##0&quot;)&quot;;_(* &quot;-&quot;??_);_(@_)"/>
    <numFmt numFmtId="172" formatCode="_(* #,##0.0_);_(* &quot;(&quot;#,##0.0&quot;)&quot;;_(* &quot;-&quot;??.0_);_(@_)"/>
    <numFmt numFmtId="173" formatCode="_(* #,##0.00_);_(* &quot;(&quot;#,##0.00&quot;)&quot;;_(* &quot;-&quot;??_);_(@_)"/>
  </numFmts>
  <fonts count="1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0.000000"/>
      <color theme="1"/>
      <name val="Rubik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1.000000"/>
      <color theme="10"/>
      <name val="Calibri"/>
    </font>
    <font>
      <b/>
      <sz val="12.000000"/>
      <color theme="4" tint="-0.499984740745262"/>
      <name val="Calibri"/>
      <scheme val="minor"/>
    </font>
    <font>
      <b/>
      <sz val="12.000000"/>
      <color theme="8" tint="-0.249977111117893"/>
      <name val="Calibri"/>
      <scheme val="minor"/>
    </font>
    <font>
      <b/>
      <sz val="12.000000"/>
      <color theme="4" tint="0"/>
      <name val="Calibri"/>
      <scheme val="minor"/>
    </font>
    <font>
      <b/>
      <sz val="12.000000"/>
      <name val="Liberation Sans"/>
    </font>
    <font>
      <b/>
      <sz val="11.000000"/>
      <color theme="4" tint="0"/>
      <name val="Calibri"/>
      <scheme val="minor"/>
    </font>
    <font>
      <u/>
      <sz val="12.000000"/>
      <color theme="10"/>
      <name val="Calibri"/>
    </font>
    <font>
      <b/>
      <sz val="12.000000"/>
      <name val="Arial"/>
    </font>
    <font>
      <sz val="12.000000"/>
      <name val="Arial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5"/>
        <bgColor indexed="5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122">
    <xf fontId="0" fillId="0" borderId="0" numFmtId="0" xfId="0"/>
    <xf fontId="1" fillId="0" borderId="0" numFmtId="0" xfId="0" applyFont="1"/>
    <xf fontId="0" fillId="0" borderId="0" numFmtId="0" xfId="0"/>
    <xf fontId="2" fillId="0" borderId="1" numFmtId="0" xfId="0" applyFont="1" applyBorder="1"/>
    <xf fontId="0" fillId="3" borderId="0" numFmtId="0" xfId="0" applyFill="1"/>
    <xf fontId="1" fillId="0" borderId="0" numFmtId="0" xfId="0" applyFont="1">
      <protection hidden="0" locked="1"/>
    </xf>
    <xf fontId="1" fillId="0" borderId="2" numFmtId="0" xfId="0" applyFont="1" applyBorder="1"/>
    <xf fontId="0" fillId="0" borderId="0" numFmtId="0" xfId="0">
      <protection hidden="0" locked="1"/>
    </xf>
    <xf fontId="0" fillId="0" borderId="2" numFmtId="0" xfId="0" applyBorder="1"/>
    <xf fontId="1" fillId="0" borderId="0" numFmtId="2" xfId="0" applyNumberFormat="1" applyFont="1"/>
    <xf fontId="1" fillId="0" borderId="2" numFmtId="2" xfId="0" applyNumberFormat="1" applyFont="1" applyBorder="1"/>
    <xf fontId="0" fillId="0" borderId="0" numFmtId="2" xfId="0" applyNumberFormat="1"/>
    <xf fontId="0" fillId="0" borderId="2" numFmtId="2" xfId="0" applyNumberFormat="1" applyBorder="1"/>
    <xf fontId="0" fillId="0" borderId="0" numFmtId="2" xfId="0" applyNumberFormat="1">
      <protection hidden="0" locked="1"/>
    </xf>
    <xf fontId="0" fillId="0" borderId="2" numFmtId="2" xfId="0" applyNumberFormat="1" applyBorder="1">
      <protection hidden="0" locked="1"/>
    </xf>
    <xf fontId="0" fillId="4" borderId="2" numFmtId="2" xfId="0" applyNumberFormat="1" applyFill="1" applyBorder="1">
      <protection hidden="0" locked="1"/>
    </xf>
    <xf fontId="0" fillId="0" borderId="0" numFmtId="9" xfId="2" applyNumberFormat="1"/>
    <xf fontId="0" fillId="0" borderId="0" numFmtId="164" xfId="2" applyNumberFormat="1"/>
    <xf fontId="0" fillId="0" borderId="0" numFmtId="164" xfId="2" applyNumberFormat="1">
      <protection hidden="0" locked="1"/>
    </xf>
    <xf fontId="0" fillId="0" borderId="0" numFmtId="9" xfId="0" applyNumberFormat="1"/>
    <xf fontId="0" fillId="0" borderId="0" numFmtId="10" xfId="0" applyNumberFormat="1"/>
    <xf fontId="3" fillId="0" borderId="0" numFmtId="0" xfId="0" applyFont="1"/>
    <xf fontId="4" fillId="0" borderId="0" numFmtId="0" xfId="0" applyFont="1"/>
    <xf fontId="5" fillId="0" borderId="0" numFmtId="0" xfId="0" applyFont="1"/>
    <xf fontId="3" fillId="0" borderId="0" numFmtId="164" xfId="2" applyNumberFormat="1" applyFont="1"/>
    <xf fontId="3" fillId="0" borderId="0" numFmtId="165" xfId="1" applyNumberFormat="1" applyFont="1"/>
    <xf fontId="3" fillId="0" borderId="0" numFmtId="166" xfId="1" applyNumberFormat="1" applyFont="1"/>
    <xf fontId="3" fillId="0" borderId="0" numFmtId="167" xfId="1" applyNumberFormat="1" applyFont="1"/>
    <xf fontId="3" fillId="0" borderId="0" numFmtId="166" xfId="0" applyNumberFormat="1" applyFont="1"/>
    <xf fontId="3" fillId="0" borderId="2" numFmtId="0" xfId="0" applyFont="1" applyBorder="1"/>
    <xf fontId="4" fillId="0" borderId="2" numFmtId="0" xfId="0" applyFont="1" applyBorder="1"/>
    <xf fontId="3" fillId="0" borderId="0" numFmtId="3" xfId="0" applyNumberFormat="1" applyFont="1"/>
    <xf fontId="3" fillId="0" borderId="2" numFmtId="3" xfId="0" applyNumberFormat="1" applyFont="1" applyBorder="1"/>
    <xf fontId="3" fillId="0" borderId="2" numFmtId="167" xfId="1" applyNumberFormat="1" applyFont="1" applyBorder="1"/>
    <xf fontId="3" fillId="0" borderId="0" numFmtId="9" xfId="2" applyNumberFormat="1" applyFont="1"/>
    <xf fontId="3" fillId="0" borderId="2" numFmtId="9" xfId="2" applyNumberFormat="1" applyFont="1" applyBorder="1"/>
    <xf fontId="3" fillId="4" borderId="0" numFmtId="0" xfId="0" applyFont="1" applyFill="1"/>
    <xf fontId="1" fillId="4" borderId="0" numFmtId="0" xfId="0" applyFont="1" applyFill="1"/>
    <xf fontId="4" fillId="4" borderId="0" numFmtId="0" xfId="0" applyFont="1" applyFill="1"/>
    <xf fontId="3" fillId="0" borderId="0" numFmtId="168" xfId="0" applyNumberFormat="1" applyFont="1"/>
    <xf fontId="4" fillId="0" borderId="0" numFmtId="2" xfId="0" applyNumberFormat="1" applyFont="1"/>
    <xf fontId="3" fillId="0" borderId="0" numFmtId="2" xfId="0" applyNumberFormat="1" applyFont="1"/>
    <xf fontId="3" fillId="0" borderId="0" numFmtId="9" xfId="0" applyNumberFormat="1" applyFont="1"/>
    <xf fontId="4" fillId="0" borderId="0" numFmtId="9" xfId="2" applyNumberFormat="1" applyFont="1"/>
    <xf fontId="4" fillId="0" borderId="0" numFmtId="9" xfId="0" applyNumberFormat="1" applyFont="1"/>
    <xf fontId="3" fillId="0" borderId="0" numFmtId="164" xfId="0" applyNumberFormat="1" applyFont="1"/>
    <xf fontId="6" fillId="0" borderId="0" numFmtId="0" xfId="0" applyFont="1"/>
    <xf fontId="3" fillId="0" borderId="0" numFmtId="169" xfId="1" applyNumberFormat="1" applyFont="1"/>
    <xf fontId="7" fillId="0" borderId="0" numFmtId="0" xfId="0" applyFont="1"/>
    <xf fontId="3" fillId="0" borderId="0" numFmtId="170" xfId="0" applyNumberFormat="1" applyFont="1"/>
    <xf fontId="4" fillId="0" borderId="0" numFmtId="169" xfId="1" applyNumberFormat="1" applyFont="1"/>
    <xf fontId="3" fillId="0" borderId="0" numFmtId="169" xfId="1" applyNumberFormat="1" applyFont="1" applyAlignment="1">
      <alignment horizontal="right"/>
    </xf>
    <xf fontId="3" fillId="0" borderId="0" numFmtId="169" xfId="0" applyNumberFormat="1" applyFont="1" applyAlignment="1">
      <alignment horizontal="right"/>
    </xf>
    <xf fontId="4" fillId="0" borderId="0" numFmtId="169" xfId="1" applyNumberFormat="1" applyFont="1" applyAlignment="1">
      <alignment horizontal="right"/>
    </xf>
    <xf fontId="4" fillId="0" borderId="2" numFmtId="169" xfId="1" applyNumberFormat="1" applyFont="1" applyBorder="1"/>
    <xf fontId="4" fillId="0" borderId="0" numFmtId="165" xfId="1" applyNumberFormat="1" applyFont="1"/>
    <xf fontId="4" fillId="0" borderId="2" numFmtId="165" xfId="1" applyNumberFormat="1" applyFont="1" applyBorder="1"/>
    <xf fontId="3" fillId="0" borderId="2" numFmtId="165" xfId="1" applyNumberFormat="1" applyFont="1" applyBorder="1"/>
    <xf fontId="8" fillId="0" borderId="0" numFmtId="165" xfId="1" applyNumberFormat="1" applyFont="1"/>
    <xf fontId="4" fillId="0" borderId="0" numFmtId="165" xfId="0" applyNumberFormat="1" applyFont="1"/>
    <xf fontId="3" fillId="0" borderId="2" numFmtId="165" xfId="0" applyNumberFormat="1" applyFont="1" applyBorder="1"/>
    <xf fontId="4" fillId="0" borderId="2" numFmtId="165" xfId="0" applyNumberFormat="1" applyFont="1" applyBorder="1"/>
    <xf fontId="3" fillId="0" borderId="0" numFmtId="165" xfId="0" applyNumberFormat="1" applyFont="1"/>
    <xf fontId="3" fillId="0" borderId="2" numFmtId="164" xfId="2" applyNumberFormat="1" applyFont="1" applyBorder="1"/>
    <xf fontId="3" fillId="0" borderId="2" numFmtId="164" xfId="0" applyNumberFormat="1" applyFont="1" applyBorder="1"/>
    <xf fontId="3" fillId="0" borderId="0" numFmtId="9" xfId="2" applyNumberFormat="1" applyFont="1" applyAlignment="1">
      <alignment horizontal="right"/>
    </xf>
    <xf fontId="3" fillId="0" borderId="2" numFmtId="9" xfId="0" applyNumberFormat="1" applyFont="1" applyBorder="1"/>
    <xf fontId="3" fillId="0" borderId="2" numFmtId="2" xfId="0" applyNumberFormat="1" applyFont="1" applyBorder="1"/>
    <xf fontId="3" fillId="0" borderId="0" numFmtId="2" xfId="1" applyNumberFormat="1" applyFont="1" applyAlignment="1">
      <alignment horizontal="right"/>
    </xf>
    <xf fontId="4" fillId="0" borderId="2" numFmtId="167" xfId="1" applyNumberFormat="1" applyFont="1" applyBorder="1"/>
    <xf fontId="4" fillId="0" borderId="0" numFmtId="164" xfId="2" applyNumberFormat="1" applyFont="1"/>
    <xf fontId="4" fillId="0" borderId="2" numFmtId="164" xfId="2" applyNumberFormat="1" applyFont="1" applyBorder="1"/>
    <xf fontId="4" fillId="0" borderId="0" numFmtId="9" xfId="2" applyNumberFormat="1" applyFont="1" applyAlignment="1">
      <alignment horizontal="right"/>
    </xf>
    <xf fontId="4" fillId="0" borderId="2" numFmtId="9" xfId="2" applyNumberFormat="1" applyFont="1" applyBorder="1"/>
    <xf fontId="9" fillId="0" borderId="0" numFmtId="3" xfId="0" applyNumberFormat="1" applyFont="1" applyAlignment="1">
      <alignment horizontal="right"/>
    </xf>
    <xf fontId="3" fillId="0" borderId="0" numFmtId="171" xfId="1" applyNumberFormat="1" applyFont="1"/>
    <xf fontId="4" fillId="0" borderId="0" numFmtId="171" xfId="1" applyNumberFormat="1" applyFont="1"/>
    <xf fontId="0" fillId="0" borderId="0" numFmtId="0" xfId="0"/>
    <xf fontId="5" fillId="0" borderId="0" numFmtId="0" xfId="0" applyFont="1"/>
    <xf fontId="1" fillId="0" borderId="0" numFmtId="0" xfId="0" applyFont="1"/>
    <xf fontId="0" fillId="0" borderId="2" numFmtId="0" xfId="0" applyBorder="1">
      <protection hidden="0" locked="1"/>
    </xf>
    <xf fontId="0" fillId="0" borderId="0" numFmtId="165" xfId="1" applyNumberFormat="1"/>
    <xf fontId="0" fillId="0" borderId="0" numFmtId="172" xfId="1" applyNumberFormat="1"/>
    <xf fontId="0" fillId="0" borderId="0" numFmtId="172" xfId="1" applyNumberFormat="1"/>
    <xf fontId="1" fillId="0" borderId="0" numFmtId="165" xfId="1" applyNumberFormat="1" applyFont="1">
      <protection hidden="0" locked="1"/>
    </xf>
    <xf fontId="1" fillId="0" borderId="0" numFmtId="172" xfId="1" applyNumberFormat="1" applyFont="1"/>
    <xf fontId="0" fillId="0" borderId="0" numFmtId="165" xfId="1" applyNumberFormat="1"/>
    <xf fontId="0" fillId="0" borderId="0" numFmtId="165" xfId="1" applyNumberFormat="1">
      <protection hidden="0" locked="1"/>
    </xf>
    <xf fontId="0" fillId="0" borderId="0" numFmtId="165" xfId="1" applyNumberFormat="1">
      <protection hidden="0" locked="1"/>
    </xf>
    <xf fontId="10" fillId="0" borderId="0" numFmtId="173" xfId="1" applyNumberFormat="1" applyFont="1"/>
    <xf fontId="10" fillId="0" borderId="2" numFmtId="173" xfId="1" applyNumberFormat="1" applyFont="1" applyBorder="1"/>
    <xf fontId="1" fillId="0" borderId="0" numFmtId="165" xfId="1" applyNumberFormat="1" applyFont="1"/>
    <xf fontId="1" fillId="0" borderId="2" numFmtId="165" xfId="1" applyNumberFormat="1" applyFont="1" applyBorder="1"/>
    <xf fontId="1" fillId="0" borderId="0" numFmtId="167" xfId="1" applyNumberFormat="1" applyFont="1"/>
    <xf fontId="0" fillId="0" borderId="2" numFmtId="165" xfId="1" applyNumberFormat="1" applyBorder="1">
      <protection hidden="0" locked="1"/>
    </xf>
    <xf fontId="0" fillId="0" borderId="0" numFmtId="165" xfId="0" applyNumberFormat="1"/>
    <xf fontId="0" fillId="0" borderId="2" numFmtId="165" xfId="0" applyNumberFormat="1" applyBorder="1"/>
    <xf fontId="0" fillId="0" borderId="0" numFmtId="167" xfId="1" applyNumberFormat="1">
      <protection hidden="0" locked="1"/>
    </xf>
    <xf fontId="0" fillId="0" borderId="0" numFmtId="165" xfId="0" applyNumberFormat="1">
      <protection hidden="0" locked="1"/>
    </xf>
    <xf fontId="0" fillId="0" borderId="2" numFmtId="165" xfId="0" applyNumberFormat="1" applyBorder="1">
      <protection hidden="0" locked="1"/>
    </xf>
    <xf fontId="0" fillId="0" borderId="2" numFmtId="165" xfId="1" applyNumberFormat="1" applyBorder="1"/>
    <xf fontId="0" fillId="0" borderId="0" numFmtId="172" xfId="1" applyNumberFormat="1"/>
    <xf fontId="1" fillId="0" borderId="0" numFmtId="165" xfId="0" applyNumberFormat="1" applyFont="1"/>
    <xf fontId="1" fillId="0" borderId="2" numFmtId="165" xfId="0" applyNumberFormat="1" applyFont="1" applyBorder="1"/>
    <xf fontId="0" fillId="0" borderId="0" numFmtId="10" xfId="2" applyNumberFormat="1"/>
    <xf fontId="3" fillId="0" borderId="0" numFmtId="0" xfId="0" applyFont="1"/>
    <xf fontId="0" fillId="0" borderId="0" numFmtId="171" xfId="1" applyNumberFormat="1"/>
    <xf fontId="0" fillId="0" borderId="0" numFmtId="172" xfId="0" applyNumberFormat="1"/>
    <xf fontId="1" fillId="0" borderId="0" numFmtId="172" xfId="1" applyNumberFormat="1" applyFont="1"/>
    <xf fontId="0" fillId="0" borderId="0" numFmtId="164" xfId="2" applyNumberFormat="1"/>
    <xf fontId="0" fillId="0" borderId="0" numFmtId="2" xfId="2" applyNumberFormat="1"/>
    <xf fontId="0" fillId="0" borderId="0" numFmtId="2" xfId="2" applyNumberFormat="1"/>
    <xf fontId="0" fillId="0" borderId="0" numFmtId="9" xfId="2" applyNumberFormat="1"/>
    <xf fontId="0" fillId="0" borderId="0" numFmtId="9" xfId="2" applyNumberFormat="1">
      <protection hidden="0" locked="1"/>
    </xf>
    <xf fontId="3" fillId="0" borderId="3" numFmtId="0" xfId="0" applyFont="1" applyBorder="1" applyAlignment="1">
      <alignment horizontal="left"/>
    </xf>
    <xf fontId="11" fillId="0" borderId="4" numFmtId="0" xfId="0" applyFont="1" applyBorder="1" applyAlignment="1">
      <alignment horizontal="left"/>
    </xf>
    <xf fontId="3" fillId="0" borderId="4" numFmtId="0" xfId="0" applyFont="1" applyBorder="1" applyAlignment="1">
      <alignment horizontal="left"/>
    </xf>
    <xf fontId="12" fillId="0" borderId="3" numFmtId="0" xfId="0" applyFont="1" applyBorder="1" applyAlignment="1">
      <alignment horizontal="left"/>
    </xf>
    <xf fontId="13" fillId="0" borderId="4" numFmtId="0" xfId="0" applyFont="1" applyBorder="1" applyAlignment="1">
      <alignment horizontal="left"/>
    </xf>
    <xf fontId="13" fillId="0" borderId="3" numFmtId="0" xfId="0" applyFont="1" applyBorder="1" applyAlignment="1">
      <alignment horizontal="left"/>
    </xf>
    <xf fontId="13" fillId="0" borderId="3" numFmtId="0" xfId="0" applyFont="1" applyBorder="1" applyAlignment="1">
      <alignment horizontal="center"/>
    </xf>
    <xf fontId="1" fillId="0" borderId="0" numFmtId="171" xfId="1" applyNumberFormat="1" applyFont="1"/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theme" Target="theme/theme1.xml"/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29633</xdr:colOff>
      <xdr:row>0</xdr:row>
      <xdr:rowOff>112183</xdr:rowOff>
    </xdr:from>
    <xdr:to>
      <xdr:col>9</xdr:col>
      <xdr:colOff>29633</xdr:colOff>
      <xdr:row>28</xdr:row>
      <xdr:rowOff>80432</xdr:rowOff>
    </xdr:to>
    <xdr:cxnSp>
      <xdr:nvCxnSpPr>
        <xdr:cNvPr id="0" name=""/>
        <xdr:cNvCxnSpPr>
          <a:cxnSpLocks/>
        </xdr:cNvCxnSpPr>
        <xdr:nvPr/>
      </xdr:nvCxnSpPr>
      <xdr:spPr bwMode="auto">
        <a:xfrm flipH="1" flipV="0">
          <a:off x="8923261" y="112183"/>
          <a:ext cx="0" cy="5149849"/>
        </a:xfrm>
        <a:prstGeom prst="line">
          <a:avLst/>
        </a:prstGeom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573880</xdr:colOff>
      <xdr:row>2</xdr:row>
      <xdr:rowOff>180975</xdr:rowOff>
    </xdr:from>
    <xdr:ext cx="7879535" cy="4438648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2.xml"/></Relationships>
</file>

<file path=xl/worksheets/_rels/sheet1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bajajfinserv.in/finance-digital-annual-report-fy24/bajaj-finance-ltd-ar-2023-24-assets/pdf/annual-report-fy2024.pdf" TargetMode="External"/><Relationship  Id="rId2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_rels/sheet1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jep-asset.akamaized.net/cms/assets/jfs/investor-relations/financials/annual-reports/fy2023-2024/annual-report-2023-2024.pdf" TargetMode="Externa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www.ril.com/sites/default/files/2023-02/Reliance Strategic Investments Limited1.pdf" TargetMode="External"/><Relationship  Id="rId2" Type="http://schemas.openxmlformats.org/officeDocument/2006/relationships/hyperlink" Target="https://jiofinance.cdn.jio.com/cms/assets/jfs/investor-relations/financials/quarterly-results/q4-report-2024-25.pdf" TargetMode="Externa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Relationship  Id="rId2" Type="http://schemas.openxmlformats.org/officeDocument/2006/relationships/hyperlink" Target="https://cdn.muthootfinance.com/sites/default/files/files/2022-07/ANNUAL REPORT FOR FY 2021-22.pdf" TargetMode="External"/><Relationship  Id="rId3" Type="http://schemas.openxmlformats.org/officeDocument/2006/relationships/hyperlink" Target="https://cdn.muthootfinance.com/sites/default/files/files/2023-10/Muthoot-AR-2019-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0" zoomScale="100" workbookViewId="0">
      <selection activeCell="A1" activeCellId="0" sqref="A1"/>
    </sheetView>
  </sheetViews>
  <sheetFormatPr defaultRowHeight="14.25"/>
  <cols>
    <col customWidth="1" min="2" max="2" width="29.421875"/>
    <col customWidth="1" min="3" max="3" width="19.57421875"/>
  </cols>
  <sheetData>
    <row r="2">
      <c r="A2" s="1" t="s">
        <v>0</v>
      </c>
      <c r="B2" s="1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2"/>
      <c r="B7" t="s">
        <v>6</v>
      </c>
      <c r="D7" t="s">
        <v>7</v>
      </c>
    </row>
    <row r="8">
      <c r="A8" s="2"/>
      <c r="B8" t="s">
        <v>8</v>
      </c>
      <c r="D8" t="s">
        <v>9</v>
      </c>
    </row>
    <row r="9">
      <c r="A9" s="2"/>
      <c r="B9" t="s">
        <v>10</v>
      </c>
      <c r="D9" t="s">
        <v>11</v>
      </c>
    </row>
    <row r="10">
      <c r="A10" s="2"/>
      <c r="B10" s="2" t="s">
        <v>12</v>
      </c>
      <c r="D10" t="s">
        <v>13</v>
      </c>
    </row>
    <row r="11">
      <c r="A11" s="2"/>
      <c r="B11" s="2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5" ht="14.25">
      <c r="B15" t="s">
        <v>22</v>
      </c>
      <c r="D15" t="s">
        <v>23</v>
      </c>
    </row>
    <row r="16" ht="14.25"/>
    <row r="17">
      <c r="B17" t="s">
        <v>24</v>
      </c>
      <c r="C17" t="s">
        <v>25</v>
      </c>
    </row>
    <row r="18">
      <c r="B18" t="s">
        <v>26</v>
      </c>
      <c r="C18" t="s">
        <v>27</v>
      </c>
    </row>
    <row r="19">
      <c r="B19" t="s">
        <v>28</v>
      </c>
      <c r="C19" t="s">
        <v>29</v>
      </c>
    </row>
    <row r="20">
      <c r="B20" s="2" t="s">
        <v>30</v>
      </c>
      <c r="C20" s="2" t="s">
        <v>31</v>
      </c>
    </row>
    <row r="21">
      <c r="B21" s="2"/>
      <c r="C21" s="2"/>
    </row>
    <row r="22">
      <c r="B22" s="2"/>
      <c r="C22" s="2"/>
    </row>
    <row r="23"/>
    <row r="24">
      <c r="B24" t="s">
        <v>32</v>
      </c>
      <c r="C24" t="s">
        <v>33</v>
      </c>
    </row>
    <row r="25">
      <c r="B25" s="2" t="s">
        <v>34</v>
      </c>
      <c r="C25" s="2" t="s">
        <v>35</v>
      </c>
    </row>
    <row r="26">
      <c r="B26" s="3" t="s">
        <v>36</v>
      </c>
      <c r="C26" s="2" t="s">
        <v>37</v>
      </c>
    </row>
    <row r="27">
      <c r="B27" s="3" t="s">
        <v>38</v>
      </c>
      <c r="C27" s="2" t="s">
        <v>39</v>
      </c>
    </row>
    <row r="28">
      <c r="B28" s="2" t="s">
        <v>40</v>
      </c>
      <c r="C28" s="2" t="s">
        <v>41</v>
      </c>
    </row>
    <row r="29">
      <c r="B29" s="2" t="s">
        <v>42</v>
      </c>
      <c r="C29" s="2" t="s">
        <v>43</v>
      </c>
    </row>
    <row r="30">
      <c r="B30" s="2" t="s">
        <v>44</v>
      </c>
      <c r="C30" s="2" t="s">
        <v>45</v>
      </c>
    </row>
    <row r="31">
      <c r="B31" s="2"/>
      <c r="C31" s="2"/>
    </row>
    <row r="32">
      <c r="A32" t="s">
        <v>46</v>
      </c>
      <c r="B32" s="2" t="s">
        <v>47</v>
      </c>
      <c r="C32" s="2" t="s">
        <v>48</v>
      </c>
    </row>
    <row r="33">
      <c r="B33" s="2" t="s">
        <v>49</v>
      </c>
      <c r="C33" s="2" t="s">
        <v>50</v>
      </c>
    </row>
    <row r="34">
      <c r="B34" s="2" t="s">
        <v>51</v>
      </c>
      <c r="C34" s="2" t="s">
        <v>52</v>
      </c>
    </row>
    <row r="35" ht="14.25">
      <c r="B35" t="s">
        <v>53</v>
      </c>
      <c r="C35" t="s">
        <v>54</v>
      </c>
    </row>
    <row r="36" ht="14.25">
      <c r="B36" s="2"/>
    </row>
    <row r="37" ht="14.25">
      <c r="B37" s="2"/>
    </row>
    <row r="38">
      <c r="B38" t="s">
        <v>55</v>
      </c>
    </row>
    <row r="39">
      <c r="C39" t="s">
        <v>56</v>
      </c>
      <c r="E39" t="s">
        <v>57</v>
      </c>
    </row>
    <row r="40">
      <c r="C40" t="s">
        <v>58</v>
      </c>
      <c r="E40" t="s">
        <v>57</v>
      </c>
    </row>
    <row r="41">
      <c r="C41" t="s">
        <v>59</v>
      </c>
    </row>
    <row r="42" ht="14.25">
      <c r="C42" t="s">
        <v>60</v>
      </c>
    </row>
    <row r="43" ht="14.25">
      <c r="C43" t="s">
        <v>61</v>
      </c>
    </row>
    <row r="44" ht="14.25">
      <c r="C44" t="s">
        <v>62</v>
      </c>
    </row>
    <row r="45" ht="14.25">
      <c r="C45" t="s">
        <v>63</v>
      </c>
    </row>
    <row r="47" s="4" customFormat="1" ht="14.25"/>
    <row r="48" ht="14.25">
      <c r="B48" t="s">
        <v>46</v>
      </c>
    </row>
    <row r="49" ht="14.25">
      <c r="C49" s="1" t="s">
        <v>64</v>
      </c>
      <c r="D49" s="5" t="s">
        <v>65</v>
      </c>
      <c r="E49" s="1"/>
      <c r="F49" s="5"/>
      <c r="G49" s="5"/>
      <c r="H49" s="5"/>
      <c r="I49" s="5"/>
      <c r="J49" s="5"/>
    </row>
    <row r="50" ht="14.25">
      <c r="B50" s="1" t="s">
        <v>66</v>
      </c>
    </row>
    <row r="51">
      <c r="B51" s="1" t="s">
        <v>67</v>
      </c>
    </row>
    <row r="52" ht="14.25">
      <c r="B52" s="1" t="s">
        <v>68</v>
      </c>
    </row>
    <row r="53" ht="14.25">
      <c r="B53" s="1" t="s">
        <v>69</v>
      </c>
    </row>
    <row r="54">
      <c r="B54" s="1" t="s">
        <v>70</v>
      </c>
    </row>
    <row r="55" ht="14.25">
      <c r="B55" s="1" t="s">
        <v>71</v>
      </c>
    </row>
    <row r="56" ht="14.25">
      <c r="B56" s="1" t="s">
        <v>72</v>
      </c>
    </row>
    <row r="57" ht="14.25">
      <c r="B57" s="1" t="s">
        <v>73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21" width="9.140625"/>
    <col customWidth="1" min="2" max="2" style="21" width="50.421875"/>
    <col customWidth="1" min="3" max="3" style="21" width="24.00390625"/>
    <col min="4" max="16384" style="21" width="9.140625"/>
  </cols>
  <sheetData>
    <row r="2" ht="14.25">
      <c r="B2" s="23" t="s">
        <v>433</v>
      </c>
    </row>
    <row r="3" ht="14.25">
      <c r="B3" s="21"/>
    </row>
    <row r="5" ht="16.5">
      <c r="A5" s="21" t="s">
        <v>434</v>
      </c>
      <c r="B5" s="22" t="s">
        <v>435</v>
      </c>
    </row>
    <row r="7" ht="16.5">
      <c r="A7" s="21" t="s">
        <v>436</v>
      </c>
      <c r="B7" s="21" t="s">
        <v>437</v>
      </c>
      <c r="C7" s="45">
        <v>0.39000000000000001</v>
      </c>
    </row>
    <row r="8" ht="16.5">
      <c r="A8" s="21" t="s">
        <v>436</v>
      </c>
      <c r="B8" s="21" t="s">
        <v>438</v>
      </c>
      <c r="C8" s="24">
        <v>0.34000000000000002</v>
      </c>
    </row>
    <row r="9" ht="16.5">
      <c r="A9" s="21" t="s">
        <v>436</v>
      </c>
      <c r="B9" s="21" t="s">
        <v>439</v>
      </c>
      <c r="C9" s="24">
        <v>0.51000000000000001</v>
      </c>
    </row>
    <row r="10" ht="14.25">
      <c r="C10" s="24"/>
    </row>
    <row r="11" ht="14.25">
      <c r="C11" s="24"/>
    </row>
    <row r="12" ht="14.25">
      <c r="C12" s="24"/>
    </row>
    <row r="13" ht="16.5">
      <c r="B13" s="22" t="str">
        <f>B7</f>
        <v xml:space="preserve">Bajaj finserv ltd</v>
      </c>
      <c r="C13" s="24"/>
    </row>
    <row r="14" ht="16.5">
      <c r="A14" s="21" t="s">
        <v>434</v>
      </c>
      <c r="B14" s="21" t="s">
        <v>440</v>
      </c>
      <c r="C14" s="24">
        <v>0.51390000000000002</v>
      </c>
    </row>
    <row r="15" ht="16.5">
      <c r="A15" s="21"/>
      <c r="B15" s="21" t="s">
        <v>441</v>
      </c>
      <c r="C15" s="24">
        <v>0.73999999999999999</v>
      </c>
    </row>
    <row r="16" ht="16.5">
      <c r="B16" s="21" t="s">
        <v>442</v>
      </c>
      <c r="C16" s="24">
        <v>0.73999999999999999</v>
      </c>
    </row>
    <row r="17" ht="16.5">
      <c r="B17" s="21" t="s">
        <v>443</v>
      </c>
      <c r="C17" s="24">
        <v>0.80100000000000005</v>
      </c>
    </row>
    <row r="18" ht="16.5">
      <c r="B18" s="21" t="s">
        <v>444</v>
      </c>
      <c r="C18" s="24">
        <v>1</v>
      </c>
    </row>
    <row r="19" ht="14.25">
      <c r="C19" s="24"/>
    </row>
    <row r="20" ht="14.25">
      <c r="C20" s="24"/>
    </row>
    <row r="21" ht="16.5">
      <c r="B21" s="22" t="str">
        <f>B14</f>
        <v xml:space="preserve">Bajaj Finance Ltd</v>
      </c>
      <c r="C21" s="24"/>
    </row>
    <row r="22" ht="16.5">
      <c r="A22" s="21" t="s">
        <v>434</v>
      </c>
      <c r="B22" s="21" t="s">
        <v>445</v>
      </c>
      <c r="C22" s="24">
        <v>0.88749999999999996</v>
      </c>
    </row>
    <row r="23" ht="16.5">
      <c r="B23" s="21" t="s">
        <v>446</v>
      </c>
      <c r="C23" s="24">
        <v>1</v>
      </c>
    </row>
    <row r="24" ht="14.25">
      <c r="C24" s="45"/>
    </row>
    <row r="27" ht="16.5">
      <c r="B27" s="22" t="s">
        <v>447</v>
      </c>
    </row>
    <row r="29" ht="16.5">
      <c r="B29" s="21" t="s">
        <v>448</v>
      </c>
      <c r="C29" s="75">
        <v>49500</v>
      </c>
    </row>
    <row r="30" ht="16.5">
      <c r="A30" s="21" t="s">
        <v>449</v>
      </c>
      <c r="B30" s="21" t="s">
        <v>450</v>
      </c>
      <c r="C30" s="75">
        <v>62700</v>
      </c>
    </row>
    <row r="31" ht="16.5">
      <c r="B31" s="21" t="s">
        <v>451</v>
      </c>
      <c r="C31" s="75">
        <v>46250</v>
      </c>
    </row>
    <row r="32" ht="16.5">
      <c r="B32" s="21" t="s">
        <v>452</v>
      </c>
      <c r="C32" s="75">
        <v>21250</v>
      </c>
    </row>
    <row r="33" ht="16.5">
      <c r="B33" s="21" t="s">
        <v>453</v>
      </c>
      <c r="C33" s="75">
        <v>30700</v>
      </c>
    </row>
    <row r="34" ht="16.5">
      <c r="B34" s="21" t="s">
        <v>454</v>
      </c>
      <c r="C34" s="75">
        <v>550</v>
      </c>
    </row>
    <row r="35" ht="16.5">
      <c r="B35" s="21" t="s">
        <v>455</v>
      </c>
      <c r="C35" s="75">
        <v>8900</v>
      </c>
    </row>
    <row r="36" ht="16.5">
      <c r="B36" s="21" t="s">
        <v>456</v>
      </c>
      <c r="C36" s="75">
        <v>2300</v>
      </c>
    </row>
    <row r="37" ht="16.5">
      <c r="B37" s="21" t="s">
        <v>457</v>
      </c>
      <c r="C37" s="75">
        <v>100</v>
      </c>
    </row>
    <row r="38" ht="16.5">
      <c r="B38" s="21" t="s">
        <v>458</v>
      </c>
      <c r="C38" s="75">
        <v>850</v>
      </c>
    </row>
    <row r="39" ht="16.5">
      <c r="B39" s="21" t="s">
        <v>459</v>
      </c>
      <c r="C39" s="75">
        <v>9200</v>
      </c>
    </row>
    <row r="40" ht="16.5">
      <c r="B40" s="21" t="s">
        <v>460</v>
      </c>
      <c r="C40" s="75">
        <v>232200</v>
      </c>
    </row>
    <row r="41" ht="16.5">
      <c r="B41" s="21" t="s">
        <v>461</v>
      </c>
      <c r="C41" s="75">
        <v>7500</v>
      </c>
    </row>
    <row r="44" ht="16.5">
      <c r="B44" s="22" t="s">
        <v>462</v>
      </c>
    </row>
    <row r="45" ht="16.5">
      <c r="B45" s="21" t="s">
        <v>463</v>
      </c>
      <c r="C45" s="75">
        <v>17319</v>
      </c>
    </row>
    <row r="46" ht="16.5">
      <c r="B46" s="21" t="s">
        <v>464</v>
      </c>
      <c r="C46" s="75">
        <v>29109</v>
      </c>
    </row>
    <row r="47" ht="16.5">
      <c r="B47" s="21" t="s">
        <v>465</v>
      </c>
      <c r="C47" s="75">
        <v>87696</v>
      </c>
    </row>
    <row r="48" ht="16.5">
      <c r="B48" s="21" t="s">
        <v>466</v>
      </c>
      <c r="C48" s="75">
        <v>7944</v>
      </c>
    </row>
    <row r="49" ht="16.5">
      <c r="A49" s="21"/>
      <c r="B49" s="21" t="s">
        <v>467</v>
      </c>
      <c r="C49" s="75">
        <v>21467</v>
      </c>
    </row>
    <row r="50" ht="16.5">
      <c r="B50" s="21" t="s">
        <v>468</v>
      </c>
      <c r="C50" s="75">
        <v>8307</v>
      </c>
    </row>
    <row r="51" ht="16.5">
      <c r="B51" s="21" t="s">
        <v>469</v>
      </c>
      <c r="C51" s="75">
        <v>50345</v>
      </c>
    </row>
    <row r="52" ht="16.5">
      <c r="B52" s="21" t="s">
        <v>470</v>
      </c>
      <c r="C52" s="75">
        <v>11876</v>
      </c>
    </row>
    <row r="53" ht="16.5">
      <c r="B53" s="21" t="s">
        <v>471</v>
      </c>
      <c r="C53" s="75">
        <v>27760</v>
      </c>
    </row>
    <row r="54" ht="16.5">
      <c r="B54" s="21" t="s">
        <v>472</v>
      </c>
      <c r="C54" s="75">
        <v>25377</v>
      </c>
    </row>
    <row r="55" ht="16.5">
      <c r="B55" s="21" t="s">
        <v>473</v>
      </c>
      <c r="C55" s="75">
        <v>129461</v>
      </c>
    </row>
    <row r="56" ht="16.5">
      <c r="B56" s="22" t="s">
        <v>474</v>
      </c>
      <c r="C56" s="76">
        <f>SUM(C45:C55)</f>
        <v>416661</v>
      </c>
    </row>
    <row r="57" ht="16.5">
      <c r="B57" s="21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width="14.140625"/>
    <col customWidth="1" min="2" max="3" width="22.28125"/>
    <col customWidth="1" min="4" max="11" width="17.7109375"/>
    <col customWidth="1" min="12" max="15" width="17.7109375"/>
    <col customWidth="1" min="16" max="16384" width="17.7109375"/>
  </cols>
  <sheetData>
    <row r="1">
      <c r="A1" t="s">
        <v>475</v>
      </c>
      <c r="B1" t="s">
        <v>476</v>
      </c>
      <c r="C1" s="77"/>
      <c r="J1" s="23" t="s">
        <v>477</v>
      </c>
      <c r="K1" s="23" t="s">
        <v>478</v>
      </c>
      <c r="L1" s="78"/>
      <c r="M1" s="78"/>
      <c r="N1" s="78"/>
      <c r="O1" s="78"/>
    </row>
    <row r="2">
      <c r="C2" s="1" t="s">
        <v>213</v>
      </c>
      <c r="D2" s="1" t="s">
        <v>214</v>
      </c>
      <c r="E2" s="1" t="s">
        <v>215</v>
      </c>
      <c r="F2" s="1" t="s">
        <v>163</v>
      </c>
      <c r="G2" s="1" t="s">
        <v>164</v>
      </c>
      <c r="H2" s="1" t="s">
        <v>165</v>
      </c>
      <c r="I2" s="1" t="s">
        <v>166</v>
      </c>
      <c r="J2" s="1" t="s">
        <v>167</v>
      </c>
      <c r="K2" s="1">
        <v>2025</v>
      </c>
      <c r="L2" s="79"/>
      <c r="M2" s="79"/>
      <c r="N2" s="79"/>
      <c r="O2" s="79"/>
      <c r="P2">
        <v>2025</v>
      </c>
      <c r="Q2">
        <f>P2+1</f>
        <v>2026</v>
      </c>
      <c r="R2" s="7">
        <f>Q2+1</f>
        <v>2027</v>
      </c>
      <c r="S2" s="7">
        <f>R2+1</f>
        <v>2028</v>
      </c>
      <c r="T2" s="7">
        <f>S2+1</f>
        <v>2029</v>
      </c>
      <c r="U2" s="7">
        <f>T2+1</f>
        <v>2030</v>
      </c>
      <c r="V2" s="7">
        <f>U2+1</f>
        <v>2031</v>
      </c>
      <c r="W2" s="7">
        <f>V2+1</f>
        <v>2032</v>
      </c>
      <c r="X2" s="7">
        <f>W2+1</f>
        <v>2033</v>
      </c>
      <c r="Y2" s="7">
        <f>X2+1</f>
        <v>2034</v>
      </c>
      <c r="Z2" s="80">
        <f>Y2+1</f>
        <v>2035</v>
      </c>
      <c r="AA2" s="80">
        <f>Z2+1</f>
        <v>2036</v>
      </c>
      <c r="AB2" s="80">
        <f>AA2+1</f>
        <v>2037</v>
      </c>
      <c r="AC2" s="80">
        <f>AB2+1</f>
        <v>2038</v>
      </c>
      <c r="AD2" s="80">
        <f>AC2+1</f>
        <v>2039</v>
      </c>
      <c r="AE2" s="80">
        <f>AD2+1</f>
        <v>2040</v>
      </c>
      <c r="AF2" s="80">
        <f>AE2+1</f>
        <v>2041</v>
      </c>
      <c r="AG2" s="80">
        <f>AF2+1</f>
        <v>2042</v>
      </c>
      <c r="AH2" s="80">
        <f>AG2+1</f>
        <v>2043</v>
      </c>
      <c r="AI2" s="80">
        <f>AH2+1</f>
        <v>2044</v>
      </c>
      <c r="AJ2" s="80">
        <f>AI2+1</f>
        <v>2045</v>
      </c>
      <c r="AK2" s="80">
        <f>AJ2+1</f>
        <v>2046</v>
      </c>
      <c r="AL2" s="80">
        <f>AK2+1</f>
        <v>2047</v>
      </c>
      <c r="AM2" s="80">
        <f>AL2+1</f>
        <v>2048</v>
      </c>
      <c r="AN2" s="80">
        <f>AM2+1</f>
        <v>2049</v>
      </c>
      <c r="AO2" s="80">
        <f>AN2+1</f>
        <v>2050</v>
      </c>
      <c r="AP2" s="80">
        <f>AO2+1</f>
        <v>2051</v>
      </c>
      <c r="AQ2" s="80">
        <f>AP2+1</f>
        <v>2052</v>
      </c>
      <c r="AR2" s="80">
        <f>AQ2+1</f>
        <v>2053</v>
      </c>
      <c r="AS2" s="80">
        <f>AR2+1</f>
        <v>2054</v>
      </c>
      <c r="AT2" s="80">
        <f>AS2+1</f>
        <v>2055</v>
      </c>
      <c r="AU2" s="80">
        <f>AT2+1</f>
        <v>2056</v>
      </c>
      <c r="AV2" s="80">
        <f>AU2+1</f>
        <v>2057</v>
      </c>
      <c r="AW2" s="80">
        <f>AV2+1</f>
        <v>2058</v>
      </c>
      <c r="AX2" s="80">
        <f>AW2+1</f>
        <v>2059</v>
      </c>
      <c r="AY2" s="80">
        <f>AX2+1</f>
        <v>2060</v>
      </c>
      <c r="AZ2" s="80">
        <f>AY2+1</f>
        <v>2061</v>
      </c>
      <c r="BA2" s="80">
        <f>AZ2+1</f>
        <v>2062</v>
      </c>
      <c r="BB2" s="80">
        <f>BA2+1</f>
        <v>2063</v>
      </c>
      <c r="BC2" s="80">
        <f>BB2+1</f>
        <v>2064</v>
      </c>
      <c r="BD2" s="80">
        <f>BC2+1</f>
        <v>2065</v>
      </c>
      <c r="BE2" s="80">
        <f>BD2+1</f>
        <v>2066</v>
      </c>
      <c r="BF2" s="80">
        <f>BE2+1</f>
        <v>2067</v>
      </c>
      <c r="BG2" s="80">
        <f>BF2+1</f>
        <v>2068</v>
      </c>
      <c r="BH2" s="80">
        <f>BG2+1</f>
        <v>2069</v>
      </c>
      <c r="BI2" s="80">
        <f>BH2+1</f>
        <v>2070</v>
      </c>
      <c r="BJ2" s="80">
        <f>BI2+1</f>
        <v>2071</v>
      </c>
      <c r="BK2" s="80">
        <f>BJ2+1</f>
        <v>2072</v>
      </c>
      <c r="BL2" s="80">
        <f>BK2+1</f>
        <v>2073</v>
      </c>
      <c r="BM2" s="80">
        <f>BL2+1</f>
        <v>2074</v>
      </c>
      <c r="BN2" s="80">
        <f>BM2+1</f>
        <v>2075</v>
      </c>
      <c r="BO2" s="80">
        <f>BN2+1</f>
        <v>2076</v>
      </c>
      <c r="BP2" s="80">
        <f>BO2+1</f>
        <v>2077</v>
      </c>
      <c r="BQ2" s="80">
        <f>BP2+1</f>
        <v>2078</v>
      </c>
      <c r="BR2" s="80">
        <f>BQ2+1</f>
        <v>2079</v>
      </c>
      <c r="BS2" s="80">
        <f>BR2+1</f>
        <v>2080</v>
      </c>
      <c r="BT2" s="80">
        <f>BS2+1</f>
        <v>2081</v>
      </c>
      <c r="BU2" s="80">
        <f>BT2+1</f>
        <v>2082</v>
      </c>
      <c r="BV2" s="80">
        <f>BU2+1</f>
        <v>2083</v>
      </c>
      <c r="BW2" s="80">
        <f>BV2+1</f>
        <v>2084</v>
      </c>
      <c r="BX2" s="80">
        <f>BW2+1</f>
        <v>2085</v>
      </c>
      <c r="BY2" s="80">
        <f>BX2+1</f>
        <v>2086</v>
      </c>
      <c r="BZ2" s="80">
        <f>BY2+1</f>
        <v>2087</v>
      </c>
      <c r="CA2" s="80">
        <f>BZ2+1</f>
        <v>2088</v>
      </c>
      <c r="CB2" s="80">
        <f>CA2+1</f>
        <v>2089</v>
      </c>
      <c r="CC2" s="80">
        <f>CB2+1</f>
        <v>2090</v>
      </c>
      <c r="CD2" s="80">
        <f>CC2+1</f>
        <v>2091</v>
      </c>
      <c r="CE2" s="80">
        <f>CD2+1</f>
        <v>2092</v>
      </c>
      <c r="CF2" s="80">
        <f>CE2+1</f>
        <v>2093</v>
      </c>
      <c r="CG2" s="80">
        <f>CF2+1</f>
        <v>2094</v>
      </c>
      <c r="CH2" s="80">
        <f>CG2+1</f>
        <v>2095</v>
      </c>
      <c r="CI2" s="80">
        <f>CH2+1</f>
        <v>2096</v>
      </c>
      <c r="CJ2" s="80">
        <f>CI2+1</f>
        <v>2097</v>
      </c>
      <c r="CK2" s="80">
        <f>CJ2+1</f>
        <v>2098</v>
      </c>
      <c r="CL2" s="80">
        <f>CK2+1</f>
        <v>2099</v>
      </c>
      <c r="CM2" s="80">
        <f>CL2+1</f>
        <v>2100</v>
      </c>
      <c r="CN2" s="80">
        <f>CM2+1</f>
        <v>2101</v>
      </c>
      <c r="CO2" s="80">
        <f>CN2+1</f>
        <v>2102</v>
      </c>
      <c r="CP2" s="80">
        <f>CO2+1</f>
        <v>2103</v>
      </c>
      <c r="CQ2" s="80">
        <f>CP2+1</f>
        <v>2104</v>
      </c>
      <c r="CR2" s="80">
        <f>CQ2+1</f>
        <v>2105</v>
      </c>
      <c r="CS2" s="80">
        <f>CR2+1</f>
        <v>2106</v>
      </c>
      <c r="CT2" s="80">
        <f>CS2+1</f>
        <v>2107</v>
      </c>
      <c r="CU2" s="80">
        <f>CT2+1</f>
        <v>2108</v>
      </c>
      <c r="CV2" s="80">
        <f>CU2+1</f>
        <v>2109</v>
      </c>
      <c r="CW2" s="80">
        <f>CV2+1</f>
        <v>2110</v>
      </c>
      <c r="CX2" s="80">
        <f>CW2+1</f>
        <v>2111</v>
      </c>
      <c r="CY2" s="80">
        <f>CX2+1</f>
        <v>2112</v>
      </c>
      <c r="CZ2" s="80">
        <f>CY2+1</f>
        <v>2113</v>
      </c>
      <c r="DA2" s="80">
        <f>CZ2+1</f>
        <v>2114</v>
      </c>
      <c r="DB2" s="80">
        <f>DA2+1</f>
        <v>2115</v>
      </c>
      <c r="DC2" s="80">
        <f>DB2+1</f>
        <v>2116</v>
      </c>
      <c r="DD2" s="80">
        <f>DC2+1</f>
        <v>2117</v>
      </c>
      <c r="DE2" s="80">
        <f>DD2+1</f>
        <v>2118</v>
      </c>
      <c r="DF2" s="80">
        <f>DE2+1</f>
        <v>2119</v>
      </c>
      <c r="DG2" s="80">
        <f>DF2+1</f>
        <v>2120</v>
      </c>
      <c r="DH2" s="80">
        <f>DG2+1</f>
        <v>2121</v>
      </c>
      <c r="DI2" s="80">
        <f>DH2+1</f>
        <v>2122</v>
      </c>
      <c r="DJ2" s="80">
        <f>DI2+1</f>
        <v>2123</v>
      </c>
      <c r="DK2" s="80">
        <f>DJ2+1</f>
        <v>2124</v>
      </c>
      <c r="DL2" s="80">
        <f>DK2+1</f>
        <v>2125</v>
      </c>
    </row>
    <row r="3">
      <c r="B3" t="s">
        <v>479</v>
      </c>
      <c r="C3" s="77"/>
      <c r="D3" s="81">
        <v>22970.389999999999</v>
      </c>
      <c r="E3" s="81">
        <v>16348.75</v>
      </c>
      <c r="F3" s="81">
        <v>22970.389999999999</v>
      </c>
      <c r="G3" s="81">
        <v>23303.380000000001</v>
      </c>
      <c r="H3" s="81">
        <v>27269.759999999998</v>
      </c>
      <c r="I3" s="81">
        <v>35548.57</v>
      </c>
      <c r="J3" s="81">
        <v>48306.599999999999</v>
      </c>
      <c r="K3" s="82">
        <v>61163</v>
      </c>
      <c r="L3" s="83"/>
      <c r="M3" s="83"/>
      <c r="N3" s="83"/>
      <c r="O3" s="83"/>
      <c r="U3" s="8"/>
      <c r="Z3" s="8"/>
    </row>
    <row r="4">
      <c r="B4" t="s">
        <v>480</v>
      </c>
      <c r="C4" s="77"/>
      <c r="D4" s="81">
        <v>2590.9499999999998</v>
      </c>
      <c r="E4" s="81">
        <v>1681.8699999999999</v>
      </c>
      <c r="F4" s="81">
        <v>2590.9499999999998</v>
      </c>
      <c r="G4" s="81">
        <v>2452.3899999999999</v>
      </c>
      <c r="H4" s="81">
        <v>3066.6900000000001</v>
      </c>
      <c r="I4" s="81">
        <v>4355.6300000000001</v>
      </c>
      <c r="J4" s="81">
        <v>5267.1700000000001</v>
      </c>
      <c r="K4" s="82">
        <v>5982.8400000000001</v>
      </c>
      <c r="L4" s="83"/>
      <c r="M4" s="83"/>
      <c r="N4" s="83"/>
      <c r="O4" s="83"/>
      <c r="U4" s="8"/>
      <c r="Z4" s="8"/>
    </row>
    <row r="5" s="1" customFormat="1">
      <c r="B5" s="2" t="s">
        <v>79</v>
      </c>
      <c r="C5"/>
      <c r="D5" s="81">
        <v>537.49000000000001</v>
      </c>
      <c r="E5" s="81">
        <v>297.89999999999998</v>
      </c>
      <c r="F5" s="81">
        <v>537.49000000000001</v>
      </c>
      <c r="G5" s="81">
        <v>591.20000000000005</v>
      </c>
      <c r="H5" s="81">
        <v>327.74000000000001</v>
      </c>
      <c r="I5" s="81">
        <v>334.31999999999999</v>
      </c>
      <c r="J5" s="81">
        <v>308.29000000000002</v>
      </c>
      <c r="K5" s="82">
        <v>539.02999999999997</v>
      </c>
      <c r="L5" s="83"/>
      <c r="M5" s="83"/>
      <c r="N5" s="83"/>
      <c r="O5" s="83"/>
      <c r="U5" s="6"/>
      <c r="Z5" s="6"/>
    </row>
    <row r="6">
      <c r="B6" t="s">
        <v>352</v>
      </c>
      <c r="C6" s="77"/>
      <c r="D6" s="81">
        <v>124.27</v>
      </c>
      <c r="E6" s="81">
        <v>68.769999999999996</v>
      </c>
      <c r="F6" s="81">
        <v>124.27</v>
      </c>
      <c r="G6" s="81">
        <v>157.53</v>
      </c>
      <c r="H6" s="81">
        <v>74.959999999999994</v>
      </c>
      <c r="I6" s="81">
        <v>38.18</v>
      </c>
      <c r="J6" s="81">
        <v>49.969999999999999</v>
      </c>
      <c r="K6" s="82">
        <v>27.129999999999999</v>
      </c>
      <c r="L6" s="83"/>
      <c r="M6" s="83"/>
      <c r="N6" s="83"/>
      <c r="O6" s="83"/>
      <c r="U6" s="8"/>
      <c r="Z6" s="8"/>
    </row>
    <row r="7" s="1" customFormat="1">
      <c r="A7" s="1"/>
      <c r="B7" s="2" t="s">
        <v>481</v>
      </c>
      <c r="C7"/>
      <c r="D7" s="81">
        <v>150.69999999999999</v>
      </c>
      <c r="E7" s="81">
        <v>89.849999999999994</v>
      </c>
      <c r="F7" s="81">
        <v>150.69999999999999</v>
      </c>
      <c r="G7" s="81">
        <v>0</v>
      </c>
      <c r="H7" s="81">
        <v>0</v>
      </c>
      <c r="I7" s="81">
        <v>23.170000000000002</v>
      </c>
      <c r="J7" s="81">
        <v>13.33</v>
      </c>
      <c r="K7" s="82">
        <v>552.03999999999996</v>
      </c>
      <c r="L7" s="83"/>
      <c r="M7" s="83"/>
      <c r="N7" s="83"/>
      <c r="O7" s="83"/>
      <c r="U7" s="6"/>
      <c r="Z7" s="6"/>
    </row>
    <row r="8">
      <c r="B8" t="s">
        <v>482</v>
      </c>
      <c r="C8" s="77"/>
      <c r="D8" s="81">
        <v>0</v>
      </c>
      <c r="E8" s="81">
        <v>0</v>
      </c>
      <c r="F8" s="81">
        <v>0</v>
      </c>
      <c r="G8" s="81">
        <v>163.58000000000001</v>
      </c>
      <c r="H8" s="81">
        <v>893.26999999999998</v>
      </c>
      <c r="I8" s="81">
        <v>1110.29</v>
      </c>
      <c r="J8" s="81">
        <v>1024.1300000000001</v>
      </c>
      <c r="K8" s="82">
        <v>1418.9200000000001</v>
      </c>
      <c r="L8" s="83"/>
      <c r="M8" s="83"/>
      <c r="N8" s="83"/>
      <c r="O8" s="83"/>
      <c r="U8" s="8"/>
      <c r="Z8" s="8"/>
    </row>
    <row r="9" s="1" customFormat="1">
      <c r="B9" s="1" t="s">
        <v>483</v>
      </c>
      <c r="C9" s="84">
        <v>9966.7099999999991</v>
      </c>
      <c r="D9" s="84">
        <v>13442.040000000001</v>
      </c>
      <c r="E9" s="84">
        <f>SUM(E3:E8)</f>
        <v>18487.139999999999</v>
      </c>
      <c r="F9" s="84">
        <f>SUM(F3:F8)</f>
        <v>26373.800000000003</v>
      </c>
      <c r="G9" s="84">
        <f>SUM(G3:G8)</f>
        <v>26668.080000000002</v>
      </c>
      <c r="H9" s="84">
        <f>SUM(H3:H8)</f>
        <v>31632.419999999998</v>
      </c>
      <c r="I9" s="84">
        <f>SUM(I3:I8)</f>
        <v>41410.159999999996</v>
      </c>
      <c r="J9" s="84">
        <f>SUM(J3:J8)</f>
        <v>54969.489999999998</v>
      </c>
      <c r="K9" s="85">
        <f>SUM(K3:K8)</f>
        <v>69682.959999999992</v>
      </c>
      <c r="L9" s="82"/>
      <c r="M9" s="82"/>
      <c r="N9" s="82"/>
      <c r="O9" s="82"/>
      <c r="P9" s="1"/>
      <c r="Q9" s="1"/>
      <c r="R9" s="1"/>
      <c r="S9" s="1"/>
      <c r="T9" s="1"/>
      <c r="U9" s="6"/>
      <c r="V9" s="1"/>
      <c r="W9" s="1"/>
      <c r="X9" s="1"/>
      <c r="Y9" s="1"/>
      <c r="Z9" s="6"/>
    </row>
    <row r="10">
      <c r="B10" t="s">
        <v>180</v>
      </c>
      <c r="C10" s="86">
        <v>25.48</v>
      </c>
      <c r="D10" s="81">
        <v>23.870000000000001</v>
      </c>
      <c r="E10" s="81">
        <v>13.039999999999999</v>
      </c>
      <c r="F10" s="81">
        <v>11.83</v>
      </c>
      <c r="G10" s="81">
        <v>14.949999999999999</v>
      </c>
      <c r="H10" s="81">
        <v>7.9900000000000002</v>
      </c>
      <c r="I10" s="81">
        <v>8.0999999999999996</v>
      </c>
      <c r="J10" s="81">
        <v>13.02</v>
      </c>
      <c r="K10" s="82">
        <v>41.270000000000003</v>
      </c>
      <c r="L10" s="83"/>
      <c r="M10" s="83"/>
      <c r="N10" s="83"/>
      <c r="O10" s="83"/>
      <c r="U10" s="8"/>
      <c r="Z10" s="8"/>
    </row>
    <row r="11">
      <c r="B11" t="s">
        <v>356</v>
      </c>
      <c r="C11" s="87">
        <f>C9+C10</f>
        <v>9992.1899999999987</v>
      </c>
      <c r="D11" s="88">
        <f>D9+D10</f>
        <v>13465.910000000002</v>
      </c>
      <c r="E11" s="88">
        <f>E9+E10</f>
        <v>18500.18</v>
      </c>
      <c r="F11" s="88">
        <f>F9+F10</f>
        <v>26385.630000000005</v>
      </c>
      <c r="G11" s="88">
        <f>G9+G10</f>
        <v>26683.030000000002</v>
      </c>
      <c r="H11" s="88">
        <f>H9+H10</f>
        <v>31640.41</v>
      </c>
      <c r="I11" s="88">
        <f>I9+I10</f>
        <v>41418.259999999995</v>
      </c>
      <c r="J11" s="88">
        <f>J9+J10</f>
        <v>54982.509999999995</v>
      </c>
      <c r="K11" s="88">
        <f>K9+K10</f>
        <v>69724.229999999996</v>
      </c>
      <c r="L11" s="82"/>
      <c r="M11" s="82"/>
      <c r="N11" s="82"/>
      <c r="O11" s="82"/>
      <c r="P11" s="89">
        <f>K11*(1+$Q$40)</f>
        <v>80880.106799999994</v>
      </c>
      <c r="Q11" s="89">
        <f>P11*(1+$Q$40)</f>
        <v>93820.92388799999</v>
      </c>
      <c r="R11" s="89">
        <f>Q11*(1+$Q$40)</f>
        <v>108832.27171007998</v>
      </c>
      <c r="S11" s="89">
        <f>R11*(1+$Q$40)</f>
        <v>126245.43518369277</v>
      </c>
      <c r="T11" s="89">
        <f>S11*(1+$Q$40)</f>
        <v>146444.7048130836</v>
      </c>
      <c r="U11" s="90">
        <f>T11*(1+$Q$40)</f>
        <v>169875.85758317696</v>
      </c>
      <c r="V11" s="89">
        <f>U11*(1+$V$40)</f>
        <v>190260.9604931582</v>
      </c>
      <c r="W11" s="89">
        <f>V11*(1+$V$40)</f>
        <v>213092.27575233721</v>
      </c>
      <c r="X11" s="89">
        <f>W11*(1+$V$40)</f>
        <v>238663.34884261771</v>
      </c>
      <c r="Y11" s="89">
        <f>X11*(1+$V$40)</f>
        <v>267302.95070373185</v>
      </c>
      <c r="Z11" s="90">
        <f>Y11*(1+$V$40)</f>
        <v>299379.3047881797</v>
      </c>
      <c r="DM11" s="1"/>
    </row>
    <row r="12">
      <c r="B12" s="2" t="s">
        <v>357</v>
      </c>
      <c r="C12" s="88"/>
      <c r="D12" s="88"/>
      <c r="E12" s="88"/>
      <c r="F12" s="88"/>
      <c r="G12" s="88"/>
      <c r="H12" s="88"/>
      <c r="I12" s="88"/>
      <c r="J12" s="88"/>
      <c r="K12" s="82"/>
      <c r="L12" s="83"/>
      <c r="M12" s="83"/>
      <c r="N12" s="83"/>
      <c r="O12" s="83"/>
      <c r="U12" s="8"/>
      <c r="Z12" s="8"/>
    </row>
    <row r="13">
      <c r="C13" s="88"/>
      <c r="D13" s="88"/>
      <c r="E13" s="88"/>
      <c r="F13" s="88"/>
      <c r="G13" s="88"/>
      <c r="H13" s="88"/>
      <c r="I13" s="88"/>
      <c r="J13" s="88"/>
      <c r="K13" s="82"/>
      <c r="L13" s="83"/>
      <c r="M13" s="83"/>
      <c r="N13" s="83"/>
      <c r="O13" s="83"/>
      <c r="U13" s="8"/>
      <c r="Z13" s="8"/>
    </row>
    <row r="14" s="1" customFormat="1">
      <c r="B14" s="2" t="s">
        <v>410</v>
      </c>
      <c r="C14" s="91">
        <v>3803.71</v>
      </c>
      <c r="D14" s="91">
        <v>4634.3299999999999</v>
      </c>
      <c r="E14" s="91">
        <v>6623.5600000000004</v>
      </c>
      <c r="F14" s="91">
        <v>9473.2099999999991</v>
      </c>
      <c r="G14" s="91">
        <v>9414</v>
      </c>
      <c r="H14" s="91">
        <v>9748.2399999999998</v>
      </c>
      <c r="I14" s="91">
        <v>12559.889999999999</v>
      </c>
      <c r="J14" s="91">
        <v>18724.689999999999</v>
      </c>
      <c r="K14" s="82">
        <v>24770.790000000001</v>
      </c>
      <c r="L14" s="82"/>
      <c r="M14" s="82"/>
      <c r="N14" s="82"/>
      <c r="O14" s="82"/>
      <c r="P14" s="91">
        <f>P11*0.35</f>
        <v>28308.037379999998</v>
      </c>
      <c r="Q14" s="91">
        <f>Q11*0.35</f>
        <v>32837.323360799994</v>
      </c>
      <c r="R14" s="91">
        <f>R11*0.35</f>
        <v>38091.295098527989</v>
      </c>
      <c r="S14" s="91">
        <f>S11*0.35</f>
        <v>44185.902314292463</v>
      </c>
      <c r="T14" s="91">
        <f>T11*0.35</f>
        <v>51255.64668457926</v>
      </c>
      <c r="U14" s="92">
        <f>U11*0.35</f>
        <v>59456.55015411193</v>
      </c>
      <c r="V14" s="91">
        <f>V11*0.35</f>
        <v>66591.33617260537</v>
      </c>
      <c r="W14" s="91">
        <f>W11*0.35</f>
        <v>74582.296513318026</v>
      </c>
      <c r="X14" s="91">
        <f>X11*0.35</f>
        <v>83532.172094916197</v>
      </c>
      <c r="Y14" s="91">
        <f>Y11*0.35</f>
        <v>93556.03274630614</v>
      </c>
      <c r="Z14" s="92">
        <f>Z11*0.35</f>
        <v>104782.75667586288</v>
      </c>
      <c r="DI14" s="1"/>
      <c r="DJ14" s="1"/>
      <c r="DK14" s="1"/>
      <c r="DL14" s="1"/>
      <c r="DM14" s="1"/>
      <c r="DN14" s="93">
        <f>DN11*0.35</f>
        <v>0</v>
      </c>
    </row>
    <row r="15">
      <c r="B15" t="s">
        <v>484</v>
      </c>
      <c r="C15" s="86">
        <v>0</v>
      </c>
      <c r="D15" s="81">
        <v>0</v>
      </c>
      <c r="E15" s="81">
        <v>712.88</v>
      </c>
      <c r="F15" s="81">
        <v>1056.3699999999999</v>
      </c>
      <c r="G15" s="81">
        <v>1246.48</v>
      </c>
      <c r="H15" s="81">
        <v>1745.55</v>
      </c>
      <c r="I15" s="81">
        <v>1891.47</v>
      </c>
      <c r="J15" s="81">
        <v>1931.5</v>
      </c>
      <c r="K15" s="82">
        <v>2597.6599999999999</v>
      </c>
      <c r="L15" s="82"/>
      <c r="M15" s="82"/>
      <c r="N15" s="82"/>
      <c r="O15" s="82"/>
      <c r="P15" s="81">
        <f>K15*1.06</f>
        <v>2753.5196000000001</v>
      </c>
      <c r="Q15" s="88">
        <f>P15*1.06</f>
        <v>2918.7307760000003</v>
      </c>
      <c r="R15" s="88">
        <f>Q15*1.06</f>
        <v>3093.8546225600007</v>
      </c>
      <c r="S15" s="88">
        <f>R15*1.06</f>
        <v>3279.4858999136009</v>
      </c>
      <c r="T15" s="88">
        <f>S15*1.06</f>
        <v>3476.2550539084173</v>
      </c>
      <c r="U15" s="94">
        <f>T15*1.06</f>
        <v>3684.8303571429224</v>
      </c>
      <c r="V15" s="95">
        <f>U15*1.05</f>
        <v>3869.0718750000688</v>
      </c>
      <c r="W15" s="95">
        <f>V15*1.05</f>
        <v>4062.5254687500724</v>
      </c>
      <c r="X15" s="95">
        <f>W15*1.05</f>
        <v>4265.651742187576</v>
      </c>
      <c r="Y15" s="95">
        <f>X15*1.05</f>
        <v>4478.9343292969552</v>
      </c>
      <c r="Z15" s="96">
        <f>Y15*1.05</f>
        <v>4702.8810457618029</v>
      </c>
      <c r="DN15" s="97">
        <f>DM15*1.06</f>
        <v>0</v>
      </c>
    </row>
    <row r="16" ht="14.25">
      <c r="A16" t="s">
        <v>485</v>
      </c>
      <c r="B16" t="s">
        <v>486</v>
      </c>
      <c r="C16" s="86">
        <v>803.88999999999999</v>
      </c>
      <c r="D16" s="81">
        <v>1045.1900000000001</v>
      </c>
      <c r="E16" s="81">
        <v>1501.3499999999999</v>
      </c>
      <c r="F16" s="81">
        <v>3929.48</v>
      </c>
      <c r="G16" s="81">
        <v>5968.5799999999999</v>
      </c>
      <c r="H16" s="81">
        <v>4803.3999999999996</v>
      </c>
      <c r="I16" s="81">
        <v>3189.6500000000001</v>
      </c>
      <c r="J16" s="81">
        <v>4630.6999999999998</v>
      </c>
      <c r="K16" s="82">
        <v>7966.0299999999997</v>
      </c>
      <c r="L16" s="82"/>
      <c r="M16" s="82"/>
      <c r="N16" s="82"/>
      <c r="O16" s="82"/>
      <c r="P16" s="95">
        <f>K16*1.1</f>
        <v>8762.6329999999998</v>
      </c>
      <c r="Q16" s="98">
        <f>P16*1.1</f>
        <v>9638.8963000000003</v>
      </c>
      <c r="R16" s="98">
        <f>Q16*1.1</f>
        <v>10602.785930000002</v>
      </c>
      <c r="S16" s="98">
        <f>R16*1.1</f>
        <v>11663.064523000003</v>
      </c>
      <c r="T16" s="98">
        <f>S16*1.1</f>
        <v>12829.370975300004</v>
      </c>
      <c r="U16" s="99">
        <f>T16*1.1</f>
        <v>14112.308072830005</v>
      </c>
      <c r="V16" s="95">
        <f>U16*1.08</f>
        <v>15241.292718656407</v>
      </c>
      <c r="W16" s="95">
        <f>V16*1.08</f>
        <v>16460.596136148921</v>
      </c>
      <c r="X16" s="95">
        <f>W16*1.08</f>
        <v>17777.443827040835</v>
      </c>
      <c r="Y16" s="95">
        <f>X16*1.08</f>
        <v>19199.639333204104</v>
      </c>
      <c r="Z16" s="96">
        <f>Y16*1.08</f>
        <v>20735.610479860436</v>
      </c>
    </row>
    <row r="17" ht="14.25">
      <c r="B17" t="s">
        <v>86</v>
      </c>
      <c r="C17" s="86">
        <v>931.66999999999996</v>
      </c>
      <c r="D17" s="81">
        <v>1419.5899999999999</v>
      </c>
      <c r="E17" s="81">
        <v>1938.53</v>
      </c>
      <c r="F17" s="81">
        <v>2549.0799999999999</v>
      </c>
      <c r="G17" s="81">
        <v>2498.6700000000001</v>
      </c>
      <c r="H17" s="81">
        <v>3589.6599999999999</v>
      </c>
      <c r="I17" s="81">
        <v>5100.1899999999996</v>
      </c>
      <c r="J17" s="81">
        <v>6396.0100000000002</v>
      </c>
      <c r="K17" s="82">
        <v>7508.3400000000001</v>
      </c>
      <c r="L17" s="82"/>
      <c r="M17" s="82"/>
      <c r="N17" s="82"/>
      <c r="O17" s="82"/>
      <c r="P17" s="95">
        <f>K17*1.15</f>
        <v>8634.5910000000003</v>
      </c>
      <c r="Q17" s="98">
        <f>P17*1.15</f>
        <v>9929.7796500000004</v>
      </c>
      <c r="R17" s="98">
        <f>Q17*1.15</f>
        <v>11419.2465975</v>
      </c>
      <c r="S17" s="98">
        <f>R17*1.15</f>
        <v>13132.133587124998</v>
      </c>
      <c r="T17" s="98">
        <f>S17*1.15</f>
        <v>15101.953625193746</v>
      </c>
      <c r="U17" s="99">
        <f>T17*1.15</f>
        <v>17367.246668972806</v>
      </c>
      <c r="V17" s="95">
        <f>U17*1.06</f>
        <v>18409.281469111174</v>
      </c>
      <c r="W17" s="95">
        <f>V17*1.06</f>
        <v>19513.838357257846</v>
      </c>
      <c r="X17" s="95">
        <f>W17*1.06</f>
        <v>20684.668658693317</v>
      </c>
      <c r="Y17" s="95">
        <f>X17*1.06</f>
        <v>21925.748778214918</v>
      </c>
      <c r="Z17" s="96">
        <f>Y17*1.06</f>
        <v>23241.293704907814</v>
      </c>
    </row>
    <row r="18">
      <c r="B18" t="s">
        <v>184</v>
      </c>
      <c r="C18" s="86">
        <v>71.170000000000002</v>
      </c>
      <c r="D18" s="81">
        <v>102.06999999999999</v>
      </c>
      <c r="E18" s="81">
        <v>144.15000000000001</v>
      </c>
      <c r="F18" s="81">
        <v>294.63</v>
      </c>
      <c r="G18" s="81">
        <v>325.26999999999998</v>
      </c>
      <c r="H18" s="81">
        <v>384.56999999999999</v>
      </c>
      <c r="I18" s="81">
        <v>485.38</v>
      </c>
      <c r="J18" s="81">
        <v>683.32000000000005</v>
      </c>
      <c r="K18" s="82">
        <v>880.99000000000001</v>
      </c>
      <c r="L18" s="82"/>
      <c r="M18" s="82"/>
      <c r="N18" s="82"/>
      <c r="O18" s="82"/>
      <c r="P18" s="95">
        <f>K18*1.15</f>
        <v>1013.1384999999999</v>
      </c>
      <c r="Q18" s="98">
        <f>P18*1.15</f>
        <v>1165.1092749999998</v>
      </c>
      <c r="R18" s="98">
        <f>Q18*1.15</f>
        <v>1339.8756662499998</v>
      </c>
      <c r="S18" s="98">
        <f>R18*1.15</f>
        <v>1540.8570161874995</v>
      </c>
      <c r="T18" s="98">
        <f>S18*1.15</f>
        <v>1771.9855686156243</v>
      </c>
      <c r="U18" s="99">
        <f>T18*1.15</f>
        <v>2037.7834039079678</v>
      </c>
      <c r="V18" s="95">
        <f>U18*1.1</f>
        <v>2241.5617442987646</v>
      </c>
      <c r="W18" s="95">
        <f>V18*1.1</f>
        <v>2465.7179187286411</v>
      </c>
      <c r="X18" s="95">
        <f>W18*1.1</f>
        <v>2712.2897106015052</v>
      </c>
      <c r="Y18" s="95">
        <f>X18*1.1</f>
        <v>2983.518681661656</v>
      </c>
      <c r="Z18" s="96">
        <f>Y18*1.1</f>
        <v>3281.8705498278218</v>
      </c>
    </row>
    <row r="19">
      <c r="B19" t="s">
        <v>185</v>
      </c>
      <c r="C19" s="86">
        <v>1564.3399999999999</v>
      </c>
      <c r="D19" s="81">
        <v>2168.5300000000002</v>
      </c>
      <c r="E19" s="81">
        <v>1400.55</v>
      </c>
      <c r="F19" s="81">
        <v>1760.74</v>
      </c>
      <c r="G19" s="81">
        <v>1237.79</v>
      </c>
      <c r="H19" s="81">
        <v>1865.21</v>
      </c>
      <c r="I19" s="81">
        <v>2665.4899999999998</v>
      </c>
      <c r="J19" s="81">
        <v>3314.3600000000001</v>
      </c>
      <c r="K19" s="82">
        <v>3939.1500000000001</v>
      </c>
      <c r="L19" s="82"/>
      <c r="M19" s="82"/>
      <c r="N19" s="82"/>
      <c r="O19" s="82"/>
      <c r="P19" s="95">
        <f>K19*1.2</f>
        <v>4726.9799999999996</v>
      </c>
      <c r="Q19" s="98">
        <f>P19*1.2</f>
        <v>5672.3759999999993</v>
      </c>
      <c r="R19" s="98">
        <f>Q19*1.2</f>
        <v>6806.8511999999992</v>
      </c>
      <c r="S19" s="98">
        <f>R19*1.2</f>
        <v>8168.2214399999984</v>
      </c>
      <c r="T19" s="98">
        <f>S19*1.2</f>
        <v>9801.865727999997</v>
      </c>
      <c r="U19" s="99">
        <f>T19*1.2</f>
        <v>11762.238873599996</v>
      </c>
      <c r="V19" s="95">
        <f>U19*1.14</f>
        <v>13408.952315903995</v>
      </c>
      <c r="W19" s="95">
        <f>V19*1.14</f>
        <v>15286.205640130553</v>
      </c>
      <c r="X19" s="95">
        <f>W19*1.14</f>
        <v>17426.274429748828</v>
      </c>
      <c r="Y19" s="95">
        <f>X19*1.14</f>
        <v>19865.952849913661</v>
      </c>
      <c r="Z19" s="96">
        <f>Y19*1.14</f>
        <v>22647.186248901573</v>
      </c>
    </row>
    <row r="20" s="1" customFormat="1">
      <c r="B20" s="1" t="s">
        <v>487</v>
      </c>
      <c r="C20" s="91">
        <f>SUM(C14:C19)</f>
        <v>7174.7800000000007</v>
      </c>
      <c r="D20" s="91">
        <f>SUM(D14:D19)</f>
        <v>9369.7100000000009</v>
      </c>
      <c r="E20" s="91">
        <f>SUM(E14:E19)</f>
        <v>12321.02</v>
      </c>
      <c r="F20" s="91">
        <f>SUM(F14:F19)</f>
        <v>19063.510000000002</v>
      </c>
      <c r="G20" s="91">
        <f>SUM(G14:G19)</f>
        <v>20690.789999999997</v>
      </c>
      <c r="H20" s="91">
        <f>SUM(H14:H19)</f>
        <v>22136.629999999997</v>
      </c>
      <c r="I20" s="91">
        <f>SUM(I14:I19)</f>
        <v>25892.07</v>
      </c>
      <c r="J20" s="91">
        <f>SUM(J14:J19)</f>
        <v>35680.580000000002</v>
      </c>
      <c r="K20" s="91">
        <f>SUM(K14:K19)</f>
        <v>47662.960000000006</v>
      </c>
      <c r="L20" s="82"/>
      <c r="M20" s="82"/>
      <c r="N20" s="82"/>
      <c r="O20" s="82"/>
      <c r="P20" s="91">
        <f>SUM(P14:P19)</f>
        <v>54198.899479999993</v>
      </c>
      <c r="Q20" s="91">
        <f>SUM(Q14:Q19)</f>
        <v>62162.215361800001</v>
      </c>
      <c r="R20" s="91">
        <f>SUM(R14:R19)</f>
        <v>71353.909114837996</v>
      </c>
      <c r="S20" s="91">
        <f>SUM(S14:S19)</f>
        <v>81969.664780518549</v>
      </c>
      <c r="T20" s="91">
        <f>SUM(T14:T19)</f>
        <v>94237.07763559703</v>
      </c>
      <c r="U20" s="92">
        <f>SUM(U14:U19)</f>
        <v>108420.95753056562</v>
      </c>
      <c r="V20" s="91">
        <f>SUM(V14:V19)</f>
        <v>119761.49629557578</v>
      </c>
      <c r="W20" s="91">
        <f>SUM(W14:W19)</f>
        <v>132371.18003433404</v>
      </c>
      <c r="X20" s="91">
        <f>SUM(X14:X19)</f>
        <v>146398.50046318825</v>
      </c>
      <c r="Y20" s="91">
        <f>SUM(Y14:Y19)</f>
        <v>162009.82671859744</v>
      </c>
      <c r="Z20" s="92">
        <f>SUM(Z14:Z19)</f>
        <v>179391.59870512231</v>
      </c>
    </row>
    <row r="21">
      <c r="C21" s="81"/>
      <c r="D21" s="81"/>
      <c r="E21" s="81"/>
      <c r="F21" s="81"/>
      <c r="G21" s="81"/>
      <c r="H21" s="81"/>
      <c r="I21" s="81"/>
      <c r="J21" s="81"/>
      <c r="K21" s="82"/>
      <c r="L21" s="82"/>
      <c r="M21" s="82"/>
      <c r="N21" s="82"/>
      <c r="O21" s="82"/>
      <c r="P21" s="95"/>
      <c r="Q21" s="95"/>
      <c r="R21" s="95"/>
      <c r="S21" s="95"/>
      <c r="T21" s="95"/>
      <c r="U21" s="96"/>
      <c r="V21" s="95"/>
      <c r="W21" s="95"/>
      <c r="X21" s="95"/>
      <c r="Y21" s="95"/>
      <c r="Z21" s="96"/>
    </row>
    <row r="22">
      <c r="B22" t="s">
        <v>488</v>
      </c>
      <c r="C22" s="86">
        <v>0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  <c r="I22" s="81">
        <v>1.6699999999999999</v>
      </c>
      <c r="J22" s="81">
        <v>7.6399999999999997</v>
      </c>
      <c r="K22" s="82">
        <v>17.809999999999999</v>
      </c>
      <c r="L22" s="82"/>
      <c r="M22" s="82"/>
      <c r="N22" s="82"/>
      <c r="O22" s="82"/>
      <c r="P22" s="95">
        <v>0</v>
      </c>
      <c r="Q22" s="98">
        <v>0</v>
      </c>
      <c r="R22" s="98">
        <v>0</v>
      </c>
      <c r="S22" s="98">
        <v>0</v>
      </c>
      <c r="T22" s="98">
        <v>0</v>
      </c>
      <c r="U22" s="96"/>
      <c r="V22" s="95"/>
      <c r="W22" s="95"/>
      <c r="X22" s="95"/>
      <c r="Y22" s="95"/>
      <c r="Z22" s="96"/>
    </row>
    <row r="23" ht="14.25">
      <c r="B23" t="s">
        <v>90</v>
      </c>
      <c r="C23" s="86">
        <f>C11-C20+C22</f>
        <v>2817.409999999998</v>
      </c>
      <c r="D23" s="81">
        <f>D11-D20+D22</f>
        <v>4096.2000000000007</v>
      </c>
      <c r="E23" s="81">
        <f>E11-E20+E22</f>
        <v>6179.1599999999999</v>
      </c>
      <c r="F23" s="81">
        <f>F11-F20+F22</f>
        <v>7322.1200000000026</v>
      </c>
      <c r="G23" s="81">
        <f>G11-G20+G22</f>
        <v>5992.2400000000052</v>
      </c>
      <c r="H23" s="81">
        <f>H11-H20+H22</f>
        <v>9503.7800000000025</v>
      </c>
      <c r="I23" s="81">
        <f>I11-I20+I22</f>
        <v>15527.859999999995</v>
      </c>
      <c r="J23" s="81">
        <f>J11-J20+J22</f>
        <v>19309.569999999992</v>
      </c>
      <c r="K23" s="81">
        <f>K11-K20+K22</f>
        <v>22079.079999999991</v>
      </c>
      <c r="L23" s="82"/>
      <c r="M23" s="82"/>
      <c r="N23" s="82"/>
      <c r="O23" s="82"/>
      <c r="P23" s="81">
        <f>P11-P20+P22</f>
        <v>26681.207320000001</v>
      </c>
      <c r="Q23" s="81">
        <f>Q11-Q20+Q22</f>
        <v>31658.708526199989</v>
      </c>
      <c r="R23" s="81">
        <f>R11-R20+R22</f>
        <v>37478.362595241982</v>
      </c>
      <c r="S23" s="81">
        <f>S11-S20+S22</f>
        <v>44275.770403174218</v>
      </c>
      <c r="T23" s="81">
        <f>T11-T20+T22</f>
        <v>52207.627177486575</v>
      </c>
      <c r="U23" s="100">
        <f>U11-U20+U22</f>
        <v>61454.900052611338</v>
      </c>
      <c r="V23" s="81">
        <f>V11-V20+V22</f>
        <v>70499.46419758242</v>
      </c>
      <c r="W23" s="81">
        <f>W11-W20+W22</f>
        <v>80721.095718003169</v>
      </c>
      <c r="X23" s="81">
        <f>X11-X20+X22</f>
        <v>92264.848379429459</v>
      </c>
      <c r="Y23" s="81">
        <f>Y11-Y20+Y22</f>
        <v>105293.12398513441</v>
      </c>
      <c r="Z23" s="100">
        <f>Z11-Z20+Z22</f>
        <v>119987.70608305739</v>
      </c>
    </row>
    <row r="24" ht="14.25">
      <c r="B24" t="s">
        <v>91</v>
      </c>
      <c r="C24" s="86">
        <v>-981.02999999999997</v>
      </c>
      <c r="D24" s="81">
        <v>-1422.0899999999999</v>
      </c>
      <c r="E24" s="81">
        <v>-2184.1700000000001</v>
      </c>
      <c r="F24" s="81">
        <v>-2058.3699999999999</v>
      </c>
      <c r="G24" s="81">
        <f>-1660.26+87.82</f>
        <v>-1572.4400000000001</v>
      </c>
      <c r="H24" s="81">
        <f>-2497.45+21.9</f>
        <v>-2475.5499999999997</v>
      </c>
      <c r="I24" s="81">
        <f>-3998.18-21.99</f>
        <v>-4020.1699999999996</v>
      </c>
      <c r="J24" s="81">
        <f>-4957.72+99.32</f>
        <v>-4858.4000000000005</v>
      </c>
      <c r="K24" s="101">
        <f>5300.15*-1</f>
        <v>-5300.1499999999996</v>
      </c>
      <c r="L24" s="82"/>
      <c r="M24" s="82"/>
      <c r="N24" s="82"/>
      <c r="O24" s="82"/>
      <c r="P24" s="95">
        <f ca="1">-P23*$Q$48</f>
        <v>-6670.3018300000003</v>
      </c>
      <c r="Q24" s="95">
        <f>-Q23*$Q$48</f>
        <v>-7914.6771315499973</v>
      </c>
      <c r="R24" s="95">
        <f>-R23*$Q$48</f>
        <v>-9369.5906488104956</v>
      </c>
      <c r="S24" s="95">
        <f>-S23*$Q$48</f>
        <v>-11068.942600793554</v>
      </c>
      <c r="T24" s="95">
        <f>-T23*$Q$48</f>
        <v>-13051.906794371644</v>
      </c>
      <c r="U24" s="96">
        <f>-U23*$Q$48</f>
        <v>-15363.725013152834</v>
      </c>
      <c r="V24" s="95">
        <f ca="1">-V23*$Q$48</f>
        <v>-17624.866049395605</v>
      </c>
      <c r="W24" s="95">
        <f>-W23*$Q$48</f>
        <v>-20180.273929500792</v>
      </c>
      <c r="X24" s="95">
        <f>-X23*$Q$48</f>
        <v>-23066.212094857365</v>
      </c>
      <c r="Y24" s="95">
        <f>-Y23*$Q$48</f>
        <v>-26323.280996283604</v>
      </c>
      <c r="Z24" s="96">
        <f>-Z23*$Q$48</f>
        <v>-29996.926520764348</v>
      </c>
    </row>
    <row r="25" s="1" customFormat="1" ht="14.25">
      <c r="B25" s="1" t="s">
        <v>92</v>
      </c>
      <c r="C25" s="91">
        <f>C23+C24</f>
        <v>1836.3799999999981</v>
      </c>
      <c r="D25" s="91">
        <f>D23+D24</f>
        <v>2674.1100000000006</v>
      </c>
      <c r="E25" s="91">
        <f>E23+E24</f>
        <v>3994.9899999999998</v>
      </c>
      <c r="F25" s="91">
        <f>F23+F24</f>
        <v>5263.7500000000027</v>
      </c>
      <c r="G25" s="91">
        <f>G23+G24</f>
        <v>4419.8000000000047</v>
      </c>
      <c r="H25" s="91">
        <f>H23+H24</f>
        <v>7028.2300000000032</v>
      </c>
      <c r="I25" s="91">
        <f>I23+I24</f>
        <v>11507.689999999995</v>
      </c>
      <c r="J25" s="91">
        <f>J23+J24</f>
        <v>14451.169999999991</v>
      </c>
      <c r="K25" s="91">
        <f>K23+K24</f>
        <v>16778.929999999993</v>
      </c>
      <c r="L25" s="82"/>
      <c r="M25" s="82"/>
      <c r="N25" s="82"/>
      <c r="O25" s="82"/>
      <c r="P25" s="91">
        <f>P23+P24</f>
        <v>20010.905490000001</v>
      </c>
      <c r="Q25" s="91">
        <f>Q23+Q24</f>
        <v>23744.031394649992</v>
      </c>
      <c r="R25" s="91">
        <f>R23+R24</f>
        <v>28108.771946431487</v>
      </c>
      <c r="S25" s="91">
        <f>S23+S24</f>
        <v>33206.827802380663</v>
      </c>
      <c r="T25" s="91">
        <f>T23+T24</f>
        <v>39155.720383114931</v>
      </c>
      <c r="U25" s="92">
        <f>U23+U24</f>
        <v>46091.175039458503</v>
      </c>
      <c r="V25" s="91">
        <f>V23+V24</f>
        <v>52874.598148186815</v>
      </c>
      <c r="W25" s="91">
        <f>W23+W24</f>
        <v>60540.821788502377</v>
      </c>
      <c r="X25" s="91">
        <f>X23+X24</f>
        <v>69198.636284572101</v>
      </c>
      <c r="Y25" s="91">
        <f>Y23+Y24</f>
        <v>78969.842988850811</v>
      </c>
      <c r="Z25" s="92">
        <f>Z23+Z24</f>
        <v>89990.779562293043</v>
      </c>
    </row>
    <row r="26" ht="14.25">
      <c r="B26" t="s">
        <v>230</v>
      </c>
      <c r="C26" s="86">
        <v>0</v>
      </c>
      <c r="D26" s="81">
        <v>0</v>
      </c>
      <c r="E26" s="81">
        <v>0</v>
      </c>
      <c r="F26" s="81">
        <v>0</v>
      </c>
      <c r="G26" s="81">
        <v>0</v>
      </c>
      <c r="H26" s="81">
        <v>34.270000000000003</v>
      </c>
      <c r="I26" s="81">
        <v>-22.84</v>
      </c>
      <c r="J26" s="81">
        <v>89.540000000000006</v>
      </c>
      <c r="K26" s="82">
        <f>J26</f>
        <v>89.540000000000006</v>
      </c>
      <c r="L26" s="83"/>
      <c r="M26" s="83"/>
      <c r="N26" s="83"/>
      <c r="O26" s="83"/>
      <c r="U26" s="8"/>
      <c r="V26" s="7"/>
      <c r="W26" s="7"/>
      <c r="X26" s="7"/>
      <c r="Y26" s="7"/>
      <c r="Z26" s="80"/>
    </row>
    <row r="27" ht="14.25">
      <c r="D27" s="81"/>
      <c r="E27" s="81"/>
      <c r="F27" s="81"/>
      <c r="G27" s="81"/>
      <c r="H27" s="81"/>
      <c r="I27" s="81"/>
      <c r="J27" s="81"/>
      <c r="K27" s="82"/>
      <c r="L27" s="83"/>
      <c r="M27" s="83"/>
      <c r="N27" s="83"/>
      <c r="O27" s="83"/>
      <c r="U27" s="8"/>
      <c r="V27" s="7"/>
      <c r="W27" s="7"/>
      <c r="X27" s="7"/>
      <c r="Y27" s="7"/>
      <c r="Z27" s="80"/>
    </row>
    <row r="28" s="1" customFormat="1" ht="14.25">
      <c r="B28" s="1" t="s">
        <v>489</v>
      </c>
      <c r="C28" s="1"/>
      <c r="D28" s="91">
        <f>D25+D26</f>
        <v>2674.1100000000006</v>
      </c>
      <c r="E28" s="91">
        <f>E25+E26</f>
        <v>3994.9899999999998</v>
      </c>
      <c r="F28" s="91">
        <f>F25+F26</f>
        <v>5263.7500000000027</v>
      </c>
      <c r="G28" s="91">
        <f>G25+G26</f>
        <v>4419.8000000000047</v>
      </c>
      <c r="H28" s="91">
        <f>H25+H26</f>
        <v>7062.5000000000036</v>
      </c>
      <c r="I28" s="91">
        <f>I25+I26</f>
        <v>11484.849999999995</v>
      </c>
      <c r="J28" s="91">
        <f>J25+J26</f>
        <v>14540.709999999992</v>
      </c>
      <c r="K28" s="82">
        <f>J28</f>
        <v>14540.709999999992</v>
      </c>
      <c r="L28" s="82"/>
      <c r="M28" s="82"/>
      <c r="N28" s="82"/>
      <c r="O28" s="82"/>
      <c r="P28" s="102">
        <f>P25</f>
        <v>20010.905490000001</v>
      </c>
      <c r="Q28" s="102">
        <f>Q25</f>
        <v>23744.031394649992</v>
      </c>
      <c r="R28" s="102">
        <f>R25</f>
        <v>28108.771946431487</v>
      </c>
      <c r="S28" s="102">
        <f>S25</f>
        <v>33206.827802380663</v>
      </c>
      <c r="T28" s="102">
        <f>T25</f>
        <v>39155.720383114931</v>
      </c>
      <c r="U28" s="103">
        <f>U25</f>
        <v>46091.175039458503</v>
      </c>
      <c r="V28" s="102">
        <f>V25</f>
        <v>52874.598148186815</v>
      </c>
      <c r="W28" s="102">
        <f>W25</f>
        <v>60540.821788502377</v>
      </c>
      <c r="X28" s="102">
        <f>X25</f>
        <v>69198.636284572101</v>
      </c>
      <c r="Y28" s="102">
        <f>Y25</f>
        <v>78969.842988850811</v>
      </c>
      <c r="Z28" s="103">
        <f>Z25</f>
        <v>89990.779562293043</v>
      </c>
      <c r="AA28" s="102">
        <f>Z28+Z28*$AB$32</f>
        <v>90890.687357915973</v>
      </c>
      <c r="AB28" s="102">
        <f>AA28+AA28*$AB$32</f>
        <v>91799.594231495139</v>
      </c>
      <c r="AC28" s="102">
        <f>AB28+AB28*$AB$32</f>
        <v>92717.590173810095</v>
      </c>
      <c r="AD28" s="102">
        <f>AC28+AC28*$AB$32</f>
        <v>93644.766075548192</v>
      </c>
      <c r="AE28" s="102">
        <f>AD28+AD28*$AB$32</f>
        <v>94581.213736303675</v>
      </c>
      <c r="AF28" s="102">
        <f>AE28+AE28*$AB$32</f>
        <v>95527.025873666717</v>
      </c>
      <c r="AG28" s="102">
        <f>AF28+AF28*$AB$32</f>
        <v>96482.296132403382</v>
      </c>
      <c r="AH28" s="102">
        <f>AG28+AG28*$AB$32</f>
        <v>97447.119093727422</v>
      </c>
      <c r="AI28" s="102">
        <f>AH28+AH28*$AB$32</f>
        <v>98421.590284664693</v>
      </c>
      <c r="AJ28" s="102">
        <f>AI28+AI28*$AB$32</f>
        <v>99405.806187511334</v>
      </c>
      <c r="AK28" s="102">
        <f>AJ28+AJ28*$AB$32</f>
        <v>100399.86424938645</v>
      </c>
      <c r="AL28" s="102">
        <f>AK28+AK28*$AB$32</f>
        <v>101403.86289188032</v>
      </c>
      <c r="AM28" s="102">
        <f>AL28+AL28*$AB$32</f>
        <v>102417.90152079912</v>
      </c>
      <c r="AN28" s="102">
        <f>AM28+AM28*$AB$32</f>
        <v>103442.08053600711</v>
      </c>
      <c r="AO28" s="102">
        <f>AN28+AN28*$AB$32</f>
        <v>104476.50134136718</v>
      </c>
      <c r="AP28" s="102">
        <f>AO28+AO28*$AB$32</f>
        <v>105521.26635478086</v>
      </c>
      <c r="AQ28" s="102">
        <f>AP28+AP28*$AB$32</f>
        <v>106576.47901832867</v>
      </c>
      <c r="AR28" s="102">
        <f>AQ28+AQ28*$AB$32</f>
        <v>107642.24380851195</v>
      </c>
      <c r="AS28" s="102">
        <f>AR28+AR28*$AB$32</f>
        <v>108718.66624659707</v>
      </c>
      <c r="AT28" s="102">
        <f>AS28+AS28*$AB$32</f>
        <v>109805.85290906305</v>
      </c>
      <c r="AU28" s="102">
        <f>AT28+AT28*$AB$32</f>
        <v>110903.91143815368</v>
      </c>
      <c r="AV28" s="102">
        <f>AU28+AU28*$AB$32</f>
        <v>112012.95055253521</v>
      </c>
      <c r="AW28" s="102">
        <f>AV28+AV28*$AB$32</f>
        <v>113133.08005806057</v>
      </c>
      <c r="AX28" s="102">
        <f>AW28+AW28*$AB$32</f>
        <v>114264.41085864117</v>
      </c>
      <c r="AY28" s="102">
        <f>AX28+AX28*$AB$32</f>
        <v>115407.05496722758</v>
      </c>
      <c r="AZ28" s="102">
        <f>AY28+AY28*$AB$32</f>
        <v>116561.12551689986</v>
      </c>
      <c r="BA28" s="102">
        <f>AZ28+AZ28*$AB$32</f>
        <v>117726.73677206886</v>
      </c>
      <c r="BB28" s="102">
        <f>BA28+BA28*$AB$32</f>
        <v>118904.00413978955</v>
      </c>
      <c r="BC28" s="102">
        <f>BB28+BB28*$AB$32</f>
        <v>120093.04418118745</v>
      </c>
      <c r="BD28" s="102">
        <f>BC28+BC28*$AB$32</f>
        <v>121293.97462299932</v>
      </c>
      <c r="BE28" s="102">
        <f>BD28+BD28*$AB$32</f>
        <v>122506.91436922931</v>
      </c>
      <c r="BF28" s="102">
        <f>BE28+BE28*$AB$32</f>
        <v>123731.98351292161</v>
      </c>
      <c r="BG28" s="102">
        <f>BF28+BF28*$AB$32</f>
        <v>124969.30334805083</v>
      </c>
      <c r="BH28" s="102">
        <f>BG28+BG28*$AB$32</f>
        <v>126218.99638153134</v>
      </c>
      <c r="BI28" s="102">
        <f>BH28+BH28*$AB$32</f>
        <v>127481.18634534665</v>
      </c>
      <c r="BJ28" s="102">
        <f>BI28+BI28*$AB$32</f>
        <v>128755.99820880011</v>
      </c>
      <c r="BK28" s="102">
        <f>BJ28+BJ28*$AB$32</f>
        <v>130043.55819088811</v>
      </c>
      <c r="BL28" s="102">
        <f>BK28+BK28*$AB$32</f>
        <v>131343.993772797</v>
      </c>
      <c r="BM28" s="102">
        <f>BL28+BL28*$AB$32</f>
        <v>132657.43371052496</v>
      </c>
      <c r="BN28" s="102">
        <f>BM28+BM28*$AB$32</f>
        <v>133984.0080476302</v>
      </c>
      <c r="BO28" s="102">
        <f>BN28+BN28*$AB$32</f>
        <v>135323.8481281065</v>
      </c>
      <c r="BP28" s="102">
        <f>BO28+BO28*$AB$32</f>
        <v>136677.08660938757</v>
      </c>
      <c r="BQ28" s="102">
        <f>BP28+BP28*$AB$32</f>
        <v>138043.85747548143</v>
      </c>
      <c r="BR28" s="102">
        <f>BQ28+BQ28*$AB$32</f>
        <v>139424.29605023624</v>
      </c>
      <c r="BS28" s="102">
        <f>BR28+BR28*$AB$32</f>
        <v>140818.5390107386</v>
      </c>
      <c r="BT28" s="102">
        <f>BS28+BS28*$AB$32</f>
        <v>142226.724400846</v>
      </c>
      <c r="BU28" s="102">
        <f>BT28+BT28*$AB$32</f>
        <v>143648.99164485445</v>
      </c>
      <c r="BV28" s="102">
        <f>BU28+BU28*$AB$32</f>
        <v>145085.48156130299</v>
      </c>
      <c r="BW28" s="102">
        <f>BV28+BV28*$AB$32</f>
        <v>146536.33637691604</v>
      </c>
      <c r="BX28" s="102">
        <f>BW28+BW28*$AB$32</f>
        <v>148001.6997406852</v>
      </c>
      <c r="BY28" s="102">
        <f>BX28+BX28*$AB$32</f>
        <v>149481.71673809204</v>
      </c>
      <c r="BZ28" s="102">
        <f>BY28+BY28*$AB$32</f>
        <v>150976.53390547296</v>
      </c>
      <c r="CA28" s="102">
        <f>BZ28+BZ28*$AB$32</f>
        <v>152486.29924452768</v>
      </c>
      <c r="CB28" s="102">
        <f>CA28+CA28*$AB$32</f>
        <v>154011.16223697294</v>
      </c>
      <c r="CC28" s="102">
        <f>CB28+CB28*$AB$32</f>
        <v>155551.27385934268</v>
      </c>
      <c r="CD28" s="102">
        <f>CC28+CC28*$AB$32</f>
        <v>157106.78659793609</v>
      </c>
      <c r="CE28" s="102">
        <f>CD28+CD28*$AB$32</f>
        <v>158677.85446391546</v>
      </c>
      <c r="CF28" s="102">
        <f>CE28+CE28*$AB$32</f>
        <v>160264.63300855461</v>
      </c>
      <c r="CG28" s="102">
        <f>CF28+CF28*$AB$32</f>
        <v>161867.27933864016</v>
      </c>
      <c r="CH28" s="102">
        <f>CG28+CG28*$AB$32</f>
        <v>163485.95213202655</v>
      </c>
      <c r="CI28" s="102">
        <f>CH28+CH28*$AB$32</f>
        <v>165120.81165334681</v>
      </c>
      <c r="CJ28" s="102">
        <f>CI28+CI28*$AB$32</f>
        <v>166772.01976988028</v>
      </c>
      <c r="CK28" s="102">
        <f>CJ28+CJ28*$AB$32</f>
        <v>168439.73996757908</v>
      </c>
      <c r="CL28" s="102">
        <f>CK28+CK28*$AB$32</f>
        <v>170124.13736725488</v>
      </c>
      <c r="CM28" s="102">
        <f>CL28+CL28*$AB$32</f>
        <v>171825.37874092744</v>
      </c>
      <c r="CN28" s="102">
        <f>CM28+CM28*$AB$32</f>
        <v>173543.63252833672</v>
      </c>
      <c r="CO28" s="102">
        <f>CN28+CN28*$AB$32</f>
        <v>175279.06885362009</v>
      </c>
      <c r="CP28" s="102">
        <f>CO28+CO28*$AB$32</f>
        <v>177031.85954215628</v>
      </c>
      <c r="CQ28" s="102">
        <f>CP28+CP28*$AB$32</f>
        <v>178802.17813757784</v>
      </c>
      <c r="CR28" s="102">
        <f>CQ28+CQ28*$AB$32</f>
        <v>180590.19991895361</v>
      </c>
      <c r="CS28" s="102">
        <f>CR28+CR28*$AB$32</f>
        <v>182396.10191814316</v>
      </c>
      <c r="CT28" s="102">
        <f>CS28+CS28*$AB$32</f>
        <v>184220.0629373246</v>
      </c>
      <c r="CU28" s="102">
        <f>CT28+CT28*$AB$32</f>
        <v>186062.26356669786</v>
      </c>
      <c r="CV28" s="102">
        <f>CU28+CU28*$AB$32</f>
        <v>187922.88620236484</v>
      </c>
      <c r="CW28" s="102">
        <f>CV28+CV28*$AB$32</f>
        <v>189802.11506438849</v>
      </c>
      <c r="CX28" s="102">
        <f>CW28+CW28*$AB$32</f>
        <v>191700.13621503237</v>
      </c>
      <c r="CY28" s="102">
        <f>CX28+CX28*$AB$32</f>
        <v>193617.1375771827</v>
      </c>
      <c r="CZ28" s="102">
        <f>CY28+CY28*$AB$32</f>
        <v>195553.30895295454</v>
      </c>
      <c r="DA28" s="102">
        <f>CZ28+CZ28*$AB$32</f>
        <v>197508.84204248409</v>
      </c>
      <c r="DB28" s="102">
        <f>DA28+DA28*$AB$32</f>
        <v>199483.93046290893</v>
      </c>
      <c r="DC28" s="102">
        <f>DB28+DB28*$AB$32</f>
        <v>201478.76976753803</v>
      </c>
      <c r="DD28" s="102">
        <f>DC28+DC28*$AB$32</f>
        <v>203493.55746521341</v>
      </c>
      <c r="DE28" s="102">
        <f>DD28+DD28*$AB$32</f>
        <v>205528.49303986554</v>
      </c>
      <c r="DF28" s="102">
        <f>DE28+DE28*$AB$32</f>
        <v>207583.7779702642</v>
      </c>
      <c r="DG28" s="102">
        <f>DF28+DF28*$AB$32</f>
        <v>209659.61574996685</v>
      </c>
      <c r="DH28" s="102">
        <f>DG28+DG28*$AB$32</f>
        <v>211756.21190746652</v>
      </c>
      <c r="DI28" s="102">
        <f>DH28+DH28*$AB$32</f>
        <v>213873.77402654118</v>
      </c>
      <c r="DJ28" s="102">
        <f>DI28+DI28*$AB$32</f>
        <v>216012.51176680659</v>
      </c>
      <c r="DK28" s="102">
        <f>DJ28+DJ28*$AB$32</f>
        <v>218172.63688447466</v>
      </c>
      <c r="DL28" s="102">
        <f>DK28+DK28*$AB$32</f>
        <v>220354.3632533194</v>
      </c>
      <c r="DM28" s="102"/>
      <c r="DN28" s="102"/>
      <c r="DO28" s="102"/>
      <c r="DP28" s="102"/>
      <c r="DQ28" s="102"/>
      <c r="DR28" s="102"/>
      <c r="DS28" s="102"/>
      <c r="DT28" s="102"/>
      <c r="DU28" s="102"/>
      <c r="DV28" s="102"/>
      <c r="DW28" s="102"/>
      <c r="DX28" s="102"/>
      <c r="DY28" s="102"/>
      <c r="DZ28" s="102"/>
      <c r="EA28" s="102"/>
      <c r="EB28" s="102"/>
      <c r="EC28" s="102"/>
      <c r="ED28" s="102"/>
      <c r="EE28" s="102"/>
      <c r="EF28" s="102"/>
      <c r="EG28" s="102"/>
      <c r="EH28" s="102"/>
      <c r="EI28" s="102"/>
    </row>
    <row r="29" ht="14.25">
      <c r="B29" t="s">
        <v>490</v>
      </c>
      <c r="C29" s="77"/>
      <c r="D29" s="7">
        <v>4419.8199999999997</v>
      </c>
      <c r="E29" s="7">
        <v>4419.8199999999997</v>
      </c>
      <c r="F29" s="7">
        <v>4419.8199999999997</v>
      </c>
      <c r="G29">
        <v>4419.8199999999997</v>
      </c>
      <c r="H29">
        <v>7028.2299999999996</v>
      </c>
      <c r="I29">
        <v>10289.74</v>
      </c>
      <c r="J29" s="11">
        <v>12644.110000000001</v>
      </c>
      <c r="K29" s="82">
        <f>J29</f>
        <v>12644.110000000001</v>
      </c>
      <c r="L29" s="83"/>
      <c r="M29" s="83"/>
      <c r="N29" s="83"/>
      <c r="O29" s="83"/>
      <c r="U29" s="8"/>
      <c r="Z29" s="8"/>
    </row>
    <row r="30" ht="14.25">
      <c r="B30" s="2" t="s">
        <v>491</v>
      </c>
      <c r="C30"/>
      <c r="D30" s="104">
        <f>D28/D29-1</f>
        <v>-0.39497309845197304</v>
      </c>
      <c r="E30" s="104">
        <f>E28/E29-1</f>
        <v>-0.096119298975976375</v>
      </c>
      <c r="F30" s="104">
        <f>F28/F29-1</f>
        <v>0.19094216506554629</v>
      </c>
      <c r="G30" s="104">
        <f>G28/G29-1</f>
        <v>-4.5250711555588907e-06</v>
      </c>
      <c r="H30" s="104">
        <f>H28/H29-1</f>
        <v>0.0048760498731550417</v>
      </c>
      <c r="I30" s="104">
        <f>I28/I29-1</f>
        <v>0.116145791827587</v>
      </c>
      <c r="J30" s="104">
        <f>J28/J29-1</f>
        <v>0.14999869504456953</v>
      </c>
      <c r="K30" s="82">
        <f>J30</f>
        <v>0.14999869504456953</v>
      </c>
      <c r="L30" s="82"/>
      <c r="M30" s="82"/>
      <c r="N30" s="82"/>
      <c r="O30" s="82"/>
      <c r="P30" s="2"/>
      <c r="U30" s="8"/>
      <c r="Z30" s="8"/>
    </row>
    <row r="31" s="21" customFormat="1" ht="14.25">
      <c r="A31" s="21"/>
      <c r="B31" s="21"/>
      <c r="C31" s="105"/>
      <c r="F31" s="41"/>
      <c r="H31" s="21"/>
      <c r="I31" s="21"/>
      <c r="J31" s="41"/>
      <c r="K31" s="82"/>
      <c r="L31" s="83"/>
      <c r="M31" s="83"/>
      <c r="N31" s="83"/>
      <c r="O31" s="83"/>
      <c r="U31" s="29"/>
      <c r="Z31" s="29"/>
    </row>
    <row r="32" s="21" customFormat="1" ht="16.5">
      <c r="A32" s="21" t="s">
        <v>492</v>
      </c>
      <c r="B32" s="21" t="s">
        <v>493</v>
      </c>
      <c r="C32" s="105"/>
      <c r="F32" s="41"/>
      <c r="G32" s="21"/>
      <c r="H32" s="75">
        <v>605429233</v>
      </c>
      <c r="I32" s="75">
        <v>605429233</v>
      </c>
      <c r="J32" s="75">
        <v>618996320</v>
      </c>
      <c r="K32" s="82">
        <f>J32</f>
        <v>618996320</v>
      </c>
      <c r="L32" s="83"/>
      <c r="M32" s="83"/>
      <c r="N32" s="83"/>
      <c r="O32" s="83"/>
      <c r="U32" s="29"/>
      <c r="Z32" s="29"/>
      <c r="AA32" s="21" t="s">
        <v>382</v>
      </c>
      <c r="AB32" s="42">
        <v>0.01</v>
      </c>
    </row>
    <row r="33" ht="14.25">
      <c r="B33" t="s">
        <v>233</v>
      </c>
      <c r="C33" s="77"/>
      <c r="F33" s="11"/>
      <c r="G33">
        <v>600670592</v>
      </c>
      <c r="H33">
        <v>602574303</v>
      </c>
      <c r="I33" s="106">
        <v>603976750</v>
      </c>
      <c r="J33" s="106">
        <v>610032743</v>
      </c>
      <c r="K33" s="82">
        <f>J33</f>
        <v>610032743</v>
      </c>
      <c r="L33" s="83"/>
      <c r="M33" s="83"/>
      <c r="N33" s="83"/>
      <c r="O33" s="83"/>
      <c r="U33" s="8"/>
      <c r="Z33" s="8"/>
      <c r="AA33" t="s">
        <v>494</v>
      </c>
      <c r="AB33" s="19">
        <v>0.11</v>
      </c>
    </row>
    <row r="34" ht="14.25">
      <c r="A34" t="s">
        <v>495</v>
      </c>
      <c r="B34" t="s">
        <v>496</v>
      </c>
      <c r="C34" s="77"/>
      <c r="F34" s="11"/>
      <c r="G34">
        <v>5149.8500000000004</v>
      </c>
      <c r="H34">
        <v>7259.9499999999998</v>
      </c>
      <c r="I34" s="106">
        <v>5616.75</v>
      </c>
      <c r="J34" s="106">
        <v>7110</v>
      </c>
      <c r="K34" s="82">
        <f>J34</f>
        <v>7110</v>
      </c>
      <c r="L34" s="83"/>
      <c r="M34" s="83"/>
      <c r="N34" s="83"/>
      <c r="O34" s="83"/>
      <c r="U34" s="8"/>
      <c r="Z34" s="8"/>
      <c r="AA34" t="s">
        <v>375</v>
      </c>
      <c r="AB34">
        <f>NPV(AB33,P28:DL28)</f>
        <v>551081.40110882255</v>
      </c>
    </row>
    <row r="35" ht="14.25">
      <c r="A35" t="s">
        <v>497</v>
      </c>
      <c r="B35" t="s">
        <v>93</v>
      </c>
      <c r="C35" s="77"/>
      <c r="F35" s="11"/>
      <c r="G35" s="82">
        <f>G29*10000000/G33</f>
        <v>73.581428138236546</v>
      </c>
      <c r="H35" s="82">
        <f>H29*10000000/H33</f>
        <v>116.63673616695866</v>
      </c>
      <c r="I35" s="82">
        <f>I29*10000000/I33</f>
        <v>170.36649175651215</v>
      </c>
      <c r="J35" s="82">
        <f>J29*10000000/J33</f>
        <v>207.26936619531585</v>
      </c>
      <c r="K35" s="82">
        <v>268.94</v>
      </c>
      <c r="L35" s="83"/>
      <c r="M35" s="83"/>
      <c r="N35" s="83"/>
      <c r="O35" s="83"/>
      <c r="U35" s="8"/>
      <c r="Z35" s="8"/>
    </row>
    <row r="36" ht="14.25">
      <c r="B36" s="2" t="s">
        <v>498</v>
      </c>
      <c r="C36" s="77"/>
      <c r="F36" s="11"/>
      <c r="G36" s="82">
        <f>G34/G35</f>
        <v>69.988448584132385</v>
      </c>
      <c r="H36" s="82">
        <f>H34/H35</f>
        <v>62.244111405927946</v>
      </c>
      <c r="I36" s="82">
        <f>I34/I35</f>
        <v>32.968630991283554</v>
      </c>
      <c r="J36" s="82">
        <f>J34/J35</f>
        <v>34.30318782998566</v>
      </c>
      <c r="K36" s="82">
        <f>J36</f>
        <v>34.30318782998566</v>
      </c>
      <c r="L36" s="83"/>
      <c r="M36" s="83"/>
      <c r="N36" s="83"/>
      <c r="O36" s="83"/>
      <c r="U36" s="8"/>
      <c r="Z36" s="8"/>
      <c r="AA36" t="s">
        <v>499</v>
      </c>
      <c r="AB36" s="107">
        <f>K32</f>
        <v>618996320</v>
      </c>
    </row>
    <row r="37" ht="14.25">
      <c r="K37" s="82"/>
      <c r="L37" s="83"/>
      <c r="M37" s="83"/>
      <c r="N37" s="83"/>
      <c r="O37" s="83"/>
      <c r="U37" s="8"/>
      <c r="Z37" s="8"/>
      <c r="AA37" s="1" t="s">
        <v>500</v>
      </c>
      <c r="AB37" s="1">
        <v>8994.5</v>
      </c>
    </row>
    <row r="38" ht="14.25">
      <c r="A38" t="s">
        <v>501</v>
      </c>
      <c r="B38" t="s">
        <v>46</v>
      </c>
      <c r="C38" s="77"/>
      <c r="K38" s="82"/>
      <c r="L38" s="83"/>
      <c r="M38" s="83"/>
      <c r="N38" s="83"/>
      <c r="O38" s="83"/>
      <c r="U38" s="8"/>
      <c r="Z38" s="8"/>
      <c r="AA38" s="1" t="s">
        <v>502</v>
      </c>
      <c r="AB38" s="91">
        <f>AB34*10000000/AB36</f>
        <v>8902.8219280661087</v>
      </c>
    </row>
    <row r="39" ht="14.25">
      <c r="K39" s="82"/>
      <c r="L39" s="108" t="s">
        <v>237</v>
      </c>
      <c r="M39" s="108" t="s">
        <v>238</v>
      </c>
      <c r="N39" s="108" t="s">
        <v>95</v>
      </c>
      <c r="O39" s="108" t="s">
        <v>239</v>
      </c>
      <c r="U39" s="8"/>
      <c r="Z39" s="8"/>
    </row>
    <row r="40" ht="14.25">
      <c r="B40" t="s">
        <v>200</v>
      </c>
      <c r="C40" s="109" t="e">
        <f>C11/B11-1</f>
        <v>#VALUE!</v>
      </c>
      <c r="D40" s="17">
        <f>D11/C11-1</f>
        <v>0.34764350958098311</v>
      </c>
      <c r="E40" s="17">
        <f>E11/D11-1</f>
        <v>0.37385293678629949</v>
      </c>
      <c r="F40" s="17">
        <f>F11/E11-1</f>
        <v>0.42623639337563235</v>
      </c>
      <c r="G40" s="17">
        <f>G11/F11-1</f>
        <v>0.01127128668142463</v>
      </c>
      <c r="H40" s="17">
        <f>H11/G11-1</f>
        <v>0.18578774599436398</v>
      </c>
      <c r="I40" s="17">
        <f>I11/H11-1</f>
        <v>0.30903044555996573</v>
      </c>
      <c r="J40" s="17">
        <f>J11/I11-1</f>
        <v>0.32749444327212207</v>
      </c>
      <c r="K40" s="17">
        <f>K11/J11-1</f>
        <v>0.26811653378501643</v>
      </c>
      <c r="P40" t="s">
        <v>503</v>
      </c>
      <c r="Q40" s="19">
        <v>0.16</v>
      </c>
      <c r="U40" s="8"/>
      <c r="V40" s="19">
        <v>0.12</v>
      </c>
      <c r="Z40" s="8"/>
    </row>
    <row r="41" ht="14.25">
      <c r="B41" t="s">
        <v>377</v>
      </c>
      <c r="C41" s="110">
        <f>C11-C14</f>
        <v>6188.4799999999987</v>
      </c>
      <c r="D41" s="111">
        <f>D11-D14</f>
        <v>8831.5800000000017</v>
      </c>
      <c r="E41" s="111">
        <f>E11-E14</f>
        <v>11876.619999999999</v>
      </c>
      <c r="F41" s="111">
        <f>F11-F14</f>
        <v>16912.420000000006</v>
      </c>
      <c r="G41" s="111">
        <f>G11-G14</f>
        <v>17269.030000000002</v>
      </c>
      <c r="H41" s="111">
        <f>H11-H14</f>
        <v>21892.169999999998</v>
      </c>
      <c r="I41" s="111">
        <f>I11-I14</f>
        <v>28858.369999999995</v>
      </c>
      <c r="J41" s="111">
        <f>J11-J14</f>
        <v>36257.819999999992</v>
      </c>
      <c r="K41" s="111">
        <f>K11-K14</f>
        <v>44953.439999999995</v>
      </c>
      <c r="L41" s="83"/>
      <c r="M41" s="83"/>
      <c r="N41" s="83"/>
      <c r="O41" s="83"/>
      <c r="U41" s="8"/>
      <c r="Z41" s="8"/>
    </row>
    <row r="42" ht="14.25">
      <c r="B42" t="s">
        <v>504</v>
      </c>
      <c r="C42" s="109">
        <f>C41/C11</f>
        <v>0.61933169805618182</v>
      </c>
      <c r="D42" s="17">
        <f>D41/D11</f>
        <v>0.65584724686263318</v>
      </c>
      <c r="E42" s="17">
        <f>E41/E11</f>
        <v>0.6419732132336009</v>
      </c>
      <c r="F42" s="17">
        <f>F41/F11</f>
        <v>0.64097086179105833</v>
      </c>
      <c r="G42" s="17">
        <f>G41/G11</f>
        <v>0.64719149212064753</v>
      </c>
      <c r="H42" s="17">
        <f>H41/H11</f>
        <v>0.69190538302126925</v>
      </c>
      <c r="I42" s="17">
        <f>I41/I11</f>
        <v>0.69675476468591391</v>
      </c>
      <c r="J42" s="17">
        <f>J41/J11</f>
        <v>0.65944279371749304</v>
      </c>
      <c r="K42" s="17">
        <f>K41/K11</f>
        <v>0.64473196763879637</v>
      </c>
      <c r="L42" s="83"/>
      <c r="M42" s="83"/>
      <c r="N42" s="83"/>
      <c r="O42" s="83"/>
      <c r="Q42" s="19">
        <f>35%</f>
        <v>0.34999999999999998</v>
      </c>
      <c r="U42" s="8"/>
      <c r="Z42" s="8"/>
    </row>
    <row r="43" ht="14.25">
      <c r="B43" t="s">
        <v>505</v>
      </c>
      <c r="C43" s="109" t="e">
        <f>D15/C15-1</f>
        <v>#DIV/0!</v>
      </c>
      <c r="D43" s="17" t="e">
        <f>E15/D15-1</f>
        <v>#DIV/0!</v>
      </c>
      <c r="E43" s="17" t="e">
        <f>E15/D15-1</f>
        <v>#DIV/0!</v>
      </c>
      <c r="F43" s="17">
        <f>F15/E15-1</f>
        <v>0.48183424980361345</v>
      </c>
      <c r="G43" s="17">
        <f>G15/F15-1</f>
        <v>0.1799653530486478</v>
      </c>
      <c r="H43" s="17">
        <f>H15/G15-1</f>
        <v>0.4003834798793402</v>
      </c>
      <c r="I43" s="17">
        <f>I15/H15-1</f>
        <v>0.083595428375010883</v>
      </c>
      <c r="J43" s="17">
        <f>J15/I15-1</f>
        <v>0.021163433731436365</v>
      </c>
      <c r="K43" s="17">
        <f>K15/J15-1</f>
        <v>0.34489257054103017</v>
      </c>
      <c r="L43" s="83"/>
      <c r="M43" s="83"/>
      <c r="N43" s="83"/>
      <c r="O43" s="83"/>
      <c r="Q43" s="19">
        <v>0.059999999999999998</v>
      </c>
      <c r="V43" s="19">
        <v>0.050000000000000003</v>
      </c>
    </row>
    <row r="44" ht="14.25">
      <c r="B44" t="s">
        <v>506</v>
      </c>
      <c r="C44" s="109" t="e">
        <f>C16/B16-1</f>
        <v>#VALUE!</v>
      </c>
      <c r="D44" s="17">
        <f>D16/C16-1</f>
        <v>0.30016544552115354</v>
      </c>
      <c r="E44" s="17">
        <f>E16/D16-1</f>
        <v>0.43643739415799976</v>
      </c>
      <c r="F44" s="17">
        <f>F16/E16-1</f>
        <v>1.6172977653445235</v>
      </c>
      <c r="G44" s="17">
        <f>G16/F16-1</f>
        <v>0.51892362348198739</v>
      </c>
      <c r="H44" s="17">
        <f>H16/G16-1</f>
        <v>-0.19521896330450461</v>
      </c>
      <c r="I44" s="17">
        <f>I16/H16-1</f>
        <v>-0.33595994503893067</v>
      </c>
      <c r="J44" s="17">
        <f>J16/I16-1</f>
        <v>0.45178938128007773</v>
      </c>
      <c r="K44" s="17">
        <f>K16/J16-1</f>
        <v>0.7202647547886929</v>
      </c>
      <c r="L44" s="83"/>
      <c r="M44" s="83"/>
      <c r="N44" s="83"/>
      <c r="O44" s="83"/>
      <c r="Q44" s="19">
        <v>0.10000000000000001</v>
      </c>
      <c r="V44" s="19">
        <v>0.080000000000000002</v>
      </c>
    </row>
    <row r="45" ht="14.25">
      <c r="B45" t="s">
        <v>507</v>
      </c>
      <c r="C45" s="109" t="e">
        <f>C17/B17-1</f>
        <v>#VALUE!</v>
      </c>
      <c r="D45" s="17">
        <f>D17/C17-1</f>
        <v>0.52370474524241417</v>
      </c>
      <c r="E45" s="17">
        <f>E17/D17-1</f>
        <v>0.36555625215731302</v>
      </c>
      <c r="F45" s="17">
        <f>F17/E17-1</f>
        <v>0.31495514642538414</v>
      </c>
      <c r="G45" s="17">
        <f>G17/F17-1</f>
        <v>-0.01977576223578692</v>
      </c>
      <c r="H45" s="17">
        <f>H17/G17-1</f>
        <v>0.43662828624828398</v>
      </c>
      <c r="I45" s="17">
        <f>I17/H17-1</f>
        <v>0.42080029863552526</v>
      </c>
      <c r="J45" s="17">
        <f>J17/I17-1</f>
        <v>0.25407288748066259</v>
      </c>
      <c r="K45" s="17">
        <f>K17/J17-1</f>
        <v>0.17390998450596551</v>
      </c>
      <c r="L45" s="83"/>
      <c r="M45" s="83"/>
      <c r="N45" s="83"/>
      <c r="O45" s="83"/>
      <c r="Q45" s="19">
        <v>0.14999999999999999</v>
      </c>
      <c r="V45" s="19">
        <v>0.059999999999999998</v>
      </c>
    </row>
    <row r="46" ht="14.25">
      <c r="B46" t="s">
        <v>508</v>
      </c>
      <c r="C46" s="109" t="e">
        <f>C18/B18-1</f>
        <v>#VALUE!</v>
      </c>
      <c r="D46" s="17">
        <f>D18/C18-1</f>
        <v>0.4341717015596458</v>
      </c>
      <c r="E46" s="17">
        <f>E18/D18-1</f>
        <v>0.41226609189771746</v>
      </c>
      <c r="F46" s="17">
        <f>F18/E18-1</f>
        <v>1.0439125910509883</v>
      </c>
      <c r="G46" s="17">
        <f>G18/F18-1</f>
        <v>0.10399484098700063</v>
      </c>
      <c r="H46" s="17">
        <f>H18/G18-1</f>
        <v>0.18231008085590439</v>
      </c>
      <c r="I46" s="17">
        <f>I18/H18-1</f>
        <v>0.26213693215799472</v>
      </c>
      <c r="J46" s="17">
        <f>J18/I18-1</f>
        <v>0.40780419465161333</v>
      </c>
      <c r="K46" s="17">
        <f>K18/J18-1</f>
        <v>0.28927881519639409</v>
      </c>
      <c r="L46" s="83"/>
      <c r="M46" s="83"/>
      <c r="N46" s="83"/>
      <c r="O46" s="83"/>
      <c r="Q46" s="19">
        <v>0.14999999999999999</v>
      </c>
      <c r="V46" s="19">
        <v>0.10000000000000001</v>
      </c>
    </row>
    <row r="47" ht="14.25">
      <c r="B47" t="s">
        <v>509</v>
      </c>
      <c r="C47" s="109" t="e">
        <f>C20/B20-1</f>
        <v>#VALUE!</v>
      </c>
      <c r="D47" s="17">
        <f>D20/C20-1</f>
        <v>0.3059229690666474</v>
      </c>
      <c r="E47" s="17">
        <f>E20/D20-1</f>
        <v>0.31498413504793632</v>
      </c>
      <c r="F47" s="17">
        <f>F20/E20-1</f>
        <v>0.54723472569641163</v>
      </c>
      <c r="G47" s="17">
        <f>G20/F20-1</f>
        <v>0.085360985463851957</v>
      </c>
      <c r="H47" s="17">
        <f>H20/G20-1</f>
        <v>0.069878433834570819</v>
      </c>
      <c r="I47" s="17">
        <f>I20/H20-1</f>
        <v>0.16964822558808645</v>
      </c>
      <c r="J47" s="17">
        <f>J20/I20-1</f>
        <v>0.37805049963174064</v>
      </c>
      <c r="K47" s="17">
        <f>K20/J20-1</f>
        <v>0.33582357685889641</v>
      </c>
      <c r="L47" s="83"/>
      <c r="M47" s="83"/>
      <c r="N47" s="83"/>
      <c r="O47" s="83"/>
      <c r="Q47" s="19">
        <v>0.20000000000000001</v>
      </c>
      <c r="V47" s="19">
        <v>0.14000000000000001</v>
      </c>
    </row>
    <row r="48" ht="14.25">
      <c r="B48" t="s">
        <v>510</v>
      </c>
      <c r="C48" s="109">
        <f>-C24/C23</f>
        <v>0.34820278198771237</v>
      </c>
      <c r="D48" s="17">
        <f>-D24/D23</f>
        <v>0.34717298960011711</v>
      </c>
      <c r="E48" s="17">
        <f>-E24/E23</f>
        <v>0.35347361129991783</v>
      </c>
      <c r="F48" s="17">
        <f>-F24/F23</f>
        <v>0.28111667112803385</v>
      </c>
      <c r="G48" s="17">
        <f>-G24/G23</f>
        <v>0.2624127204517841</v>
      </c>
      <c r="H48" s="17">
        <f>-H24/H23</f>
        <v>0.26048056667978414</v>
      </c>
      <c r="I48" s="17">
        <f>-I24/I23</f>
        <v>0.25890045376503917</v>
      </c>
      <c r="J48" s="17">
        <f>-J24/J23</f>
        <v>0.25160580996883941</v>
      </c>
      <c r="K48" s="17">
        <f>-K24/K23</f>
        <v>0.24005302757180108</v>
      </c>
      <c r="L48" s="83"/>
      <c r="M48" s="83"/>
      <c r="N48" s="83"/>
      <c r="O48" s="83"/>
      <c r="Q48" s="19">
        <v>0.25</v>
      </c>
      <c r="V48" s="19">
        <v>0.25</v>
      </c>
    </row>
    <row r="49" ht="14.25">
      <c r="B49" t="s">
        <v>511</v>
      </c>
      <c r="C49" s="112">
        <f>C16/C11</f>
        <v>0.080451832881480445</v>
      </c>
      <c r="D49" s="16">
        <f>D16/D11</f>
        <v>0.077617479992068861</v>
      </c>
      <c r="E49" s="16">
        <f>E16/E11</f>
        <v>0.081153264454724219</v>
      </c>
      <c r="F49" s="16">
        <f>F16/F11</f>
        <v>0.14892500198024453</v>
      </c>
      <c r="G49" s="16">
        <f>G16/G11</f>
        <v>0.22368449160383957</v>
      </c>
      <c r="H49" s="113">
        <f>H16/H11</f>
        <v>0.15181219206704336</v>
      </c>
      <c r="I49" s="113">
        <f>I16/I11</f>
        <v>0.077010719426649027</v>
      </c>
      <c r="J49" s="113">
        <f>J16/J11</f>
        <v>0.08422132783679756</v>
      </c>
      <c r="K49" s="113">
        <f>K16/K11</f>
        <v>0.1142505266820444</v>
      </c>
      <c r="L49" s="19">
        <f>AVERAGE(C49:K49)</f>
        <v>0.11545853743609912</v>
      </c>
    </row>
    <row r="50" ht="14.25">
      <c r="A50" t="s">
        <v>512</v>
      </c>
    </row>
    <row r="51" ht="14.25"/>
    <row r="52" ht="14.25">
      <c r="B52" t="s">
        <v>513</v>
      </c>
      <c r="C52" s="77"/>
      <c r="I52" s="81">
        <v>120.89</v>
      </c>
      <c r="J52" s="81">
        <v>123.59999999999999</v>
      </c>
    </row>
    <row r="53" ht="14.25">
      <c r="B53" t="s">
        <v>22</v>
      </c>
      <c r="C53" s="77"/>
      <c r="I53" s="81">
        <v>51372.239999999998</v>
      </c>
      <c r="J53" s="81">
        <v>71886.929999999993</v>
      </c>
    </row>
    <row r="54" ht="14.25">
      <c r="B54" t="s">
        <v>514</v>
      </c>
      <c r="C54" s="77"/>
      <c r="I54" s="81">
        <f>I53+I52</f>
        <v>51493.129999999997</v>
      </c>
      <c r="J54" s="88">
        <f>J53+J52</f>
        <v>72010.529999999999</v>
      </c>
    </row>
    <row r="55" ht="14.25"/>
    <row r="56" ht="14.25">
      <c r="B56" t="s">
        <v>515</v>
      </c>
      <c r="C56" s="77"/>
      <c r="I56" s="81">
        <v>87596.089999999997</v>
      </c>
      <c r="J56" s="81">
        <v>65669.850000000006</v>
      </c>
    </row>
    <row r="57" ht="14.25">
      <c r="B57" t="s">
        <v>516</v>
      </c>
      <c r="C57" s="77"/>
      <c r="I57" s="81">
        <v>69238</v>
      </c>
      <c r="J57" s="81">
        <v>47894.699999999997</v>
      </c>
    </row>
    <row r="58" ht="14.25">
      <c r="B58" t="s">
        <v>331</v>
      </c>
      <c r="C58" s="77"/>
      <c r="I58" s="81">
        <v>59966.660000000003</v>
      </c>
      <c r="J58" s="81">
        <v>44489.790000000001</v>
      </c>
    </row>
    <row r="59" ht="14.25">
      <c r="B59" t="s">
        <v>517</v>
      </c>
      <c r="C59" s="77"/>
      <c r="I59" s="81">
        <v>3577.9000000000001</v>
      </c>
      <c r="J59" s="81">
        <v>3630.29</v>
      </c>
    </row>
    <row r="60" ht="14.25">
      <c r="B60" t="s">
        <v>518</v>
      </c>
      <c r="C60" s="77"/>
      <c r="I60" s="81">
        <f>SUM(I56:I59)</f>
        <v>220378.64999999999</v>
      </c>
      <c r="J60" s="88">
        <f>SUM(J56:J59)</f>
        <v>161684.63</v>
      </c>
    </row>
    <row r="61" ht="14.25"/>
  </sheetData>
  <hyperlinks>
    <hyperlink r:id="rId1" ref="J1"/>
    <hyperlink r:id="rId2" ref="K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21" width="9.140625"/>
    <col customWidth="1" min="2" max="2" style="21" width="46.8515625"/>
    <col min="3" max="16384" style="21" width="9.140625"/>
  </cols>
  <sheetData>
    <row r="1" ht="16.5">
      <c r="A1" s="114"/>
      <c r="B1" s="115" t="s">
        <v>519</v>
      </c>
      <c r="C1" s="116"/>
      <c r="D1" s="116"/>
      <c r="E1" s="116"/>
      <c r="F1" s="116"/>
    </row>
    <row r="2">
      <c r="A2" s="114"/>
      <c r="B2" s="114"/>
      <c r="C2" s="114"/>
      <c r="D2" s="114"/>
      <c r="E2" s="114"/>
      <c r="F2" s="114"/>
    </row>
    <row r="3" ht="15">
      <c r="A3" s="114"/>
      <c r="B3" s="117" t="s">
        <v>520</v>
      </c>
      <c r="C3" s="118" t="s">
        <v>521</v>
      </c>
      <c r="D3" s="114"/>
      <c r="E3" s="114"/>
      <c r="F3" s="114"/>
    </row>
    <row r="4" ht="15">
      <c r="A4" s="119" t="s">
        <v>522</v>
      </c>
      <c r="B4" s="119" t="s">
        <v>523</v>
      </c>
      <c r="C4" s="120">
        <v>52.700000000000003</v>
      </c>
      <c r="D4" s="114"/>
      <c r="E4" s="114"/>
      <c r="F4" s="114"/>
    </row>
    <row r="5" ht="15">
      <c r="A5" s="114"/>
      <c r="B5" s="119" t="s">
        <v>524</v>
      </c>
      <c r="C5" s="120">
        <v>16.300000000000001</v>
      </c>
      <c r="D5" s="114"/>
      <c r="E5" s="114"/>
      <c r="F5" s="114"/>
    </row>
    <row r="6" ht="15">
      <c r="A6" s="114"/>
      <c r="B6" s="119" t="s">
        <v>525</v>
      </c>
      <c r="C6" s="120">
        <v>31</v>
      </c>
      <c r="D6" s="114"/>
      <c r="E6" s="114"/>
      <c r="F6" s="114"/>
    </row>
    <row r="7">
      <c r="A7" s="114"/>
      <c r="B7" s="114"/>
      <c r="C7" s="114"/>
      <c r="D7" s="114"/>
      <c r="E7" s="114"/>
      <c r="F7" s="114"/>
    </row>
    <row r="8">
      <c r="A8" s="114"/>
      <c r="B8" s="114"/>
      <c r="C8" s="114"/>
      <c r="D8" s="114"/>
      <c r="E8" s="114"/>
      <c r="F8" s="114"/>
    </row>
    <row r="9" ht="15">
      <c r="A9" s="114"/>
      <c r="B9" s="117" t="s">
        <v>526</v>
      </c>
      <c r="C9" s="119" t="s">
        <v>527</v>
      </c>
      <c r="D9" s="119" t="s">
        <v>528</v>
      </c>
      <c r="E9" s="114"/>
      <c r="F9" s="114"/>
    </row>
    <row r="10" ht="15">
      <c r="A10" s="114"/>
      <c r="B10" s="119" t="s">
        <v>529</v>
      </c>
      <c r="C10" s="120">
        <v>100</v>
      </c>
      <c r="D10" s="119" t="s">
        <v>0</v>
      </c>
      <c r="E10" s="114"/>
      <c r="F10" s="114"/>
    </row>
    <row r="11" ht="15">
      <c r="A11" s="114"/>
      <c r="B11" s="119" t="s">
        <v>530</v>
      </c>
      <c r="C11" s="120">
        <v>100</v>
      </c>
      <c r="D11" s="118" t="s">
        <v>531</v>
      </c>
      <c r="E11" s="114"/>
      <c r="F11" s="114"/>
    </row>
    <row r="12" ht="15">
      <c r="A12" s="119" t="s">
        <v>434</v>
      </c>
      <c r="B12" s="119" t="s">
        <v>532</v>
      </c>
      <c r="C12" s="120">
        <v>74</v>
      </c>
      <c r="D12" s="118" t="s">
        <v>533</v>
      </c>
      <c r="E12" s="116"/>
      <c r="F12" s="114"/>
    </row>
    <row r="13" ht="15">
      <c r="A13" s="114"/>
      <c r="B13" s="119" t="s">
        <v>534</v>
      </c>
      <c r="C13" s="120">
        <v>50</v>
      </c>
      <c r="D13" s="118" t="s">
        <v>535</v>
      </c>
      <c r="E13" s="114"/>
      <c r="F13" s="114"/>
    </row>
    <row r="14" ht="15">
      <c r="A14" s="114"/>
      <c r="B14" s="119" t="s">
        <v>536</v>
      </c>
      <c r="C14" s="120">
        <v>51</v>
      </c>
      <c r="D14" s="118" t="s">
        <v>537</v>
      </c>
      <c r="E14" s="114"/>
      <c r="F14" s="114"/>
    </row>
    <row r="15" ht="15">
      <c r="A15" s="119" t="s">
        <v>436</v>
      </c>
      <c r="B15" s="119" t="s">
        <v>538</v>
      </c>
      <c r="C15" s="120">
        <v>45</v>
      </c>
      <c r="D15" s="118" t="s">
        <v>539</v>
      </c>
      <c r="E15" s="114"/>
      <c r="F15" s="114"/>
    </row>
    <row r="16" ht="15">
      <c r="A16" s="114"/>
      <c r="B16" s="119" t="s">
        <v>540</v>
      </c>
      <c r="C16" s="120">
        <v>46</v>
      </c>
      <c r="D16" s="118" t="s">
        <v>541</v>
      </c>
      <c r="E16" s="116"/>
      <c r="F16" s="114"/>
    </row>
    <row r="17" ht="15">
      <c r="A17" s="114"/>
      <c r="B17" s="119" t="s">
        <v>542</v>
      </c>
      <c r="C17" s="120">
        <v>100</v>
      </c>
      <c r="D17" s="118" t="s">
        <v>543</v>
      </c>
      <c r="E17" s="114"/>
      <c r="F17" s="114"/>
    </row>
    <row r="18">
      <c r="A18" s="114"/>
      <c r="B18" s="114"/>
      <c r="C18" s="114"/>
      <c r="D18" s="114"/>
      <c r="E18" s="114"/>
      <c r="F18" s="114"/>
    </row>
    <row r="19">
      <c r="A19" s="114"/>
      <c r="B19" s="114"/>
      <c r="C19" s="114"/>
      <c r="D19" s="114"/>
      <c r="E19" s="114"/>
      <c r="F19" s="114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544</v>
      </c>
    </row>
    <row r="2" ht="14.25"/>
    <row r="3" ht="14.25">
      <c r="C3" s="1" t="s">
        <v>166</v>
      </c>
      <c r="D3" s="1" t="s">
        <v>167</v>
      </c>
    </row>
    <row r="4" ht="14.25">
      <c r="B4" t="s">
        <v>545</v>
      </c>
      <c r="C4" s="106">
        <v>4410</v>
      </c>
      <c r="D4" s="106">
        <v>6296</v>
      </c>
    </row>
    <row r="5" ht="14.25">
      <c r="B5" t="s">
        <v>546</v>
      </c>
      <c r="C5" s="106">
        <v>1417</v>
      </c>
      <c r="D5" s="106">
        <v>1957</v>
      </c>
    </row>
    <row r="6" s="1" customFormat="1" ht="14.25">
      <c r="A6" s="1"/>
      <c r="B6" s="1"/>
      <c r="C6" s="1"/>
      <c r="D6" s="1"/>
    </row>
    <row r="7" ht="14.25">
      <c r="A7" t="s">
        <v>547</v>
      </c>
      <c r="B7" s="1" t="s">
        <v>355</v>
      </c>
      <c r="C7" s="121">
        <f>C4-C5</f>
        <v>2993</v>
      </c>
      <c r="D7" s="121">
        <f>D4-D5</f>
        <v>4339</v>
      </c>
    </row>
    <row r="8" ht="14.25">
      <c r="B8" t="s">
        <v>548</v>
      </c>
      <c r="C8" s="106">
        <v>903</v>
      </c>
      <c r="D8" s="106">
        <v>1352</v>
      </c>
    </row>
    <row r="9" ht="14.25">
      <c r="B9" s="1" t="s">
        <v>90</v>
      </c>
      <c r="C9" s="121">
        <f>C4-C5-C8</f>
        <v>2090</v>
      </c>
      <c r="D9" s="121">
        <f>D4-D5-D8</f>
        <v>2987</v>
      </c>
    </row>
    <row r="10" ht="14.25">
      <c r="B10" t="s">
        <v>91</v>
      </c>
      <c r="C10" s="106">
        <v>536</v>
      </c>
      <c r="D10" s="106">
        <v>766</v>
      </c>
    </row>
    <row r="11" ht="14.25">
      <c r="B11" s="1" t="s">
        <v>549</v>
      </c>
      <c r="C11" s="121">
        <f>C9-C10</f>
        <v>1554</v>
      </c>
      <c r="D11" s="121">
        <f>D9-D10</f>
        <v>2221</v>
      </c>
    </row>
    <row r="12" ht="14.25">
      <c r="B12" t="s">
        <v>550</v>
      </c>
      <c r="C12" s="106">
        <v>11426</v>
      </c>
      <c r="D12" s="106">
        <v>15224</v>
      </c>
    </row>
    <row r="13" ht="14.25">
      <c r="B13" t="s">
        <v>551</v>
      </c>
      <c r="C13" s="106">
        <v>70771</v>
      </c>
      <c r="D13" s="106">
        <v>92292</v>
      </c>
    </row>
    <row r="14" ht="14.25"/>
    <row r="15" ht="14.25">
      <c r="B15" t="s">
        <v>552</v>
      </c>
      <c r="C15" s="16">
        <f>C11/C12</f>
        <v>0.13600560126028358</v>
      </c>
      <c r="D15" s="113">
        <f>D11/D12</f>
        <v>0.14588807146610616</v>
      </c>
    </row>
    <row r="16" ht="14.25">
      <c r="B16" t="s">
        <v>553</v>
      </c>
      <c r="C16" s="11">
        <f>C13/C12</f>
        <v>6.1938561176264662</v>
      </c>
      <c r="D16" s="13">
        <f>D13/D12</f>
        <v>6.0622700998423538</v>
      </c>
    </row>
    <row r="17" ht="14.25">
      <c r="B17" t="s">
        <v>554</v>
      </c>
      <c r="C17" s="16">
        <f>C5/C4</f>
        <v>0.32131519274376419</v>
      </c>
      <c r="D17" s="113">
        <f>D5/D4</f>
        <v>0.31083227445997458</v>
      </c>
    </row>
    <row r="18" ht="14.25">
      <c r="B18" t="s">
        <v>555</v>
      </c>
      <c r="C18" s="16">
        <f>C8/C7</f>
        <v>0.30170397594386905</v>
      </c>
      <c r="D18" s="113">
        <f>D8/D7</f>
        <v>0.3115925328416686</v>
      </c>
    </row>
    <row r="19" ht="14.25">
      <c r="A19" t="s">
        <v>556</v>
      </c>
      <c r="B19" t="s">
        <v>557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5"/>
  <cols>
    <col customWidth="1" min="1" max="1" width="14.7109375"/>
    <col customWidth="1" min="2" max="2" width="24.28125"/>
    <col customWidth="1" min="3" max="6" width="14.7109375"/>
    <col customWidth="1" min="7" max="7" width="15.8515625"/>
    <col customWidth="1" min="8" max="19" width="14.7109375"/>
    <col customWidth="1" min="20" max="20" width="18.00390625"/>
    <col customWidth="1" min="21" max="16384" width="14.7109375"/>
  </cols>
  <sheetData>
    <row r="1">
      <c r="A1" t="s">
        <v>74</v>
      </c>
      <c r="B1" t="s">
        <v>75</v>
      </c>
    </row>
    <row r="2" s="1" customFormat="1">
      <c r="C2" s="1">
        <v>2022</v>
      </c>
      <c r="D2" s="1">
        <v>2023</v>
      </c>
      <c r="E2" s="1">
        <f>D2+1</f>
        <v>2024</v>
      </c>
      <c r="F2" s="5">
        <f>E2+1</f>
        <v>2025</v>
      </c>
      <c r="I2" s="5">
        <v>2025</v>
      </c>
      <c r="J2" s="1">
        <f>I2+1</f>
        <v>2026</v>
      </c>
      <c r="K2" s="1">
        <f>J2+1</f>
        <v>2027</v>
      </c>
      <c r="L2" s="1">
        <f>K2+1</f>
        <v>2028</v>
      </c>
      <c r="M2" s="1">
        <f>L2+1</f>
        <v>2029</v>
      </c>
      <c r="N2" s="6">
        <f>M2+1</f>
        <v>2030</v>
      </c>
      <c r="O2" s="1">
        <f>N2+1</f>
        <v>2031</v>
      </c>
      <c r="P2" s="1">
        <f>O2+1</f>
        <v>2032</v>
      </c>
      <c r="Q2" s="1">
        <f>P2+1</f>
        <v>2033</v>
      </c>
      <c r="R2" s="1">
        <f>Q2+1</f>
        <v>2034</v>
      </c>
      <c r="S2" s="6">
        <f>R2+1</f>
        <v>2035</v>
      </c>
    </row>
    <row r="3">
      <c r="B3" t="s">
        <v>76</v>
      </c>
      <c r="D3" s="7">
        <v>8927.7800000000007</v>
      </c>
      <c r="E3">
        <v>11156.719999999999</v>
      </c>
      <c r="F3">
        <v>13835.790000000001</v>
      </c>
      <c r="I3" s="7">
        <v>13835.790000000001</v>
      </c>
      <c r="N3" s="8"/>
      <c r="S3" s="8"/>
    </row>
    <row r="4">
      <c r="B4" t="s">
        <v>77</v>
      </c>
      <c r="D4" s="7">
        <v>2633.9299999999998</v>
      </c>
      <c r="E4">
        <v>1949.55</v>
      </c>
      <c r="F4">
        <v>1216.6600000000001</v>
      </c>
      <c r="I4" s="7">
        <v>1216.6600000000001</v>
      </c>
      <c r="N4" s="8"/>
      <c r="S4" s="8"/>
    </row>
    <row r="5">
      <c r="B5" t="s">
        <v>78</v>
      </c>
      <c r="D5" s="7">
        <v>756.40999999999997</v>
      </c>
      <c r="E5">
        <v>953.11000000000001</v>
      </c>
      <c r="F5">
        <v>1192.45</v>
      </c>
      <c r="I5" s="7">
        <v>1192.45</v>
      </c>
      <c r="N5" s="8"/>
      <c r="S5" s="8"/>
    </row>
    <row r="6">
      <c r="B6" t="s">
        <v>79</v>
      </c>
      <c r="D6" s="7">
        <v>85.069999999999993</v>
      </c>
      <c r="E6">
        <v>113.69</v>
      </c>
      <c r="F6">
        <v>54.920000000000002</v>
      </c>
      <c r="I6" s="7">
        <v>54.920000000000002</v>
      </c>
      <c r="N6" s="8"/>
      <c r="S6" s="8"/>
    </row>
    <row r="7">
      <c r="B7" t="s">
        <v>80</v>
      </c>
      <c r="D7" s="7">
        <v>-0.31</v>
      </c>
      <c r="E7">
        <v>-1.95</v>
      </c>
      <c r="F7">
        <v>0.46000000000000002</v>
      </c>
      <c r="I7" s="7">
        <v>0.46000000000000002</v>
      </c>
      <c r="N7" s="8"/>
      <c r="S7" s="8"/>
    </row>
    <row r="8" s="1" customFormat="1">
      <c r="B8" s="1" t="s">
        <v>81</v>
      </c>
      <c r="D8" s="1">
        <f>SUM(D3:D7)</f>
        <v>12402.880000000001</v>
      </c>
      <c r="E8" s="1">
        <f>SUM(E3:E7)</f>
        <v>14171.119999999999</v>
      </c>
      <c r="F8" s="1">
        <f>SUM(F3:F7)</f>
        <v>16300.280000000001</v>
      </c>
      <c r="I8" s="1">
        <f>SUM(I3:I7)</f>
        <v>16300.280000000001</v>
      </c>
      <c r="J8" s="9">
        <f>I8*($G$31+1)</f>
        <v>17441.299600000002</v>
      </c>
      <c r="K8" s="9">
        <f>J8*($G$31+1)</f>
        <v>18662.190572000003</v>
      </c>
      <c r="L8" s="9">
        <f>K8*($G$31+1)</f>
        <v>19968.543912040004</v>
      </c>
      <c r="M8" s="9">
        <f>L8*($G$31+1)</f>
        <v>21366.341985882806</v>
      </c>
      <c r="N8" s="10">
        <f>M8*($G$31+1)</f>
        <v>22861.985924894605</v>
      </c>
      <c r="O8" s="10">
        <f>N8*($H$31+1)</f>
        <v>24462.32493963723</v>
      </c>
      <c r="P8" s="10">
        <f>O8*($H$31+1)</f>
        <v>26174.687685411838</v>
      </c>
      <c r="Q8" s="10">
        <f>P8*($H$31+1)</f>
        <v>28006.915823390667</v>
      </c>
      <c r="R8" s="10">
        <f>Q8*($H$31+1)</f>
        <v>29967.399931028016</v>
      </c>
      <c r="S8" s="10">
        <f>R8*($H$31+1)</f>
        <v>32065.117926199979</v>
      </c>
    </row>
    <row r="9" s="0" customFormat="1">
      <c r="B9" s="2" t="s">
        <v>82</v>
      </c>
      <c r="F9" s="2"/>
      <c r="J9" s="11"/>
      <c r="K9" s="11"/>
      <c r="L9" s="11"/>
      <c r="M9" s="11"/>
      <c r="N9" s="12"/>
      <c r="O9" s="12"/>
      <c r="P9" s="12"/>
      <c r="Q9" s="12"/>
      <c r="R9" s="12"/>
      <c r="S9" s="12"/>
    </row>
    <row r="10" s="0" customFormat="1">
      <c r="B10" s="2" t="s">
        <v>83</v>
      </c>
      <c r="F10" s="2"/>
      <c r="J10" s="11"/>
      <c r="K10" s="11"/>
      <c r="L10" s="11"/>
      <c r="M10" s="11"/>
      <c r="N10" s="12"/>
      <c r="O10" s="12"/>
      <c r="P10" s="12"/>
      <c r="Q10" s="12"/>
      <c r="R10" s="12"/>
      <c r="S10" s="12"/>
    </row>
    <row r="11" s="1" customFormat="1">
      <c r="B11" s="1"/>
      <c r="D11" s="1"/>
      <c r="E11" s="1"/>
      <c r="F11" s="1"/>
      <c r="I11" s="1"/>
      <c r="J11" s="9"/>
      <c r="K11" s="9"/>
      <c r="L11" s="9"/>
      <c r="M11" s="9"/>
      <c r="N11" s="10"/>
      <c r="O11" s="10"/>
      <c r="P11" s="10"/>
      <c r="Q11" s="10"/>
      <c r="R11" s="10"/>
      <c r="S11" s="10"/>
    </row>
    <row r="12">
      <c r="D12" s="7"/>
      <c r="E12" s="7"/>
      <c r="I12" s="7"/>
      <c r="J12" s="11"/>
      <c r="K12" s="11"/>
      <c r="L12" s="11"/>
      <c r="M12" s="11"/>
      <c r="N12" s="12"/>
      <c r="O12" s="12"/>
      <c r="P12" s="12"/>
      <c r="Q12" s="12"/>
      <c r="R12" s="12"/>
      <c r="S12" s="12"/>
    </row>
    <row r="13">
      <c r="B13" t="s">
        <v>84</v>
      </c>
      <c r="D13" s="7">
        <v>3511.9200000000001</v>
      </c>
      <c r="E13" s="7">
        <v>4864.3199999999997</v>
      </c>
      <c r="F13">
        <v>6390.1499999999996</v>
      </c>
      <c r="I13" s="7">
        <v>6390.1499999999996</v>
      </c>
      <c r="J13" s="11">
        <f>J8*(1-$G$28)</f>
        <v>6453.2808520000008</v>
      </c>
      <c r="K13" s="11">
        <f>K8*(1-$G$28)</f>
        <v>6905.0105116400009</v>
      </c>
      <c r="L13" s="11">
        <f>L8*(1-$G$28)</f>
        <v>7388.3612474548017</v>
      </c>
      <c r="M13" s="11">
        <f>M8*(1-$G$28)</f>
        <v>7905.5465347766376</v>
      </c>
      <c r="N13" s="12">
        <f>N8*(1-$G$28)</f>
        <v>8458.9347922110046</v>
      </c>
      <c r="O13" s="12">
        <f>O8*(1-$H$28)</f>
        <v>9051.0602276657755</v>
      </c>
      <c r="P13" s="12">
        <f>P8*(1-$H$28)</f>
        <v>9684.6344436023792</v>
      </c>
      <c r="Q13" s="12">
        <f>Q8*(1-$H$28)</f>
        <v>10362.558854654546</v>
      </c>
      <c r="R13" s="12">
        <f>R8*(1-$H$28)</f>
        <v>11087.937974480366</v>
      </c>
      <c r="S13" s="12">
        <f>S8*(1-$H$28)</f>
        <v>11864.093632693992</v>
      </c>
    </row>
    <row r="14">
      <c r="B14" t="s">
        <v>85</v>
      </c>
      <c r="D14" s="7">
        <v>1330.4000000000001</v>
      </c>
      <c r="E14" s="7">
        <v>1067.3900000000001</v>
      </c>
      <c r="F14">
        <v>2113.0500000000002</v>
      </c>
      <c r="I14" s="7">
        <v>2113.0500000000002</v>
      </c>
      <c r="J14" s="11">
        <v>2000</v>
      </c>
      <c r="K14" s="11">
        <v>2000</v>
      </c>
      <c r="L14" s="11">
        <v>2000</v>
      </c>
      <c r="M14" s="11">
        <v>2000</v>
      </c>
      <c r="N14" s="12">
        <v>2000</v>
      </c>
      <c r="O14" s="12">
        <v>2000</v>
      </c>
      <c r="P14" s="12">
        <v>2000</v>
      </c>
      <c r="Q14" s="12">
        <v>2000</v>
      </c>
      <c r="R14" s="12">
        <v>2000</v>
      </c>
      <c r="S14" s="12">
        <v>2000</v>
      </c>
    </row>
    <row r="15">
      <c r="B15" t="s">
        <v>86</v>
      </c>
      <c r="D15" s="7">
        <v>4057.5700000000002</v>
      </c>
      <c r="E15" s="7">
        <v>3850.75</v>
      </c>
      <c r="F15">
        <v>3619.5700000000002</v>
      </c>
      <c r="I15" s="7">
        <v>3619.5700000000002</v>
      </c>
      <c r="J15" s="11">
        <f>I15*($G$30+1)</f>
        <v>3872.9399000000003</v>
      </c>
      <c r="K15" s="11">
        <f>J15*($G$30+1)</f>
        <v>4144.0456930000009</v>
      </c>
      <c r="L15" s="11">
        <f>K15*($G$30+1)</f>
        <v>4434.1288915100013</v>
      </c>
      <c r="M15" s="11">
        <f>L15*($G$30+1)</f>
        <v>4744.5179139157017</v>
      </c>
      <c r="N15" s="12">
        <f>M15*($G$30+1)</f>
        <v>5076.6341678898007</v>
      </c>
      <c r="O15" s="12">
        <f>N15*($H$30+1)</f>
        <v>5431.9985596420875</v>
      </c>
      <c r="P15" s="12">
        <f>O15*($H$30+1)</f>
        <v>5812.2384588170344</v>
      </c>
      <c r="Q15" s="12">
        <f>P15*($H$30+1)</f>
        <v>6219.0951509342267</v>
      </c>
      <c r="R15" s="12">
        <f>Q15*($H$30+1)</f>
        <v>6654.4318114996231</v>
      </c>
      <c r="S15" s="12">
        <f>R15*($H$30+1)</f>
        <v>7120.2420383045974</v>
      </c>
    </row>
    <row r="16">
      <c r="B16" t="s">
        <v>87</v>
      </c>
      <c r="D16" s="7">
        <v>111.84</v>
      </c>
      <c r="E16" s="7">
        <v>145.13999999999999</v>
      </c>
      <c r="F16">
        <v>194.41999999999999</v>
      </c>
      <c r="I16" s="7">
        <v>194.41999999999999</v>
      </c>
      <c r="J16" s="11">
        <f>I16*(1+$G$32)</f>
        <v>262.46699999999998</v>
      </c>
      <c r="K16" s="11">
        <f>J16*(1+$G$32)</f>
        <v>354.33044999999998</v>
      </c>
      <c r="L16" s="11">
        <f>K16*(1+$G$32)</f>
        <v>478.34610750000002</v>
      </c>
      <c r="M16" s="11">
        <f>L16*(1+$G$32)</f>
        <v>645.76724512500004</v>
      </c>
      <c r="N16" s="12">
        <f>M16*(1+$G$32)</f>
        <v>871.78578091875011</v>
      </c>
      <c r="O16" s="12">
        <f>N16*(1+$H$32)</f>
        <v>1046.1429371025001</v>
      </c>
      <c r="P16" s="12">
        <f>O16*(1+$H$32)</f>
        <v>1255.3715245230001</v>
      </c>
      <c r="Q16" s="12">
        <f>P16*(1+$H$32)</f>
        <v>1506.4458294276001</v>
      </c>
      <c r="R16" s="12">
        <f>Q16*(1+$H$32)</f>
        <v>1807.73499531312</v>
      </c>
      <c r="S16" s="12">
        <f>R16*(1+$H$32)</f>
        <v>2169.281994375744</v>
      </c>
    </row>
    <row r="17">
      <c r="B17" t="s">
        <v>88</v>
      </c>
      <c r="D17" s="7">
        <v>763.75</v>
      </c>
      <c r="E17" s="7">
        <v>938.85000000000002</v>
      </c>
      <c r="F17">
        <v>1055.29</v>
      </c>
      <c r="I17" s="7">
        <v>1055.29</v>
      </c>
      <c r="J17" s="11">
        <f>I17*(1+$G$33)</f>
        <v>1213.5835</v>
      </c>
      <c r="K17" s="11">
        <f>J17*(1+$G$33)</f>
        <v>1395.6210249999999</v>
      </c>
      <c r="L17" s="11">
        <f>K17*(1+$G$33)</f>
        <v>1604.9641787499997</v>
      </c>
      <c r="M17" s="11">
        <f>L17*(1+$G$33)</f>
        <v>1845.7088055624995</v>
      </c>
      <c r="N17" s="12">
        <f>M17*(1+$G$33)</f>
        <v>2122.5651263968743</v>
      </c>
      <c r="O17" s="12">
        <f>N17*(1+$H$33)</f>
        <v>2440.9498953564052</v>
      </c>
      <c r="P17" s="12">
        <f>O17*(1+$H$33)</f>
        <v>2807.0923796598659</v>
      </c>
      <c r="Q17" s="12">
        <f>P17*(1+$H$33)</f>
        <v>3228.1562366088456</v>
      </c>
      <c r="R17" s="12">
        <f>Q17*(1+$H$33)</f>
        <v>3712.3796721001722</v>
      </c>
      <c r="S17" s="12">
        <f>R17*(1+$H$33)</f>
        <v>4269.2366229151976</v>
      </c>
    </row>
    <row r="18" s="1" customFormat="1">
      <c r="B18" s="1" t="s">
        <v>89</v>
      </c>
      <c r="D18" s="1">
        <f>SUM(D13:D17)</f>
        <v>9775.4799999999996</v>
      </c>
      <c r="E18" s="1">
        <f>SUM(E13:E17)</f>
        <v>10866.449999999999</v>
      </c>
      <c r="F18" s="1">
        <f>SUM(F13:F17)</f>
        <v>13372.48</v>
      </c>
      <c r="I18" s="1">
        <f>SUM(I13:I17)</f>
        <v>13372.48</v>
      </c>
      <c r="J18" s="9">
        <f>SUM(J13:J17)</f>
        <v>13802.271252000002</v>
      </c>
      <c r="K18" s="9">
        <f>SUM(K13:K17)</f>
        <v>14799.007679640001</v>
      </c>
      <c r="L18" s="9">
        <f>SUM(L13:L17)</f>
        <v>15905.800425214804</v>
      </c>
      <c r="M18" s="9">
        <f>SUM(M13:M17)</f>
        <v>17141.540499379837</v>
      </c>
      <c r="N18" s="10">
        <f>SUM(N13:N17)</f>
        <v>18529.919867416433</v>
      </c>
      <c r="O18" s="10">
        <f>SUM(O13:O17)</f>
        <v>19970.151619766766</v>
      </c>
      <c r="P18" s="10">
        <f>SUM(P13:P17)</f>
        <v>21559.336806602281</v>
      </c>
      <c r="Q18" s="10">
        <f>SUM(Q13:Q17)</f>
        <v>23316.256071625219</v>
      </c>
      <c r="R18" s="10">
        <f>SUM(R13:R17)</f>
        <v>25262.484453393281</v>
      </c>
      <c r="S18" s="10">
        <f>SUM(S13:S17)</f>
        <v>27422.854288289527</v>
      </c>
    </row>
    <row r="19">
      <c r="D19" s="7"/>
      <c r="E19" s="7"/>
      <c r="I19" s="7"/>
      <c r="J19" s="11"/>
      <c r="K19" s="11"/>
      <c r="L19" s="11"/>
      <c r="M19" s="11"/>
      <c r="N19" s="12"/>
      <c r="O19" s="12"/>
      <c r="P19" s="12"/>
      <c r="Q19" s="12"/>
      <c r="R19" s="12"/>
      <c r="S19" s="12"/>
    </row>
    <row r="20">
      <c r="B20" t="s">
        <v>90</v>
      </c>
      <c r="D20" s="7">
        <f>D8-D18</f>
        <v>2627.4000000000015</v>
      </c>
      <c r="E20" s="7">
        <f>E8-E18</f>
        <v>3304.6700000000001</v>
      </c>
      <c r="F20">
        <f>F8-F18</f>
        <v>2927.8000000000011</v>
      </c>
      <c r="I20" s="7">
        <f>I8-I18</f>
        <v>2927.8000000000011</v>
      </c>
      <c r="J20" s="13">
        <f>J8-J18</f>
        <v>3639.0283479999998</v>
      </c>
      <c r="K20" s="13">
        <f>K8-K18</f>
        <v>3863.1828923600024</v>
      </c>
      <c r="L20" s="13">
        <f>L8-L18</f>
        <v>4062.7434868252003</v>
      </c>
      <c r="M20" s="13">
        <f>M8-M18</f>
        <v>4224.8014865029691</v>
      </c>
      <c r="N20" s="14">
        <f>N8-N18</f>
        <v>4332.0660574781723</v>
      </c>
      <c r="O20" s="14">
        <f>O8-O18</f>
        <v>4492.1733198704642</v>
      </c>
      <c r="P20" s="15">
        <f>P8-P18</f>
        <v>4615.3508788095569</v>
      </c>
      <c r="Q20" s="14">
        <f>Q8-Q18</f>
        <v>4690.6597517654482</v>
      </c>
      <c r="R20" s="14">
        <f>R8-R18</f>
        <v>4704.915477634735</v>
      </c>
      <c r="S20" s="14">
        <f>S8-S18</f>
        <v>4642.2636379104515</v>
      </c>
    </row>
    <row r="21">
      <c r="B21" t="s">
        <v>91</v>
      </c>
      <c r="D21" s="7">
        <v>668.04999999999995</v>
      </c>
      <c r="E21" s="7">
        <v>843.83000000000004</v>
      </c>
      <c r="F21">
        <v>751.88</v>
      </c>
      <c r="I21" s="7">
        <v>751.88</v>
      </c>
      <c r="J21" s="13">
        <f>J20*$G$34</f>
        <v>927.95222874000001</v>
      </c>
      <c r="K21" s="13">
        <f>K20*$G$34</f>
        <v>985.11163755180064</v>
      </c>
      <c r="L21" s="13">
        <f>L20*$G$34</f>
        <v>1035.999589140426</v>
      </c>
      <c r="M21" s="13">
        <f>M20*$G$34</f>
        <v>1077.3243790582571</v>
      </c>
      <c r="N21" s="14">
        <f>N20*$G$34</f>
        <v>1104.676844656934</v>
      </c>
      <c r="O21" s="14">
        <f>O20*$H$34</f>
        <v>1145.5041965669684</v>
      </c>
      <c r="P21" s="14">
        <f>P20*$H$34</f>
        <v>1176.9144740964371</v>
      </c>
      <c r="Q21" s="14">
        <f>Q20*$H$34</f>
        <v>1196.1182367001893</v>
      </c>
      <c r="R21" s="14">
        <f>R20*$H$34</f>
        <v>1199.7534467968574</v>
      </c>
      <c r="S21" s="14">
        <f>S20*$H$34</f>
        <v>1183.7772276671651</v>
      </c>
    </row>
    <row r="22" s="1" customFormat="1">
      <c r="B22" s="1" t="s">
        <v>92</v>
      </c>
      <c r="D22" s="1">
        <f>D20-D21</f>
        <v>1959.3500000000015</v>
      </c>
      <c r="E22" s="1">
        <f>E20-E21</f>
        <v>2460.8400000000001</v>
      </c>
      <c r="F22" s="1">
        <f>F20-F21</f>
        <v>2175.920000000001</v>
      </c>
      <c r="G22" s="1"/>
      <c r="H22" s="1"/>
      <c r="I22" s="1">
        <f>I20-I21</f>
        <v>2175.920000000001</v>
      </c>
      <c r="J22" s="9">
        <f>J20-J21</f>
        <v>2711.0761192599998</v>
      </c>
      <c r="K22" s="9">
        <f>K20-K21</f>
        <v>2878.071254808202</v>
      </c>
      <c r="L22" s="9">
        <f>L20-L21</f>
        <v>3026.7438976847743</v>
      </c>
      <c r="M22" s="9">
        <f>M20-M21</f>
        <v>3147.4771074447117</v>
      </c>
      <c r="N22" s="10">
        <f>N20-N21</f>
        <v>3227.3892128212383</v>
      </c>
      <c r="O22" s="10">
        <f>O20-O21</f>
        <v>3346.6691233034958</v>
      </c>
      <c r="P22" s="10">
        <f>P20-P21</f>
        <v>3438.4364047131198</v>
      </c>
      <c r="Q22" s="10">
        <f>Q20-Q21</f>
        <v>3494.5415150652589</v>
      </c>
      <c r="R22" s="10">
        <f>R20-R21</f>
        <v>3505.1620308378779</v>
      </c>
      <c r="S22" s="10">
        <f>S20-S21</f>
        <v>3458.4864102432866</v>
      </c>
      <c r="T22" s="10">
        <f>S22*(1+$U$26)</f>
        <v>3493.0712743457193</v>
      </c>
      <c r="U22" s="10">
        <f>T22*(1+$U$26)</f>
        <v>3528.0019870891765</v>
      </c>
      <c r="V22" s="10">
        <f>U22*(1+$U$26)</f>
        <v>3563.2820069600684</v>
      </c>
      <c r="W22" s="10">
        <f>V22*(1+$U$26)</f>
        <v>3598.9148270296691</v>
      </c>
      <c r="X22" s="10">
        <f>W22*(1+$U$26)</f>
        <v>3634.9039752999661</v>
      </c>
      <c r="Y22" s="10">
        <f>X22*(1+$U$26)</f>
        <v>3671.2530150529656</v>
      </c>
      <c r="Z22" s="10">
        <f>Y22*(1+$U$26)</f>
        <v>3707.9655452034954</v>
      </c>
      <c r="AA22" s="10">
        <f>Z22*(1+$U$26)</f>
        <v>3745.0452006555302</v>
      </c>
      <c r="AB22" s="10">
        <f>AA22*(1+$U$26)</f>
        <v>3782.4956526620854</v>
      </c>
      <c r="AC22" s="10">
        <f>AB22*(1+$U$26)</f>
        <v>3820.3206091887064</v>
      </c>
      <c r="AD22" s="10">
        <f>AC22*(1+$U$26)</f>
        <v>3858.5238152805937</v>
      </c>
      <c r="AE22" s="10">
        <f>AD22*(1+$U$26)</f>
        <v>3897.1090534333998</v>
      </c>
      <c r="AF22" s="10">
        <f>AE22*(1+$U$26)</f>
        <v>3936.0801439677339</v>
      </c>
      <c r="AG22" s="10">
        <f>AF22*(1+$U$26)</f>
        <v>3975.4409454074112</v>
      </c>
      <c r="AH22" s="10">
        <f>AG22*(1+$U$26)</f>
        <v>4015.1953548614852</v>
      </c>
      <c r="AI22" s="10">
        <f>AH22*(1+$U$26)</f>
        <v>4055.3473084101001</v>
      </c>
      <c r="AJ22" s="10">
        <f>AI22*(1+$U$26)</f>
        <v>4095.9007814942011</v>
      </c>
      <c r="AK22" s="10">
        <f>AJ22*(1+$U$26)</f>
        <v>4136.8597893091428</v>
      </c>
      <c r="AL22" s="10">
        <f>AK22*(1+$U$26)</f>
        <v>4178.2283872022344</v>
      </c>
      <c r="AM22" s="10">
        <f>AL22*(1+$U$26)</f>
        <v>4220.0106710742566</v>
      </c>
      <c r="AN22" s="10">
        <f>AM22*(1+$U$26)</f>
        <v>4262.2107777849997</v>
      </c>
      <c r="AO22" s="10">
        <f>AN22*(1+$U$26)</f>
        <v>4304.8328855628497</v>
      </c>
      <c r="AP22" s="10">
        <f>AO22*(1+$U$26)</f>
        <v>4347.8812144184785</v>
      </c>
      <c r="AQ22" s="10">
        <f>AP22*(1+$U$26)</f>
        <v>4391.3600265626637</v>
      </c>
      <c r="AR22" s="10">
        <f>AQ22*(1+$U$26)</f>
        <v>4435.2736268282906</v>
      </c>
      <c r="AS22" s="10">
        <f>AR22*(1+$U$26)</f>
        <v>4479.6263630965732</v>
      </c>
      <c r="AT22" s="10">
        <f>AS22*(1+$U$26)</f>
        <v>4524.422626727539</v>
      </c>
      <c r="AU22" s="10">
        <f>AT22*(1+$U$26)</f>
        <v>4569.6668529948147</v>
      </c>
      <c r="AV22" s="10">
        <f>AU22*(1+$U$26)</f>
        <v>4615.3635215247632</v>
      </c>
      <c r="AW22" s="10">
        <f>AV22*(1+$U$26)</f>
        <v>4661.5171567400112</v>
      </c>
      <c r="AX22" s="10">
        <f>AW22*(1+$U$26)</f>
        <v>4708.1323283074116</v>
      </c>
      <c r="AY22" s="10">
        <f>AX22*(1+$U$26)</f>
        <v>4755.2136515904858</v>
      </c>
      <c r="AZ22" s="10">
        <f>AY22*(1+$U$26)</f>
        <v>4802.7657881063906</v>
      </c>
      <c r="BA22" s="10">
        <f>AZ22*(1+$U$26)</f>
        <v>4850.7934459874541</v>
      </c>
      <c r="BB22" s="10">
        <f>BA22*(1+$U$26)</f>
        <v>4899.3013804473285</v>
      </c>
      <c r="BC22" s="10">
        <f>BB22*(1+$U$26)</f>
        <v>4948.2943942518023</v>
      </c>
      <c r="BD22" s="10">
        <f>BC22*(1+$U$26)</f>
        <v>4997.7773381943207</v>
      </c>
      <c r="BE22" s="10">
        <f>BD22*(1+$U$26)</f>
        <v>5047.7551115762635</v>
      </c>
      <c r="BF22" s="10">
        <f>BE22*(1+$U$26)</f>
        <v>5098.2326626920258</v>
      </c>
      <c r="BG22" s="10">
        <f>BF22*(1+$U$26)</f>
        <v>5149.2149893189462</v>
      </c>
      <c r="BH22" s="10">
        <f>BG22*(1+$U$26)</f>
        <v>5200.7071392121361</v>
      </c>
      <c r="BI22" s="10">
        <f>BH22*(1+$U$26)</f>
        <v>5252.7142106042575</v>
      </c>
      <c r="BJ22" s="10">
        <f>BI22*(1+$U$26)</f>
        <v>5305.2413527102999</v>
      </c>
      <c r="BK22" s="10">
        <f>BJ22*(1+$U$26)</f>
        <v>5358.2937662374034</v>
      </c>
      <c r="BL22" s="10">
        <f>BK22*(1+$U$26)</f>
        <v>5411.8767038997776</v>
      </c>
      <c r="BM22" s="10">
        <f>BL22*(1+$U$26)</f>
        <v>5465.9954709387757</v>
      </c>
      <c r="BN22" s="10">
        <f>BM22*(1+$U$26)</f>
        <v>5520.6554256481631</v>
      </c>
      <c r="BO22" s="10">
        <f>BN22*(1+$U$26)</f>
        <v>5575.8619799046446</v>
      </c>
      <c r="BP22" s="10">
        <f>BO22*(1+$U$26)</f>
        <v>5631.6205997036914</v>
      </c>
    </row>
    <row r="23">
      <c r="I23" s="7"/>
      <c r="N23" s="8"/>
      <c r="S23" s="8"/>
    </row>
    <row r="24">
      <c r="B24" t="s">
        <v>93</v>
      </c>
      <c r="D24">
        <v>24.780000000000001</v>
      </c>
      <c r="E24">
        <v>31.079999999999998</v>
      </c>
      <c r="F24">
        <v>27.399999999999999</v>
      </c>
      <c r="I24" s="7">
        <v>27.399999999999999</v>
      </c>
      <c r="N24" s="8"/>
      <c r="S24" s="8"/>
    </row>
    <row r="25">
      <c r="B25" s="2"/>
      <c r="D25" s="2"/>
      <c r="E25" s="2"/>
      <c r="F25" s="2"/>
    </row>
    <row r="26">
      <c r="G26" s="1" t="s">
        <v>94</v>
      </c>
      <c r="H26" s="1" t="s">
        <v>95</v>
      </c>
      <c r="T26" t="s">
        <v>96</v>
      </c>
      <c r="U26" s="16">
        <v>0.01</v>
      </c>
    </row>
    <row r="27">
      <c r="B27" t="s">
        <v>97</v>
      </c>
      <c r="D27">
        <f>D8-D13</f>
        <v>8890.9600000000009</v>
      </c>
      <c r="E27" s="7">
        <f>E8-E13</f>
        <v>9306.7999999999993</v>
      </c>
      <c r="F27" s="7">
        <f>F8-F13</f>
        <v>9910.130000000001</v>
      </c>
      <c r="T27" t="s">
        <v>98</v>
      </c>
      <c r="U27" s="16">
        <v>0.12</v>
      </c>
    </row>
    <row r="28">
      <c r="B28" t="s">
        <v>99</v>
      </c>
      <c r="D28" s="17">
        <f>D27/D8</f>
        <v>0.7168464098660956</v>
      </c>
      <c r="E28" s="18">
        <f>E27/E8</f>
        <v>0.65674413878366711</v>
      </c>
      <c r="F28" s="18">
        <f>F27/F8</f>
        <v>0.60797299187498621</v>
      </c>
      <c r="G28" s="19">
        <v>0.63</v>
      </c>
      <c r="H28" s="19">
        <v>0.63</v>
      </c>
      <c r="T28" t="s">
        <v>100</v>
      </c>
      <c r="U28" s="11">
        <f>NPV(U27,J22:BP22)</f>
        <v>27900.572724937727</v>
      </c>
    </row>
    <row r="29">
      <c r="B29" t="s">
        <v>101</v>
      </c>
      <c r="D29" s="17"/>
      <c r="E29" s="17">
        <f t="shared" ref="E29:E30" si="0">E14/D14-1</f>
        <v>-0.19769242333132886</v>
      </c>
      <c r="F29" s="18">
        <f t="shared" ref="F29:F30" si="1">F14/E14-1</f>
        <v>0.97964193031600444</v>
      </c>
      <c r="H29" s="7"/>
      <c r="T29" t="s">
        <v>102</v>
      </c>
      <c r="U29">
        <v>168900000</v>
      </c>
    </row>
    <row r="30">
      <c r="B30" s="2" t="s">
        <v>103</v>
      </c>
      <c r="D30" s="17"/>
      <c r="E30" s="17">
        <f t="shared" si="0"/>
        <v>-0.050971394208849219</v>
      </c>
      <c r="F30" s="17">
        <f t="shared" si="1"/>
        <v>-0.060035058105563754</v>
      </c>
      <c r="G30" s="19">
        <v>0.070000000000000007</v>
      </c>
      <c r="H30" s="19">
        <v>0.070000000000000007</v>
      </c>
      <c r="T30" s="1" t="s">
        <v>104</v>
      </c>
      <c r="U30" s="1">
        <v>700</v>
      </c>
    </row>
    <row r="31">
      <c r="B31" t="s">
        <v>105</v>
      </c>
      <c r="D31" s="17"/>
      <c r="E31" s="17">
        <f>E8/D8-1</f>
        <v>0.14256688769060077</v>
      </c>
      <c r="F31" s="18">
        <f>F8/E8-1</f>
        <v>0.15024641665584659</v>
      </c>
      <c r="G31" s="19">
        <v>0.070000000000000007</v>
      </c>
      <c r="H31" s="19">
        <v>0.070000000000000007</v>
      </c>
      <c r="T31" s="1" t="s">
        <v>106</v>
      </c>
      <c r="U31" s="9">
        <f>U28*10000000/U29</f>
        <v>1651.8989179951288</v>
      </c>
    </row>
    <row r="32">
      <c r="B32" t="s">
        <v>107</v>
      </c>
      <c r="D32" s="17"/>
      <c r="E32" s="17">
        <f t="shared" ref="E32:E33" si="2">E16/D16-1</f>
        <v>0.2977467811158796</v>
      </c>
      <c r="F32" s="18">
        <f t="shared" ref="F32:F33" si="3">F16/E16-1</f>
        <v>0.33953424280005517</v>
      </c>
      <c r="G32" s="19">
        <v>0.34999999999999998</v>
      </c>
      <c r="H32" s="19">
        <v>0.20000000000000001</v>
      </c>
    </row>
    <row r="33">
      <c r="B33" s="2" t="s">
        <v>108</v>
      </c>
      <c r="D33" s="17"/>
      <c r="E33" s="17">
        <f t="shared" si="2"/>
        <v>0.22926350245499183</v>
      </c>
      <c r="F33" s="17">
        <f t="shared" si="3"/>
        <v>0.12402407200298238</v>
      </c>
      <c r="G33" s="19">
        <v>0.14999999999999999</v>
      </c>
      <c r="H33" s="19">
        <v>0.14999999999999999</v>
      </c>
      <c r="T33" s="17"/>
    </row>
    <row r="34">
      <c r="B34" t="s">
        <v>109</v>
      </c>
      <c r="D34" s="17"/>
      <c r="E34" s="17">
        <f>E21/E20</f>
        <v>0.25534470915401536</v>
      </c>
      <c r="F34" s="18">
        <f>F21/F20</f>
        <v>0.25680715895894518</v>
      </c>
      <c r="G34" s="20">
        <v>0.255</v>
      </c>
      <c r="H34" s="20">
        <v>0.255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21" width="14.8515625"/>
    <col customWidth="1" min="2" max="2" style="21" width="10.421875"/>
    <col min="3" max="6" style="21" width="9.140625"/>
    <col customWidth="1" min="7" max="7" style="21" width="13.8515625"/>
    <col customWidth="1" min="8" max="8" style="21" width="10.421875"/>
    <col min="9" max="9" style="21" width="9.140625"/>
    <col customWidth="1" min="10" max="10" style="21" width="14.421875"/>
    <col customWidth="1" min="11" max="11" style="21" width="15.421875"/>
    <col customWidth="1" min="12" max="12" style="21" width="17.421875"/>
    <col min="13" max="16384" style="21" width="9.140625"/>
  </cols>
  <sheetData>
    <row r="1" ht="16.5">
      <c r="A1" s="21" t="s">
        <v>110</v>
      </c>
      <c r="B1" s="21" t="s">
        <v>111</v>
      </c>
    </row>
    <row r="2" ht="16.5">
      <c r="A2" s="22" t="s">
        <v>112</v>
      </c>
      <c r="D2" s="21" t="s">
        <v>113</v>
      </c>
    </row>
    <row r="3" ht="16.5">
      <c r="A3" s="21" t="s">
        <v>114</v>
      </c>
      <c r="B3" s="23" t="s">
        <v>115</v>
      </c>
    </row>
    <row r="4" ht="14.25">
      <c r="A4" s="21"/>
      <c r="B4" s="21"/>
      <c r="G4" s="21"/>
      <c r="H4" s="21"/>
      <c r="I4" s="21"/>
    </row>
    <row r="5" ht="16.5">
      <c r="A5" s="21" t="s">
        <v>116</v>
      </c>
      <c r="B5" s="21" t="s">
        <v>117</v>
      </c>
      <c r="G5" s="22">
        <v>1999</v>
      </c>
      <c r="H5" s="22">
        <v>2002</v>
      </c>
      <c r="I5" s="22">
        <v>2023</v>
      </c>
    </row>
    <row r="6" ht="16.5">
      <c r="A6" s="21"/>
      <c r="G6" s="21" t="s">
        <v>118</v>
      </c>
      <c r="H6" s="21" t="s">
        <v>119</v>
      </c>
      <c r="I6" s="21" t="s">
        <v>120</v>
      </c>
    </row>
    <row r="7" ht="16.5">
      <c r="A7" s="22" t="s">
        <v>121</v>
      </c>
      <c r="D7" s="21"/>
      <c r="I7" s="21" t="s">
        <v>122</v>
      </c>
      <c r="K7" s="21"/>
      <c r="L7" s="22" t="s">
        <v>123</v>
      </c>
    </row>
    <row r="8" ht="16.5">
      <c r="A8" s="21" t="s">
        <v>124</v>
      </c>
      <c r="B8" s="21" t="s">
        <v>125</v>
      </c>
      <c r="D8" s="24">
        <v>1</v>
      </c>
      <c r="K8" s="22" t="s">
        <v>64</v>
      </c>
      <c r="L8" s="25">
        <v>288.39999999999998</v>
      </c>
    </row>
    <row r="9" ht="16.5">
      <c r="A9" s="21" t="s">
        <v>126</v>
      </c>
      <c r="B9" s="21" t="s">
        <v>127</v>
      </c>
      <c r="D9" s="24">
        <v>1</v>
      </c>
      <c r="F9" s="21" t="s">
        <v>128</v>
      </c>
      <c r="K9" s="22" t="s">
        <v>129</v>
      </c>
      <c r="L9" s="25">
        <v>6353284188</v>
      </c>
    </row>
    <row r="10" ht="16.5">
      <c r="A10" s="21" t="s">
        <v>130</v>
      </c>
      <c r="B10" s="21" t="s">
        <v>131</v>
      </c>
      <c r="D10" s="24">
        <v>1</v>
      </c>
      <c r="K10" s="22" t="s">
        <v>132</v>
      </c>
      <c r="L10" s="26">
        <f>(L8*L9)/10000000</f>
        <v>183228.71598191999</v>
      </c>
    </row>
    <row r="11" ht="16.5">
      <c r="A11" s="21" t="s">
        <v>133</v>
      </c>
      <c r="B11" s="21" t="s">
        <v>134</v>
      </c>
      <c r="D11" s="24">
        <v>1</v>
      </c>
      <c r="K11" s="22" t="s">
        <v>135</v>
      </c>
      <c r="L11" s="27">
        <f>67.18+10892.59</f>
        <v>10959.77</v>
      </c>
    </row>
    <row r="12" ht="16.5">
      <c r="A12" s="21" t="s">
        <v>136</v>
      </c>
      <c r="B12" s="21" t="s">
        <v>137</v>
      </c>
      <c r="D12" s="24">
        <v>1</v>
      </c>
      <c r="K12" s="22" t="s">
        <v>138</v>
      </c>
      <c r="L12" s="21">
        <f>0</f>
        <v>0</v>
      </c>
    </row>
    <row r="13" ht="16.5">
      <c r="A13" s="21" t="s">
        <v>139</v>
      </c>
      <c r="B13" s="21" t="s">
        <v>140</v>
      </c>
      <c r="D13" s="24">
        <v>0.77249999999999996</v>
      </c>
      <c r="F13" s="21" t="s">
        <v>141</v>
      </c>
      <c r="K13" s="22" t="s">
        <v>142</v>
      </c>
      <c r="L13" s="28">
        <f>L10+L12-L11</f>
        <v>172268.94598192</v>
      </c>
    </row>
    <row r="14" ht="16.5">
      <c r="A14" s="21" t="s">
        <v>143</v>
      </c>
      <c r="B14" s="21" t="s">
        <v>144</v>
      </c>
      <c r="D14" s="24">
        <v>0.5</v>
      </c>
    </row>
    <row r="16" ht="14.25">
      <c r="A16" s="21"/>
      <c r="B16" s="21"/>
    </row>
    <row r="17" ht="16.5">
      <c r="A17" s="21" t="s">
        <v>145</v>
      </c>
      <c r="B17" s="21" t="s">
        <v>146</v>
      </c>
    </row>
    <row r="18" ht="16.5">
      <c r="A18" s="21"/>
      <c r="B18" s="21" t="s">
        <v>147</v>
      </c>
    </row>
    <row r="19" ht="14.25">
      <c r="A19" s="21"/>
      <c r="B19" s="21"/>
    </row>
    <row r="20" ht="16.5">
      <c r="A20" s="21" t="s">
        <v>148</v>
      </c>
      <c r="B20" s="21" t="s">
        <v>149</v>
      </c>
    </row>
    <row r="21" ht="16.5">
      <c r="B21" s="21" t="s">
        <v>150</v>
      </c>
    </row>
    <row r="22" ht="16.5">
      <c r="B22" s="21" t="s">
        <v>151</v>
      </c>
    </row>
    <row r="23" ht="14.25">
      <c r="A23" s="21"/>
      <c r="B23" s="21"/>
    </row>
    <row r="24" ht="16.5">
      <c r="A24" s="21" t="s">
        <v>133</v>
      </c>
      <c r="B24" s="21" t="s">
        <v>152</v>
      </c>
    </row>
    <row r="25" ht="16.5">
      <c r="B25" s="21" t="s">
        <v>153</v>
      </c>
    </row>
    <row r="26" ht="14.25">
      <c r="A26" s="21"/>
      <c r="B26" s="21"/>
    </row>
    <row r="27" ht="16.5">
      <c r="A27" s="21" t="s">
        <v>130</v>
      </c>
      <c r="B27" s="21" t="s">
        <v>131</v>
      </c>
    </row>
    <row r="28" ht="16.5">
      <c r="B28" s="21" t="s">
        <v>154</v>
      </c>
    </row>
    <row r="30" ht="14.25">
      <c r="A30" s="21"/>
      <c r="B30" s="21"/>
    </row>
    <row r="31" ht="16.5">
      <c r="A31" s="21" t="s">
        <v>155</v>
      </c>
    </row>
    <row r="32" ht="16.5">
      <c r="B32" s="21" t="s">
        <v>156</v>
      </c>
    </row>
  </sheetData>
  <hyperlinks>
    <hyperlink r:id="rId1" ref="B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style="21" width="11.140625"/>
    <col customWidth="1" min="2" max="5" style="21" width="22.7109375"/>
    <col customWidth="1" min="6" max="6" style="21" width="14.8515625"/>
    <col customWidth="1" min="7" max="7" style="21" width="17.7109375"/>
    <col customWidth="1" min="8" max="8" style="21" width="15.00390625"/>
    <col customWidth="1" min="9" max="9" style="21" width="21.140625"/>
    <col customWidth="1" min="10" max="10" style="21" width="21.00390625"/>
    <col customWidth="1" min="11" max="11" style="21" width="19.8515625"/>
    <col customWidth="1" min="12" max="12" style="21" width="24.57421875"/>
    <col min="13" max="16384" style="21" width="9.140625"/>
  </cols>
  <sheetData>
    <row r="1" ht="16.5">
      <c r="A1" s="21" t="s">
        <v>157</v>
      </c>
      <c r="B1" s="21" t="s">
        <v>158</v>
      </c>
      <c r="C1" s="21" t="s">
        <v>159</v>
      </c>
      <c r="D1" s="23" t="s">
        <v>160</v>
      </c>
      <c r="F1" s="21" t="s">
        <v>161</v>
      </c>
      <c r="H1" s="23" t="s">
        <v>162</v>
      </c>
    </row>
    <row r="2" s="22" customFormat="1" ht="16.5">
      <c r="B2" s="22"/>
      <c r="C2" s="22" t="s">
        <v>163</v>
      </c>
      <c r="D2" s="22" t="s">
        <v>164</v>
      </c>
      <c r="E2" s="22" t="s">
        <v>165</v>
      </c>
      <c r="F2" s="22" t="s">
        <v>166</v>
      </c>
      <c r="G2" s="22" t="s">
        <v>167</v>
      </c>
      <c r="H2" s="22" t="s">
        <v>168</v>
      </c>
      <c r="I2" s="22" t="s">
        <v>169</v>
      </c>
      <c r="J2" s="22" t="s">
        <v>170</v>
      </c>
      <c r="K2" s="22" t="s">
        <v>171</v>
      </c>
      <c r="L2" s="22" t="s">
        <v>172</v>
      </c>
    </row>
    <row r="3" ht="16.5">
      <c r="A3" s="21" t="s">
        <v>173</v>
      </c>
      <c r="B3" s="21" t="s">
        <v>174</v>
      </c>
      <c r="C3" s="21">
        <v>295.39999999999998</v>
      </c>
      <c r="D3" s="21">
        <v>295.18000000000001</v>
      </c>
      <c r="E3" s="21">
        <v>148.09</v>
      </c>
      <c r="F3" s="21">
        <v>38.340000000000003</v>
      </c>
      <c r="G3" s="21">
        <v>937.74000000000001</v>
      </c>
      <c r="H3" s="29">
        <v>852.52999999999997</v>
      </c>
    </row>
    <row r="4" ht="16.5">
      <c r="A4" s="21" t="s">
        <v>173</v>
      </c>
      <c r="B4" s="21" t="s">
        <v>175</v>
      </c>
      <c r="C4" s="21">
        <v>1.48</v>
      </c>
      <c r="D4" s="21">
        <v>0</v>
      </c>
      <c r="E4" s="21">
        <v>0</v>
      </c>
      <c r="F4" s="21">
        <v>0.27000000000000002</v>
      </c>
      <c r="G4" s="21">
        <v>216.84999999999999</v>
      </c>
      <c r="H4" s="29">
        <v>240.94</v>
      </c>
    </row>
    <row r="5" ht="16.5">
      <c r="A5" s="21" t="s">
        <v>173</v>
      </c>
      <c r="B5" s="21" t="s">
        <v>176</v>
      </c>
      <c r="C5" s="21">
        <v>0</v>
      </c>
      <c r="D5" s="21">
        <v>0</v>
      </c>
      <c r="E5" s="21">
        <v>0</v>
      </c>
      <c r="F5" s="21">
        <v>0</v>
      </c>
      <c r="G5" s="21">
        <v>151.66</v>
      </c>
      <c r="H5" s="29">
        <v>155.16999999999999</v>
      </c>
      <c r="I5" s="21"/>
    </row>
    <row r="6" ht="16.5">
      <c r="A6" s="21" t="s">
        <v>177</v>
      </c>
      <c r="B6" s="21" t="s">
        <v>178</v>
      </c>
      <c r="C6" s="21">
        <v>52.369999999999997</v>
      </c>
      <c r="D6" s="21">
        <v>0</v>
      </c>
      <c r="E6" s="21">
        <v>0.52000000000000002</v>
      </c>
      <c r="F6" s="21">
        <v>3.02</v>
      </c>
      <c r="G6" s="21">
        <v>547.63</v>
      </c>
      <c r="H6" s="29">
        <v>794.26999999999998</v>
      </c>
    </row>
    <row r="7" s="22" customFormat="1" ht="16.5">
      <c r="B7" s="22" t="s">
        <v>179</v>
      </c>
      <c r="C7" s="22">
        <f>C3+C4+C5+C6</f>
        <v>349.25</v>
      </c>
      <c r="D7" s="22">
        <f>D3+D4+D5+D6</f>
        <v>295.18000000000001</v>
      </c>
      <c r="E7" s="22">
        <f>E3+E4+E5+E6</f>
        <v>148.61000000000001</v>
      </c>
      <c r="F7" s="22">
        <f>F3+F4+F5+F6</f>
        <v>41.63000000000001</v>
      </c>
      <c r="G7" s="22">
        <f>SUM(G3:G6)</f>
        <v>1853.8800000000001</v>
      </c>
      <c r="H7" s="30">
        <f>SUM(H3:H6)</f>
        <v>2042.9100000000001</v>
      </c>
      <c r="I7" s="22"/>
    </row>
    <row r="8" ht="16.5">
      <c r="B8" s="21" t="s">
        <v>180</v>
      </c>
      <c r="C8" s="21">
        <v>0</v>
      </c>
      <c r="D8" s="21">
        <v>15.630000000000001</v>
      </c>
      <c r="E8" s="21">
        <v>35.649999999999999</v>
      </c>
      <c r="F8" s="21">
        <v>3.21</v>
      </c>
      <c r="G8" s="21">
        <v>0.80000000000000004</v>
      </c>
      <c r="H8" s="29">
        <v>36.009999999999998</v>
      </c>
    </row>
    <row r="9" s="22" customFormat="1" ht="16.5">
      <c r="B9" s="22" t="s">
        <v>181</v>
      </c>
      <c r="C9" s="22">
        <f>C7+C8</f>
        <v>349.25</v>
      </c>
      <c r="D9" s="22">
        <f>D7+D8</f>
        <v>310.81</v>
      </c>
      <c r="E9" s="22">
        <f>E7+E8</f>
        <v>184.26000000000002</v>
      </c>
      <c r="F9" s="22">
        <f>F7+F8</f>
        <v>44.840000000000011</v>
      </c>
      <c r="G9" s="22">
        <f>G7+G8</f>
        <v>1854.6800000000001</v>
      </c>
      <c r="H9" s="30">
        <f>H7+H8</f>
        <v>2078.9200000000001</v>
      </c>
      <c r="I9" s="22"/>
    </row>
    <row r="10" ht="14.25">
      <c r="B10" s="21"/>
      <c r="C10" s="21"/>
      <c r="D10" s="21"/>
      <c r="E10" s="21"/>
      <c r="H10" s="29"/>
    </row>
    <row r="11" ht="16.5">
      <c r="B11" s="21" t="s">
        <v>182</v>
      </c>
      <c r="C11" s="21">
        <v>127.76000000000001</v>
      </c>
      <c r="D11" s="21">
        <v>110.56999999999999</v>
      </c>
      <c r="E11" s="21">
        <v>0</v>
      </c>
      <c r="F11" s="21">
        <v>0</v>
      </c>
      <c r="G11" s="21">
        <v>10.27</v>
      </c>
      <c r="H11" s="29">
        <v>7.6500000000000004</v>
      </c>
    </row>
    <row r="12" ht="16.5">
      <c r="B12" s="21" t="s">
        <v>183</v>
      </c>
      <c r="C12" s="21">
        <v>0</v>
      </c>
      <c r="D12" s="21">
        <v>12.25</v>
      </c>
      <c r="E12" s="21">
        <v>0</v>
      </c>
      <c r="F12" s="21">
        <v>-10.06</v>
      </c>
      <c r="G12" s="21">
        <v>2.0499999999999998</v>
      </c>
      <c r="H12" s="29">
        <v>40.350000000000001</v>
      </c>
    </row>
    <row r="13" ht="16.5">
      <c r="B13" s="21" t="s">
        <v>86</v>
      </c>
      <c r="C13" s="21">
        <v>0</v>
      </c>
      <c r="D13" s="21">
        <v>0</v>
      </c>
      <c r="E13" s="21">
        <v>0</v>
      </c>
      <c r="F13" s="21">
        <v>0</v>
      </c>
      <c r="G13" s="21">
        <v>116.04000000000001</v>
      </c>
      <c r="H13" s="29">
        <v>214.91999999999999</v>
      </c>
    </row>
    <row r="14" ht="16.5">
      <c r="B14" s="21" t="s">
        <v>184</v>
      </c>
      <c r="C14" s="21">
        <v>0</v>
      </c>
      <c r="D14" s="21">
        <v>0</v>
      </c>
      <c r="E14" s="21">
        <v>0</v>
      </c>
      <c r="F14" s="21">
        <v>0</v>
      </c>
      <c r="G14" s="21">
        <v>21.52</v>
      </c>
      <c r="H14" s="29">
        <v>22.52</v>
      </c>
    </row>
    <row r="15" ht="16.5">
      <c r="B15" s="21" t="s">
        <v>185</v>
      </c>
      <c r="C15" s="21">
        <v>27.649999999999999</v>
      </c>
      <c r="D15" s="21">
        <v>69.930000000000007</v>
      </c>
      <c r="E15" s="21">
        <v>7.3899999999999997</v>
      </c>
      <c r="F15" s="21">
        <v>5.5599999999999996</v>
      </c>
      <c r="G15" s="21">
        <v>177.43000000000001</v>
      </c>
      <c r="H15" s="29">
        <v>239.38999999999999</v>
      </c>
    </row>
    <row r="16" s="22" customFormat="1" ht="16.5">
      <c r="B16" s="22" t="s">
        <v>89</v>
      </c>
      <c r="C16" s="22">
        <f>SUM(C11:C15)</f>
        <v>155.41</v>
      </c>
      <c r="D16" s="22">
        <f>SUM(D11:D15)</f>
        <v>192.75</v>
      </c>
      <c r="E16" s="22">
        <f>SUM(E11:E15)</f>
        <v>7.3899999999999997</v>
      </c>
      <c r="F16" s="22">
        <f>SUM(F11:F15)</f>
        <v>-4.5000000000000009</v>
      </c>
      <c r="G16" s="22">
        <f>SUM(G11:G15)</f>
        <v>327.31000000000006</v>
      </c>
      <c r="H16" s="30">
        <f>SUM(H11:H15)</f>
        <v>524.82999999999993</v>
      </c>
      <c r="I16" s="22"/>
    </row>
    <row r="17" ht="14.25">
      <c r="C17" s="21"/>
      <c r="D17" s="21"/>
      <c r="E17" s="21"/>
      <c r="H17" s="29"/>
    </row>
    <row r="18" ht="16.5">
      <c r="B18" s="21" t="s">
        <v>186</v>
      </c>
      <c r="C18" s="21">
        <f>C9-C16</f>
        <v>193.84</v>
      </c>
      <c r="D18" s="21">
        <f>D9-D16</f>
        <v>118.06</v>
      </c>
      <c r="E18" s="21">
        <f>E9-E16</f>
        <v>176.87000000000003</v>
      </c>
      <c r="F18" s="21">
        <f>F9-F16</f>
        <v>49.340000000000011</v>
      </c>
      <c r="G18" s="21">
        <f>G9-G16</f>
        <v>1527.3699999999999</v>
      </c>
      <c r="H18" s="29">
        <v>1554.0899999999999</v>
      </c>
    </row>
    <row r="19" ht="16.5">
      <c r="B19" s="21" t="s">
        <v>187</v>
      </c>
      <c r="C19" s="21">
        <v>0</v>
      </c>
      <c r="D19" s="21">
        <v>0</v>
      </c>
      <c r="E19" s="21">
        <v>0</v>
      </c>
      <c r="F19" s="21">
        <v>0</v>
      </c>
      <c r="G19" s="21">
        <v>428.51999999999998</v>
      </c>
      <c r="H19" s="29">
        <v>392.81999999999999</v>
      </c>
    </row>
    <row r="20" ht="16.5">
      <c r="B20" s="21" t="s">
        <v>90</v>
      </c>
      <c r="C20" s="21">
        <f>C18+C19</f>
        <v>193.84</v>
      </c>
      <c r="D20" s="21">
        <f>D18+D19</f>
        <v>118.06</v>
      </c>
      <c r="E20" s="21">
        <f>E18+E19</f>
        <v>176.87000000000003</v>
      </c>
      <c r="F20" s="21">
        <f>F18+F19</f>
        <v>49.340000000000011</v>
      </c>
      <c r="G20" s="21">
        <f>G18+G19</f>
        <v>1955.8899999999999</v>
      </c>
      <c r="H20" s="29">
        <f>H18+H19</f>
        <v>1946.9099999999999</v>
      </c>
    </row>
    <row r="21" ht="14.25">
      <c r="C21" s="21"/>
      <c r="D21" s="21"/>
      <c r="E21" s="21"/>
      <c r="H21" s="29"/>
    </row>
    <row r="22" ht="16.5">
      <c r="B22" s="21" t="s">
        <v>188</v>
      </c>
      <c r="C22" s="21">
        <f>12.9+0-49.01</f>
        <v>-36.109999999999999</v>
      </c>
      <c r="D22" s="21">
        <f>3.4+0.31-8.71</f>
        <v>-5.0000000000000009</v>
      </c>
      <c r="E22" s="21">
        <f>-10.2+0+1.37</f>
        <v>-8.8299999999999983</v>
      </c>
      <c r="F22" s="21">
        <f>-8.7-9.39</f>
        <v>-18.09</v>
      </c>
      <c r="G22" s="21">
        <f>-333.2-18.14</f>
        <v>-351.33999999999997</v>
      </c>
      <c r="H22" s="29">
        <f>-269.92-64.4</f>
        <v>-334.32000000000005</v>
      </c>
    </row>
    <row r="23" s="22" customFormat="1" ht="16.5">
      <c r="B23" s="22" t="s">
        <v>92</v>
      </c>
      <c r="C23" s="22">
        <f>C20-C22</f>
        <v>229.94999999999999</v>
      </c>
      <c r="D23" s="22">
        <f>D20-D22</f>
        <v>123.06</v>
      </c>
      <c r="E23" s="22">
        <f>E20+E22</f>
        <v>168.04000000000002</v>
      </c>
      <c r="F23" s="22">
        <f>F20+F22</f>
        <v>31.250000000000011</v>
      </c>
      <c r="G23" s="22">
        <f>G20+G22</f>
        <v>1604.55</v>
      </c>
      <c r="H23" s="30">
        <f>H20+H22</f>
        <v>1612.5899999999997</v>
      </c>
      <c r="I23" s="22"/>
    </row>
    <row r="24" ht="16.5">
      <c r="A24" s="21" t="s">
        <v>189</v>
      </c>
      <c r="B24" s="21" t="s">
        <v>190</v>
      </c>
      <c r="C24" s="21">
        <v>0</v>
      </c>
      <c r="D24" s="21">
        <v>0</v>
      </c>
      <c r="E24" s="21">
        <v>0</v>
      </c>
      <c r="F24" s="21">
        <v>0</v>
      </c>
      <c r="G24" s="21">
        <f>23423.62</f>
        <v>23423.619999999999</v>
      </c>
      <c r="H24" s="29">
        <v>-17263.75</v>
      </c>
    </row>
    <row r="25" s="22" customFormat="1" ht="16.5">
      <c r="B25" s="22" t="s">
        <v>191</v>
      </c>
      <c r="C25" s="22">
        <f>C24+C23</f>
        <v>229.94999999999999</v>
      </c>
      <c r="D25" s="22">
        <f>D24+D23</f>
        <v>123.06</v>
      </c>
      <c r="E25" s="22">
        <f>E24+E23</f>
        <v>168.04000000000002</v>
      </c>
      <c r="F25" s="22">
        <f>F24+F23</f>
        <v>31.250000000000011</v>
      </c>
      <c r="G25" s="22">
        <f>G24+G23</f>
        <v>25028.169999999998</v>
      </c>
      <c r="H25" s="30">
        <f>H24+H23</f>
        <v>-15651.16</v>
      </c>
      <c r="I25" s="22"/>
    </row>
    <row r="26" s="22" customFormat="1" ht="16.5">
      <c r="A26" s="21" t="s">
        <v>192</v>
      </c>
      <c r="B26" s="22" t="s">
        <v>193</v>
      </c>
      <c r="C26" s="22">
        <f>C25</f>
        <v>229.94999999999999</v>
      </c>
      <c r="D26" s="22">
        <f>D25</f>
        <v>123.06</v>
      </c>
      <c r="E26" s="22">
        <f>E25</f>
        <v>168.04000000000002</v>
      </c>
      <c r="F26" s="22">
        <f>F25</f>
        <v>31.250000000000011</v>
      </c>
      <c r="G26" s="22">
        <f>G23</f>
        <v>1604.55</v>
      </c>
      <c r="H26" s="30">
        <f>H23</f>
        <v>1612.5899999999997</v>
      </c>
      <c r="I26" s="22"/>
    </row>
    <row r="27" s="22" customFormat="1" ht="14.25">
      <c r="B27" s="22"/>
      <c r="C27" s="22"/>
      <c r="D27" s="22"/>
      <c r="E27" s="22"/>
      <c r="F27" s="22"/>
      <c r="G27" s="22"/>
      <c r="H27" s="30"/>
      <c r="I27" s="22"/>
    </row>
    <row r="28" s="22" customFormat="1" ht="16.5">
      <c r="B28" s="22" t="s">
        <v>194</v>
      </c>
      <c r="C28" s="22"/>
      <c r="D28" s="22">
        <v>2.02</v>
      </c>
      <c r="E28" s="22"/>
      <c r="F28" s="22"/>
      <c r="G28" s="22">
        <v>6353.2799999999997</v>
      </c>
      <c r="H28" s="30">
        <v>6353.1400000000003</v>
      </c>
      <c r="I28" s="22"/>
    </row>
    <row r="29" s="22" customFormat="1" ht="16.5">
      <c r="B29" s="22" t="s">
        <v>22</v>
      </c>
      <c r="C29" s="22"/>
      <c r="D29" s="22">
        <f>892.96+881.17</f>
        <v>1774.1300000000001</v>
      </c>
      <c r="E29" s="22"/>
      <c r="F29" s="22"/>
      <c r="G29" s="22"/>
      <c r="H29" s="30"/>
      <c r="I29" s="22"/>
    </row>
    <row r="30" ht="14.25">
      <c r="C30" s="21"/>
      <c r="D30" s="21"/>
      <c r="E30" s="21"/>
      <c r="F30" s="21"/>
      <c r="G30" s="21"/>
      <c r="H30" s="29"/>
      <c r="I30" s="21"/>
    </row>
    <row r="31" ht="16.5">
      <c r="B31" s="21" t="s">
        <v>195</v>
      </c>
      <c r="C31" s="31">
        <v>5168355</v>
      </c>
      <c r="D31" s="31">
        <v>5168355</v>
      </c>
      <c r="E31" s="31">
        <v>5168355</v>
      </c>
      <c r="F31" s="31">
        <v>5168355</v>
      </c>
      <c r="G31" s="31">
        <v>6353284188</v>
      </c>
      <c r="H31" s="32">
        <v>6353284188</v>
      </c>
    </row>
    <row r="32" ht="16.5">
      <c r="B32" s="21" t="s">
        <v>93</v>
      </c>
      <c r="C32" s="27">
        <f>C25*10000000/C31</f>
        <v>444.91912803977283</v>
      </c>
      <c r="D32" s="27">
        <f>D25*10000000/D31</f>
        <v>238.10283929799715</v>
      </c>
      <c r="E32" s="27">
        <f>E25*10000000/E31</f>
        <v>325.13246477844501</v>
      </c>
      <c r="F32" s="27">
        <f>F25*10000000/F31</f>
        <v>60.464112856024812</v>
      </c>
      <c r="G32" s="27">
        <f>G26*10000000/G31</f>
        <v>2.5255441949703008</v>
      </c>
      <c r="H32" s="33">
        <f>H26*10000000/H31</f>
        <v>2.5381990672569605</v>
      </c>
      <c r="L32" s="21"/>
    </row>
    <row r="33" ht="14.25">
      <c r="B33" s="21"/>
      <c r="C33" s="21"/>
      <c r="D33" s="21"/>
      <c r="F33" s="21"/>
      <c r="G33" s="21"/>
      <c r="H33" s="29"/>
    </row>
    <row r="34" ht="16.5">
      <c r="B34" s="21" t="s">
        <v>196</v>
      </c>
      <c r="C34" s="21"/>
      <c r="D34" s="34">
        <f>D11/D3</f>
        <v>0.37458499898367092</v>
      </c>
      <c r="E34" s="21"/>
      <c r="F34" s="34">
        <f>F11/F3</f>
        <v>0</v>
      </c>
      <c r="G34" s="34">
        <f>G11/G3</f>
        <v>0.010951862989741292</v>
      </c>
      <c r="H34" s="35">
        <f>H11/H3</f>
        <v>0.008973291262477567</v>
      </c>
    </row>
    <row r="35" ht="16.5">
      <c r="B35" s="21" t="s">
        <v>197</v>
      </c>
      <c r="C35" s="21"/>
      <c r="D35" s="34">
        <f>D26/(D29+D28)</f>
        <v>0.069284688793176244</v>
      </c>
      <c r="E35" s="21"/>
      <c r="F35" s="34"/>
      <c r="G35" s="34"/>
      <c r="H35" s="35"/>
    </row>
    <row r="36" ht="16.5">
      <c r="B36" s="21" t="s">
        <v>198</v>
      </c>
      <c r="C36" s="21"/>
      <c r="D36" s="34">
        <f>D23/C23</f>
        <v>0.53515981735159823</v>
      </c>
      <c r="E36" s="21"/>
      <c r="F36" s="21"/>
      <c r="G36" s="34">
        <f>G23/F23</f>
        <v>51.345599999999983</v>
      </c>
      <c r="H36" s="35">
        <f>H23/G23</f>
        <v>1.0050107506777599</v>
      </c>
    </row>
    <row r="37" ht="16.5">
      <c r="B37" s="21" t="s">
        <v>199</v>
      </c>
      <c r="C37" s="21"/>
      <c r="D37" s="34">
        <f>D16/100</f>
        <v>1.9275</v>
      </c>
      <c r="E37" s="21"/>
      <c r="F37" s="21"/>
      <c r="G37" s="34">
        <f>G16/100</f>
        <v>3.2731000000000008</v>
      </c>
      <c r="H37" s="35">
        <f>H16/100</f>
        <v>5.2482999999999995</v>
      </c>
    </row>
    <row r="38" ht="16.5">
      <c r="B38" s="21" t="s">
        <v>200</v>
      </c>
      <c r="C38" s="21"/>
      <c r="D38" s="34">
        <f>D9/C9</f>
        <v>0.88993557623478881</v>
      </c>
      <c r="E38" s="21"/>
      <c r="F38" s="21"/>
      <c r="G38" s="34">
        <f>G9/F9</f>
        <v>41.362176628010694</v>
      </c>
      <c r="H38" s="34">
        <f>H9/G9</f>
        <v>1.120904953954321</v>
      </c>
    </row>
    <row r="40" s="36" customFormat="1" ht="16.5">
      <c r="A40" s="37" t="s">
        <v>201</v>
      </c>
      <c r="B40" s="38" t="s">
        <v>202</v>
      </c>
      <c r="C40" s="36"/>
      <c r="D40" s="36"/>
      <c r="E40" s="36"/>
      <c r="F40" s="36"/>
      <c r="G40" s="36"/>
      <c r="H40" s="36"/>
    </row>
    <row r="41" ht="13.800000000000001" customHeight="1"/>
    <row r="42" ht="16.5">
      <c r="B42" s="21" t="s">
        <v>174</v>
      </c>
      <c r="G42" s="21"/>
      <c r="H42" s="21">
        <v>117.13</v>
      </c>
    </row>
    <row r="43" ht="16.5">
      <c r="B43" s="21" t="s">
        <v>175</v>
      </c>
      <c r="H43" s="21">
        <v>235.03</v>
      </c>
    </row>
    <row r="44" ht="16.5">
      <c r="A44" s="21"/>
      <c r="B44" s="21" t="s">
        <v>176</v>
      </c>
      <c r="H44" s="21">
        <v>6.4000000000000004</v>
      </c>
    </row>
    <row r="45" ht="16.5">
      <c r="B45" s="21" t="s">
        <v>178</v>
      </c>
      <c r="H45" s="21">
        <v>447</v>
      </c>
    </row>
    <row r="46" ht="16.5">
      <c r="B46" s="21" t="s">
        <v>203</v>
      </c>
      <c r="H46" s="21">
        <v>0</v>
      </c>
    </row>
    <row r="47" ht="16.5">
      <c r="B47" s="21" t="s">
        <v>204</v>
      </c>
      <c r="H47" s="21">
        <v>0</v>
      </c>
    </row>
    <row r="48" ht="16.5">
      <c r="B48" s="21" t="s">
        <v>205</v>
      </c>
      <c r="H48" s="21">
        <v>0</v>
      </c>
    </row>
    <row r="49" ht="16.5">
      <c r="A49" s="21"/>
      <c r="B49" s="22" t="s">
        <v>179</v>
      </c>
      <c r="H49" s="21">
        <f>SUM(H42:H48)</f>
        <v>805.55999999999995</v>
      </c>
    </row>
    <row r="50" ht="16.5">
      <c r="B50" s="21" t="s">
        <v>180</v>
      </c>
      <c r="H50" s="21">
        <v>33.719999999999999</v>
      </c>
    </row>
    <row r="51" ht="16.5">
      <c r="B51" s="22" t="s">
        <v>181</v>
      </c>
      <c r="H51" s="21">
        <f>H49+H50</f>
        <v>839.27999999999997</v>
      </c>
    </row>
    <row r="52" ht="14.25">
      <c r="B52" s="21"/>
    </row>
    <row r="53" ht="16.5">
      <c r="B53" s="21" t="s">
        <v>182</v>
      </c>
      <c r="H53" s="21">
        <v>0</v>
      </c>
    </row>
    <row r="54" ht="16.5">
      <c r="B54" s="21" t="s">
        <v>183</v>
      </c>
      <c r="H54" s="21">
        <v>6.5499999999999998</v>
      </c>
    </row>
    <row r="55" ht="16.5">
      <c r="B55" s="21" t="s">
        <v>86</v>
      </c>
      <c r="H55" s="21">
        <v>83.409999999999997</v>
      </c>
    </row>
    <row r="56" ht="16.5">
      <c r="B56" s="21" t="s">
        <v>184</v>
      </c>
      <c r="H56" s="21">
        <v>12.359999999999999</v>
      </c>
    </row>
    <row r="57" ht="16.5">
      <c r="B57" s="21" t="s">
        <v>185</v>
      </c>
      <c r="H57" s="21">
        <v>83.469999999999999</v>
      </c>
    </row>
    <row r="58" ht="16.5">
      <c r="B58" s="22" t="s">
        <v>89</v>
      </c>
      <c r="H58" s="21">
        <f>SUM(H53:H57)</f>
        <v>185.78999999999999</v>
      </c>
    </row>
    <row r="59" ht="14.25">
      <c r="B59" s="21"/>
    </row>
    <row r="60" ht="16.5">
      <c r="B60" s="21" t="s">
        <v>186</v>
      </c>
      <c r="H60" s="21">
        <f>H51-H58</f>
        <v>653.49000000000001</v>
      </c>
    </row>
    <row r="61" ht="16.5">
      <c r="B61" s="21" t="s">
        <v>187</v>
      </c>
      <c r="H61" s="21">
        <v>0</v>
      </c>
    </row>
    <row r="62" ht="16.5">
      <c r="B62" s="21" t="s">
        <v>90</v>
      </c>
      <c r="H62" s="21">
        <f>H60-H61</f>
        <v>653.49000000000001</v>
      </c>
    </row>
    <row r="63" ht="14.25">
      <c r="B63" s="21"/>
    </row>
    <row r="64" ht="16.5">
      <c r="B64" s="21" t="s">
        <v>188</v>
      </c>
      <c r="H64" s="21">
        <f>-44.8-59.68</f>
        <v>-104.47999999999999</v>
      </c>
    </row>
    <row r="65" ht="14.25">
      <c r="B65" s="22" t="s">
        <v>92</v>
      </c>
      <c r="H65" s="21">
        <f>H62+H64</f>
        <v>549.00999999999999</v>
      </c>
    </row>
    <row r="66" ht="14.25">
      <c r="B66" s="21" t="s">
        <v>190</v>
      </c>
      <c r="H66" s="21">
        <v>0</v>
      </c>
    </row>
    <row r="67" ht="14.25">
      <c r="B67" s="22" t="s">
        <v>191</v>
      </c>
      <c r="H67" s="21">
        <f>H65+H66</f>
        <v>549.00999999999999</v>
      </c>
    </row>
    <row r="68" ht="14.25">
      <c r="B68" s="22" t="s">
        <v>193</v>
      </c>
      <c r="H68" s="21">
        <f>H67</f>
        <v>549.00999999999999</v>
      </c>
    </row>
    <row r="70" ht="14.25">
      <c r="B70" s="21" t="s">
        <v>93</v>
      </c>
      <c r="H70" s="39">
        <f>H68*10000000/H89</f>
        <v>0.86415536254513503</v>
      </c>
    </row>
    <row r="71" ht="14.25">
      <c r="B71" s="21"/>
    </row>
    <row r="86" ht="14.25">
      <c r="A86" s="21" t="s">
        <v>206</v>
      </c>
      <c r="B86" s="21"/>
    </row>
    <row r="87" ht="14.25">
      <c r="B87" s="21" t="s">
        <v>207</v>
      </c>
      <c r="H87" s="21">
        <v>6353.1400000000003</v>
      </c>
    </row>
    <row r="88" ht="14.25">
      <c r="B88" s="21" t="s">
        <v>208</v>
      </c>
      <c r="H88" s="21">
        <v>10</v>
      </c>
    </row>
    <row r="89" ht="14.25">
      <c r="B89" s="21" t="s">
        <v>209</v>
      </c>
      <c r="H89" s="21">
        <f>H87/H88*10000000</f>
        <v>6353140000.000001</v>
      </c>
    </row>
  </sheetData>
  <hyperlinks>
    <hyperlink r:id="rId1" ref="D1"/>
    <hyperlink r:id="rId2" ref="H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style="21" width="16.7109375"/>
    <col customWidth="1" min="2" max="2" style="21" width="26.7109375"/>
    <col customWidth="1" min="3" max="6" style="21" width="16.7109375"/>
    <col customWidth="1" min="7" max="16384" style="21" width="16.7109375"/>
  </cols>
  <sheetData>
    <row r="1" ht="16.5">
      <c r="A1" s="22" t="s">
        <v>157</v>
      </c>
      <c r="B1" s="22" t="s">
        <v>210</v>
      </c>
      <c r="C1" s="22"/>
      <c r="D1" s="22"/>
      <c r="E1" s="22"/>
      <c r="F1" s="22"/>
      <c r="G1" s="21"/>
    </row>
    <row r="2" s="22" customFormat="1" ht="16.5">
      <c r="B2" s="22"/>
      <c r="C2" s="22" t="s">
        <v>211</v>
      </c>
      <c r="D2" s="22" t="s">
        <v>212</v>
      </c>
      <c r="E2" s="22" t="s">
        <v>213</v>
      </c>
      <c r="F2" s="22" t="s">
        <v>214</v>
      </c>
      <c r="G2" s="22" t="s">
        <v>215</v>
      </c>
      <c r="H2" s="22" t="s">
        <v>163</v>
      </c>
      <c r="I2" s="22" t="s">
        <v>164</v>
      </c>
      <c r="J2" s="22" t="s">
        <v>165</v>
      </c>
      <c r="K2" s="22" t="s">
        <v>166</v>
      </c>
      <c r="L2" s="22" t="s">
        <v>167</v>
      </c>
      <c r="M2" s="22"/>
      <c r="N2" s="22"/>
      <c r="Q2" s="22">
        <v>2024</v>
      </c>
      <c r="R2" s="22">
        <f>Q2+1</f>
        <v>2025</v>
      </c>
      <c r="S2" s="22">
        <f>R2+1</f>
        <v>2026</v>
      </c>
      <c r="T2" s="22">
        <f>S2+1</f>
        <v>2027</v>
      </c>
      <c r="U2" s="22">
        <f>T2+1</f>
        <v>2028</v>
      </c>
      <c r="V2" s="22">
        <f>U2+1</f>
        <v>2029</v>
      </c>
      <c r="W2" s="22">
        <f>V2+1</f>
        <v>2030</v>
      </c>
      <c r="X2" s="22">
        <f>W2+1</f>
        <v>2031</v>
      </c>
      <c r="Y2" s="22">
        <f>X2+1</f>
        <v>2032</v>
      </c>
      <c r="Z2" s="22">
        <f>Y2+1</f>
        <v>2033</v>
      </c>
      <c r="AA2" s="22">
        <f>Z2+1</f>
        <v>2034</v>
      </c>
      <c r="AB2" s="22">
        <f>AA2+1</f>
        <v>2035</v>
      </c>
      <c r="AC2" s="22"/>
    </row>
    <row r="3" ht="16.5">
      <c r="B3" s="21" t="s">
        <v>174</v>
      </c>
      <c r="C3" s="21"/>
      <c r="D3" s="21"/>
      <c r="E3" s="21"/>
      <c r="F3" s="21"/>
      <c r="G3" s="21">
        <v>6576.2200000000003</v>
      </c>
      <c r="H3" s="21">
        <v>8124.6499999999996</v>
      </c>
      <c r="I3" s="21">
        <v>9224.7700000000004</v>
      </c>
      <c r="J3" s="21">
        <v>9567.3500000000004</v>
      </c>
      <c r="K3" s="21">
        <v>12082.58</v>
      </c>
      <c r="L3" s="21">
        <v>17627.110000000001</v>
      </c>
      <c r="Q3" s="21">
        <v>17627.110000000001</v>
      </c>
    </row>
    <row r="4" ht="16.5">
      <c r="B4" s="21" t="s">
        <v>216</v>
      </c>
      <c r="C4" s="21"/>
      <c r="D4" s="21"/>
      <c r="E4" s="21"/>
      <c r="F4" s="21"/>
      <c r="G4" s="21">
        <v>86.700000000000003</v>
      </c>
      <c r="H4" s="21">
        <v>247.27000000000001</v>
      </c>
      <c r="I4" s="21">
        <v>0</v>
      </c>
      <c r="J4" s="21">
        <v>0</v>
      </c>
      <c r="K4" s="21">
        <v>0</v>
      </c>
      <c r="L4" s="21">
        <v>0</v>
      </c>
      <c r="Q4" s="21">
        <v>0</v>
      </c>
    </row>
    <row r="5" ht="16.5">
      <c r="B5" s="21" t="s">
        <v>217</v>
      </c>
      <c r="C5" s="21"/>
      <c r="D5" s="21"/>
      <c r="E5" s="21"/>
      <c r="F5" s="21"/>
      <c r="G5" s="21">
        <v>237.00999999999999</v>
      </c>
      <c r="H5" s="21">
        <v>248.69999999999999</v>
      </c>
      <c r="I5" s="21">
        <v>269.38999999999999</v>
      </c>
      <c r="J5" s="21">
        <v>472.54000000000002</v>
      </c>
      <c r="K5" s="21">
        <v>650.70000000000005</v>
      </c>
      <c r="L5" s="21">
        <v>1342.1199999999999</v>
      </c>
      <c r="Q5" s="21">
        <v>1342.1199999999999</v>
      </c>
    </row>
    <row r="6" ht="16.5">
      <c r="B6" s="21" t="s">
        <v>218</v>
      </c>
      <c r="C6" s="21"/>
      <c r="D6" s="21"/>
      <c r="E6" s="21"/>
      <c r="F6" s="21"/>
      <c r="G6" s="21">
        <v>63.340000000000003</v>
      </c>
      <c r="H6" s="21">
        <v>15.69</v>
      </c>
      <c r="I6" s="21">
        <v>4.8700000000000001</v>
      </c>
      <c r="J6" s="21">
        <v>16.109999999999999</v>
      </c>
      <c r="K6" s="21">
        <v>69.730000000000004</v>
      </c>
      <c r="L6" s="21">
        <v>145.97999999999999</v>
      </c>
      <c r="Q6" s="21">
        <v>145.97999999999999</v>
      </c>
    </row>
    <row r="7" ht="16.5">
      <c r="B7" s="21" t="s">
        <v>219</v>
      </c>
      <c r="C7" s="21"/>
      <c r="D7" s="21"/>
      <c r="E7" s="21"/>
      <c r="F7" s="21"/>
      <c r="G7" s="21">
        <v>124.34999999999999</v>
      </c>
      <c r="H7" s="21">
        <v>75.700000000000003</v>
      </c>
      <c r="I7" s="21">
        <v>80.370000000000005</v>
      </c>
      <c r="J7" s="21">
        <v>84.75</v>
      </c>
      <c r="K7" s="21">
        <v>81.090000000000003</v>
      </c>
      <c r="L7" s="21">
        <v>24.41</v>
      </c>
      <c r="Q7" s="21">
        <v>24.41</v>
      </c>
    </row>
    <row r="8" s="22" customFormat="1" ht="16.5">
      <c r="B8" s="22" t="s">
        <v>220</v>
      </c>
      <c r="C8" s="22">
        <v>3714.8137000000002</v>
      </c>
      <c r="D8" s="22">
        <v>4213.7498999999998</v>
      </c>
      <c r="E8" s="22">
        <v>4693.4755999999998</v>
      </c>
      <c r="F8" s="22">
        <v>5500.6390000000001</v>
      </c>
      <c r="G8" s="22">
        <f>SUM(G3:G7)</f>
        <v>7087.6200000000008</v>
      </c>
      <c r="H8" s="22">
        <f>SUM(H3:H7)</f>
        <v>8712.010000000002</v>
      </c>
      <c r="I8" s="22">
        <f>SUM(I3:I7)</f>
        <v>9579.4000000000015</v>
      </c>
      <c r="J8" s="22">
        <f>SUM(J3:J7)</f>
        <v>10140.750000000002</v>
      </c>
      <c r="K8" s="22">
        <f>SUM(K3:K7)</f>
        <v>12884.1</v>
      </c>
      <c r="L8" s="22">
        <f>SUM(L3:L7)</f>
        <v>19139.619999999999</v>
      </c>
      <c r="M8" s="22"/>
      <c r="Q8" s="22">
        <f>SUM(Q3:Q7)</f>
        <v>19139.619999999999</v>
      </c>
      <c r="R8" s="22"/>
    </row>
    <row r="9" ht="16.5">
      <c r="B9" s="21" t="s">
        <v>221</v>
      </c>
      <c r="C9" s="21">
        <v>0.65659999999999996</v>
      </c>
      <c r="D9" s="21">
        <v>2.2040000000000002</v>
      </c>
      <c r="E9" s="21">
        <v>3.3658999999999999</v>
      </c>
      <c r="F9" s="21">
        <v>0.62539999999999996</v>
      </c>
      <c r="G9" s="21">
        <v>21.210000000000001</v>
      </c>
      <c r="H9" s="21">
        <v>0.62</v>
      </c>
      <c r="I9" s="21">
        <v>60.32</v>
      </c>
      <c r="J9" s="21">
        <v>91.060000000000002</v>
      </c>
      <c r="K9" s="21">
        <v>221.49000000000001</v>
      </c>
      <c r="L9" s="21">
        <v>280.25</v>
      </c>
      <c r="Q9" s="21">
        <v>280.25</v>
      </c>
    </row>
    <row r="10" ht="16.5">
      <c r="B10" s="21" t="s">
        <v>191</v>
      </c>
      <c r="C10" s="21">
        <f>C8+C9</f>
        <v>3715.4703</v>
      </c>
      <c r="D10" s="21">
        <f>D8+D9</f>
        <v>4215.9538999999995</v>
      </c>
      <c r="E10" s="21">
        <f>E8+E9</f>
        <v>4696.8414999999995</v>
      </c>
      <c r="F10" s="21">
        <f>F8+F9</f>
        <v>5501.2644</v>
      </c>
      <c r="G10" s="21">
        <f>G8+G9</f>
        <v>7108.8300000000008</v>
      </c>
      <c r="H10" s="21">
        <f>H8+H9</f>
        <v>8712.6300000000028</v>
      </c>
      <c r="I10" s="21">
        <f>I8+I9</f>
        <v>9639.7200000000012</v>
      </c>
      <c r="J10" s="21">
        <f>J8+J9</f>
        <v>10231.810000000001</v>
      </c>
      <c r="K10" s="21">
        <f>K8+K9</f>
        <v>13105.59</v>
      </c>
      <c r="L10" s="21">
        <f>L8+L9</f>
        <v>19419.869999999999</v>
      </c>
      <c r="M10" s="21"/>
      <c r="Q10" s="21">
        <f>Q8+Q9</f>
        <v>19419.869999999999</v>
      </c>
      <c r="R10" s="40">
        <f>Q10*(1+$O$34)</f>
        <v>23692.241399999999</v>
      </c>
      <c r="S10" s="40">
        <f>R10*(1+$O$34)</f>
        <v>28904.534507999997</v>
      </c>
      <c r="T10" s="40">
        <f>S10*(1+$O$34)</f>
        <v>35263.532099759992</v>
      </c>
      <c r="U10" s="40">
        <f>T10*(1+$O$34)</f>
        <v>43021.509161707188</v>
      </c>
      <c r="V10" s="40">
        <f>U10*(1+$O$34)</f>
        <v>52486.241177282769</v>
      </c>
      <c r="W10" s="40">
        <f>V10*(1+$O$34)</f>
        <v>64033.214236284977</v>
      </c>
      <c r="X10" s="40">
        <f>W10*(1+$P$34)</f>
        <v>71717.199944639186</v>
      </c>
      <c r="Y10" s="40">
        <f>X10*(1+$P$34)</f>
        <v>80323.2639379959</v>
      </c>
      <c r="Z10" s="40">
        <f>Y10*(1+$P$34)</f>
        <v>89962.055610555413</v>
      </c>
      <c r="AA10" s="40">
        <f>Z10*(1+$P$34)</f>
        <v>100757.50228382208</v>
      </c>
      <c r="AB10" s="40">
        <f>AA10*(1+$P$34)</f>
        <v>112848.40255788073</v>
      </c>
    </row>
    <row r="11" ht="16.5">
      <c r="A11" s="21" t="s">
        <v>222</v>
      </c>
      <c r="B11" s="21" t="s">
        <v>223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Q11" s="2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 ht="16.5">
      <c r="A12" s="21"/>
      <c r="B12" s="21" t="s">
        <v>224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Q12" s="2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Q13" s="2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 ht="16.5">
      <c r="B14" s="21" t="s">
        <v>84</v>
      </c>
      <c r="C14" s="21">
        <v>1957.8152</v>
      </c>
      <c r="D14" s="21">
        <v>2047.9491</v>
      </c>
      <c r="E14" s="21">
        <v>2227.9238999999998</v>
      </c>
      <c r="F14" s="21">
        <v>2305.2071000000001</v>
      </c>
      <c r="G14" s="21">
        <v>3588.1399999999999</v>
      </c>
      <c r="H14" s="21">
        <v>4591.6999999999998</v>
      </c>
      <c r="I14" s="21">
        <v>4575.54</v>
      </c>
      <c r="J14" s="21">
        <v>4297.6599999999999</v>
      </c>
      <c r="K14" s="21">
        <v>5748.0299999999997</v>
      </c>
      <c r="L14" s="21">
        <v>9230.75</v>
      </c>
      <c r="Q14" s="21">
        <v>9230.75</v>
      </c>
      <c r="R14" s="41">
        <f>R10*(1-$P$33)</f>
        <v>12319.965528000001</v>
      </c>
      <c r="S14" s="41">
        <f>S10*(1-$P$33)</f>
        <v>15030.35794416</v>
      </c>
      <c r="T14" s="41">
        <f>T10*(1-$P$33)</f>
        <v>18337.036691875197</v>
      </c>
      <c r="U14" s="41">
        <f>U10*(1-$P$33)</f>
        <v>22371.184764087739</v>
      </c>
      <c r="V14" s="41">
        <f>V10*(1-$P$33)</f>
        <v>27292.845412187042</v>
      </c>
      <c r="W14" s="41">
        <f>W10*(1-$P$33)</f>
        <v>33297.271402868188</v>
      </c>
      <c r="X14" s="41">
        <f>X10*(1-$P$33)</f>
        <v>37292.943971212379</v>
      </c>
      <c r="Y14" s="41">
        <f>Y10*(1-$P$33)</f>
        <v>41768.097247757869</v>
      </c>
      <c r="Z14" s="41">
        <f>Z10*(1-$P$33)</f>
        <v>46780.268917488815</v>
      </c>
      <c r="AA14" s="41">
        <f>AA10*(1-$P$33)</f>
        <v>52393.901187587478</v>
      </c>
      <c r="AB14" s="41">
        <f>AB10*(1-$P$33)</f>
        <v>58681.169330097982</v>
      </c>
    </row>
    <row r="15" ht="16.5">
      <c r="B15" s="21" t="s">
        <v>225</v>
      </c>
      <c r="C15" s="21">
        <v>324.90370000000001</v>
      </c>
      <c r="D15" s="21">
        <v>427.33920000000001</v>
      </c>
      <c r="E15" s="21">
        <v>315.95409999999998</v>
      </c>
      <c r="F15" s="21">
        <v>349.76519999999999</v>
      </c>
      <c r="G15" s="21">
        <v>311.33999999999997</v>
      </c>
      <c r="H15" s="21">
        <v>897.35000000000002</v>
      </c>
      <c r="I15" s="21">
        <v>1378.05</v>
      </c>
      <c r="J15" s="21">
        <v>880.34000000000003</v>
      </c>
      <c r="K15" s="21">
        <v>849.71000000000004</v>
      </c>
      <c r="L15" s="21">
        <v>1317.5999999999999</v>
      </c>
      <c r="Q15" s="21">
        <v>1317.5999999999999</v>
      </c>
      <c r="R15" s="41">
        <v>900</v>
      </c>
      <c r="S15" s="41">
        <v>900</v>
      </c>
      <c r="T15" s="41">
        <v>900</v>
      </c>
      <c r="U15" s="41">
        <v>900</v>
      </c>
      <c r="V15" s="41">
        <v>900</v>
      </c>
      <c r="W15" s="41">
        <v>900</v>
      </c>
      <c r="X15" s="41">
        <v>900</v>
      </c>
      <c r="Y15" s="41">
        <v>900</v>
      </c>
      <c r="Z15" s="41">
        <v>900</v>
      </c>
      <c r="AA15" s="41">
        <v>900</v>
      </c>
      <c r="AB15" s="41">
        <v>900</v>
      </c>
    </row>
    <row r="16" ht="16.5">
      <c r="B16" s="21" t="s">
        <v>86</v>
      </c>
      <c r="C16" s="21">
        <v>203.2252</v>
      </c>
      <c r="D16" s="21">
        <v>262.17520000000002</v>
      </c>
      <c r="E16" s="21">
        <v>414.09190000000001</v>
      </c>
      <c r="F16" s="21">
        <v>541.5847</v>
      </c>
      <c r="G16" s="21">
        <v>604.67999999999995</v>
      </c>
      <c r="H16" s="21">
        <v>700.32000000000005</v>
      </c>
      <c r="I16" s="21">
        <v>791.00999999999999</v>
      </c>
      <c r="J16" s="21">
        <v>957.20000000000005</v>
      </c>
      <c r="K16" s="21">
        <v>1360.3699999999999</v>
      </c>
      <c r="L16" s="21">
        <v>2478.5999999999999</v>
      </c>
      <c r="Q16" s="21">
        <v>2478.5999999999999</v>
      </c>
      <c r="R16" s="41">
        <f>Q16*(1+$O$36)</f>
        <v>2850.3899999999999</v>
      </c>
      <c r="S16" s="41">
        <f>R16*(1+$O$36)</f>
        <v>3277.9484999999995</v>
      </c>
      <c r="T16" s="41">
        <f>S16*(1+$O$36)</f>
        <v>3769.6407749999989</v>
      </c>
      <c r="U16" s="41">
        <f>T16*(1+$O$36)</f>
        <v>4335.0868912499982</v>
      </c>
      <c r="V16" s="41">
        <f>U16*(1+$O$36)</f>
        <v>4985.3499249374972</v>
      </c>
      <c r="W16" s="41">
        <f>V16*(1+$O$36)</f>
        <v>5733.1524136781218</v>
      </c>
      <c r="X16" s="41">
        <f>W16*(1+$P$36)</f>
        <v>6306.4676550459344</v>
      </c>
      <c r="Y16" s="41">
        <f>X16*(1+$P$36)</f>
        <v>6937.1144205505288</v>
      </c>
      <c r="Z16" s="41">
        <f>Y16*(1+$P$36)</f>
        <v>7630.8258626055822</v>
      </c>
      <c r="AA16" s="41">
        <f>Z16*(1+$P$36)</f>
        <v>8393.908448866141</v>
      </c>
      <c r="AB16" s="41">
        <f>AA16*(1+$P$36)</f>
        <v>9233.2992937527561</v>
      </c>
    </row>
    <row r="17" ht="16.5">
      <c r="B17" s="21" t="s">
        <v>184</v>
      </c>
      <c r="C17" s="21">
        <v>30.1022</v>
      </c>
      <c r="D17" s="21">
        <v>348.19909999999999</v>
      </c>
      <c r="E17" s="21">
        <v>39.016100000000002</v>
      </c>
      <c r="F17" s="21">
        <v>50.857100000000003</v>
      </c>
      <c r="G17" s="21">
        <v>56.990000000000002</v>
      </c>
      <c r="H17" s="21">
        <v>111.25</v>
      </c>
      <c r="I17" s="21">
        <v>102.3</v>
      </c>
      <c r="J17" s="21">
        <v>100.63</v>
      </c>
      <c r="K17" s="21">
        <v>121.09</v>
      </c>
      <c r="L17" s="21">
        <v>198.06</v>
      </c>
      <c r="Q17" s="21">
        <v>198.06</v>
      </c>
      <c r="R17" s="41">
        <f>Q17*(1+$O$37)</f>
        <v>227.76899999999998</v>
      </c>
      <c r="S17" s="41">
        <f>R17*(1+$O$37)</f>
        <v>261.93434999999994</v>
      </c>
      <c r="T17" s="41">
        <f>S17*(1+$O$37)</f>
        <v>301.22450249999991</v>
      </c>
      <c r="U17" s="41">
        <f>T17*(1+$O$37)</f>
        <v>346.40817787499986</v>
      </c>
      <c r="V17" s="41">
        <f>U17*(1+$O$37)</f>
        <v>398.36940455624983</v>
      </c>
      <c r="W17" s="41">
        <f>V17*(1+$O$37)</f>
        <v>458.12481523968728</v>
      </c>
      <c r="X17" s="41">
        <f>W17*(1+$P$37)</f>
        <v>526.84353752564039</v>
      </c>
      <c r="Y17" s="41">
        <f>X17*(1+$P$37)</f>
        <v>605.87006815448638</v>
      </c>
      <c r="Z17" s="41">
        <f>Y17*(1+$P$37)</f>
        <v>696.75057837765928</v>
      </c>
      <c r="AA17" s="41">
        <f>Z17*(1+$P$37)</f>
        <v>801.26316513430811</v>
      </c>
      <c r="AB17" s="41">
        <f>AA17*(1+$P$37)</f>
        <v>921.45263990445426</v>
      </c>
    </row>
    <row r="18" ht="16.5">
      <c r="B18" s="21" t="s">
        <v>226</v>
      </c>
      <c r="C18" s="21">
        <f>315.3412+190.8581</f>
        <v>506.19929999999999</v>
      </c>
      <c r="D18" s="21">
        <f>21.7443+229.0972</f>
        <v>250.8415</v>
      </c>
      <c r="E18" s="21">
        <f>410.6501+181.7734</f>
        <v>592.42349999999999</v>
      </c>
      <c r="F18" s="21">
        <f>504.9092+265.1776</f>
        <v>770.08680000000004</v>
      </c>
      <c r="G18" s="21">
        <v>716.14999999999998</v>
      </c>
      <c r="H18" s="21">
        <v>823.78999999999996</v>
      </c>
      <c r="I18" s="21">
        <v>744.91999999999996</v>
      </c>
      <c r="J18" s="21">
        <v>1088.3800000000001</v>
      </c>
      <c r="K18" s="21">
        <v>1411.8</v>
      </c>
      <c r="L18" s="21">
        <v>1589.55</v>
      </c>
      <c r="Q18" s="21">
        <v>1589.55</v>
      </c>
      <c r="R18" s="41">
        <f>Q18*(1+$O$38)</f>
        <v>1748.5050000000001</v>
      </c>
      <c r="S18" s="41">
        <f>R18*(1+$O$38)</f>
        <v>1923.3555000000003</v>
      </c>
      <c r="T18" s="41">
        <f>S18*(1+$O$38)</f>
        <v>2115.6910500000004</v>
      </c>
      <c r="U18" s="41">
        <f>T18*(1+$O$38)</f>
        <v>2327.2601550000004</v>
      </c>
      <c r="V18" s="41">
        <f>U18*(1+$O$38)</f>
        <v>2559.9861705000008</v>
      </c>
      <c r="W18" s="41">
        <f>V18*(1+$O$38)</f>
        <v>2815.9847875500009</v>
      </c>
      <c r="X18" s="41">
        <f>W18*(1+$P$38)</f>
        <v>3153.9029620560013</v>
      </c>
      <c r="Y18" s="41">
        <f>X18*(1+$P$38)</f>
        <v>3532.3713175027219</v>
      </c>
      <c r="Z18" s="41">
        <f>Y18*(1+$P$38)</f>
        <v>3956.2558756030489</v>
      </c>
      <c r="AA18" s="41">
        <f>Z18*(1+$P$38)</f>
        <v>4431.0065806754155</v>
      </c>
      <c r="AB18" s="41">
        <f>AA18*(1+$P$38)</f>
        <v>4962.7273703564661</v>
      </c>
    </row>
    <row r="19" s="22" customFormat="1" ht="16.5">
      <c r="B19" s="22" t="s">
        <v>227</v>
      </c>
      <c r="C19" s="22">
        <f>SUM(C14:C18)</f>
        <v>3022.2455999999993</v>
      </c>
      <c r="D19" s="22">
        <f>SUM(D14:D18)</f>
        <v>3336.5041000000001</v>
      </c>
      <c r="E19" s="22">
        <f>SUM(E14:E18)</f>
        <v>3589.4094999999993</v>
      </c>
      <c r="F19" s="22">
        <f>SUM(F14:F18)</f>
        <v>4017.5009</v>
      </c>
      <c r="G19" s="22">
        <f>SUM(G14:G18)</f>
        <v>5277.2999999999993</v>
      </c>
      <c r="H19" s="22">
        <f>SUM(H14:H18)</f>
        <v>7124.4099999999999</v>
      </c>
      <c r="I19" s="22">
        <f>SUM(I14:I18)</f>
        <v>7591.8200000000006</v>
      </c>
      <c r="J19" s="22">
        <f>SUM(J14:J18)</f>
        <v>7324.21</v>
      </c>
      <c r="K19" s="22">
        <f>SUM(K14:K18)</f>
        <v>9491</v>
      </c>
      <c r="L19" s="22">
        <f>SUM(L14:L18)</f>
        <v>14814.559999999999</v>
      </c>
      <c r="M19" s="22"/>
      <c r="Q19" s="22">
        <f>SUM(Q14:Q18)</f>
        <v>14814.559999999999</v>
      </c>
      <c r="R19" s="40">
        <f>SUM(R14:R18)</f>
        <v>18046.629528000001</v>
      </c>
      <c r="S19" s="40">
        <f>SUM(S14:S18)</f>
        <v>21393.596294160001</v>
      </c>
      <c r="T19" s="40">
        <f>SUM(T14:T18)</f>
        <v>25423.593019375199</v>
      </c>
      <c r="U19" s="40">
        <f>SUM(U14:U18)</f>
        <v>30279.939988212736</v>
      </c>
      <c r="V19" s="40">
        <f>SUM(V14:V18)</f>
        <v>36136.550912180792</v>
      </c>
      <c r="W19" s="40">
        <f>SUM(W14:W18)</f>
        <v>43204.533419335996</v>
      </c>
      <c r="X19" s="40">
        <f>SUM(X14:X18)</f>
        <v>48180.158125839953</v>
      </c>
      <c r="Y19" s="40">
        <f>SUM(Y14:Y18)</f>
        <v>53743.453053965604</v>
      </c>
      <c r="Z19" s="40">
        <f>SUM(Z14:Z18)</f>
        <v>59964.101234075104</v>
      </c>
      <c r="AA19" s="40">
        <f>SUM(AA14:AA18)</f>
        <v>66920.079382263342</v>
      </c>
      <c r="AB19" s="40">
        <f>SUM(AB14:AB18)</f>
        <v>74698.648634111669</v>
      </c>
    </row>
    <row r="20" ht="16.5">
      <c r="B20" s="21" t="s">
        <v>90</v>
      </c>
      <c r="C20" s="21">
        <f>C10-C19</f>
        <v>693.22470000000067</v>
      </c>
      <c r="D20" s="21">
        <f>D10-D19</f>
        <v>879.44979999999941</v>
      </c>
      <c r="E20" s="21">
        <f>E10-E19</f>
        <v>1107.4320000000002</v>
      </c>
      <c r="F20" s="21">
        <f>F10-F19</f>
        <v>1483.7635</v>
      </c>
      <c r="G20" s="21">
        <f>G10-G19</f>
        <v>1831.5300000000016</v>
      </c>
      <c r="H20" s="21">
        <f>H10-H19</f>
        <v>1588.220000000003</v>
      </c>
      <c r="I20" s="21">
        <f>I10-I19</f>
        <v>2047.9000000000005</v>
      </c>
      <c r="J20" s="21">
        <f>J10-J19</f>
        <v>2907.6000000000013</v>
      </c>
      <c r="K20" s="21">
        <f>K10-K19</f>
        <v>3614.5900000000001</v>
      </c>
      <c r="L20" s="21">
        <f>L10-L19</f>
        <v>4605.3099999999995</v>
      </c>
      <c r="M20" s="21">
        <v>5737</v>
      </c>
      <c r="Q20" s="21">
        <f>Q10-Q19</f>
        <v>4605.3099999999995</v>
      </c>
      <c r="R20" s="41">
        <f>R10-R19</f>
        <v>5645.6118719999977</v>
      </c>
      <c r="S20" s="41">
        <f>S10-S19</f>
        <v>7510.938213839996</v>
      </c>
      <c r="T20" s="41">
        <f>T10-T19</f>
        <v>9839.9390803847928</v>
      </c>
      <c r="U20" s="41">
        <f>U10-U19</f>
        <v>12741.569173494452</v>
      </c>
      <c r="V20" s="41">
        <f>V10-V19</f>
        <v>16349.690265101977</v>
      </c>
      <c r="W20" s="41">
        <f>W10-W19</f>
        <v>20828.680816948981</v>
      </c>
      <c r="X20" s="41">
        <f>X10-X19</f>
        <v>23537.041818799233</v>
      </c>
      <c r="Y20" s="41">
        <f>Y10-Y19</f>
        <v>26579.810884030296</v>
      </c>
      <c r="Z20" s="41">
        <f>Z10-Z19</f>
        <v>29997.954376480309</v>
      </c>
      <c r="AA20" s="41">
        <f>AA10-AA19</f>
        <v>33837.422901558733</v>
      </c>
      <c r="AB20" s="41">
        <f>AB10-AB19</f>
        <v>38149.753923769065</v>
      </c>
    </row>
    <row r="21" ht="16.5">
      <c r="B21" s="21" t="s">
        <v>91</v>
      </c>
      <c r="C21" s="21">
        <v>-222.08850000000001</v>
      </c>
      <c r="D21" s="21">
        <v>-304.80360000000002</v>
      </c>
      <c r="E21" s="21">
        <v>-389.50709999999998</v>
      </c>
      <c r="F21" s="21">
        <f>509.9564*-1</f>
        <v>-509.95639999999997</v>
      </c>
      <c r="G21" s="21">
        <f>-634.59</f>
        <v>-634.59000000000003</v>
      </c>
      <c r="H21" s="21">
        <v>-534.08000000000004</v>
      </c>
      <c r="I21" s="21">
        <f>-526.51</f>
        <v>-526.50999999999999</v>
      </c>
      <c r="J21" s="21">
        <f>-748.71</f>
        <v>-748.71000000000004</v>
      </c>
      <c r="K21" s="21">
        <f>-937.92</f>
        <v>-937.91999999999996</v>
      </c>
      <c r="L21" s="21">
        <f>-1194.57</f>
        <v>-1194.5699999999999</v>
      </c>
      <c r="Q21" s="21">
        <f>-1194.57</f>
        <v>-1194.5699999999999</v>
      </c>
      <c r="R21" s="41">
        <f>R20*$O$39*-1</f>
        <v>-1467.8590867199994</v>
      </c>
      <c r="S21" s="41">
        <f>S20*$O$39*-1</f>
        <v>-1952.843935598399</v>
      </c>
      <c r="T21" s="41">
        <f>T20*$O$39*-1</f>
        <v>-2558.384160900046</v>
      </c>
      <c r="U21" s="41">
        <f>U20*$O$39*-1</f>
        <v>-3312.8079851085577</v>
      </c>
      <c r="V21" s="41">
        <f>V20*$O$39*-1</f>
        <v>-4250.9194689265141</v>
      </c>
      <c r="W21" s="41">
        <f>W20*$O$39*-1</f>
        <v>-5415.457012406735</v>
      </c>
      <c r="X21" s="41">
        <f>X20*$O$39*-1</f>
        <v>-6119.6308728878012</v>
      </c>
      <c r="Y21" s="41">
        <f>Y20*$P$39*-1</f>
        <v>-6910.750829847877</v>
      </c>
      <c r="Z21" s="41">
        <f>Z20*$P$39*-1</f>
        <v>-7799.4681378848809</v>
      </c>
      <c r="AA21" s="41">
        <f>AA20*$P$39*-1</f>
        <v>-8797.7299544052712</v>
      </c>
      <c r="AB21" s="41">
        <f>AB20*$P$39*-1</f>
        <v>-9918.9360201799573</v>
      </c>
    </row>
    <row r="22" s="22" customFormat="1" ht="16.5">
      <c r="B22" s="22" t="s">
        <v>92</v>
      </c>
      <c r="C22" s="22">
        <f>C20+C21</f>
        <v>471.13620000000066</v>
      </c>
      <c r="D22" s="22">
        <f>D20+D21</f>
        <v>574.64619999999945</v>
      </c>
      <c r="E22" s="22">
        <f>E20+E21</f>
        <v>717.92490000000021</v>
      </c>
      <c r="F22" s="22">
        <f>F20+F21</f>
        <v>973.80709999999999</v>
      </c>
      <c r="G22" s="22">
        <f>G20+G21</f>
        <v>1196.9400000000014</v>
      </c>
      <c r="H22" s="22">
        <f>H20+H21</f>
        <v>1054.1400000000031</v>
      </c>
      <c r="I22" s="22">
        <f>I20+I21</f>
        <v>1521.3900000000006</v>
      </c>
      <c r="J22" s="22">
        <f>J20+J21</f>
        <v>2158.8900000000012</v>
      </c>
      <c r="K22" s="22">
        <f>K20+K21</f>
        <v>2676.6700000000001</v>
      </c>
      <c r="L22" s="22">
        <f>L20+L21</f>
        <v>3410.7399999999998</v>
      </c>
      <c r="M22" s="22">
        <v>4259</v>
      </c>
      <c r="Q22" s="22">
        <f>Q20+Q21</f>
        <v>3410.7399999999998</v>
      </c>
      <c r="R22" s="40">
        <f>R20+R21</f>
        <v>4177.7527852799985</v>
      </c>
      <c r="S22" s="40">
        <f>S20+S21</f>
        <v>5558.0942782415968</v>
      </c>
      <c r="T22" s="40">
        <f>T20+T21</f>
        <v>7281.5549194847463</v>
      </c>
      <c r="U22" s="40">
        <f>U20+U21</f>
        <v>9428.7611883858954</v>
      </c>
      <c r="V22" s="40">
        <f>V20+V21</f>
        <v>12098.770796175464</v>
      </c>
      <c r="W22" s="40">
        <f>W20+W21</f>
        <v>15413.223804542245</v>
      </c>
      <c r="X22" s="40">
        <f>X20+X21</f>
        <v>17417.410945911433</v>
      </c>
      <c r="Y22" s="40">
        <f>Y20+Y21</f>
        <v>19669.060054182417</v>
      </c>
      <c r="Z22" s="40">
        <f>Z20+Z21</f>
        <v>22198.486238595429</v>
      </c>
      <c r="AA22" s="40">
        <f>AA20+AA21</f>
        <v>25039.69294715346</v>
      </c>
      <c r="AB22" s="40">
        <f>AB20+AB21</f>
        <v>28230.817903589108</v>
      </c>
      <c r="AC22" s="22">
        <f>AB22*(1+$AD$32)</f>
        <v>28513.126082625</v>
      </c>
      <c r="AD22" s="22">
        <f>AC22*(1+$AD$32)</f>
        <v>28798.257343451249</v>
      </c>
      <c r="AE22" s="22">
        <f>AD22*(1+$AD$32)</f>
        <v>29086.239916885763</v>
      </c>
      <c r="AF22" s="22">
        <f>AE22*(1+$AD$32)</f>
        <v>29377.102316054621</v>
      </c>
      <c r="AG22" s="22">
        <f>AF22*(1+$AD$32)</f>
        <v>29670.873339215166</v>
      </c>
      <c r="AH22" s="22">
        <f>AG22*(1+$AD$32)</f>
        <v>29967.582072607318</v>
      </c>
      <c r="AI22" s="22">
        <f>AH22*(1+$AD$32)</f>
        <v>30267.25789333339</v>
      </c>
      <c r="AJ22" s="22">
        <f>AI22*(1+$AD$32)</f>
        <v>30569.930472266726</v>
      </c>
      <c r="AK22" s="22">
        <f>AJ22*(1+$AD$32)</f>
        <v>30875.629776989394</v>
      </c>
      <c r="AL22" s="22">
        <f>AK22*(1+$AD$32)</f>
        <v>31184.386074759288</v>
      </c>
      <c r="AM22" s="22">
        <f>AL22*(1+$AD$32)</f>
        <v>31496.229935506883</v>
      </c>
      <c r="AN22" s="22">
        <f>AM22*(1+$AD$32)</f>
        <v>31811.192234861952</v>
      </c>
      <c r="AO22" s="22">
        <f>AN22*(1+$AD$32)</f>
        <v>32129.304157210572</v>
      </c>
      <c r="AP22" s="22">
        <f>AO22*(1+$AD$32)</f>
        <v>32450.597198782678</v>
      </c>
      <c r="AQ22" s="22">
        <f>AP22*(1+$AD$32)</f>
        <v>32775.103170770504</v>
      </c>
      <c r="AR22" s="22">
        <f>AQ22*(1+$AD$32)</f>
        <v>33102.854202478207</v>
      </c>
      <c r="AS22" s="22">
        <f>AR22*(1+$AD$32)</f>
        <v>33433.882744502989</v>
      </c>
      <c r="AT22" s="22">
        <f>AS22*(1+$AD$32)</f>
        <v>33768.221571948023</v>
      </c>
      <c r="AU22" s="22">
        <f>AT22*(1+$AD$32)</f>
        <v>34105.903787667507</v>
      </c>
      <c r="AV22" s="22">
        <f>AU22*(1+$AD$32)</f>
        <v>34446.962825544178</v>
      </c>
      <c r="AW22" s="22">
        <f>AV22*(1+$AD$32)</f>
        <v>34791.432453799622</v>
      </c>
      <c r="AX22" s="22">
        <f>AW22*(1+$AD$32)</f>
        <v>35139.346778337618</v>
      </c>
      <c r="AY22" s="22">
        <f>AX22*(1+$AD$32)</f>
        <v>35490.740246120993</v>
      </c>
      <c r="AZ22" s="22">
        <f>AY22*(1+$AD$32)</f>
        <v>35845.647648582206</v>
      </c>
      <c r="BA22" s="22">
        <f>AZ22*(1+$AD$32)</f>
        <v>36204.104125068028</v>
      </c>
      <c r="BB22" s="22">
        <f>BA22*(1+$AD$32)</f>
        <v>36566.145166318711</v>
      </c>
      <c r="BC22" s="22">
        <f>BB22*(1+$AD$32)</f>
        <v>36931.8066179819</v>
      </c>
      <c r="BD22" s="22">
        <f>BC22*(1+$AD$32)</f>
        <v>37301.124684161718</v>
      </c>
      <c r="BE22" s="22">
        <f>BD22*(1+$AD$32)</f>
        <v>37674.135931003337</v>
      </c>
      <c r="BF22" s="22">
        <f>BE22*(1+$AD$32)</f>
        <v>38050.877290313372</v>
      </c>
      <c r="BG22" s="22">
        <f>BF22*(1+$AD$32)</f>
        <v>38431.386063216509</v>
      </c>
      <c r="BH22" s="22">
        <f>BG22*(1+$AD$32)</f>
        <v>38815.699923848675</v>
      </c>
      <c r="BI22" s="22">
        <f>BH22*(1+$AD$32)</f>
        <v>39203.856923087165</v>
      </c>
      <c r="BJ22" s="22">
        <f>BI22*(1+$AD$32)</f>
        <v>39595.895492318035</v>
      </c>
      <c r="BK22" s="22">
        <f>BJ22*(1+$AD$32)</f>
        <v>39991.854447241218</v>
      </c>
      <c r="BL22" s="22">
        <f>BK22*(1+$AD$32)</f>
        <v>40391.772991713631</v>
      </c>
      <c r="BM22" s="22">
        <f>BL22*(1+$AD$32)</f>
        <v>40795.690721630766</v>
      </c>
      <c r="BN22" s="22">
        <f>BM22*(1+$AD$32)</f>
        <v>41203.647628847073</v>
      </c>
      <c r="BO22" s="22">
        <f>BN22*(1+$AD$32)</f>
        <v>41615.684105135544</v>
      </c>
      <c r="BP22" s="22">
        <f>BO22*(1+$AD$32)</f>
        <v>42031.840946186901</v>
      </c>
      <c r="BQ22" s="22">
        <f>BP22*(1+$AD$32)</f>
        <v>42452.159355648771</v>
      </c>
      <c r="BR22" s="22">
        <f>BQ22*(1+$AD$32)</f>
        <v>42876.680949205256</v>
      </c>
      <c r="BS22" s="22">
        <f>BR22*(1+$AD$32)</f>
        <v>43305.447758697308</v>
      </c>
      <c r="BT22" s="22">
        <f>BS22*(1+$AD$32)</f>
        <v>43738.502236284279</v>
      </c>
      <c r="BU22" s="22">
        <f>BT22*(1+$AD$32)</f>
        <v>44175.887258647119</v>
      </c>
      <c r="BV22" s="22">
        <f>BU22*(1+$AD$32)</f>
        <v>44617.646131233589</v>
      </c>
      <c r="BW22" s="22">
        <f>BV22*(1+$AD$32)</f>
        <v>45063.822592545926</v>
      </c>
      <c r="BX22" s="22">
        <f>BW22*(1+$AD$32)</f>
        <v>45514.460818471387</v>
      </c>
      <c r="BY22" s="22">
        <f>BX22*(1+$AD$32)</f>
        <v>45969.605426656104</v>
      </c>
      <c r="BZ22" s="22">
        <f>BY22*(1+$AD$32)</f>
        <v>46429.301480922666</v>
      </c>
      <c r="CA22" s="22">
        <f>BZ22*(1+$AD$32)</f>
        <v>46893.594495731893</v>
      </c>
    </row>
    <row r="23" ht="16.5">
      <c r="B23" s="21" t="s">
        <v>228</v>
      </c>
      <c r="C23" s="21">
        <v>0</v>
      </c>
      <c r="D23" s="21">
        <v>0.0332</v>
      </c>
      <c r="E23" s="21">
        <v>1.5046999999999999</v>
      </c>
      <c r="F23" s="21">
        <v>1.6166</v>
      </c>
      <c r="G23" s="21">
        <v>-0.34999999999999998</v>
      </c>
      <c r="H23" s="21">
        <v>-0.41999999999999998</v>
      </c>
      <c r="I23" s="21">
        <v>-0.53000000000000003</v>
      </c>
      <c r="J23" s="21">
        <f>-0.96-4.42</f>
        <v>-5.3799999999999999</v>
      </c>
      <c r="K23" s="21">
        <f>-2.82-9</f>
        <v>-11.82</v>
      </c>
      <c r="L23" s="21">
        <f>-2.97+12.29</f>
        <v>9.3199999999999985</v>
      </c>
      <c r="Q23" s="21">
        <f>-2.97+12.29</f>
        <v>9.3199999999999985</v>
      </c>
    </row>
    <row r="24" ht="16.5">
      <c r="B24" s="21" t="s">
        <v>229</v>
      </c>
      <c r="C24" s="21">
        <f>C22</f>
        <v>471.13620000000066</v>
      </c>
      <c r="D24" s="21">
        <f>D22</f>
        <v>574.64619999999945</v>
      </c>
      <c r="E24" s="21">
        <f>E22</f>
        <v>717.92490000000021</v>
      </c>
      <c r="F24" s="21">
        <f>F22</f>
        <v>973.80709999999999</v>
      </c>
      <c r="G24" s="21">
        <f>G22+G23</f>
        <v>1196.5900000000015</v>
      </c>
      <c r="H24" s="21">
        <f>H22+H23</f>
        <v>1053.720000000003</v>
      </c>
      <c r="I24" s="21">
        <f>I22+I23</f>
        <v>1520.8600000000006</v>
      </c>
      <c r="J24" s="21">
        <f>J22+J23</f>
        <v>2153.5100000000011</v>
      </c>
      <c r="K24" s="21">
        <f>K22+K23</f>
        <v>2664.8499999999999</v>
      </c>
      <c r="L24" s="21">
        <f>L22+L23</f>
        <v>3420.0599999999999</v>
      </c>
      <c r="M24" s="21"/>
      <c r="Q24" s="21">
        <f>Q22+Q23</f>
        <v>3420.0599999999999</v>
      </c>
    </row>
    <row r="25" ht="16.5">
      <c r="B25" s="21" t="s">
        <v>230</v>
      </c>
      <c r="C25" s="21">
        <v>0</v>
      </c>
      <c r="D25" s="21">
        <v>0</v>
      </c>
      <c r="E25" s="21">
        <v>0</v>
      </c>
      <c r="F25" s="21">
        <v>0</v>
      </c>
      <c r="G25" s="21">
        <v>-2.1099999999999999</v>
      </c>
      <c r="H25" s="21">
        <v>-69.739999999999995</v>
      </c>
      <c r="I25" s="21">
        <v>1491.6099999999999</v>
      </c>
      <c r="J25" s="21">
        <v>2289.7800000000002</v>
      </c>
      <c r="K25" s="21">
        <v>2688.73</v>
      </c>
      <c r="L25" s="21">
        <v>-70.739999999999995</v>
      </c>
      <c r="Q25" s="21">
        <v>-70.739999999999995</v>
      </c>
    </row>
    <row r="26" ht="16.5">
      <c r="B26" s="21" t="s">
        <v>231</v>
      </c>
      <c r="C26" s="21">
        <v>0</v>
      </c>
      <c r="D26" s="21">
        <v>0</v>
      </c>
      <c r="E26" s="21">
        <v>0</v>
      </c>
      <c r="F26" s="21">
        <v>0</v>
      </c>
      <c r="G26" s="21">
        <f>1198.06</f>
        <v>1198.0599999999999</v>
      </c>
      <c r="H26" s="21">
        <f>H24</f>
        <v>1053.720000000003</v>
      </c>
      <c r="I26" s="21">
        <f>I24</f>
        <v>1520.8600000000006</v>
      </c>
      <c r="J26" s="21">
        <f>J24</f>
        <v>2153.5100000000011</v>
      </c>
      <c r="K26" s="21">
        <f>K24</f>
        <v>2664.8499999999999</v>
      </c>
      <c r="L26" s="21">
        <f>L24</f>
        <v>3420.0599999999999</v>
      </c>
      <c r="M26" s="21"/>
      <c r="Q26" s="21">
        <f>Q24</f>
        <v>3420.0599999999999</v>
      </c>
    </row>
    <row r="27" ht="16.5">
      <c r="A27" s="21"/>
      <c r="B27" s="21" t="s">
        <v>232</v>
      </c>
      <c r="C27" s="21"/>
      <c r="D27" s="21"/>
      <c r="E27" s="21"/>
      <c r="F27" s="21"/>
      <c r="G27" s="21"/>
      <c r="H27" s="21"/>
      <c r="I27" s="21">
        <v>1491.6099999999999</v>
      </c>
      <c r="J27" s="21">
        <v>2289.7800000000002</v>
      </c>
      <c r="K27" s="21">
        <f>2664.85+23.88+2688.73</f>
        <v>5377.46</v>
      </c>
      <c r="L27" s="21">
        <f>3420.06+3349.32-70.74</f>
        <v>6698.6400000000003</v>
      </c>
      <c r="Q27" s="21">
        <f>3420.06+3349.32-70.74</f>
        <v>6698.6400000000003</v>
      </c>
    </row>
    <row r="28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ht="16.5">
      <c r="B29" s="21" t="s">
        <v>233</v>
      </c>
      <c r="C29" s="21"/>
      <c r="D29" s="21"/>
      <c r="E29" s="21"/>
      <c r="F29" s="21">
        <v>781731200</v>
      </c>
      <c r="G29" s="21">
        <v>781731200</v>
      </c>
      <c r="H29" s="21">
        <v>787182549</v>
      </c>
      <c r="I29" s="21">
        <v>787182549</v>
      </c>
      <c r="J29" s="21">
        <v>787182549</v>
      </c>
      <c r="K29" s="21">
        <v>787182549</v>
      </c>
      <c r="L29" s="21">
        <v>787182549</v>
      </c>
    </row>
    <row r="30" ht="16.5">
      <c r="B30" s="21" t="s">
        <v>234</v>
      </c>
      <c r="C30" s="21"/>
      <c r="D30" s="21"/>
      <c r="E30" s="21"/>
      <c r="F30" s="21">
        <v>15.31</v>
      </c>
      <c r="G30" s="21">
        <v>15.31</v>
      </c>
      <c r="H30" s="21">
        <v>13.390000000000001</v>
      </c>
      <c r="I30" s="21">
        <v>18.550000000000001</v>
      </c>
      <c r="J30" s="21">
        <v>18.550000000000001</v>
      </c>
      <c r="K30" s="21">
        <v>18.550000000000001</v>
      </c>
      <c r="L30" s="21">
        <v>18.550000000000001</v>
      </c>
    </row>
    <row r="31" ht="16.5">
      <c r="B31" s="21" t="s">
        <v>235</v>
      </c>
      <c r="C31" s="21"/>
      <c r="D31" s="21"/>
      <c r="E31" s="21"/>
      <c r="F31" s="41">
        <f>F26*10000000/F29</f>
        <v>0</v>
      </c>
      <c r="G31" s="41">
        <f>G26*10000000/G29</f>
        <v>15.325728332193982</v>
      </c>
      <c r="H31" s="41">
        <f>H26*10000000/H29</f>
        <v>13.385967477792791</v>
      </c>
      <c r="I31" s="41">
        <f>I26*10000000/I29</f>
        <v>19.320296187104631</v>
      </c>
      <c r="J31" s="41">
        <f>J26*10000000/J29</f>
        <v>27.357186750846036</v>
      </c>
      <c r="K31" s="41">
        <f>K26*10000000/K29</f>
        <v>33.853011647492707</v>
      </c>
      <c r="L31" s="41">
        <f>L26*10000000/L29</f>
        <v>43.44684729539145</v>
      </c>
      <c r="M31" s="21"/>
    </row>
    <row r="32" ht="16.5">
      <c r="A32" s="21" t="s">
        <v>236</v>
      </c>
      <c r="E32" s="21"/>
      <c r="F32" s="21"/>
      <c r="G32" s="21"/>
      <c r="H32" s="21"/>
      <c r="I32" s="21"/>
      <c r="J32" s="21"/>
      <c r="K32" s="21"/>
      <c r="L32" s="21"/>
      <c r="M32" s="22" t="s">
        <v>237</v>
      </c>
      <c r="N32" s="22" t="s">
        <v>238</v>
      </c>
      <c r="O32" s="22" t="s">
        <v>95</v>
      </c>
      <c r="P32" s="22" t="s">
        <v>239</v>
      </c>
      <c r="Q32" s="21"/>
      <c r="AC32" s="21" t="s">
        <v>240</v>
      </c>
      <c r="AD32" s="42">
        <v>0.01</v>
      </c>
    </row>
    <row r="33" s="22" customFormat="1" ht="16.5">
      <c r="A33" s="22" t="s">
        <v>241</v>
      </c>
      <c r="B33" s="22" t="s">
        <v>242</v>
      </c>
      <c r="C33" s="43">
        <f>C14/C8</f>
        <v>0.52702917511045033</v>
      </c>
      <c r="D33" s="43">
        <f>D14/D8</f>
        <v>0.4860158169330363</v>
      </c>
      <c r="E33" s="43">
        <f>E14/E8</f>
        <v>0.47468530570394357</v>
      </c>
      <c r="F33" s="43">
        <f>F14/F8</f>
        <v>0.41907987417461862</v>
      </c>
      <c r="G33" s="43">
        <f>G14/G8</f>
        <v>0.50625456782389566</v>
      </c>
      <c r="H33" s="43">
        <f>H14/H8</f>
        <v>0.52705403230712533</v>
      </c>
      <c r="I33" s="43">
        <f>I14/I8</f>
        <v>0.47764369375952559</v>
      </c>
      <c r="J33" s="43">
        <f>J14/J8</f>
        <v>0.42380100091216122</v>
      </c>
      <c r="K33" s="43">
        <f>K14/K8</f>
        <v>0.44613360653829137</v>
      </c>
      <c r="L33" s="43">
        <f>L14/L8</f>
        <v>0.48228491474752377</v>
      </c>
      <c r="M33" s="44">
        <f>AVERAGE(C33:L33)</f>
        <v>0.47699819880105726</v>
      </c>
      <c r="N33" s="44">
        <f>MEDIAN(C33:L33)</f>
        <v>0.47996430425352465</v>
      </c>
      <c r="O33" s="44">
        <v>0.47999999999999998</v>
      </c>
      <c r="P33" s="44">
        <v>0.47999999999999998</v>
      </c>
      <c r="Q33" s="22"/>
      <c r="AC33" s="22" t="s">
        <v>98</v>
      </c>
      <c r="AD33" s="44">
        <v>0.11</v>
      </c>
    </row>
    <row r="34" ht="16.5">
      <c r="A34" s="21"/>
      <c r="B34" s="21" t="s">
        <v>243</v>
      </c>
      <c r="C34" s="21"/>
      <c r="D34" s="24">
        <f>D10/C10-1</f>
        <v>0.13470262432187918</v>
      </c>
      <c r="E34" s="24">
        <f>E10/D10-1</f>
        <v>0.11406377095347264</v>
      </c>
      <c r="F34" s="24">
        <f>F10/E10-1</f>
        <v>0.17126890485872281</v>
      </c>
      <c r="G34" s="24">
        <f>G10/F10-1</f>
        <v>0.29221747640415185</v>
      </c>
      <c r="H34" s="24">
        <f>H10/G10-1</f>
        <v>0.22560674541380243</v>
      </c>
      <c r="I34" s="24">
        <f>I10/H10-1</f>
        <v>0.10640759449213366</v>
      </c>
      <c r="J34" s="24">
        <f>J10/I10-1</f>
        <v>0.061421908520164603</v>
      </c>
      <c r="K34" s="24">
        <f>K10/J10-1</f>
        <v>0.28086721704175499</v>
      </c>
      <c r="L34" s="24">
        <f>L10/K10-1</f>
        <v>0.48180051413175584</v>
      </c>
      <c r="M34" s="45">
        <f>AVERAGE(D34:L34)</f>
        <v>0.20759519512642644</v>
      </c>
      <c r="N34" s="44">
        <f>MEDIAN(C34:L34)</f>
        <v>0.17126890485872281</v>
      </c>
      <c r="O34" s="42">
        <v>0.22</v>
      </c>
      <c r="P34" s="42">
        <v>0.12</v>
      </c>
      <c r="AC34" s="21" t="s">
        <v>100</v>
      </c>
      <c r="AD34" s="21">
        <f>NPV(AD33,S22:CA22)</f>
        <v>182682.2589898959</v>
      </c>
    </row>
    <row r="35" ht="16.5">
      <c r="B35" s="21" t="s">
        <v>244</v>
      </c>
      <c r="C35" s="34" t="e">
        <f>D26/C26-1</f>
        <v>#DIV/0!</v>
      </c>
      <c r="D35" s="34" t="e">
        <f>E26/D26-1</f>
        <v>#DIV/0!</v>
      </c>
      <c r="E35" s="34" t="e">
        <f>F26/E26-1</f>
        <v>#DIV/0!</v>
      </c>
      <c r="F35" s="34" t="e">
        <f>#REF!/F26-1</f>
        <v>#REF!</v>
      </c>
      <c r="G35" s="34">
        <f>H26/G26-1</f>
        <v>-0.12047810627180355</v>
      </c>
      <c r="H35" s="34">
        <f>I26/H26-1</f>
        <v>0.44332460236115501</v>
      </c>
      <c r="I35" s="34">
        <f>J26/I26-1</f>
        <v>0.41598174716936498</v>
      </c>
      <c r="J35" s="34">
        <f>K26/J26-1</f>
        <v>0.23744491551002711</v>
      </c>
      <c r="K35" s="34">
        <f>L26/K26-1</f>
        <v>0.28339681407959172</v>
      </c>
      <c r="L35" s="34">
        <f>M26/L26-1</f>
        <v>-1</v>
      </c>
      <c r="M35" s="21"/>
      <c r="AC35" s="21" t="s">
        <v>245</v>
      </c>
      <c r="AD35" s="21">
        <v>840437697</v>
      </c>
    </row>
    <row r="36" ht="16.5">
      <c r="B36" s="21" t="s">
        <v>246</v>
      </c>
      <c r="C36" s="34" t="e">
        <f>C16/B16-1%</f>
        <v>#VALUE!</v>
      </c>
      <c r="D36" s="34">
        <f>D16/C16-1%</f>
        <v>1.280072294183989</v>
      </c>
      <c r="E36" s="34">
        <f>E16/D16-1%</f>
        <v>1.5694472551179517</v>
      </c>
      <c r="F36" s="34">
        <f>F16/E16-1%</f>
        <v>1.2978852786060291</v>
      </c>
      <c r="G36" s="34">
        <f>G16/F16-1%</f>
        <v>1.1065012600983741</v>
      </c>
      <c r="H36" s="34">
        <f>H16/G16-1%</f>
        <v>1.1481663028378648</v>
      </c>
      <c r="I36" s="34">
        <f>I16/H16-1%</f>
        <v>1.1194979437971213</v>
      </c>
      <c r="J36" s="34">
        <f>J16/I16-1%</f>
        <v>1.2000984816879685</v>
      </c>
      <c r="K36" s="34">
        <f>K16/J16-1%</f>
        <v>1.411197241955704</v>
      </c>
      <c r="L36" s="34">
        <f>L16/K16-1%</f>
        <v>1.8120043076515948</v>
      </c>
      <c r="M36" s="42">
        <f>AVERAGE(D36:L36)</f>
        <v>1.3272078184373999</v>
      </c>
      <c r="N36" s="44">
        <f>MEDIAN(C36:L36)</f>
        <v>1.280072294183989</v>
      </c>
      <c r="O36" s="42">
        <v>0.14999999999999999</v>
      </c>
      <c r="P36" s="42">
        <v>0.10000000000000001</v>
      </c>
      <c r="Q36" s="21"/>
      <c r="AC36" s="21" t="s">
        <v>247</v>
      </c>
      <c r="AD36" s="21">
        <v>1651.8</v>
      </c>
    </row>
    <row r="37" ht="16.5">
      <c r="B37" s="21" t="s">
        <v>248</v>
      </c>
      <c r="C37" s="34" t="e">
        <f>C18/B18-1%</f>
        <v>#VALUE!</v>
      </c>
      <c r="D37" s="34">
        <f>D18/C18-1%</f>
        <v>0.48553901003023908</v>
      </c>
      <c r="E37" s="34">
        <f>E18/D18-1%</f>
        <v>2.3517443684557779</v>
      </c>
      <c r="F37" s="34">
        <f>F18/E18-1%</f>
        <v>1.2898923911694928</v>
      </c>
      <c r="G37" s="34">
        <f>G18/F18-1%</f>
        <v>0.91996010319875621</v>
      </c>
      <c r="H37" s="34">
        <f>H18/G18-1%</f>
        <v>1.1403037073238846</v>
      </c>
      <c r="I37" s="34">
        <f>I18/H18-1%</f>
        <v>0.89425958071838696</v>
      </c>
      <c r="J37" s="34">
        <f>J18/I18-1%</f>
        <v>1.4510696450625573</v>
      </c>
      <c r="K37" s="34">
        <f>K18/J18-1%</f>
        <v>1.2871572428747311</v>
      </c>
      <c r="L37" s="34">
        <f>L18/K18-1%</f>
        <v>1.1159031024224395</v>
      </c>
      <c r="M37" s="42">
        <f>AVERAGE(D37:L37)</f>
        <v>1.2150921279173628</v>
      </c>
      <c r="N37" s="44">
        <f>MEDIAN(C37:L37)</f>
        <v>1.1403037073238846</v>
      </c>
      <c r="O37" s="42">
        <v>0.14999999999999999</v>
      </c>
      <c r="P37" s="42">
        <v>0.14999999999999999</v>
      </c>
      <c r="AC37" s="21" t="s">
        <v>249</v>
      </c>
      <c r="AD37" s="21">
        <f>AD34*10000000/AD35</f>
        <v>2173.6561751334184</v>
      </c>
    </row>
    <row r="38" ht="16.5">
      <c r="B38" s="21" t="s">
        <v>108</v>
      </c>
      <c r="C38" s="34"/>
      <c r="D38" s="34">
        <f>D19/C19-1</f>
        <v>0.10398178758205523</v>
      </c>
      <c r="E38" s="34">
        <f>E19/D19-1</f>
        <v>0.075799517225229707</v>
      </c>
      <c r="F38" s="34">
        <f>F19/E19-1</f>
        <v>0.11926513260746674</v>
      </c>
      <c r="G38" s="34">
        <f>G19/F19-1</f>
        <v>0.31357780156315562</v>
      </c>
      <c r="H38" s="34">
        <f>H19/G19-1</f>
        <v>0.35001042199609667</v>
      </c>
      <c r="I38" s="34">
        <f>I19/H19-1</f>
        <v>0.065606836215209574</v>
      </c>
      <c r="J38" s="34">
        <f>J19/I19-1</f>
        <v>-0.035249782002207741</v>
      </c>
      <c r="K38" s="34">
        <f>K19/J19-1</f>
        <v>0.29583941476282094</v>
      </c>
      <c r="L38" s="34">
        <f>L19/K19-1</f>
        <v>0.56090612158887354</v>
      </c>
      <c r="M38" s="42">
        <f>AVERAGE(D38:L38)</f>
        <v>0.2055263612820778</v>
      </c>
      <c r="N38" s="44">
        <f>MEDIAN(C38:L38)</f>
        <v>0.11926513260746674</v>
      </c>
      <c r="O38" s="42">
        <v>0.10000000000000001</v>
      </c>
      <c r="P38" s="42">
        <v>0.12</v>
      </c>
    </row>
    <row r="39" ht="16.5">
      <c r="B39" s="21" t="s">
        <v>109</v>
      </c>
      <c r="C39" s="34">
        <f>C21/C20*-1</f>
        <v>0.32037014838045991</v>
      </c>
      <c r="D39" s="34">
        <f>D21/D20*-1</f>
        <v>0.34658442130522993</v>
      </c>
      <c r="E39" s="34">
        <f>E21/E20*-1</f>
        <v>0.35172100860368843</v>
      </c>
      <c r="F39" s="34">
        <f>F21/F20*-1</f>
        <v>0.34369116102397718</v>
      </c>
      <c r="G39" s="34">
        <f>G21/G20*-1</f>
        <v>0.34648081112512463</v>
      </c>
      <c r="H39" s="34">
        <f>H21/H20*-1</f>
        <v>0.33627583080429602</v>
      </c>
      <c r="I39" s="34">
        <f>I21/I20*-1</f>
        <v>0.25709751452707647</v>
      </c>
      <c r="J39" s="34">
        <f>J21/J20*-1</f>
        <v>0.25750103177878653</v>
      </c>
      <c r="K39" s="34">
        <f>K21/K20*-1</f>
        <v>0.25948171161874511</v>
      </c>
      <c r="L39" s="34">
        <f>L21/L20*-1</f>
        <v>0.25938970449329146</v>
      </c>
      <c r="M39" s="42">
        <v>0.26000000000000001</v>
      </c>
      <c r="N39" s="42">
        <v>0.26000000000000001</v>
      </c>
      <c r="O39" s="42">
        <v>0.26000000000000001</v>
      </c>
      <c r="P39" s="42">
        <v>0.26000000000000001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6384" style="21" width="9.140625"/>
  </cols>
  <sheetData>
    <row r="3">
      <c r="B3" s="22" t="s">
        <v>250</v>
      </c>
    </row>
    <row r="5">
      <c r="B5" s="21" t="s">
        <v>251</v>
      </c>
    </row>
    <row r="6">
      <c r="B6" s="21" t="s">
        <v>252</v>
      </c>
    </row>
    <row r="7">
      <c r="B7" s="21" t="s">
        <v>253</v>
      </c>
    </row>
    <row r="8">
      <c r="B8" s="21" t="s">
        <v>254</v>
      </c>
    </row>
    <row r="9">
      <c r="B9" s="21" t="s">
        <v>255</v>
      </c>
    </row>
    <row r="10">
      <c r="B10" s="21" t="s">
        <v>256</v>
      </c>
      <c r="D10" s="21" t="s">
        <v>257</v>
      </c>
    </row>
    <row r="11">
      <c r="B11" s="21" t="s">
        <v>258</v>
      </c>
    </row>
    <row r="12">
      <c r="B12" s="21" t="s">
        <v>259</v>
      </c>
    </row>
    <row r="13">
      <c r="B13" s="21" t="s">
        <v>260</v>
      </c>
    </row>
    <row r="17">
      <c r="C17" s="21" t="s">
        <v>261</v>
      </c>
    </row>
    <row r="20">
      <c r="B20" s="21"/>
      <c r="C20" s="21" t="s">
        <v>262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21" width="11.00390625"/>
    <col customWidth="1" min="2" max="2" style="21" width="23.57421875"/>
    <col customWidth="1" min="3" max="3" style="21" width="20.140625"/>
    <col customWidth="1" min="4" max="4" style="21" width="18.00390625"/>
    <col min="5" max="6" style="21" width="9.140625"/>
    <col customWidth="1" min="7" max="7" style="21" width="22.8515625"/>
    <col customWidth="1" min="8" max="8" style="21" width="29.57421875"/>
    <col customWidth="1" min="9" max="9" style="21" width="13.57421875"/>
    <col min="10" max="16384" style="21" width="9.140625"/>
  </cols>
  <sheetData>
    <row r="1" ht="16.5">
      <c r="A1" s="21" t="s">
        <v>263</v>
      </c>
      <c r="C1" s="21" t="s">
        <v>264</v>
      </c>
    </row>
    <row r="2" ht="16.5">
      <c r="A2" s="21" t="s">
        <v>265</v>
      </c>
    </row>
    <row r="3" ht="16.5">
      <c r="A3" s="22" t="s">
        <v>266</v>
      </c>
      <c r="B3" s="21" t="s">
        <v>267</v>
      </c>
    </row>
    <row r="4" ht="16.5">
      <c r="A4" s="21"/>
      <c r="B4" s="21" t="s">
        <v>268</v>
      </c>
    </row>
    <row r="5" ht="16.5">
      <c r="A5" s="21"/>
      <c r="B5" s="22" t="s">
        <v>269</v>
      </c>
      <c r="C5" s="42">
        <v>0.84999999999999998</v>
      </c>
    </row>
    <row r="6" ht="16.5">
      <c r="A6" s="21"/>
      <c r="B6" s="22" t="s">
        <v>270</v>
      </c>
      <c r="C6" s="42">
        <v>0.80000000000000004</v>
      </c>
    </row>
    <row r="7" ht="16.5">
      <c r="A7" s="21"/>
      <c r="B7" s="22" t="s">
        <v>271</v>
      </c>
      <c r="C7" s="42">
        <v>0.75</v>
      </c>
      <c r="H7" s="21"/>
    </row>
    <row r="8">
      <c r="A8" s="21"/>
      <c r="B8" s="21"/>
      <c r="H8" s="21"/>
    </row>
    <row r="9" ht="16.5">
      <c r="A9" s="22" t="s">
        <v>272</v>
      </c>
      <c r="H9" s="21"/>
    </row>
    <row r="10" ht="16.5">
      <c r="A10" s="21" t="s">
        <v>273</v>
      </c>
      <c r="B10" s="21"/>
      <c r="G10" s="21" t="s">
        <v>64</v>
      </c>
      <c r="H10" s="21">
        <v>2088.9000000000001</v>
      </c>
    </row>
    <row r="11" ht="16.5">
      <c r="G11" s="21" t="s">
        <v>274</v>
      </c>
      <c r="H11" s="21">
        <v>401461676</v>
      </c>
    </row>
    <row r="12" ht="16.5">
      <c r="A12" s="22"/>
      <c r="B12" s="22" t="s">
        <v>275</v>
      </c>
      <c r="G12" s="21" t="s">
        <v>132</v>
      </c>
      <c r="H12" s="41">
        <f>H10*H11/1000000</f>
        <v>838613.29499640001</v>
      </c>
      <c r="I12" s="21"/>
    </row>
    <row r="13" ht="16.5">
      <c r="A13" s="21"/>
      <c r="G13" s="21" t="s">
        <v>276</v>
      </c>
      <c r="H13" s="21">
        <f>50365.46+93.14</f>
        <v>50458.599999999999</v>
      </c>
    </row>
    <row r="14" ht="16.5">
      <c r="A14" s="21"/>
      <c r="G14" s="21" t="s">
        <v>82</v>
      </c>
      <c r="H14" s="21">
        <f>163714.7+423613.13</f>
        <v>587327.83000000007</v>
      </c>
    </row>
    <row r="15" ht="16.5">
      <c r="A15" s="21"/>
      <c r="G15" s="21" t="s">
        <v>277</v>
      </c>
      <c r="H15" s="41">
        <f>H12+H14-H13</f>
        <v>1375482.5249963999</v>
      </c>
      <c r="I15" s="21"/>
    </row>
    <row r="18" ht="16.5">
      <c r="A18" s="21"/>
    </row>
    <row r="20" ht="14.25">
      <c r="G20" s="21"/>
      <c r="H20" s="21"/>
    </row>
    <row r="21" ht="14.25">
      <c r="G21" s="21"/>
      <c r="H21" s="21"/>
    </row>
    <row r="23" ht="16.5">
      <c r="A23" s="46" t="s">
        <v>278</v>
      </c>
      <c r="B23" s="21"/>
    </row>
    <row r="24" ht="14.25">
      <c r="D24" s="23" t="s">
        <v>279</v>
      </c>
    </row>
    <row r="25" ht="16.5">
      <c r="C25" s="22" t="s">
        <v>167</v>
      </c>
      <c r="D25" s="22" t="s">
        <v>166</v>
      </c>
      <c r="E25" s="21"/>
      <c r="G25" s="21"/>
      <c r="H25" s="21"/>
    </row>
    <row r="26" ht="16.5">
      <c r="B26" s="22" t="s">
        <v>280</v>
      </c>
      <c r="G26" s="22" t="s">
        <v>281</v>
      </c>
      <c r="H26" s="21" t="s">
        <v>282</v>
      </c>
    </row>
    <row r="27" ht="16.5">
      <c r="B27" s="21" t="s">
        <v>283</v>
      </c>
      <c r="C27" s="47">
        <v>60373.449999999997</v>
      </c>
      <c r="D27" s="47">
        <v>77701.830000000002</v>
      </c>
      <c r="G27" s="48" t="s">
        <v>165</v>
      </c>
      <c r="H27" s="48" t="s">
        <v>284</v>
      </c>
      <c r="I27" s="48" t="s">
        <v>285</v>
      </c>
    </row>
    <row r="28" ht="16.5">
      <c r="B28" s="21" t="s">
        <v>286</v>
      </c>
      <c r="C28" s="47">
        <v>2346.5700000000002</v>
      </c>
      <c r="D28" s="47">
        <v>2654.7600000000002</v>
      </c>
      <c r="G28" s="21" t="s">
        <v>287</v>
      </c>
      <c r="H28" s="49">
        <v>599079.01000000001</v>
      </c>
      <c r="I28" s="49">
        <v>599079.01000000001</v>
      </c>
    </row>
    <row r="29" ht="16.5">
      <c r="A29" s="21" t="s">
        <v>288</v>
      </c>
      <c r="B29" s="21" t="s">
        <v>289</v>
      </c>
      <c r="C29" s="47">
        <v>178.36000000000001</v>
      </c>
      <c r="D29" s="47">
        <v>98.950000000000003</v>
      </c>
      <c r="G29" s="21" t="s">
        <v>290</v>
      </c>
      <c r="H29" s="49">
        <v>206.81</v>
      </c>
      <c r="I29" s="49">
        <v>206.81</v>
      </c>
    </row>
    <row r="30" ht="16.5">
      <c r="A30" s="21"/>
      <c r="B30" s="21" t="s">
        <v>291</v>
      </c>
      <c r="C30" s="47">
        <v>0</v>
      </c>
      <c r="D30" s="47">
        <v>0</v>
      </c>
      <c r="G30" s="21" t="s">
        <v>292</v>
      </c>
      <c r="H30" s="49">
        <v>3745.7600000000002</v>
      </c>
      <c r="I30" s="21"/>
    </row>
    <row r="31" ht="16.5">
      <c r="A31" s="21" t="s">
        <v>293</v>
      </c>
      <c r="B31" s="21" t="s">
        <v>294</v>
      </c>
      <c r="C31" s="47">
        <v>881871.70999999996</v>
      </c>
      <c r="D31" s="47">
        <v>705543.83999999997</v>
      </c>
      <c r="G31" s="21" t="s">
        <v>295</v>
      </c>
      <c r="H31" s="49">
        <v>26.379999999999999</v>
      </c>
      <c r="I31" s="49"/>
    </row>
    <row r="32" ht="16.5">
      <c r="A32" s="21" t="s">
        <v>296</v>
      </c>
      <c r="B32" s="21" t="s">
        <v>297</v>
      </c>
      <c r="C32" s="47">
        <v>7124.7200000000003</v>
      </c>
      <c r="D32" s="47">
        <v>5457.1199999999999</v>
      </c>
      <c r="G32" s="21" t="s">
        <v>298</v>
      </c>
      <c r="H32" s="49">
        <v>9202.5699999999997</v>
      </c>
      <c r="I32" s="49">
        <v>9202.5699999999997</v>
      </c>
    </row>
    <row r="33" ht="16.5">
      <c r="B33" s="21" t="s">
        <v>299</v>
      </c>
      <c r="C33" s="47">
        <v>4136.1199999999999</v>
      </c>
      <c r="D33" s="47">
        <v>3453</v>
      </c>
      <c r="G33" s="21" t="s">
        <v>300</v>
      </c>
      <c r="H33" s="49">
        <v>1.0600000000000001</v>
      </c>
      <c r="I33" s="49"/>
    </row>
    <row r="34" ht="16.5">
      <c r="C34" s="47"/>
      <c r="D34" s="47"/>
      <c r="G34" s="21" t="s">
        <v>301</v>
      </c>
      <c r="H34" s="49">
        <v>371.29000000000002</v>
      </c>
      <c r="I34" s="49">
        <v>371.29000000000002</v>
      </c>
    </row>
    <row r="35" ht="16.5">
      <c r="B35" s="21" t="s">
        <v>302</v>
      </c>
      <c r="C35" s="47">
        <v>724.86000000000001</v>
      </c>
      <c r="D35" s="47">
        <v>474.56999999999999</v>
      </c>
      <c r="G35" s="21" t="s">
        <v>303</v>
      </c>
      <c r="H35" s="49">
        <v>27.059999999999999</v>
      </c>
      <c r="I35" s="49"/>
    </row>
    <row r="36" ht="16.5">
      <c r="B36" s="21" t="s">
        <v>304</v>
      </c>
      <c r="C36" s="47">
        <v>975.77999999999997</v>
      </c>
      <c r="D36" s="47">
        <v>640.98000000000002</v>
      </c>
      <c r="G36" s="21" t="s">
        <v>305</v>
      </c>
      <c r="H36" s="49">
        <v>1058.5699999999999</v>
      </c>
      <c r="I36" s="21">
        <v>31.75</v>
      </c>
    </row>
    <row r="37" ht="16.5">
      <c r="B37" s="21" t="s">
        <v>306</v>
      </c>
      <c r="C37" s="47">
        <v>91.069999999999993</v>
      </c>
      <c r="D37" s="47">
        <v>82.019999999999996</v>
      </c>
      <c r="G37" s="21" t="s">
        <v>307</v>
      </c>
      <c r="H37" s="49">
        <v>1868.26</v>
      </c>
      <c r="I37" s="49">
        <v>1868.26</v>
      </c>
    </row>
    <row r="38" ht="16.5">
      <c r="B38" s="21" t="s">
        <v>308</v>
      </c>
      <c r="C38" s="47">
        <v>4255.2399999999998</v>
      </c>
      <c r="D38" s="47">
        <v>3272.3699999999999</v>
      </c>
      <c r="F38" s="21" t="s">
        <v>309</v>
      </c>
      <c r="G38" s="21" t="s">
        <v>310</v>
      </c>
      <c r="H38" s="49">
        <v>37963.510000000002</v>
      </c>
      <c r="I38" s="49">
        <v>12.06</v>
      </c>
    </row>
    <row r="39" ht="16.5">
      <c r="B39" s="21" t="s">
        <v>311</v>
      </c>
      <c r="C39" s="47">
        <v>111.11</v>
      </c>
      <c r="D39" s="47">
        <v>142.22999999999999</v>
      </c>
      <c r="G39" s="21" t="s">
        <v>312</v>
      </c>
      <c r="H39" s="49">
        <v>1894.0899999999999</v>
      </c>
      <c r="I39" s="49"/>
    </row>
    <row r="40" ht="16.5">
      <c r="B40" s="21" t="s">
        <v>313</v>
      </c>
      <c r="C40" s="47">
        <v>883.15999999999997</v>
      </c>
      <c r="D40" s="47">
        <v>674.26999999999998</v>
      </c>
    </row>
    <row r="41" ht="16.5">
      <c r="B41" s="21" t="s">
        <v>314</v>
      </c>
      <c r="C41" s="47">
        <v>299.95999999999998</v>
      </c>
      <c r="D41" s="47">
        <v>299.95999999999998</v>
      </c>
    </row>
    <row r="42" ht="16.5">
      <c r="B42" s="21" t="s">
        <v>315</v>
      </c>
      <c r="C42" s="47">
        <v>58.350000000000001</v>
      </c>
      <c r="D42" s="47">
        <v>58.850000000000001</v>
      </c>
    </row>
    <row r="43" ht="16.5">
      <c r="B43" s="21" t="s">
        <v>316</v>
      </c>
      <c r="C43" s="47">
        <v>3.6499999999999999</v>
      </c>
      <c r="D43" s="47">
        <v>0.44</v>
      </c>
    </row>
    <row r="44" ht="16.5">
      <c r="A44" s="21" t="s">
        <v>317</v>
      </c>
      <c r="B44" s="21" t="s">
        <v>318</v>
      </c>
      <c r="C44" s="47">
        <v>1260.0899999999999</v>
      </c>
      <c r="D44" s="47">
        <v>934.00999999999999</v>
      </c>
    </row>
    <row r="45" ht="14.25">
      <c r="C45" s="47"/>
      <c r="D45" s="47"/>
    </row>
    <row r="46" s="22" customFormat="1" ht="16.5">
      <c r="A46" s="22"/>
      <c r="B46" s="22" t="s">
        <v>319</v>
      </c>
      <c r="C46" s="50">
        <f>SUM(C27:C44)</f>
        <v>964694.19999999984</v>
      </c>
      <c r="D46" s="50">
        <f>SUM(D27:D44)</f>
        <v>801489.19999999984</v>
      </c>
      <c r="E46" s="22"/>
      <c r="G46" s="22"/>
      <c r="H46" s="22"/>
    </row>
    <row r="48" ht="16.5">
      <c r="A48" s="21" t="s">
        <v>320</v>
      </c>
      <c r="B48" s="21" t="s">
        <v>321</v>
      </c>
    </row>
    <row r="49" ht="16.5">
      <c r="B49" s="21" t="s">
        <v>322</v>
      </c>
    </row>
    <row r="51" ht="14.25">
      <c r="C51" s="21"/>
      <c r="D51" s="21"/>
    </row>
    <row r="52" ht="16.5">
      <c r="B52" s="22" t="s">
        <v>323</v>
      </c>
      <c r="C52" s="21"/>
      <c r="D52" s="21"/>
    </row>
    <row r="53" ht="16.5">
      <c r="A53" s="21" t="s">
        <v>324</v>
      </c>
      <c r="B53" s="21" t="s">
        <v>325</v>
      </c>
      <c r="C53" s="21">
        <v>138.86000000000001</v>
      </c>
      <c r="D53" s="21">
        <v>1921.73</v>
      </c>
    </row>
    <row r="54" ht="16.5">
      <c r="A54" s="21" t="s">
        <v>326</v>
      </c>
      <c r="B54" s="21" t="s">
        <v>327</v>
      </c>
      <c r="C54" s="21">
        <f>7.68+1381.23</f>
        <v>1388.9100000000001</v>
      </c>
      <c r="D54" s="21">
        <f>7.2+871.23</f>
        <v>878.43000000000006</v>
      </c>
    </row>
    <row r="55" ht="16.5">
      <c r="B55" s="21" t="s">
        <v>328</v>
      </c>
      <c r="C55" s="21">
        <f>1280.7</f>
        <v>1280.7</v>
      </c>
      <c r="D55" s="21">
        <f>871.23</f>
        <v>871.23000000000002</v>
      </c>
    </row>
    <row r="56" ht="16.5">
      <c r="A56" s="21"/>
      <c r="B56" s="21" t="s">
        <v>329</v>
      </c>
      <c r="C56" s="21">
        <v>174762.20000000001</v>
      </c>
      <c r="D56" s="21">
        <v>146045.79000000001</v>
      </c>
    </row>
    <row r="57" ht="16.5">
      <c r="B57" s="21" t="s">
        <v>330</v>
      </c>
      <c r="C57" s="21">
        <v>500519.53000000003</v>
      </c>
      <c r="D57" s="21">
        <v>405974.58000000002</v>
      </c>
    </row>
    <row r="58" ht="16.5">
      <c r="B58" s="21" t="s">
        <v>331</v>
      </c>
      <c r="C58" s="21">
        <v>4018.2600000000002</v>
      </c>
      <c r="D58" s="21">
        <v>3314.7600000000002</v>
      </c>
    </row>
    <row r="59" ht="16.5">
      <c r="B59" s="21" t="s">
        <v>332</v>
      </c>
      <c r="C59" s="21">
        <v>3309.73</v>
      </c>
      <c r="D59" s="21">
        <v>2546.5500000000002</v>
      </c>
    </row>
    <row r="60" ht="16.5">
      <c r="B60" s="21" t="s">
        <v>333</v>
      </c>
      <c r="C60" s="21">
        <v>125.91</v>
      </c>
      <c r="D60" s="21">
        <v>155.56999999999999</v>
      </c>
    </row>
    <row r="61" ht="16.5">
      <c r="B61" s="21" t="s">
        <v>334</v>
      </c>
      <c r="C61" s="21">
        <v>16014.9</v>
      </c>
      <c r="D61" s="21">
        <v>12638.76</v>
      </c>
    </row>
    <row r="63" ht="16.5">
      <c r="B63" s="21" t="s">
        <v>335</v>
      </c>
      <c r="C63" s="21">
        <v>551.67999999999995</v>
      </c>
      <c r="D63" s="21">
        <v>811.91999999999996</v>
      </c>
    </row>
    <row r="64" ht="16.5">
      <c r="B64" s="21" t="s">
        <v>336</v>
      </c>
      <c r="C64" s="21">
        <v>3733.27</v>
      </c>
      <c r="D64" s="21">
        <v>3618.9200000000001</v>
      </c>
    </row>
    <row r="65" ht="16.5">
      <c r="B65" s="21" t="s">
        <v>337</v>
      </c>
      <c r="C65" s="21">
        <v>167.62</v>
      </c>
      <c r="D65" s="21">
        <v>152.86000000000001</v>
      </c>
    </row>
    <row r="66" ht="16.5">
      <c r="B66" s="21" t="s">
        <v>338</v>
      </c>
      <c r="C66" s="21">
        <v>11142.16</v>
      </c>
      <c r="D66" s="21">
        <v>781.58000000000004</v>
      </c>
    </row>
    <row r="67" s="22" customFormat="1" ht="16.5">
      <c r="A67" s="22"/>
      <c r="B67" s="22" t="s">
        <v>339</v>
      </c>
      <c r="C67" s="22">
        <f>SUM(C53:C66)</f>
        <v>717153.73000000021</v>
      </c>
      <c r="D67" s="22">
        <f>SUM(D53:D66)</f>
        <v>579712.68000000005</v>
      </c>
      <c r="G67" s="22"/>
      <c r="H67" s="22"/>
    </row>
    <row r="68" ht="16.5">
      <c r="B68" s="21"/>
    </row>
    <row r="69" ht="14.25">
      <c r="B69" s="21"/>
      <c r="C69" s="21"/>
      <c r="D69" s="21"/>
    </row>
    <row r="70" ht="16.5">
      <c r="B70" s="22" t="s">
        <v>340</v>
      </c>
      <c r="C70" s="21"/>
      <c r="D70" s="21"/>
    </row>
    <row r="71" ht="14.25">
      <c r="A71" s="21" t="s">
        <v>341</v>
      </c>
      <c r="B71" s="21" t="s">
        <v>194</v>
      </c>
      <c r="C71" s="21">
        <v>4014.6199999999999</v>
      </c>
      <c r="D71" s="21">
        <v>4014.48</v>
      </c>
      <c r="J71" s="21"/>
    </row>
    <row r="72" ht="14.25">
      <c r="B72" s="21" t="s">
        <v>22</v>
      </c>
      <c r="C72" s="21">
        <v>247057.45000000001</v>
      </c>
      <c r="D72" s="21">
        <v>212643.04000000001</v>
      </c>
    </row>
    <row r="73" s="22" customFormat="1" ht="14.25">
      <c r="A73" s="22"/>
      <c r="B73" s="22" t="s">
        <v>342</v>
      </c>
      <c r="C73" s="22">
        <f>SUM(C71:C72)</f>
        <v>251072.07000000001</v>
      </c>
      <c r="D73" s="22">
        <f>SUM(D71:D72)</f>
        <v>216657.52000000002</v>
      </c>
      <c r="G73" s="22"/>
      <c r="H73" s="22"/>
      <c r="J73" s="22"/>
    </row>
    <row r="74" ht="14.25">
      <c r="C74" s="21"/>
      <c r="D74" s="21"/>
    </row>
    <row r="75" s="22" customFormat="1" ht="14.25">
      <c r="A75" s="22"/>
      <c r="B75" s="22" t="s">
        <v>343</v>
      </c>
      <c r="C75" s="22">
        <f>C73+C67</f>
        <v>968225.80000000028</v>
      </c>
      <c r="D75" s="22">
        <f>D73+D67</f>
        <v>796370.20000000007</v>
      </c>
      <c r="G75" s="22"/>
      <c r="H75" s="22"/>
    </row>
    <row r="76" ht="14.25">
      <c r="B76" s="21"/>
      <c r="C76" s="21"/>
      <c r="D76" s="21"/>
    </row>
    <row r="77" ht="14.25">
      <c r="C77" s="21"/>
      <c r="D77" s="21"/>
    </row>
    <row r="78" ht="14.25">
      <c r="B78" s="21"/>
    </row>
  </sheetData>
  <hyperlinks>
    <hyperlink r:id="rId1" ref="D2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style="21" width="20.7109375"/>
    <col customWidth="1" min="2" max="2" style="21" width="27.28125"/>
    <col customWidth="1" min="3" max="16384" style="21" width="25.7109375"/>
  </cols>
  <sheetData>
    <row r="1" ht="16.5">
      <c r="A1" s="21" t="s">
        <v>157</v>
      </c>
      <c r="B1" s="21" t="s">
        <v>344</v>
      </c>
    </row>
    <row r="2" ht="16.5">
      <c r="C2" s="23" t="s">
        <v>279</v>
      </c>
      <c r="E2" s="23" t="s">
        <v>345</v>
      </c>
      <c r="G2" s="23" t="s">
        <v>346</v>
      </c>
      <c r="K2" s="22" t="s">
        <v>347</v>
      </c>
    </row>
    <row r="3" s="22" customFormat="1" ht="16.5">
      <c r="B3" s="22" t="s">
        <v>157</v>
      </c>
      <c r="C3" s="22" t="s">
        <v>167</v>
      </c>
      <c r="D3" s="22" t="s">
        <v>166</v>
      </c>
      <c r="E3" s="22" t="s">
        <v>165</v>
      </c>
      <c r="F3" s="22" t="s">
        <v>348</v>
      </c>
      <c r="G3" s="22" t="s">
        <v>163</v>
      </c>
      <c r="H3" s="22" t="s">
        <v>215</v>
      </c>
      <c r="I3" s="22" t="s">
        <v>214</v>
      </c>
      <c r="J3" s="22" t="s">
        <v>213</v>
      </c>
      <c r="K3" s="22" t="str">
        <f>C3</f>
        <v>FY24</v>
      </c>
      <c r="L3" s="22">
        <v>2025</v>
      </c>
      <c r="M3" s="22">
        <f>L3+1</f>
        <v>2026</v>
      </c>
      <c r="N3" s="22">
        <f>M3+1</f>
        <v>2027</v>
      </c>
      <c r="O3" s="22">
        <f>N3+1</f>
        <v>2028</v>
      </c>
      <c r="P3" s="22">
        <f>O3+1</f>
        <v>2029</v>
      </c>
      <c r="Q3" s="22">
        <f>P3+1</f>
        <v>2030</v>
      </c>
      <c r="R3" s="22">
        <f>Q3+1</f>
        <v>2031</v>
      </c>
      <c r="S3" s="22">
        <f>R3+1</f>
        <v>2032</v>
      </c>
      <c r="T3" s="22">
        <f>S3+1</f>
        <v>2033</v>
      </c>
      <c r="U3" s="22">
        <f>T3+1</f>
        <v>2034</v>
      </c>
      <c r="V3" s="22">
        <f>U3+1</f>
        <v>2035</v>
      </c>
      <c r="W3" s="22">
        <f>V3+1</f>
        <v>2036</v>
      </c>
      <c r="X3" s="22">
        <f>W3+1</f>
        <v>2037</v>
      </c>
      <c r="Y3" s="22">
        <f>X3+1</f>
        <v>2038</v>
      </c>
      <c r="Z3" s="22">
        <f>Y3+1</f>
        <v>2039</v>
      </c>
      <c r="AA3" s="22">
        <f>Z3+1</f>
        <v>2040</v>
      </c>
      <c r="AB3" s="22">
        <f>AA3+1</f>
        <v>2041</v>
      </c>
      <c r="AC3" s="22">
        <f>AB3+1</f>
        <v>2042</v>
      </c>
      <c r="AD3" s="22">
        <f>AC3+1</f>
        <v>2043</v>
      </c>
      <c r="AE3" s="22">
        <f>AD3+1</f>
        <v>2044</v>
      </c>
      <c r="AF3" s="22">
        <f>AE3+1</f>
        <v>2045</v>
      </c>
      <c r="AG3" s="22">
        <f>AF3+1</f>
        <v>2046</v>
      </c>
      <c r="AH3" s="22">
        <f>AG3+1</f>
        <v>2047</v>
      </c>
      <c r="AI3" s="22">
        <f>AH3+1</f>
        <v>2048</v>
      </c>
      <c r="AJ3" s="22">
        <f>AI3+1</f>
        <v>2049</v>
      </c>
      <c r="AK3" s="22">
        <f>AJ3+1</f>
        <v>2050</v>
      </c>
      <c r="AL3" s="22">
        <f>AK3+1</f>
        <v>2051</v>
      </c>
      <c r="AM3" s="22">
        <f>AL3+1</f>
        <v>2052</v>
      </c>
      <c r="AN3" s="22">
        <f>AM3+1</f>
        <v>2053</v>
      </c>
      <c r="AO3" s="22">
        <f>AN3+1</f>
        <v>2054</v>
      </c>
      <c r="AP3" s="22">
        <f>AO3+1</f>
        <v>2055</v>
      </c>
      <c r="AQ3" s="22">
        <f>AP3+1</f>
        <v>2056</v>
      </c>
      <c r="AR3" s="22">
        <f>AQ3+1</f>
        <v>2057</v>
      </c>
      <c r="AS3" s="22">
        <f>AR3+1</f>
        <v>2058</v>
      </c>
      <c r="AT3" s="22">
        <f>AS3+1</f>
        <v>2059</v>
      </c>
      <c r="AU3" s="22">
        <f>AT3+1</f>
        <v>2060</v>
      </c>
      <c r="AV3" s="22">
        <f>AU3+1</f>
        <v>2061</v>
      </c>
      <c r="AW3" s="22">
        <f>AV3+1</f>
        <v>2062</v>
      </c>
      <c r="AX3" s="22">
        <f>AW3+1</f>
        <v>2063</v>
      </c>
      <c r="AY3" s="22">
        <f>AX3+1</f>
        <v>2064</v>
      </c>
      <c r="AZ3" s="22">
        <f>AY3+1</f>
        <v>2065</v>
      </c>
      <c r="BA3" s="22">
        <f>AZ3+1</f>
        <v>2066</v>
      </c>
      <c r="BB3" s="22">
        <f>BA3+1</f>
        <v>2067</v>
      </c>
      <c r="BC3" s="22">
        <f>BB3+1</f>
        <v>2068</v>
      </c>
      <c r="BD3" s="22">
        <f>BC3+1</f>
        <v>2069</v>
      </c>
      <c r="BE3" s="22">
        <f>BD3+1</f>
        <v>2070</v>
      </c>
      <c r="BF3" s="22">
        <f>BE3+1</f>
        <v>2071</v>
      </c>
      <c r="BG3" s="22">
        <f>BF3+1</f>
        <v>2072</v>
      </c>
      <c r="BH3" s="22">
        <f>BG3+1</f>
        <v>2073</v>
      </c>
      <c r="BI3" s="22">
        <f>BH3+1</f>
        <v>2074</v>
      </c>
      <c r="BJ3" s="22">
        <f>BI3+1</f>
        <v>2075</v>
      </c>
      <c r="BK3" s="22">
        <f>BJ3+1</f>
        <v>2076</v>
      </c>
      <c r="BL3" s="22">
        <f>BK3+1</f>
        <v>2077</v>
      </c>
      <c r="BM3" s="22">
        <f>BL3+1</f>
        <v>2078</v>
      </c>
      <c r="BN3" s="22">
        <f>BM3+1</f>
        <v>2079</v>
      </c>
      <c r="BO3" s="22">
        <f>BN3+1</f>
        <v>2080</v>
      </c>
      <c r="BP3" s="22">
        <f>BO3+1</f>
        <v>2081</v>
      </c>
      <c r="BQ3" s="22">
        <f>BP3+1</f>
        <v>2082</v>
      </c>
      <c r="BR3" s="22">
        <f>BQ3+1</f>
        <v>2083</v>
      </c>
      <c r="BS3" s="22">
        <f>BR3+1</f>
        <v>2084</v>
      </c>
      <c r="BT3" s="22">
        <f>BS3+1</f>
        <v>2085</v>
      </c>
      <c r="BU3" s="22">
        <f>BT3+1</f>
        <v>2086</v>
      </c>
      <c r="BV3" s="22">
        <f>BU3+1</f>
        <v>2087</v>
      </c>
      <c r="BW3" s="22">
        <f>BV3+1</f>
        <v>2088</v>
      </c>
      <c r="BX3" s="22">
        <f>BW3+1</f>
        <v>2089</v>
      </c>
      <c r="BY3" s="22">
        <f>BX3+1</f>
        <v>2090</v>
      </c>
      <c r="BZ3" s="22">
        <f>BY3+1</f>
        <v>2091</v>
      </c>
      <c r="CA3" s="22">
        <f>BZ3+1</f>
        <v>2092</v>
      </c>
      <c r="CB3" s="22">
        <f>CA3+1</f>
        <v>2093</v>
      </c>
      <c r="CC3" s="22">
        <f>CB3+1</f>
        <v>2094</v>
      </c>
      <c r="CD3" s="22">
        <f>CC3+1</f>
        <v>2095</v>
      </c>
      <c r="CE3" s="22">
        <f>CD3+1</f>
        <v>2096</v>
      </c>
      <c r="CF3" s="22">
        <f>CE3+1</f>
        <v>2097</v>
      </c>
      <c r="CG3" s="22">
        <f>CF3+1</f>
        <v>2098</v>
      </c>
      <c r="CH3" s="22">
        <f>CG3+1</f>
        <v>2099</v>
      </c>
      <c r="CI3" s="22">
        <f>CH3+1</f>
        <v>2100</v>
      </c>
      <c r="CJ3" s="22">
        <f>CI3+1</f>
        <v>2101</v>
      </c>
    </row>
    <row r="4" ht="14.25">
      <c r="V4" s="29"/>
    </row>
    <row r="5" ht="16.5">
      <c r="B5" s="21" t="s">
        <v>174</v>
      </c>
      <c r="C5" s="51">
        <v>145457.01000000001</v>
      </c>
      <c r="D5" s="47">
        <v>115555.35000000001</v>
      </c>
      <c r="E5" s="47">
        <v>119251.52</v>
      </c>
      <c r="F5" s="47">
        <v>112102.78999999999</v>
      </c>
      <c r="G5" s="47">
        <v>94177.360000000001</v>
      </c>
      <c r="H5" s="47">
        <v>74160.100000000006</v>
      </c>
      <c r="I5" s="29"/>
      <c r="J5" s="29"/>
      <c r="K5" s="51">
        <f t="shared" ref="K5:K9" si="4">C5</f>
        <v>145457.01000000001</v>
      </c>
      <c r="L5" s="25"/>
      <c r="V5" s="29"/>
    </row>
    <row r="6" ht="16.5">
      <c r="A6" s="21" t="s">
        <v>349</v>
      </c>
      <c r="B6" s="21" t="s">
        <v>175</v>
      </c>
      <c r="C6" s="51">
        <v>48.100000000000001</v>
      </c>
      <c r="D6" s="47">
        <v>9.4100000000000001</v>
      </c>
      <c r="E6" s="47">
        <v>0.089999999999999997</v>
      </c>
      <c r="F6" s="47">
        <v>0.13</v>
      </c>
      <c r="G6" s="47">
        <v>9.1899999999999995</v>
      </c>
      <c r="H6" s="47">
        <v>0</v>
      </c>
      <c r="I6" s="29"/>
      <c r="J6" s="29"/>
      <c r="K6" s="51">
        <f t="shared" si="4"/>
        <v>48.100000000000001</v>
      </c>
      <c r="L6" s="25"/>
      <c r="V6" s="29"/>
    </row>
    <row r="7" ht="16.5">
      <c r="B7" s="21" t="s">
        <v>350</v>
      </c>
      <c r="C7" s="51">
        <v>640.05999999999995</v>
      </c>
      <c r="D7" s="47">
        <v>524.13999999999999</v>
      </c>
      <c r="E7" s="47">
        <v>488.74000000000001</v>
      </c>
      <c r="F7" s="47">
        <v>1648.3699999999999</v>
      </c>
      <c r="G7" s="47">
        <v>739.78999999999996</v>
      </c>
      <c r="H7" s="47">
        <v>554.88</v>
      </c>
      <c r="I7" s="29"/>
      <c r="J7" s="29"/>
      <c r="K7" s="51">
        <f t="shared" si="4"/>
        <v>640.05999999999995</v>
      </c>
      <c r="L7" s="25"/>
      <c r="V7" s="29"/>
    </row>
    <row r="8" ht="16.5">
      <c r="B8" s="21" t="s">
        <v>203</v>
      </c>
      <c r="C8" s="51">
        <v>1723.3399999999999</v>
      </c>
      <c r="D8" s="47">
        <v>1403.1199999999999</v>
      </c>
      <c r="E8" s="47">
        <v>847.74000000000001</v>
      </c>
      <c r="F8" s="47">
        <v>487.93000000000001</v>
      </c>
      <c r="G8" s="47">
        <v>779.29999999999995</v>
      </c>
      <c r="H8" s="47">
        <v>118.51000000000001</v>
      </c>
      <c r="I8" s="29"/>
      <c r="J8" s="29"/>
      <c r="K8" s="51">
        <f t="shared" si="4"/>
        <v>1723.3399999999999</v>
      </c>
      <c r="L8" s="25"/>
      <c r="V8" s="29"/>
    </row>
    <row r="9" ht="16.5">
      <c r="A9" s="21" t="s">
        <v>351</v>
      </c>
      <c r="B9" s="21" t="s">
        <v>352</v>
      </c>
      <c r="C9" s="51">
        <v>88.870000000000005</v>
      </c>
      <c r="D9" s="47">
        <v>90.700000000000003</v>
      </c>
      <c r="E9" s="47">
        <v>139.69</v>
      </c>
      <c r="F9" s="47">
        <v>120.33</v>
      </c>
      <c r="G9" s="47">
        <v>191.13999999999999</v>
      </c>
      <c r="H9" s="47">
        <v>229.50999999999999</v>
      </c>
      <c r="I9" s="29"/>
      <c r="J9" s="29"/>
      <c r="K9" s="51">
        <f t="shared" si="4"/>
        <v>88.870000000000005</v>
      </c>
      <c r="L9" s="25"/>
      <c r="V9" s="29"/>
    </row>
    <row r="10" ht="16.5">
      <c r="A10" s="21"/>
      <c r="B10" s="21" t="s">
        <v>353</v>
      </c>
      <c r="C10" s="52">
        <v>2659.1900000000001</v>
      </c>
      <c r="D10" s="47">
        <v>1393.9100000000001</v>
      </c>
      <c r="E10" s="47">
        <v>1121.3099999999999</v>
      </c>
      <c r="F10" s="47">
        <v>986.08000000000004</v>
      </c>
      <c r="G10" s="47">
        <v>943.01999999999998</v>
      </c>
      <c r="H10" s="47">
        <v>881.32000000000005</v>
      </c>
      <c r="I10" s="29"/>
      <c r="J10" s="29"/>
      <c r="K10" s="51">
        <f t="shared" ref="K10:K46" si="5">C10</f>
        <v>2659.1900000000001</v>
      </c>
      <c r="L10" s="25"/>
      <c r="V10" s="29"/>
    </row>
    <row r="11" s="22" customFormat="1" ht="16.5">
      <c r="A11" s="22"/>
      <c r="B11" s="22" t="s">
        <v>354</v>
      </c>
      <c r="C11" s="53">
        <f>SUM(C5:C10)</f>
        <v>150616.57000000001</v>
      </c>
      <c r="D11" s="50">
        <f>SUM(D5:D10)</f>
        <v>118976.63</v>
      </c>
      <c r="E11" s="50">
        <f>SUM(E5:E10)</f>
        <v>121849.09000000001</v>
      </c>
      <c r="F11" s="50">
        <f>SUM(F5:F10)</f>
        <v>115345.62999999999</v>
      </c>
      <c r="G11" s="50">
        <f>SUM(G5:G10)</f>
        <v>96839.800000000003</v>
      </c>
      <c r="H11" s="50">
        <f>SUM(H5:H10)</f>
        <v>75944.320000000007</v>
      </c>
      <c r="I11" s="54">
        <v>66075</v>
      </c>
      <c r="J11" s="54">
        <v>59108</v>
      </c>
      <c r="K11" s="51">
        <f t="shared" si="5"/>
        <v>150616.57000000001</v>
      </c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6"/>
    </row>
    <row r="12" s="22" customFormat="1" ht="16.5">
      <c r="A12" s="22"/>
      <c r="B12" s="21" t="s">
        <v>355</v>
      </c>
      <c r="C12" s="53">
        <f>C5+C9+C10</f>
        <v>148205.07000000001</v>
      </c>
      <c r="D12" s="53">
        <f>D5+D9+D10</f>
        <v>117039.96000000001</v>
      </c>
      <c r="E12" s="53">
        <f>E5+E9+E10</f>
        <v>120512.52</v>
      </c>
      <c r="F12" s="53">
        <f>F5+F9+F10</f>
        <v>113209.2</v>
      </c>
      <c r="G12" s="53">
        <f>G5+G9+G10</f>
        <v>95311.520000000004</v>
      </c>
      <c r="H12" s="53">
        <f>H5+H9+H10</f>
        <v>75270.930000000008</v>
      </c>
      <c r="I12" s="54">
        <v>66075</v>
      </c>
      <c r="J12" s="54">
        <v>59108</v>
      </c>
      <c r="K12" s="51">
        <f t="shared" si="5"/>
        <v>148205.07000000001</v>
      </c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6"/>
    </row>
    <row r="13" ht="16.5">
      <c r="B13" s="21" t="s">
        <v>180</v>
      </c>
      <c r="C13" s="25">
        <v>1010.85</v>
      </c>
      <c r="D13" s="25">
        <v>773.41999999999996</v>
      </c>
      <c r="E13" s="25">
        <v>525.53999999999996</v>
      </c>
      <c r="F13" s="25">
        <v>356.32999999999998</v>
      </c>
      <c r="G13" s="25">
        <v>232.87</v>
      </c>
      <c r="H13" s="25">
        <v>66.170000000000002</v>
      </c>
      <c r="I13" s="57">
        <v>973.57000000000005</v>
      </c>
      <c r="J13" s="54">
        <v>275.90199999999999</v>
      </c>
      <c r="K13" s="51">
        <f t="shared" si="5"/>
        <v>1010.85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57"/>
    </row>
    <row r="14" s="22" customFormat="1" ht="16.5">
      <c r="A14" s="22"/>
      <c r="B14" s="22" t="s">
        <v>356</v>
      </c>
      <c r="C14" s="55">
        <f>C11+C13</f>
        <v>151627.42000000001</v>
      </c>
      <c r="D14" s="55">
        <f>D11+D13</f>
        <v>119750.05</v>
      </c>
      <c r="E14" s="55">
        <f>E11+E13</f>
        <v>122374.63</v>
      </c>
      <c r="F14" s="55">
        <f>F11+F13</f>
        <v>115701.95999999999</v>
      </c>
      <c r="G14" s="55">
        <f>G11+G13</f>
        <v>97072.669999999998</v>
      </c>
      <c r="H14" s="55">
        <f>H11+H13</f>
        <v>76010.490000000005</v>
      </c>
      <c r="I14" s="56">
        <f>I11+I13</f>
        <v>67048.570000000007</v>
      </c>
      <c r="J14" s="56">
        <f>J11+J13</f>
        <v>59383.902000000002</v>
      </c>
      <c r="K14" s="51">
        <f t="shared" si="5"/>
        <v>151627.42000000001</v>
      </c>
      <c r="L14" s="58">
        <f>K14*1.1</f>
        <v>166790.16200000004</v>
      </c>
      <c r="M14" s="58">
        <f>L14*1.1</f>
        <v>183469.17820000005</v>
      </c>
      <c r="N14" s="58">
        <f>M14*1.1</f>
        <v>201816.09602000008</v>
      </c>
      <c r="O14" s="58">
        <f>N14*1.1</f>
        <v>221997.70562200013</v>
      </c>
      <c r="P14" s="58">
        <f>O14*1.1</f>
        <v>244197.47618420015</v>
      </c>
      <c r="Q14" s="58">
        <f>P14*1.1</f>
        <v>268617.2238026202</v>
      </c>
      <c r="R14" s="55">
        <f>Q14*1.08</f>
        <v>290106.60170682985</v>
      </c>
      <c r="S14" s="55">
        <f>R14*1.08</f>
        <v>313315.12984337629</v>
      </c>
      <c r="T14" s="55">
        <f>S14*1.08</f>
        <v>338380.34023084643</v>
      </c>
      <c r="U14" s="55">
        <f>T14*1.08</f>
        <v>365450.76744931418</v>
      </c>
      <c r="V14" s="56">
        <f>U14*1.08</f>
        <v>394686.82884525933</v>
      </c>
    </row>
    <row r="15" s="22" customFormat="1" ht="16.5">
      <c r="A15" s="22"/>
      <c r="B15" s="22" t="s">
        <v>357</v>
      </c>
      <c r="C15" s="55">
        <f>C63</f>
        <v>682609.71999999997</v>
      </c>
      <c r="D15" s="55">
        <f>D63</f>
        <v>557881.68000000005</v>
      </c>
      <c r="E15" s="55">
        <f>E63</f>
        <v>545526.17999999993</v>
      </c>
      <c r="F15" s="55">
        <f>F63</f>
        <v>409208.94</v>
      </c>
      <c r="G15" s="55">
        <f>G63</f>
        <v>405502.04999999999</v>
      </c>
      <c r="H15" s="55">
        <f>H63</f>
        <v>375613.03000000003</v>
      </c>
      <c r="I15" s="56">
        <f>I63</f>
        <v>307669.04000000004</v>
      </c>
      <c r="J15" s="56">
        <f>J63</f>
        <v>307669.04000000004</v>
      </c>
      <c r="K15" s="51">
        <f t="shared" si="5"/>
        <v>682609.71999999997</v>
      </c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6"/>
    </row>
    <row r="16" ht="16.5">
      <c r="C16" s="25"/>
      <c r="D16" s="25"/>
      <c r="E16" s="25"/>
      <c r="F16" s="25"/>
      <c r="G16" s="25"/>
      <c r="H16" s="25"/>
      <c r="I16" s="57"/>
      <c r="J16" s="57"/>
      <c r="K16" s="51">
        <f t="shared" si="5"/>
        <v>0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57"/>
    </row>
    <row r="17" ht="16.5">
      <c r="A17" s="21" t="s">
        <v>358</v>
      </c>
      <c r="B17" s="21" t="s">
        <v>359</v>
      </c>
      <c r="C17" s="25">
        <v>54300.779999999999</v>
      </c>
      <c r="D17" s="25">
        <v>42091.779999999999</v>
      </c>
      <c r="E17" s="25">
        <v>42558.519999999997</v>
      </c>
      <c r="F17" s="25">
        <v>40999.290000000001</v>
      </c>
      <c r="G17" s="25">
        <v>31728.400000000001</v>
      </c>
      <c r="H17" s="25">
        <v>25354.650000000001</v>
      </c>
      <c r="I17" s="57">
        <v>21323.75</v>
      </c>
      <c r="J17" s="57">
        <v>23685.924999999999</v>
      </c>
      <c r="K17" s="51">
        <f t="shared" si="5"/>
        <v>54300.779999999999</v>
      </c>
      <c r="L17" s="55">
        <f>L14*0.35</f>
        <v>58376.556700000008</v>
      </c>
      <c r="M17" s="55">
        <f>M14*0.35</f>
        <v>64214.212370000016</v>
      </c>
      <c r="N17" s="55">
        <f>N14*0.35</f>
        <v>70635.633607000025</v>
      </c>
      <c r="O17" s="55">
        <f>O14*0.35</f>
        <v>77699.196967700045</v>
      </c>
      <c r="P17" s="55">
        <f>P14*0.35</f>
        <v>85469.116664470042</v>
      </c>
      <c r="Q17" s="55">
        <f>Q14*0.35</f>
        <v>94016.028330917063</v>
      </c>
      <c r="R17" s="55">
        <f>R14*0.35</f>
        <v>101537.31059739045</v>
      </c>
      <c r="S17" s="55">
        <f>S14*0.35</f>
        <v>109660.29544518169</v>
      </c>
      <c r="T17" s="55">
        <f>T14*0.35</f>
        <v>118433.11908079624</v>
      </c>
      <c r="U17" s="55">
        <f>U14*0.35</f>
        <v>127907.76860725996</v>
      </c>
      <c r="V17" s="56">
        <f>V14*0.35</f>
        <v>138140.39009584076</v>
      </c>
    </row>
    <row r="18" ht="16.5">
      <c r="A18" s="21" t="s">
        <v>360</v>
      </c>
      <c r="B18" s="21" t="s">
        <v>361</v>
      </c>
      <c r="C18" s="25">
        <v>5538.21</v>
      </c>
      <c r="D18" s="25">
        <v>2432.2199999999998</v>
      </c>
      <c r="E18" s="25">
        <f>3835.21+35.19</f>
        <v>3870.4000000000001</v>
      </c>
      <c r="F18" s="25">
        <f>2552.15+32.48</f>
        <v>2584.6300000000001</v>
      </c>
      <c r="G18" s="25">
        <v>1870.8</v>
      </c>
      <c r="H18" s="25">
        <v>678.50999999999999</v>
      </c>
      <c r="I18" s="57">
        <v>0</v>
      </c>
      <c r="J18" s="57">
        <v>0</v>
      </c>
      <c r="K18" s="51">
        <f t="shared" si="5"/>
        <v>5538.21</v>
      </c>
      <c r="L18" s="25">
        <v>2000</v>
      </c>
      <c r="M18" s="25">
        <f>L18*1.06</f>
        <v>2120</v>
      </c>
      <c r="N18" s="25">
        <f>M18*1.06</f>
        <v>2247.2000000000003</v>
      </c>
      <c r="O18" s="25">
        <f>N18*1.06</f>
        <v>2382.0320000000006</v>
      </c>
      <c r="P18" s="25">
        <f>O18*1.06</f>
        <v>2524.9539200000008</v>
      </c>
      <c r="Q18" s="25">
        <f>P18*1.06</f>
        <v>2676.4511552000008</v>
      </c>
      <c r="R18" s="25">
        <f t="shared" ref="R18:R19" si="6">Q18*1.06</f>
        <v>2837.0382245120009</v>
      </c>
      <c r="S18" s="25">
        <f t="shared" ref="S18:S19" si="7">R18*1.06</f>
        <v>3007.260517982721</v>
      </c>
      <c r="T18" s="25">
        <f t="shared" ref="T18:T19" si="8">S18*1.06</f>
        <v>3187.6961490616845</v>
      </c>
      <c r="U18" s="25">
        <f t="shared" ref="U18:U19" si="9">T18*1.06</f>
        <v>3378.9579180053856</v>
      </c>
      <c r="V18" s="57">
        <f t="shared" ref="V18:V19" si="10">U18*1.06</f>
        <v>3581.6953930857089</v>
      </c>
    </row>
    <row r="19" ht="16.5">
      <c r="A19" s="21" t="s">
        <v>362</v>
      </c>
      <c r="B19" s="21" t="s">
        <v>86</v>
      </c>
      <c r="C19" s="25">
        <v>18282.060000000001</v>
      </c>
      <c r="D19" s="25">
        <v>14882.68</v>
      </c>
      <c r="E19" s="25">
        <v>12394.799999999999</v>
      </c>
      <c r="F19" s="25">
        <v>11892.719999999999</v>
      </c>
      <c r="G19" s="25">
        <v>12084.9</v>
      </c>
      <c r="H19" s="25">
        <v>10133.43</v>
      </c>
      <c r="I19" s="57">
        <v>8334.7399999999998</v>
      </c>
      <c r="J19" s="57">
        <v>7603.6199999999999</v>
      </c>
      <c r="K19" s="51">
        <f t="shared" si="5"/>
        <v>18282.060000000001</v>
      </c>
      <c r="L19" s="25">
        <f>K19*1.14</f>
        <v>20841.5484</v>
      </c>
      <c r="M19" s="25">
        <f>L19*1.14</f>
        <v>23759.365175999999</v>
      </c>
      <c r="N19" s="25">
        <f>M19*1.14</f>
        <v>27085.676300639996</v>
      </c>
      <c r="O19" s="25">
        <f>N19*1.14</f>
        <v>30877.670982729593</v>
      </c>
      <c r="P19" s="25">
        <f>O19*1.14</f>
        <v>35200.544920311731</v>
      </c>
      <c r="Q19" s="25">
        <f>P19*1.14</f>
        <v>40128.621209155368</v>
      </c>
      <c r="R19" s="25">
        <f t="shared" si="6"/>
        <v>42536.33848170469</v>
      </c>
      <c r="S19" s="25">
        <f t="shared" si="7"/>
        <v>45088.518790606977</v>
      </c>
      <c r="T19" s="25">
        <f t="shared" si="8"/>
        <v>47793.829918043397</v>
      </c>
      <c r="U19" s="25">
        <f t="shared" si="9"/>
        <v>50661.459713126002</v>
      </c>
      <c r="V19" s="57">
        <f t="shared" si="10"/>
        <v>53701.147295913564</v>
      </c>
    </row>
    <row r="20" ht="16.5">
      <c r="B20" s="21" t="s">
        <v>184</v>
      </c>
      <c r="C20" s="25">
        <v>921.05999999999995</v>
      </c>
      <c r="D20" s="25">
        <v>781.61000000000001</v>
      </c>
      <c r="E20" s="25">
        <v>700.02999999999997</v>
      </c>
      <c r="F20" s="25">
        <v>673.60000000000002</v>
      </c>
      <c r="G20" s="25">
        <v>592.41999999999996</v>
      </c>
      <c r="H20" s="25">
        <v>516.92999999999995</v>
      </c>
      <c r="I20" s="57">
        <v>500.26999999999998</v>
      </c>
      <c r="J20" s="57">
        <v>519.20000000000005</v>
      </c>
      <c r="K20" s="51">
        <f t="shared" si="5"/>
        <v>921.05999999999995</v>
      </c>
      <c r="L20" s="25">
        <f>K20*1.07</f>
        <v>985.53420000000006</v>
      </c>
      <c r="M20" s="25">
        <f>L20*1.07</f>
        <v>1054.5215940000001</v>
      </c>
      <c r="N20" s="25">
        <f>M20*1.07</f>
        <v>1128.33810558</v>
      </c>
      <c r="O20" s="25">
        <f>N20*1.07</f>
        <v>1207.3217729706</v>
      </c>
      <c r="P20" s="25">
        <f>O20*1.07</f>
        <v>1291.834297078542</v>
      </c>
      <c r="Q20" s="25">
        <f>P20*1.07</f>
        <v>1382.26269787404</v>
      </c>
      <c r="R20" s="25">
        <f>Q20*1.07</f>
        <v>1479.0210867252229</v>
      </c>
      <c r="S20" s="25">
        <f>R20*1.07</f>
        <v>1582.5525627959885</v>
      </c>
      <c r="T20" s="25">
        <f>S20*1.07</f>
        <v>1693.3312421917078</v>
      </c>
      <c r="U20" s="25">
        <f>T20*1.07</f>
        <v>1811.8644291451274</v>
      </c>
      <c r="V20" s="57">
        <f>U20*1.07</f>
        <v>1938.6949391852863</v>
      </c>
      <c r="Y20" s="21" t="s">
        <v>363</v>
      </c>
    </row>
    <row r="21" ht="16.5">
      <c r="B21" s="21" t="s">
        <v>226</v>
      </c>
      <c r="C21" s="25">
        <v>12620.27</v>
      </c>
      <c r="D21" s="25">
        <v>10333.959999999999</v>
      </c>
      <c r="E21" s="25">
        <v>8749</v>
      </c>
      <c r="F21" s="25">
        <v>8236.9200000000001</v>
      </c>
      <c r="G21" s="25">
        <v>8192.2399999999998</v>
      </c>
      <c r="H21" s="25">
        <v>6731.6899999999996</v>
      </c>
      <c r="I21" s="57">
        <f>2711+5455</f>
        <v>8166</v>
      </c>
      <c r="J21" s="57">
        <f>5022.81+2966.49</f>
        <v>7989.3000000000002</v>
      </c>
      <c r="K21" s="51">
        <f t="shared" si="5"/>
        <v>12620.27</v>
      </c>
      <c r="L21" s="25">
        <f>L17/(K17/K21)</f>
        <v>13567.538205239576</v>
      </c>
      <c r="M21" s="25">
        <f>M17/(L17/L21)</f>
        <v>14924.292025763536</v>
      </c>
      <c r="N21" s="25">
        <f>N17/(M17/M21)</f>
        <v>16416.721228339891</v>
      </c>
      <c r="O21" s="25">
        <f>O17/(N17/N21)</f>
        <v>18058.393351173883</v>
      </c>
      <c r="P21" s="25">
        <f>P17/(O17/O21)</f>
        <v>19864.232686291271</v>
      </c>
      <c r="Q21" s="25">
        <f>Q17/(P17/P21)</f>
        <v>21850.655954920403</v>
      </c>
      <c r="R21" s="25">
        <f>R17/(Q17/Q21)</f>
        <v>23598.70843131404</v>
      </c>
      <c r="S21" s="25">
        <f>S17/(R17/R21)</f>
        <v>25486.605105819162</v>
      </c>
      <c r="T21" s="25">
        <f>T17/(S17/S21)</f>
        <v>27525.5335142847</v>
      </c>
      <c r="U21" s="25">
        <f>U17/(T17/T21)</f>
        <v>29727.576195427482</v>
      </c>
      <c r="V21" s="57">
        <f>V17/(U17/U21)</f>
        <v>32105.782291061681</v>
      </c>
    </row>
    <row r="22" s="22" customFormat="1" ht="16.5">
      <c r="A22" s="22"/>
      <c r="B22" s="22" t="s">
        <v>364</v>
      </c>
      <c r="C22" s="55">
        <f>SUM(C17:C21)</f>
        <v>91662.380000000005</v>
      </c>
      <c r="D22" s="55">
        <f>SUM(D17:D21)</f>
        <v>70522.25</v>
      </c>
      <c r="E22" s="55">
        <f>SUM(E17:E21)</f>
        <v>68272.75</v>
      </c>
      <c r="F22" s="55">
        <f>SUM(F17:F21)</f>
        <v>64387.159999999996</v>
      </c>
      <c r="G22" s="55">
        <f>SUM(G17:G21)</f>
        <v>54468.760000000002</v>
      </c>
      <c r="H22" s="55">
        <f>SUM(H17:H21)</f>
        <v>43415.209999999999</v>
      </c>
      <c r="I22" s="56">
        <f>SUM(I17:I21)</f>
        <v>38324.759999999995</v>
      </c>
      <c r="J22" s="56">
        <f>SUM(J17:J21)</f>
        <v>39798.044999999998</v>
      </c>
      <c r="K22" s="51">
        <f t="shared" si="5"/>
        <v>91662.380000000005</v>
      </c>
      <c r="L22" s="56">
        <f>SUM(L17:L21)</f>
        <v>95771.177505239582</v>
      </c>
      <c r="M22" s="56">
        <f>SUM(M17:M21)</f>
        <v>106072.39116576356</v>
      </c>
      <c r="N22" s="56">
        <f>SUM(N17:N21)</f>
        <v>117513.56924155992</v>
      </c>
      <c r="O22" s="56">
        <f>SUM(O17:O21)</f>
        <v>130224.61507457413</v>
      </c>
      <c r="P22" s="56">
        <f>SUM(P17:P21)</f>
        <v>144350.68248815159</v>
      </c>
      <c r="Q22" s="56">
        <f>SUM(Q17:Q21)</f>
        <v>160054.01934806688</v>
      </c>
      <c r="R22" s="56">
        <f>SUM(R17:R21)</f>
        <v>171988.41682164639</v>
      </c>
      <c r="S22" s="56">
        <f>SUM(S17:S21)</f>
        <v>184825.23242238653</v>
      </c>
      <c r="T22" s="56">
        <f>SUM(T17:T21)</f>
        <v>198633.50990437774</v>
      </c>
      <c r="U22" s="56">
        <f>SUM(U17:U21)</f>
        <v>213487.62686296395</v>
      </c>
      <c r="V22" s="56">
        <f>SUM(V17:V21)</f>
        <v>229467.71001508701</v>
      </c>
    </row>
    <row r="23" ht="16.5">
      <c r="B23" s="21" t="s">
        <v>90</v>
      </c>
      <c r="C23" s="25">
        <f>C14-C22</f>
        <v>59965.040000000008</v>
      </c>
      <c r="D23" s="25">
        <f>D14-D22</f>
        <v>49227.800000000003</v>
      </c>
      <c r="E23" s="25">
        <f>E14-E22</f>
        <v>54101.880000000005</v>
      </c>
      <c r="F23" s="25">
        <f>F14-F22</f>
        <v>51314.799999999996</v>
      </c>
      <c r="G23" s="25">
        <f>G14-G22</f>
        <v>42603.909999999996</v>
      </c>
      <c r="H23" s="25">
        <f>H14-H22</f>
        <v>32595.280000000006</v>
      </c>
      <c r="I23" s="57">
        <f>I14-I22</f>
        <v>28723.810000000012</v>
      </c>
      <c r="J23" s="57">
        <f>J14-J22</f>
        <v>19585.857000000004</v>
      </c>
      <c r="K23" s="51">
        <f t="shared" si="5"/>
        <v>59965.040000000008</v>
      </c>
      <c r="L23" s="57">
        <f>L14-L22</f>
        <v>71018.984494760458</v>
      </c>
      <c r="M23" s="57">
        <f>M14-M22</f>
        <v>77396.787034236491</v>
      </c>
      <c r="N23" s="57">
        <f>N14-N22</f>
        <v>84302.526778440166</v>
      </c>
      <c r="O23" s="57">
        <f>O14-O22</f>
        <v>91773.090547425993</v>
      </c>
      <c r="P23" s="57">
        <f>P14-P22</f>
        <v>99846.793696048553</v>
      </c>
      <c r="Q23" s="57">
        <f>Q14-Q22</f>
        <v>108563.20445455331</v>
      </c>
      <c r="R23" s="57">
        <f>R14-R22</f>
        <v>118118.18488518347</v>
      </c>
      <c r="S23" s="57">
        <f>S14-S22</f>
        <v>128489.89742098976</v>
      </c>
      <c r="T23" s="57">
        <f>T14-T22</f>
        <v>139746.83032646868</v>
      </c>
      <c r="U23" s="57">
        <f>U14-U22</f>
        <v>151963.14058635023</v>
      </c>
      <c r="V23" s="57">
        <f>V14-V22</f>
        <v>165219.11883017232</v>
      </c>
    </row>
    <row r="24" ht="16.5">
      <c r="B24" s="21" t="s">
        <v>91</v>
      </c>
      <c r="C24" s="25">
        <f>512.3+5.84-15807.24</f>
        <v>-15289.1</v>
      </c>
      <c r="D24" s="25">
        <f>-294.47+105.52-12341.19</f>
        <v>-12530.140000000001</v>
      </c>
      <c r="E24" s="25">
        <f>-14110.96+315.12+7.2</f>
        <v>-13788.639999999998</v>
      </c>
      <c r="F24" s="25">
        <f>-13359.62+225.02+8.05</f>
        <v>-13126.550000000001</v>
      </c>
      <c r="G24" s="25">
        <f>-10779.28-137.32-0.5</f>
        <v>-10917.1</v>
      </c>
      <c r="H24" s="25">
        <f>-11466.73+138.82-237.76</f>
        <v>-11565.67</v>
      </c>
      <c r="I24" s="57">
        <f>-10414.38-219-101</f>
        <v>-10734.379999999999</v>
      </c>
      <c r="J24" s="57">
        <f>-7569.92+54.94+1.74</f>
        <v>-7513.2400000000007</v>
      </c>
      <c r="K24" s="51">
        <f t="shared" si="5"/>
        <v>-15289.1</v>
      </c>
      <c r="L24" s="55">
        <f>L23*0.25*-1</f>
        <v>-17754.746123690114</v>
      </c>
      <c r="M24" s="55">
        <f>M23*0.25*-1</f>
        <v>-19349.196758559123</v>
      </c>
      <c r="N24" s="55">
        <f>N23*0.25*-1</f>
        <v>-21075.631694610041</v>
      </c>
      <c r="O24" s="55">
        <f>O23*0.25*-1</f>
        <v>-22943.272636856498</v>
      </c>
      <c r="P24" s="55">
        <f>P23*0.25*-1</f>
        <v>-24961.698424012138</v>
      </c>
      <c r="Q24" s="55">
        <f>Q23*0.25*-1</f>
        <v>-27140.801113638328</v>
      </c>
      <c r="R24" s="55">
        <f>R23*0.25*-1</f>
        <v>-29529.546221295866</v>
      </c>
      <c r="S24" s="55">
        <f>S23*0.25*-1</f>
        <v>-32122.474355247439</v>
      </c>
      <c r="T24" s="55">
        <f>T23*0.25*-1</f>
        <v>-34936.707581617171</v>
      </c>
      <c r="U24" s="55">
        <f>U23*0.25*-1</f>
        <v>-37990.785146587557</v>
      </c>
      <c r="V24" s="56">
        <f>V23*0.25*-1</f>
        <v>-41304.779707543079</v>
      </c>
    </row>
    <row r="25" s="22" customFormat="1" ht="16.5">
      <c r="A25" s="22"/>
      <c r="B25" s="22" t="s">
        <v>92</v>
      </c>
      <c r="C25" s="55">
        <f>C23+C24</f>
        <v>44675.94000000001</v>
      </c>
      <c r="D25" s="55">
        <f>D23+D24</f>
        <v>36697.660000000003</v>
      </c>
      <c r="E25" s="55">
        <f>E23+E24</f>
        <v>40313.240000000005</v>
      </c>
      <c r="F25" s="55">
        <f>F23+F24</f>
        <v>38188.249999999993</v>
      </c>
      <c r="G25" s="55">
        <f>G23+G24</f>
        <v>31686.809999999998</v>
      </c>
      <c r="H25" s="55">
        <f>H23+H24</f>
        <v>21029.610000000008</v>
      </c>
      <c r="I25" s="56">
        <f>I23+I24</f>
        <v>17989.430000000015</v>
      </c>
      <c r="J25" s="56">
        <f>J23+J24</f>
        <v>12072.617000000002</v>
      </c>
      <c r="K25" s="51">
        <f t="shared" si="5"/>
        <v>44675.94000000001</v>
      </c>
      <c r="L25" s="56">
        <f>L23+L24</f>
        <v>53264.238371070343</v>
      </c>
      <c r="M25" s="56">
        <f>M23+M24</f>
        <v>58047.590275677372</v>
      </c>
      <c r="N25" s="56">
        <f>N23+N24</f>
        <v>63226.895083830124</v>
      </c>
      <c r="O25" s="56">
        <f>O23+O24</f>
        <v>68829.817910569487</v>
      </c>
      <c r="P25" s="56">
        <f>P23+P24</f>
        <v>74885.095272036415</v>
      </c>
      <c r="Q25" s="56">
        <f>Q23+Q24</f>
        <v>81422.403340914985</v>
      </c>
      <c r="R25" s="56">
        <f>R23+R24</f>
        <v>88588.638663887599</v>
      </c>
      <c r="S25" s="56">
        <f>S23+S24</f>
        <v>96367.423065742318</v>
      </c>
      <c r="T25" s="56">
        <f>T23+T24</f>
        <v>104810.12274485151</v>
      </c>
      <c r="U25" s="56">
        <f>U23+U24</f>
        <v>113972.35543976267</v>
      </c>
      <c r="V25" s="56">
        <f>V23+V24</f>
        <v>123914.33912262923</v>
      </c>
    </row>
    <row r="26" ht="16.5">
      <c r="A26" s="21" t="s">
        <v>365</v>
      </c>
      <c r="B26" s="21" t="s">
        <v>190</v>
      </c>
      <c r="C26" s="25">
        <v>704.13</v>
      </c>
      <c r="D26" s="25">
        <v>428.67000000000002</v>
      </c>
      <c r="E26" s="25">
        <v>-784.79999999999995</v>
      </c>
      <c r="F26" s="25">
        <f>-621.44</f>
        <v>-621.44000000000005</v>
      </c>
      <c r="G26" s="25">
        <v>586.36000000000001</v>
      </c>
      <c r="H26" s="25">
        <v>-24.23</v>
      </c>
      <c r="I26" s="57">
        <v>-24.23</v>
      </c>
      <c r="J26" s="57">
        <v>-24.23</v>
      </c>
      <c r="K26" s="51">
        <f t="shared" si="5"/>
        <v>704.13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/>
      <c r="S26" s="25"/>
      <c r="T26" s="25"/>
      <c r="U26" s="25"/>
      <c r="V26" s="57"/>
    </row>
    <row r="27" ht="16.5">
      <c r="A27" s="21"/>
      <c r="B27" s="21" t="s">
        <v>366</v>
      </c>
      <c r="C27" s="25">
        <f>C28/10</f>
        <v>4538.0070000000005</v>
      </c>
      <c r="D27" s="25">
        <f>D28/10</f>
        <v>3712.6330000000003</v>
      </c>
      <c r="E27" s="25">
        <f>E28/10</f>
        <v>3952.8440000000001</v>
      </c>
      <c r="F27" s="25">
        <f>F28/10</f>
        <v>3756.6809999999991</v>
      </c>
      <c r="G27" s="25">
        <f>G28/10</f>
        <v>3227.317</v>
      </c>
      <c r="H27" s="25">
        <f>H28/10</f>
        <v>2100.5380000000009</v>
      </c>
      <c r="I27" s="57">
        <f>I28/10</f>
        <v>1784</v>
      </c>
      <c r="J27" s="57">
        <f>J28/10</f>
        <v>1199.7850000000001</v>
      </c>
      <c r="K27" s="25">
        <f>K28</f>
        <v>45380.070000000007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57"/>
    </row>
    <row r="28" s="22" customFormat="1" ht="16.5">
      <c r="A28" s="22"/>
      <c r="B28" s="22" t="s">
        <v>367</v>
      </c>
      <c r="C28" s="59">
        <f>SUM(C25:C26)</f>
        <v>45380.070000000007</v>
      </c>
      <c r="D28" s="59">
        <f>SUM(D25:D26)</f>
        <v>37126.330000000002</v>
      </c>
      <c r="E28" s="59">
        <f>SUM(E25:E26)</f>
        <v>39528.440000000002</v>
      </c>
      <c r="F28" s="59">
        <f>SUM(F25:F26)</f>
        <v>37566.80999999999</v>
      </c>
      <c r="G28" s="59">
        <f>SUM(G25:G26)</f>
        <v>32273.169999999998</v>
      </c>
      <c r="H28" s="59">
        <f>SUM(H25:H26)</f>
        <v>21005.380000000008</v>
      </c>
      <c r="I28" s="60">
        <v>17840</v>
      </c>
      <c r="J28" s="61">
        <v>11997.85</v>
      </c>
      <c r="K28" s="51">
        <f t="shared" si="5"/>
        <v>45380.070000000007</v>
      </c>
      <c r="L28" s="55">
        <f>L25</f>
        <v>53264.238371070343</v>
      </c>
      <c r="M28" s="55">
        <f>M25</f>
        <v>58047.590275677372</v>
      </c>
      <c r="N28" s="55">
        <f>N25</f>
        <v>63226.895083830124</v>
      </c>
      <c r="O28" s="55">
        <f>O25</f>
        <v>68829.817910569487</v>
      </c>
      <c r="P28" s="55">
        <f>P25</f>
        <v>74885.095272036415</v>
      </c>
      <c r="Q28" s="55">
        <f>Q25</f>
        <v>81422.403340914985</v>
      </c>
      <c r="R28" s="55">
        <f>R25</f>
        <v>88588.638663887599</v>
      </c>
      <c r="S28" s="55">
        <f>S25</f>
        <v>96367.423065742318</v>
      </c>
      <c r="T28" s="55">
        <f>T25</f>
        <v>104810.12274485151</v>
      </c>
      <c r="U28" s="55">
        <f>U25</f>
        <v>113972.35543976267</v>
      </c>
      <c r="V28" s="56">
        <f>V25</f>
        <v>123914.33912262923</v>
      </c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</row>
    <row r="29" ht="16.5">
      <c r="B29" s="21" t="s">
        <v>368</v>
      </c>
      <c r="C29" s="62">
        <v>43242.879999999997</v>
      </c>
      <c r="D29" s="62">
        <v>36122.980000000003</v>
      </c>
      <c r="E29" s="62">
        <v>39468.040000000001</v>
      </c>
      <c r="F29" s="62">
        <v>37436.18</v>
      </c>
      <c r="G29" s="62">
        <v>31973.650000000001</v>
      </c>
      <c r="H29" s="62">
        <v>20769.02</v>
      </c>
      <c r="I29" s="60">
        <v>17840</v>
      </c>
      <c r="J29" s="61">
        <v>11997.85</v>
      </c>
      <c r="K29" s="51">
        <f t="shared" si="5"/>
        <v>43242.879999999997</v>
      </c>
      <c r="L29" s="55">
        <f>L28*0.98</f>
        <v>52198.953603648937</v>
      </c>
      <c r="M29" s="55">
        <f>M28*0.98</f>
        <v>56886.638470163824</v>
      </c>
      <c r="N29" s="55">
        <f>N28*0.98</f>
        <v>61962.357182153522</v>
      </c>
      <c r="O29" s="55">
        <f>O28*0.98</f>
        <v>67453.221552358096</v>
      </c>
      <c r="P29" s="55">
        <f>P28*0.98</f>
        <v>73387.393366595687</v>
      </c>
      <c r="Q29" s="55">
        <f>Q28*0.98</f>
        <v>79793.95527409669</v>
      </c>
      <c r="R29" s="55">
        <f>R28*0.98</f>
        <v>86816.865890609843</v>
      </c>
      <c r="S29" s="55">
        <f>S28*0.98</f>
        <v>94440.074604427471</v>
      </c>
      <c r="T29" s="55">
        <f>T28*0.98</f>
        <v>102713.92028995448</v>
      </c>
      <c r="U29" s="55">
        <f>U28*0.98</f>
        <v>111692.90833096742</v>
      </c>
      <c r="V29" s="56">
        <f>V28*0.98</f>
        <v>121436.05234017664</v>
      </c>
      <c r="W29" s="62">
        <f>V29*$V$40+V29</f>
        <v>122650.4128635784</v>
      </c>
      <c r="X29" s="62">
        <f>W29*$V$40+W29</f>
        <v>123876.91699221419</v>
      </c>
      <c r="Y29" s="62">
        <f>X29*$V$40+X29</f>
        <v>125115.68616213634</v>
      </c>
      <c r="Z29" s="62">
        <f>Y29*$V$40+Y29</f>
        <v>126366.8430237577</v>
      </c>
      <c r="AA29" s="62">
        <f>Z29*$V$40+Z29</f>
        <v>127630.51145399528</v>
      </c>
      <c r="AB29" s="62">
        <f>AA29*$V$40+AA29</f>
        <v>128906.81656853523</v>
      </c>
      <c r="AC29" s="62">
        <f>AB29*$V$40+AB29</f>
        <v>130195.88473422058</v>
      </c>
      <c r="AD29" s="62">
        <f>AC29*$V$40+AC29</f>
        <v>131497.8435815628</v>
      </c>
      <c r="AE29" s="62">
        <f>AD29*$V$40+AD29</f>
        <v>132812.82201737844</v>
      </c>
      <c r="AF29" s="62">
        <f>AE29*$V$40+AE29</f>
        <v>134140.95023755223</v>
      </c>
      <c r="AG29" s="62">
        <f>AF29*$V$40+AF29</f>
        <v>135482.35973992775</v>
      </c>
      <c r="AH29" s="62">
        <f>AG29*$V$40+AG29</f>
        <v>136837.18333732703</v>
      </c>
      <c r="AI29" s="62">
        <f>AH29*$V$40+AH29</f>
        <v>138205.5551707003</v>
      </c>
      <c r="AJ29" s="62">
        <f>AI29*$V$40+AI29</f>
        <v>139587.61072240732</v>
      </c>
      <c r="AK29" s="62">
        <f>AJ29*$V$40+AJ29</f>
        <v>140983.48682963138</v>
      </c>
      <c r="AL29" s="62">
        <f>AK29*$V$40+AK29</f>
        <v>142393.32169792769</v>
      </c>
      <c r="AM29" s="62">
        <f>AL29*$V$40+AL29</f>
        <v>143817.25491490698</v>
      </c>
      <c r="AN29" s="62">
        <f>AM29*$V$40+AM29</f>
        <v>145255.42746405606</v>
      </c>
      <c r="AO29" s="62">
        <f>AN29*$V$40+AN29</f>
        <v>146707.98173869663</v>
      </c>
      <c r="AP29" s="62">
        <f>AO29*$V$40+AO29</f>
        <v>148175.06155608359</v>
      </c>
      <c r="AQ29" s="62">
        <f>AP29*$V$40+AP29</f>
        <v>149656.81217164441</v>
      </c>
      <c r="AR29" s="62">
        <f>AQ29*$V$40+AQ29</f>
        <v>151153.38029336085</v>
      </c>
      <c r="AS29" s="62">
        <f>AR29*$V$40+AR29</f>
        <v>152664.91409629447</v>
      </c>
      <c r="AT29" s="62">
        <f>AS29*$V$40+AS29</f>
        <v>154191.56323725742</v>
      </c>
      <c r="AU29" s="62">
        <f>AT29*$V$40+AT29</f>
        <v>155733.47886962999</v>
      </c>
      <c r="AV29" s="62">
        <f>AU29*$V$40+AU29</f>
        <v>157290.81365832628</v>
      </c>
      <c r="AW29" s="62">
        <f>AV29*$V$40+AV29</f>
        <v>158863.72179490954</v>
      </c>
      <c r="AX29" s="62">
        <f>AW29*$V$40+AW29</f>
        <v>160452.35901285862</v>
      </c>
      <c r="AY29" s="62">
        <f>AX29*$V$40+AX29</f>
        <v>162056.8826029872</v>
      </c>
      <c r="AZ29" s="62">
        <f>AY29*$V$40+AY29</f>
        <v>163677.45142901706</v>
      </c>
      <c r="BA29" s="62">
        <f>AZ29*$V$40+AZ29</f>
        <v>165314.22594330725</v>
      </c>
      <c r="BB29" s="62">
        <f>BA29*$V$40+BA29</f>
        <v>166967.36820274033</v>
      </c>
      <c r="BC29" s="62">
        <f>BB29*$V$40+BB29</f>
        <v>168637.04188476774</v>
      </c>
      <c r="BD29" s="62">
        <f>BC29*$V$40+BC29</f>
        <v>170323.41230361542</v>
      </c>
      <c r="BE29" s="62">
        <f>BD29*$V$40+BD29</f>
        <v>172026.64642665157</v>
      </c>
      <c r="BF29" s="62">
        <f>BE29*$V$40+BE29</f>
        <v>173746.91289091809</v>
      </c>
      <c r="BG29" s="62">
        <f>BF29*$V$40+BF29</f>
        <v>175484.38201982726</v>
      </c>
      <c r="BH29" s="62">
        <f>BG29*$V$40+BG29</f>
        <v>177239.22584002552</v>
      </c>
      <c r="BI29" s="62">
        <f>BH29*$V$40+BH29</f>
        <v>179011.61809842577</v>
      </c>
      <c r="BJ29" s="62">
        <f>BI29*$V$40+BI29</f>
        <v>180801.73427941001</v>
      </c>
      <c r="BK29" s="62">
        <f>BJ29*$V$40+BJ29</f>
        <v>182609.75162220412</v>
      </c>
      <c r="BL29" s="62">
        <f>BK29*$V$40+BK29</f>
        <v>184435.84913842616</v>
      </c>
      <c r="BM29" s="62">
        <f>BL29*$V$40+BL29</f>
        <v>186280.20762981041</v>
      </c>
      <c r="BN29" s="62">
        <f>BM29*$V$40+BM29</f>
        <v>188143.00970610851</v>
      </c>
      <c r="BO29" s="62">
        <f>BN29*$V$40+BN29</f>
        <v>190024.4398031696</v>
      </c>
      <c r="BP29" s="62">
        <f>BO29*$V$40+BO29</f>
        <v>191924.68420120131</v>
      </c>
      <c r="BQ29" s="62">
        <f>BP29*$V$40+BP29</f>
        <v>193843.93104321332</v>
      </c>
      <c r="BR29" s="62">
        <f>BQ29*$V$40+BQ29</f>
        <v>195782.37035364544</v>
      </c>
      <c r="BS29" s="62">
        <f>BR29*$V$40+BR29</f>
        <v>197740.19405718189</v>
      </c>
      <c r="BT29" s="62">
        <f>BS29*$V$40+BS29</f>
        <v>199717.5959977537</v>
      </c>
      <c r="BU29" s="62">
        <f>BT29*$V$40+BT29</f>
        <v>201714.77195773122</v>
      </c>
      <c r="BV29" s="62">
        <f>BU29*$V$40+BU29</f>
        <v>203731.91967730853</v>
      </c>
      <c r="BW29" s="62">
        <f>BV29*$V$40+BV29</f>
        <v>205769.23887408161</v>
      </c>
      <c r="BX29" s="62">
        <f>BW29*$V$40+BW29</f>
        <v>207826.93126282241</v>
      </c>
      <c r="BY29" s="62">
        <f>BX29*$V$40+BX29</f>
        <v>209905.20057545064</v>
      </c>
      <c r="BZ29" s="62">
        <f>BY29*$V$40+BY29</f>
        <v>212004.25258120513</v>
      </c>
      <c r="CA29" s="62">
        <f>BZ29*$V$40+BZ29</f>
        <v>214124.29510701718</v>
      </c>
      <c r="CB29" s="62">
        <f>CA29*$V$40+CA29</f>
        <v>216265.53805808735</v>
      </c>
      <c r="CC29" s="62">
        <f>CB29*$V$40+CB29</f>
        <v>218428.19343866821</v>
      </c>
      <c r="CD29" s="62">
        <f>CC29*$V$40+CC29</f>
        <v>220612.47537305488</v>
      </c>
      <c r="CE29" s="62">
        <f>CD29*$V$40+CD29</f>
        <v>222818.60012678543</v>
      </c>
      <c r="CF29" s="62">
        <f>CE29*$V$40+CE29</f>
        <v>225046.7861280533</v>
      </c>
      <c r="CG29" s="62">
        <f>CF29*$V$40+CF29</f>
        <v>227297.25398933384</v>
      </c>
      <c r="CH29" s="62">
        <f>CG29*$V$40+CG29</f>
        <v>229570.22652922719</v>
      </c>
      <c r="CI29" s="62">
        <f>CH29*$V$40+CH29</f>
        <v>231865.92879451945</v>
      </c>
      <c r="CJ29" s="62">
        <f>CI29*$V$40+CI29</f>
        <v>234184.58808246464</v>
      </c>
    </row>
    <row r="30" ht="16.5">
      <c r="B30" s="21" t="s">
        <v>369</v>
      </c>
      <c r="C30" s="24">
        <f>C28/C29-1</f>
        <v>0.049422933902645072</v>
      </c>
      <c r="D30" s="24">
        <f>D28/D29-1</f>
        <v>0.027775947610080953</v>
      </c>
      <c r="E30" s="24">
        <f>E28/E29-1</f>
        <v>0.0015303521532865627</v>
      </c>
      <c r="F30" s="24">
        <f>F28/F29-1</f>
        <v>0.0034894051690099737</v>
      </c>
      <c r="G30" s="24">
        <f>G28/G29-1</f>
        <v>0.0093677137267718091</v>
      </c>
      <c r="H30" s="24">
        <f>H28/H29-1</f>
        <v>0.011380411786401368</v>
      </c>
      <c r="I30" s="60"/>
      <c r="J30" s="60"/>
      <c r="K30" s="51">
        <f t="shared" si="5"/>
        <v>0.049422933902645072</v>
      </c>
      <c r="L30" s="55"/>
      <c r="M30" s="55"/>
      <c r="N30" s="55"/>
      <c r="O30" s="55"/>
      <c r="P30" s="55"/>
      <c r="Q30" s="55"/>
      <c r="R30" s="55"/>
      <c r="S30" s="55"/>
      <c r="T30" s="55"/>
      <c r="V30" s="29"/>
    </row>
    <row r="31" ht="16.5">
      <c r="B31" s="21"/>
      <c r="C31" s="62"/>
      <c r="D31" s="62"/>
      <c r="E31" s="62"/>
      <c r="F31" s="62"/>
      <c r="G31" s="62"/>
      <c r="H31" s="62"/>
      <c r="I31" s="60"/>
      <c r="J31" s="60"/>
      <c r="K31" s="51">
        <f t="shared" si="5"/>
        <v>0</v>
      </c>
      <c r="V31" s="29"/>
      <c r="Z31" s="41"/>
    </row>
    <row r="32" ht="16.5">
      <c r="B32" s="21" t="s">
        <v>370</v>
      </c>
      <c r="C32" s="62">
        <v>251072.07000000001</v>
      </c>
      <c r="D32" s="27">
        <v>216657.51999999999</v>
      </c>
      <c r="E32" s="27">
        <v>216657.51999999999</v>
      </c>
      <c r="F32" s="27">
        <v>216657.51999999999</v>
      </c>
      <c r="G32" s="27">
        <v>216657.51999999999</v>
      </c>
      <c r="H32" s="27">
        <v>216657.51999999999</v>
      </c>
      <c r="I32" s="33">
        <v>216657.51999999999</v>
      </c>
      <c r="J32" s="33">
        <v>216657.51999999999</v>
      </c>
      <c r="K32" s="51">
        <f t="shared" si="5"/>
        <v>251072.07000000001</v>
      </c>
      <c r="V32" s="29"/>
      <c r="Y32" s="21"/>
    </row>
    <row r="33" ht="16.5">
      <c r="B33" s="21" t="s">
        <v>233</v>
      </c>
      <c r="C33" s="25">
        <v>401453679</v>
      </c>
      <c r="D33" s="25">
        <v>401397883</v>
      </c>
      <c r="E33" s="25">
        <v>401397883</v>
      </c>
      <c r="F33" s="25">
        <v>401397883</v>
      </c>
      <c r="G33" s="25">
        <v>401397883</v>
      </c>
      <c r="H33" s="25">
        <v>401397883</v>
      </c>
      <c r="I33" s="57">
        <v>400041239</v>
      </c>
      <c r="J33" s="57">
        <v>400041239</v>
      </c>
      <c r="K33" s="51">
        <f t="shared" si="5"/>
        <v>401453679</v>
      </c>
      <c r="V33" s="29"/>
    </row>
    <row r="34" ht="16.5">
      <c r="A34" s="21"/>
      <c r="B34" s="21" t="s">
        <v>371</v>
      </c>
      <c r="C34" s="21">
        <f>C29*1000000/D33</f>
        <v>107.73071267045023</v>
      </c>
      <c r="D34" s="21">
        <f>D29*1000000/C33</f>
        <v>89.980443297917816</v>
      </c>
      <c r="E34" s="21">
        <f>E29*1000000/D33</f>
        <v>98.326477720860325</v>
      </c>
      <c r="F34" s="21">
        <f>F29*1000000/E33</f>
        <v>93.264517790194716</v>
      </c>
      <c r="G34" s="21">
        <f>G29*1000000/F33</f>
        <v>79.65575144799655</v>
      </c>
      <c r="H34" s="21">
        <f>H29*1000000/G33</f>
        <v>51.741727795809027</v>
      </c>
      <c r="I34" s="29">
        <f>I29*1000000/H33</f>
        <v>44.444678847496562</v>
      </c>
      <c r="J34" s="29">
        <f>J29*1000000/I33</f>
        <v>29.991532947931901</v>
      </c>
      <c r="K34" s="51">
        <f t="shared" si="5"/>
        <v>107.73071267045023</v>
      </c>
      <c r="V34" s="29"/>
    </row>
    <row r="35" ht="16.5">
      <c r="A35" s="21" t="s">
        <v>347</v>
      </c>
      <c r="B35" s="21"/>
      <c r="C35" s="21"/>
      <c r="D35" s="21"/>
      <c r="E35" s="21"/>
      <c r="F35" s="21"/>
      <c r="G35" s="21"/>
      <c r="H35" s="21"/>
      <c r="I35" s="29"/>
      <c r="J35" s="29"/>
      <c r="K35" s="51">
        <f t="shared" si="5"/>
        <v>0</v>
      </c>
      <c r="V35" s="29"/>
    </row>
    <row r="36" ht="16.5">
      <c r="A36" s="21"/>
      <c r="B36" s="36" t="s">
        <v>372</v>
      </c>
      <c r="C36" s="24">
        <f>C11/D11-1</f>
        <v>0.26593407461616625</v>
      </c>
      <c r="D36" s="24">
        <f>D11/E11-1</f>
        <v>-0.023573914257381867</v>
      </c>
      <c r="E36" s="24">
        <f>E11/F11-1</f>
        <v>0.056382370099326895</v>
      </c>
      <c r="F36" s="24">
        <f>F11/G11-1</f>
        <v>0.19109735873060441</v>
      </c>
      <c r="G36" s="24">
        <f>G11/H11-1</f>
        <v>0.27514210410995843</v>
      </c>
      <c r="H36" s="24">
        <f>H11/I11-1</f>
        <v>0.14936541808550907</v>
      </c>
      <c r="I36" s="63">
        <f>I11/J11-1</f>
        <v>0.11786898558570758</v>
      </c>
      <c r="J36" s="64"/>
      <c r="K36" s="65">
        <f t="shared" si="5"/>
        <v>0.26593407461616625</v>
      </c>
      <c r="U36" s="21" t="s">
        <v>373</v>
      </c>
      <c r="V36" s="66">
        <v>0.11</v>
      </c>
    </row>
    <row r="37" ht="16.5">
      <c r="B37" s="36" t="s">
        <v>374</v>
      </c>
      <c r="C37" s="24">
        <f>C14/D14-1</f>
        <v>0.26619922079364478</v>
      </c>
      <c r="D37" s="24">
        <f>D14/E14-1</f>
        <v>-0.021447092424303982</v>
      </c>
      <c r="E37" s="24">
        <f>E14/F14-1</f>
        <v>0.057671192432695362</v>
      </c>
      <c r="F37" s="24">
        <f>F14/G14-1</f>
        <v>0.19191076128842433</v>
      </c>
      <c r="G37" s="24">
        <f>G14/H14-1</f>
        <v>0.27709570086970881</v>
      </c>
      <c r="H37" s="24">
        <f>H14/I14-1</f>
        <v>0.13366310422429595</v>
      </c>
      <c r="I37" s="63">
        <f>I14/J14-1</f>
        <v>0.129069794032733</v>
      </c>
      <c r="J37" s="63">
        <f>J14/K14-1</f>
        <v>-0.60835644370919195</v>
      </c>
      <c r="K37" s="65">
        <f t="shared" si="5"/>
        <v>0.26619922079364478</v>
      </c>
      <c r="U37" s="21" t="s">
        <v>375</v>
      </c>
      <c r="V37" s="33">
        <f>NPV(V36,L29:CJ29)</f>
        <v>858348.73920576624</v>
      </c>
      <c r="W37" s="21" t="s">
        <v>376</v>
      </c>
    </row>
    <row r="38" ht="16.5">
      <c r="B38" s="36" t="s">
        <v>377</v>
      </c>
      <c r="C38" s="41">
        <f>C14-C17</f>
        <v>97326.640000000014</v>
      </c>
      <c r="D38" s="41">
        <f>D14-D17</f>
        <v>77658.270000000004</v>
      </c>
      <c r="E38" s="41">
        <f>E14-E17</f>
        <v>79816.110000000015</v>
      </c>
      <c r="F38" s="41">
        <f>F14-F17</f>
        <v>74702.669999999984</v>
      </c>
      <c r="G38" s="41">
        <f>G14-G17</f>
        <v>65344.269999999997</v>
      </c>
      <c r="H38" s="41">
        <f>H14-H17</f>
        <v>50655.840000000004</v>
      </c>
      <c r="I38" s="67">
        <f>I14-I17</f>
        <v>45724.820000000007</v>
      </c>
      <c r="J38" s="67">
        <f>J14-J17</f>
        <v>35697.976999999999</v>
      </c>
      <c r="K38" s="68">
        <f t="shared" si="5"/>
        <v>97326.640000000014</v>
      </c>
      <c r="U38" s="22" t="s">
        <v>378</v>
      </c>
      <c r="V38" s="69">
        <v>2228.0999999999999</v>
      </c>
    </row>
    <row r="39" s="22" customFormat="1" ht="16.5">
      <c r="A39" s="22"/>
      <c r="B39" s="38" t="s">
        <v>379</v>
      </c>
      <c r="C39" s="70">
        <f>C17/C14</f>
        <v>0.35811979126202897</v>
      </c>
      <c r="D39" s="70">
        <f>D17/D14</f>
        <v>0.35149697223508464</v>
      </c>
      <c r="E39" s="70">
        <f>E17/E14</f>
        <v>0.34777241001668396</v>
      </c>
      <c r="F39" s="70">
        <f>F17/F14</f>
        <v>0.35435259696551386</v>
      </c>
      <c r="G39" s="70">
        <f>G17/G14</f>
        <v>0.32685203775686816</v>
      </c>
      <c r="H39" s="70">
        <f>H17/H14</f>
        <v>0.33356777465847148</v>
      </c>
      <c r="I39" s="71">
        <f>I17/I14</f>
        <v>0.31803437418575814</v>
      </c>
      <c r="J39" s="71">
        <f>J17/J14</f>
        <v>0.39886104149909174</v>
      </c>
      <c r="K39" s="72">
        <f t="shared" si="5"/>
        <v>0.35811979126202897</v>
      </c>
      <c r="L39" s="73"/>
      <c r="M39" s="73"/>
      <c r="U39" s="22" t="s">
        <v>380</v>
      </c>
      <c r="V39" s="74">
        <v>401452876</v>
      </c>
    </row>
    <row r="40" ht="16.5">
      <c r="B40" s="36" t="s">
        <v>381</v>
      </c>
      <c r="C40" s="24">
        <f>C28/D28-1</f>
        <v>0.22231499854685355</v>
      </c>
      <c r="D40" s="24">
        <f>D28/E28-1</f>
        <v>-0.060769157598933865</v>
      </c>
      <c r="E40" s="24">
        <f>E28/F28-1</f>
        <v>0.052217103342019566</v>
      </c>
      <c r="F40" s="24">
        <f>F28/G28-1</f>
        <v>0.16402603153021511</v>
      </c>
      <c r="G40" s="24">
        <f>G28/H28-1</f>
        <v>0.53642400185095362</v>
      </c>
      <c r="H40" s="24">
        <f>H28/I28-1</f>
        <v>0.17743161434977628</v>
      </c>
      <c r="I40" s="63">
        <f>I28/J28-1</f>
        <v>0.48693307550936216</v>
      </c>
      <c r="J40" s="63">
        <f>J28/K28-1</f>
        <v>-0.73561411430171875</v>
      </c>
      <c r="K40" s="34">
        <f>K28/L28-1</f>
        <v>-0.14801992128648367</v>
      </c>
      <c r="U40" s="21" t="s">
        <v>382</v>
      </c>
      <c r="V40" s="66">
        <v>0.01</v>
      </c>
    </row>
    <row r="41" ht="16.5">
      <c r="A41" s="21"/>
      <c r="B41" s="36" t="s">
        <v>383</v>
      </c>
      <c r="C41" s="24">
        <f>(C22-D22)/D22</f>
        <v>0.29976539319151052</v>
      </c>
      <c r="D41" s="24">
        <f>(D22-E22)/E22</f>
        <v>0.032948724051689728</v>
      </c>
      <c r="E41" s="24">
        <f>(E22-F22)/F22</f>
        <v>0.060347280420506265</v>
      </c>
      <c r="F41" s="24">
        <f>(F22-G22)/G22</f>
        <v>0.18209336874935272</v>
      </c>
      <c r="G41" s="24">
        <f>(G22-H22)/H22</f>
        <v>0.25460086453572384</v>
      </c>
      <c r="H41" s="24">
        <f>(H22-I22)/I22</f>
        <v>0.13282405421456012</v>
      </c>
      <c r="I41" s="24">
        <f>(I22-J22)/J22</f>
        <v>-0.037019029452326199</v>
      </c>
      <c r="J41" s="24">
        <f>(J22-K22)/K22</f>
        <v>-0.56581920521810591</v>
      </c>
      <c r="K41" s="65">
        <f t="shared" si="5"/>
        <v>0.29976539319151052</v>
      </c>
      <c r="U41" s="21" t="s">
        <v>384</v>
      </c>
      <c r="V41" s="22">
        <f>V37*1000000/V39</f>
        <v>2138.1058413584915</v>
      </c>
    </row>
    <row r="42" ht="16.5">
      <c r="B42" s="36" t="s">
        <v>385</v>
      </c>
      <c r="C42" s="24">
        <f>C17/D17-1</f>
        <v>0.29005663338542576</v>
      </c>
      <c r="D42" s="24">
        <f>D17/E17-1</f>
        <v>-0.010967016710167532</v>
      </c>
      <c r="E42" s="24">
        <f>E17/F17-1</f>
        <v>0.03803065857969723</v>
      </c>
      <c r="F42" s="24">
        <f>F17/G17-1</f>
        <v>0.29219532028088402</v>
      </c>
      <c r="G42" s="24">
        <f>G17/H17-1</f>
        <v>0.25138386844227778</v>
      </c>
      <c r="H42" s="24">
        <f>H17/I17-1</f>
        <v>0.18903335482736394</v>
      </c>
      <c r="I42" s="24">
        <f>I17/J17-1</f>
        <v>-0.099729058502042833</v>
      </c>
      <c r="J42" s="24">
        <f>J17/K17-1</f>
        <v>-0.56380138554179149</v>
      </c>
      <c r="K42" s="65">
        <f t="shared" si="5"/>
        <v>0.29005663338542576</v>
      </c>
      <c r="U42" s="21" t="s">
        <v>135</v>
      </c>
    </row>
    <row r="43" ht="16.5">
      <c r="A43" s="21" t="s">
        <v>386</v>
      </c>
      <c r="B43" s="36" t="s">
        <v>200</v>
      </c>
      <c r="C43" s="24">
        <f>C28/D28-1</f>
        <v>0.22231499854685355</v>
      </c>
      <c r="D43" s="24">
        <f>D28/E28-1</f>
        <v>-0.060769157598933865</v>
      </c>
      <c r="E43" s="24">
        <f>E28/F28-1</f>
        <v>0.052217103342019566</v>
      </c>
      <c r="F43" s="24">
        <f>F28/G28-1</f>
        <v>0.16402603153021511</v>
      </c>
      <c r="G43" s="24">
        <f>G28/H28-1</f>
        <v>0.53642400185095362</v>
      </c>
      <c r="H43" s="24">
        <f>H28/I28-1</f>
        <v>0.17743161434977628</v>
      </c>
      <c r="I43" s="24">
        <f>I28/J28-1</f>
        <v>0.48693307550936216</v>
      </c>
      <c r="J43" s="24">
        <f>J28/K28-1</f>
        <v>-0.73561411430171875</v>
      </c>
      <c r="K43" s="65">
        <f t="shared" si="5"/>
        <v>0.22231499854685355</v>
      </c>
      <c r="U43" s="21" t="s">
        <v>138</v>
      </c>
    </row>
    <row r="44" ht="16.5">
      <c r="B44" s="36" t="s">
        <v>387</v>
      </c>
      <c r="C44" s="24">
        <f>C34/D34-1</f>
        <v>0.19726808095135451</v>
      </c>
      <c r="D44" s="24">
        <f>D34/E34-1</f>
        <v>-0.084880844065584493</v>
      </c>
      <c r="E44" s="24">
        <f>E34/F34-1</f>
        <v>0.054275302661756619</v>
      </c>
      <c r="F44" s="24">
        <f>F34/G34-1</f>
        <v>0.1708447424676256</v>
      </c>
      <c r="G44" s="24">
        <f>G34/H34-1</f>
        <v>0.53948765998588288</v>
      </c>
      <c r="H44" s="24">
        <f>H34/I34-1</f>
        <v>0.16418273542600903</v>
      </c>
      <c r="I44" s="24">
        <f>I34/J34-1</f>
        <v>0.48190754119359847</v>
      </c>
      <c r="J44" s="24">
        <f>J34/K34-1</f>
        <v>-0.72160647410106327</v>
      </c>
      <c r="K44" s="65">
        <f t="shared" si="5"/>
        <v>0.19726808095135451</v>
      </c>
      <c r="U44" s="21" t="s">
        <v>388</v>
      </c>
    </row>
    <row r="45" ht="16.5">
      <c r="B45" s="36" t="s">
        <v>389</v>
      </c>
      <c r="C45" s="24">
        <f>C26/D26-1</f>
        <v>0.64259220379312754</v>
      </c>
      <c r="D45" s="24">
        <f>D26/E26-1</f>
        <v>-1.5462155963302753</v>
      </c>
      <c r="E45" s="24">
        <f>E26/F26-1</f>
        <v>0.26287332646755912</v>
      </c>
      <c r="F45" s="24">
        <f>F26/G26-1</f>
        <v>-2.0598267276076134</v>
      </c>
      <c r="G45" s="24">
        <f>G26/H26-1</f>
        <v>-25.199752373091208</v>
      </c>
      <c r="H45" s="24">
        <f>H26/I26-1</f>
        <v>0</v>
      </c>
      <c r="I45" s="24">
        <f>I26/J26-1</f>
        <v>0</v>
      </c>
      <c r="J45" s="24"/>
      <c r="K45" s="65">
        <f t="shared" si="5"/>
        <v>0.64259220379312754</v>
      </c>
    </row>
    <row r="46" ht="16.5">
      <c r="B46" s="36" t="s">
        <v>390</v>
      </c>
      <c r="C46" s="24">
        <f>C29/D29-1</f>
        <v>0.19710167876515161</v>
      </c>
      <c r="D46" s="24">
        <f>D29/E29-1</f>
        <v>-0.084753638640276963</v>
      </c>
      <c r="E46" s="24">
        <f>E29/F29-1</f>
        <v>0.054275302661756619</v>
      </c>
      <c r="F46" s="24">
        <f>F29/G29-1</f>
        <v>0.1708447424676256</v>
      </c>
      <c r="G46" s="24">
        <f>G29/H29-1</f>
        <v>0.53948765998588288</v>
      </c>
      <c r="H46" s="24">
        <f>H29/I29-1</f>
        <v>0.16418273542600903</v>
      </c>
      <c r="I46" s="24">
        <f>I29/J29-1</f>
        <v>0.48693307550936216</v>
      </c>
      <c r="J46" s="24"/>
      <c r="K46" s="65">
        <f t="shared" si="5"/>
        <v>0.19710167876515161</v>
      </c>
    </row>
    <row r="47" ht="16.5">
      <c r="B47" s="36" t="s">
        <v>246</v>
      </c>
      <c r="C47" s="24">
        <f t="shared" ref="C47:C48" si="11">C19/D19-1</f>
        <v>0.22841181830154245</v>
      </c>
      <c r="D47" s="24">
        <f t="shared" ref="D47:D48" si="12">D19/E19-1</f>
        <v>0.20071965663019986</v>
      </c>
      <c r="E47" s="24">
        <f t="shared" ref="E47:E48" si="13">E19/F19-1</f>
        <v>0.042217423768490248</v>
      </c>
      <c r="F47" s="24">
        <f t="shared" ref="F47:F48" si="14">F19/G19-1</f>
        <v>-0.015902489884070281</v>
      </c>
      <c r="G47" s="24">
        <f t="shared" ref="G47:G48" si="15">G19/H19-1</f>
        <v>0.19257743922837567</v>
      </c>
      <c r="H47" s="24">
        <f t="shared" ref="H47:H48" si="16">H19/I19-1</f>
        <v>0.21580637188442608</v>
      </c>
      <c r="I47" s="24">
        <f t="shared" ref="I47:I48" si="17">I19/J19-1</f>
        <v>0.096154200236203247</v>
      </c>
      <c r="J47" s="24">
        <f t="shared" ref="J47:J48" si="18">J19/K19-1</f>
        <v>-0.58409391501832952</v>
      </c>
      <c r="K47" s="34">
        <f t="shared" ref="K47:K48" si="19">K19/L19-1</f>
        <v>-0.12280701754385959</v>
      </c>
    </row>
    <row r="48" ht="16.5">
      <c r="B48" s="36" t="s">
        <v>248</v>
      </c>
      <c r="C48" s="24">
        <f t="shared" si="11"/>
        <v>0.17841378692698395</v>
      </c>
      <c r="D48" s="24">
        <f t="shared" si="12"/>
        <v>0.11653786266302868</v>
      </c>
      <c r="E48" s="24">
        <f t="shared" si="13"/>
        <v>0.039236935866983291</v>
      </c>
      <c r="F48" s="24">
        <f t="shared" si="14"/>
        <v>0.13703116032544482</v>
      </c>
      <c r="G48" s="24">
        <f t="shared" si="15"/>
        <v>0.14603524655175759</v>
      </c>
      <c r="H48" s="24">
        <f t="shared" si="16"/>
        <v>0.033302016910867982</v>
      </c>
      <c r="I48" s="24">
        <f t="shared" si="17"/>
        <v>-0.036459938366718125</v>
      </c>
      <c r="J48" s="24">
        <f t="shared" si="18"/>
        <v>-0.43630165244392327</v>
      </c>
      <c r="K48" s="34">
        <f t="shared" si="19"/>
        <v>-0.06542056074766367</v>
      </c>
    </row>
    <row r="49" s="22" customFormat="1" ht="16.5">
      <c r="A49" s="22"/>
      <c r="B49" s="22" t="s">
        <v>391</v>
      </c>
      <c r="C49" s="70">
        <f>C17/C15</f>
        <v>0.079548794001937151</v>
      </c>
      <c r="D49" s="70">
        <f>D17/D15</f>
        <v>0.075449295986919657</v>
      </c>
      <c r="E49" s="70">
        <f>E17/E15</f>
        <v>0.078013707793088874</v>
      </c>
      <c r="F49" s="70">
        <f>F17/F15</f>
        <v>0.10019157939218043</v>
      </c>
      <c r="G49" s="70">
        <f>G17/G15</f>
        <v>0.078244733904551167</v>
      </c>
      <c r="H49" s="70">
        <f>H17/H15</f>
        <v>0.06750205124673124</v>
      </c>
      <c r="I49" s="70">
        <f>I17/I15</f>
        <v>0.069307428527745255</v>
      </c>
      <c r="J49" s="70">
        <f>J17/J15</f>
        <v>0.076985077861587883</v>
      </c>
      <c r="K49" s="72">
        <f t="shared" ref="K49:K50" si="20">C49</f>
        <v>0.079548794001937151</v>
      </c>
    </row>
    <row r="50" s="22" customFormat="1" ht="16.5">
      <c r="A50" s="22"/>
      <c r="B50" s="22" t="s">
        <v>392</v>
      </c>
      <c r="C50" s="70">
        <f>C5/C15</f>
        <v>0.21308956749106944</v>
      </c>
      <c r="D50" s="70">
        <f>D5/D15</f>
        <v>0.20713236182984177</v>
      </c>
      <c r="E50" s="70">
        <f>E5/E15</f>
        <v>0.21859907804974643</v>
      </c>
      <c r="F50" s="70">
        <f>F5/F15</f>
        <v>0.2739500021675968</v>
      </c>
      <c r="G50" s="70">
        <f>G5/G15</f>
        <v>0.23224878887788608</v>
      </c>
      <c r="H50" s="70">
        <f>H5/H15</f>
        <v>0.19743750636126761</v>
      </c>
      <c r="I50" s="70"/>
      <c r="J50" s="70"/>
      <c r="K50" s="72">
        <f t="shared" si="20"/>
        <v>0.21308956749106944</v>
      </c>
    </row>
    <row r="51" s="22" customFormat="1" ht="16.5">
      <c r="A51" s="22"/>
      <c r="B51" s="22" t="s">
        <v>109</v>
      </c>
      <c r="C51" s="70">
        <f>C24/C23*-1</f>
        <v>0.25496689404359602</v>
      </c>
      <c r="D51" s="70">
        <f>D24/D23*-1</f>
        <v>0.25453382032103811</v>
      </c>
      <c r="E51" s="70">
        <f>E24/E23*-1</f>
        <v>0.25486434112825646</v>
      </c>
      <c r="F51" s="70">
        <f>F24/F23*-1</f>
        <v>0.25580436833038428</v>
      </c>
      <c r="G51" s="70">
        <f>G24/G23*-1</f>
        <v>0.25624643371934647</v>
      </c>
      <c r="H51" s="70">
        <f>H24/H23*-1</f>
        <v>0.3548265270309075</v>
      </c>
      <c r="I51" s="70">
        <f>I24/I23*-1</f>
        <v>0.37371017284963221</v>
      </c>
      <c r="J51" s="70">
        <f>J24/J23*-1</f>
        <v>0.3836053740206517</v>
      </c>
      <c r="K51" s="70">
        <f>K24/K23*-1</f>
        <v>0.25496689404359602</v>
      </c>
    </row>
    <row r="52" ht="16.5">
      <c r="B52" s="21"/>
      <c r="C52" s="21"/>
      <c r="D52" s="21"/>
      <c r="E52" s="21"/>
      <c r="F52" s="21"/>
      <c r="G52" s="21"/>
      <c r="H52" s="21"/>
      <c r="I52" s="21"/>
      <c r="J52" s="21"/>
    </row>
    <row r="53" ht="16.5">
      <c r="A53" s="48" t="s">
        <v>393</v>
      </c>
      <c r="B53" s="21"/>
      <c r="C53" s="21"/>
      <c r="D53" s="21"/>
      <c r="E53" s="21"/>
      <c r="F53" s="21"/>
      <c r="G53" s="21"/>
      <c r="H53" s="21"/>
      <c r="I53" s="21"/>
      <c r="J53" s="21"/>
    </row>
    <row r="54" ht="16.5">
      <c r="A54" s="22" t="s">
        <v>394</v>
      </c>
      <c r="B54" s="21"/>
      <c r="C54" s="21"/>
      <c r="D54" s="21"/>
      <c r="E54" s="21"/>
      <c r="F54" s="21"/>
      <c r="G54" s="21"/>
      <c r="H54" s="21"/>
      <c r="I54" s="21"/>
      <c r="J54" s="21"/>
    </row>
    <row r="55" ht="16.5">
      <c r="A55" s="21"/>
      <c r="B55" s="21" t="s">
        <v>395</v>
      </c>
      <c r="C55" s="25">
        <v>4014.6199999999999</v>
      </c>
      <c r="D55" s="25">
        <v>4014.48</v>
      </c>
      <c r="E55" s="25">
        <v>4013.4499999999998</v>
      </c>
      <c r="F55" s="25">
        <v>4011.96</v>
      </c>
      <c r="G55" s="25">
        <f>4010.37</f>
        <v>4010.3699999999999</v>
      </c>
      <c r="H55" s="25">
        <v>4006.6100000000001</v>
      </c>
      <c r="I55" s="25">
        <v>4000.4119999999998</v>
      </c>
      <c r="J55" s="25">
        <v>4000.4119999999998</v>
      </c>
    </row>
    <row r="56" ht="16.5">
      <c r="B56" s="21" t="s">
        <v>396</v>
      </c>
      <c r="C56" s="25">
        <v>247057.45000000001</v>
      </c>
      <c r="D56" s="25">
        <v>212643.04000000001</v>
      </c>
      <c r="E56" s="25">
        <v>183843.79000000001</v>
      </c>
      <c r="F56" s="25">
        <v>151738.29000000001</v>
      </c>
      <c r="G56" s="25">
        <f>114281.73</f>
        <v>114281.73</v>
      </c>
      <c r="H56" s="25">
        <v>95305.389999999999</v>
      </c>
      <c r="I56" s="25">
        <v>74422.869999999995</v>
      </c>
      <c r="J56" s="25">
        <v>74422.869999999995</v>
      </c>
    </row>
    <row r="57" ht="16.5">
      <c r="B57" s="21" t="s">
        <v>397</v>
      </c>
      <c r="C57" s="25">
        <f>C56+C55</f>
        <v>251072.07000000001</v>
      </c>
      <c r="D57" s="25">
        <f>D56+D55</f>
        <v>216657.52000000002</v>
      </c>
      <c r="E57" s="25">
        <f>E56+E55</f>
        <v>187857.24000000002</v>
      </c>
      <c r="F57" s="25">
        <f>F56+F55</f>
        <v>155750.25</v>
      </c>
      <c r="G57" s="25">
        <f>G56+G55</f>
        <v>118292.09999999999</v>
      </c>
      <c r="H57" s="25">
        <f>H56+H55</f>
        <v>99312</v>
      </c>
      <c r="I57" s="25">
        <f>I56+I55</f>
        <v>78423.281999999992</v>
      </c>
      <c r="J57" s="25">
        <f>J56+J55</f>
        <v>78423.281999999992</v>
      </c>
    </row>
    <row r="58" ht="16.5">
      <c r="A58" s="22" t="s">
        <v>398</v>
      </c>
      <c r="B58" s="21"/>
      <c r="C58" s="21"/>
      <c r="D58" s="21"/>
      <c r="E58" s="21"/>
      <c r="F58" s="21"/>
      <c r="G58" s="25"/>
      <c r="H58" s="25"/>
      <c r="I58" s="25"/>
      <c r="J58" s="25"/>
    </row>
    <row r="59" ht="16.5">
      <c r="B59" s="21" t="s">
        <v>399</v>
      </c>
      <c r="C59" s="25">
        <v>174762.20000000001</v>
      </c>
      <c r="D59" s="25">
        <v>146045.79000000001</v>
      </c>
      <c r="E59" s="25">
        <v>131740.35000000001</v>
      </c>
      <c r="F59" s="25">
        <v>102826.55</v>
      </c>
      <c r="G59" s="25">
        <v>102826.55</v>
      </c>
      <c r="H59" s="25">
        <v>82149.410000000003</v>
      </c>
      <c r="I59" s="25">
        <v>82149.410000000003</v>
      </c>
      <c r="J59" s="25">
        <v>82149.410000000003</v>
      </c>
    </row>
    <row r="60" ht="16.5">
      <c r="B60" s="21" t="s">
        <v>400</v>
      </c>
      <c r="C60" s="25">
        <v>500519.53000000003</v>
      </c>
      <c r="D60" s="25">
        <v>405974.58000000002</v>
      </c>
      <c r="E60" s="25">
        <v>408553.23999999999</v>
      </c>
      <c r="F60" s="25">
        <v>300115.44</v>
      </c>
      <c r="G60" s="25">
        <v>300115.44</v>
      </c>
      <c r="H60" s="25">
        <v>211314.20999999999</v>
      </c>
      <c r="I60" s="25">
        <v>143370.22</v>
      </c>
      <c r="J60" s="25">
        <v>143370.22</v>
      </c>
    </row>
    <row r="61" ht="16.5">
      <c r="B61" s="21" t="s">
        <v>331</v>
      </c>
      <c r="C61" s="25">
        <v>4018.2600000000002</v>
      </c>
      <c r="D61" s="25">
        <v>3314.7600000000002</v>
      </c>
      <c r="E61" s="25">
        <v>2235.2600000000002</v>
      </c>
      <c r="F61" s="25">
        <v>2560.0599999999999</v>
      </c>
      <c r="G61" s="25">
        <v>2560.0599999999999</v>
      </c>
      <c r="H61" s="25">
        <v>82149.410000000003</v>
      </c>
      <c r="I61" s="25">
        <v>82149.410000000003</v>
      </c>
      <c r="J61" s="25">
        <v>82149.410000000003</v>
      </c>
    </row>
    <row r="62" ht="16.5">
      <c r="B62" s="21" t="s">
        <v>401</v>
      </c>
      <c r="C62" s="25">
        <v>3309.73</v>
      </c>
      <c r="D62" s="25">
        <v>2546.5500000000002</v>
      </c>
      <c r="E62" s="25">
        <v>2997.3299999999999</v>
      </c>
      <c r="F62" s="25">
        <v>3706.8899999999999</v>
      </c>
      <c r="G62" s="25"/>
      <c r="H62" s="25"/>
      <c r="I62" s="25"/>
      <c r="J62" s="25"/>
    </row>
    <row r="63" ht="16.5">
      <c r="B63" s="21" t="s">
        <v>402</v>
      </c>
      <c r="C63" s="25">
        <f>SUM(C59:C62)</f>
        <v>682609.71999999997</v>
      </c>
      <c r="D63" s="25">
        <f>SUM(D59:D62)</f>
        <v>557881.68000000005</v>
      </c>
      <c r="E63" s="25">
        <f>SUM(E59:E62)</f>
        <v>545526.17999999993</v>
      </c>
      <c r="F63" s="25">
        <f>SUM(F59:F62)</f>
        <v>409208.94</v>
      </c>
      <c r="G63" s="25">
        <f>SUM(G59:G62)</f>
        <v>405502.04999999999</v>
      </c>
      <c r="H63" s="25">
        <f>SUM(H59:H62)</f>
        <v>375613.03000000003</v>
      </c>
      <c r="I63" s="25">
        <f>SUM(I59:I62)</f>
        <v>307669.04000000004</v>
      </c>
      <c r="J63" s="25">
        <f>SUM(J59:J62)</f>
        <v>307669.04000000004</v>
      </c>
    </row>
    <row r="64" s="22" customFormat="1" ht="16.5">
      <c r="A64" s="22"/>
      <c r="B64" s="22" t="s">
        <v>403</v>
      </c>
      <c r="C64" s="55">
        <f>C63+C57</f>
        <v>933681.79000000004</v>
      </c>
      <c r="D64" s="55">
        <f>D63+D57</f>
        <v>774539.20000000007</v>
      </c>
      <c r="E64" s="55">
        <f>E63+E57</f>
        <v>733383.41999999993</v>
      </c>
      <c r="F64" s="55">
        <f>F63+F57</f>
        <v>564959.18999999994</v>
      </c>
      <c r="G64" s="55">
        <f>G63+G57</f>
        <v>523794.14999999997</v>
      </c>
      <c r="H64" s="55">
        <f>H63+H57</f>
        <v>474925.03000000003</v>
      </c>
      <c r="I64" s="55">
        <f>I63+I57</f>
        <v>386092.32200000004</v>
      </c>
      <c r="J64" s="55">
        <f>J63+J57</f>
        <v>386092.32200000004</v>
      </c>
    </row>
    <row r="65" ht="14.25">
      <c r="B65" s="21"/>
      <c r="C65" s="21"/>
      <c r="D65" s="21"/>
      <c r="E65" s="21"/>
      <c r="F65" s="21"/>
      <c r="G65" s="21"/>
      <c r="H65" s="21"/>
      <c r="I65" s="21"/>
      <c r="J65" s="21"/>
    </row>
    <row r="66" ht="16.5">
      <c r="A66" s="48" t="s">
        <v>404</v>
      </c>
      <c r="C66" s="21"/>
      <c r="D66" s="21"/>
    </row>
    <row r="67" ht="16.5">
      <c r="A67" s="22" t="s">
        <v>405</v>
      </c>
      <c r="C67" s="21"/>
      <c r="D67" s="21"/>
    </row>
    <row r="68" ht="16.5">
      <c r="B68" s="21" t="s">
        <v>406</v>
      </c>
      <c r="C68" s="62">
        <f>C23</f>
        <v>59965.040000000008</v>
      </c>
      <c r="D68" s="62">
        <f>D23</f>
        <v>49227.800000000003</v>
      </c>
    </row>
    <row r="69" ht="16.5">
      <c r="A69" s="21" t="s">
        <v>407</v>
      </c>
      <c r="B69" s="21" t="s">
        <v>184</v>
      </c>
      <c r="C69" s="62">
        <f>C20</f>
        <v>921.05999999999995</v>
      </c>
    </row>
    <row r="70" ht="16.5">
      <c r="A70" s="21" t="s">
        <v>408</v>
      </c>
      <c r="B70" s="21" t="s">
        <v>183</v>
      </c>
      <c r="C70" s="62">
        <f>C18</f>
        <v>5538.21</v>
      </c>
    </row>
    <row r="71" ht="16.5">
      <c r="A71" s="21" t="s">
        <v>409</v>
      </c>
      <c r="B71" s="21" t="s">
        <v>410</v>
      </c>
      <c r="C71" s="62">
        <f>C17</f>
        <v>54300.779999999999</v>
      </c>
    </row>
    <row r="72" ht="16.5">
      <c r="A72" s="21" t="s">
        <v>411</v>
      </c>
      <c r="B72" s="21" t="s">
        <v>412</v>
      </c>
      <c r="C72" s="21">
        <v>-6.3899999999999997</v>
      </c>
    </row>
    <row r="73" ht="16.5">
      <c r="B73" s="21" t="s">
        <v>413</v>
      </c>
      <c r="C73" s="21">
        <v>161.02000000000001</v>
      </c>
    </row>
    <row r="74" ht="16.5">
      <c r="A74" s="21" t="s">
        <v>414</v>
      </c>
      <c r="B74" s="21" t="s">
        <v>415</v>
      </c>
      <c r="C74" s="21">
        <v>-13.550000000000001</v>
      </c>
    </row>
    <row r="75" ht="16.5">
      <c r="A75" s="21" t="s">
        <v>416</v>
      </c>
      <c r="B75" s="21" t="s">
        <v>417</v>
      </c>
      <c r="C75" s="21">
        <v>-3369.0799999999999</v>
      </c>
    </row>
    <row r="76" ht="16.5">
      <c r="A76" s="21" t="s">
        <v>416</v>
      </c>
      <c r="B76" s="21" t="s">
        <v>175</v>
      </c>
      <c r="C76" s="21">
        <v>-48.100000000000001</v>
      </c>
    </row>
    <row r="77" ht="16.5">
      <c r="B77" s="21" t="s">
        <v>418</v>
      </c>
      <c r="C77" s="21">
        <v>-1022.58</v>
      </c>
    </row>
    <row r="78" ht="16.5">
      <c r="B78" s="21" t="s">
        <v>419</v>
      </c>
      <c r="C78" s="21">
        <v>388.77999999999997</v>
      </c>
    </row>
    <row r="79" s="22" customFormat="1" ht="16.5">
      <c r="A79" s="22"/>
      <c r="B79" s="22" t="s">
        <v>420</v>
      </c>
      <c r="C79" s="59">
        <f>SUM(C68:C78)</f>
        <v>116815.19</v>
      </c>
      <c r="D79" s="22"/>
    </row>
    <row r="80" s="22" customFormat="1" ht="16.5">
      <c r="A80" s="22"/>
      <c r="B80" s="22"/>
      <c r="C80" s="59"/>
      <c r="D80" s="22"/>
    </row>
    <row r="81" ht="14.25">
      <c r="A81" s="21"/>
      <c r="B81" s="21" t="s">
        <v>421</v>
      </c>
      <c r="C81" s="21"/>
    </row>
    <row r="82" ht="14.25">
      <c r="A82" s="21" t="s">
        <v>422</v>
      </c>
      <c r="B82" s="21" t="s">
        <v>289</v>
      </c>
      <c r="C82" s="21">
        <v>-79.409999999999997</v>
      </c>
    </row>
    <row r="83" ht="14.25">
      <c r="A83" s="21" t="s">
        <v>407</v>
      </c>
      <c r="B83" s="21" t="s">
        <v>423</v>
      </c>
      <c r="C83" s="21">
        <v>307.81</v>
      </c>
    </row>
    <row r="84" ht="14.25">
      <c r="B84" s="21" t="s">
        <v>424</v>
      </c>
      <c r="C84" s="21">
        <v>-179256.51000000001</v>
      </c>
    </row>
    <row r="85" ht="14.25">
      <c r="B85" s="21" t="s">
        <v>425</v>
      </c>
    </row>
    <row r="86" ht="14.25">
      <c r="B86" s="21" t="s">
        <v>426</v>
      </c>
    </row>
    <row r="87" ht="14.25">
      <c r="B87" s="21" t="s">
        <v>427</v>
      </c>
    </row>
    <row r="88" ht="14.25">
      <c r="B88" s="21" t="s">
        <v>428</v>
      </c>
    </row>
    <row r="89" ht="14.25">
      <c r="B89" s="21" t="s">
        <v>429</v>
      </c>
    </row>
    <row r="90" ht="14.25">
      <c r="B90" s="21"/>
    </row>
    <row r="91" ht="14.25">
      <c r="A91" s="21"/>
      <c r="B91" s="21"/>
    </row>
    <row r="92" ht="14.25">
      <c r="A92" s="21" t="s">
        <v>430</v>
      </c>
      <c r="B92" s="21" t="s">
        <v>410</v>
      </c>
    </row>
    <row r="96" ht="14.25">
      <c r="A96" s="22" t="s">
        <v>431</v>
      </c>
    </row>
    <row r="97" ht="14.25">
      <c r="A97" s="21"/>
    </row>
    <row r="102" ht="14.25">
      <c r="A102" s="22" t="s">
        <v>432</v>
      </c>
    </row>
  </sheetData>
  <hyperlinks>
    <hyperlink r:id="rId1" ref="C2"/>
    <hyperlink r:id="rId2" ref="E2"/>
    <hyperlink r:id="rId3" ref="G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25</cp:revision>
  <dcterms:modified xsi:type="dcterms:W3CDTF">2025-06-27T13:03:54Z</dcterms:modified>
</cp:coreProperties>
</file>